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5386" windowWidth="10695" windowHeight="11805" tabRatio="830" firstSheet="1" activeTab="1"/>
  </bookViews>
  <sheets>
    <sheet name="Planning Data" sheetId="1" r:id="rId1"/>
    <sheet name="Lot Runoff" sheetId="2" r:id="rId2"/>
    <sheet name="Pond Vol" sheetId="3" r:id="rId3"/>
    <sheet name="SPAW" sheetId="4" r:id="rId4"/>
    <sheet name="Rect. Pond Size" sheetId="5" r:id="rId5"/>
    <sheet name="Lot Runoff Pond" sheetId="6" r:id="rId6"/>
    <sheet name="Total Evap Pond Size" sheetId="7" r:id="rId7"/>
    <sheet name="Evap-NM" sheetId="8" r:id="rId8"/>
    <sheet name="Climate" sheetId="9" r:id="rId9"/>
  </sheets>
  <definedNames>
    <definedName name="PondTypes">'Pond Vol'!$A$32:$A$33</definedName>
    <definedName name="_xlnm.Print_Area" localSheetId="8">'Climate'!$A$1:$AC$133</definedName>
    <definedName name="_xlnm.Print_Area" localSheetId="1">'Lot Runoff'!$A$1:$J$31</definedName>
    <definedName name="_xlnm.Print_Area" localSheetId="5">'Lot Runoff Pond'!$A$1:$I$47</definedName>
    <definedName name="_xlnm.Print_Area" localSheetId="0">'Planning Data'!$A$1:$K$52</definedName>
    <definedName name="_xlnm.Print_Area" localSheetId="2">'Pond Vol'!$A$1:$L$27</definedName>
    <definedName name="_xlnm.Print_Area" localSheetId="4">'Rect. Pond Size'!$A$1:$I$94</definedName>
    <definedName name="_xlnm.Print_Area" localSheetId="3">'SPAW'!$A$1:$G$64</definedName>
    <definedName name="_xlnm.Print_Area" localSheetId="6">'Total Evap Pond Size'!$A$1:$I$89</definedName>
    <definedName name="Print_Area_MI">'Pond Vol'!$A$1:$K$26</definedName>
  </definedNames>
  <calcPr fullCalcOnLoad="1"/>
</workbook>
</file>

<file path=xl/comments6.xml><?xml version="1.0" encoding="utf-8"?>
<comments xmlns="http://schemas.openxmlformats.org/spreadsheetml/2006/main">
  <authors>
    <author>michael.sporcic</author>
  </authors>
  <commentList>
    <comment ref="E12" authorId="0">
      <text>
        <r>
          <rPr>
            <b/>
            <sz val="8"/>
            <color indexed="12"/>
            <rFont val="Tahoma"/>
            <family val="2"/>
          </rPr>
          <t>A 2 ft freeboard is required by NMED Ground Water.  A 1 ft freeboard can be used if the EPA surface water permit is the only permit needed.  Feedlots may in the future need the additional storage if a state ground water permit is added later.</t>
        </r>
      </text>
    </comment>
  </commentList>
</comments>
</file>

<file path=xl/sharedStrings.xml><?xml version="1.0" encoding="utf-8"?>
<sst xmlns="http://schemas.openxmlformats.org/spreadsheetml/2006/main" count="1240" uniqueCount="832">
  <si>
    <r>
      <t xml:space="preserve"> years </t>
    </r>
    <r>
      <rPr>
        <sz val="8"/>
        <rFont val="Arial"/>
        <family val="2"/>
      </rPr>
      <t xml:space="preserve"> (min 20 yrs needed)</t>
    </r>
  </si>
  <si>
    <r>
      <t xml:space="preserve">POND Volume </t>
    </r>
    <r>
      <rPr>
        <sz val="9"/>
        <rFont val="Arial"/>
        <family val="2"/>
      </rPr>
      <t xml:space="preserve">(equal to all feedlot runoff plus milkhouse water year long storage)         </t>
    </r>
    <r>
      <rPr>
        <i/>
        <sz val="9"/>
        <rFont val="Arial"/>
        <family val="2"/>
      </rPr>
      <t>(Vol est using SPAW vs 6.1.51 Soil-Plant-Air-Water Field &amp; Pond Hydrology)</t>
    </r>
    <r>
      <rPr>
        <b/>
        <sz val="9"/>
        <rFont val="Arial"/>
        <family val="2"/>
      </rPr>
      <t>:</t>
    </r>
  </si>
  <si>
    <r>
      <t xml:space="preserve">SOLIDS SEPARATION </t>
    </r>
    <r>
      <rPr>
        <i/>
        <sz val="10"/>
        <rFont val="Arial"/>
        <family val="2"/>
      </rPr>
      <t>(adjustment to total storage requirements)</t>
    </r>
  </si>
  <si>
    <t>Top W =</t>
  </si>
  <si>
    <t>Top L =</t>
  </si>
  <si>
    <t>Devap =</t>
  </si>
  <si>
    <t>Sludge Top =</t>
  </si>
  <si>
    <t>Bottom W =</t>
  </si>
  <si>
    <t>Bottom L =</t>
  </si>
  <si>
    <t>Bottom area =</t>
  </si>
  <si>
    <t>Wet Peri L =</t>
  </si>
  <si>
    <t>Wet Peri W =</t>
  </si>
  <si>
    <t>Ft</t>
  </si>
  <si>
    <t>Cross Section (not to scale)</t>
  </si>
  <si>
    <r>
      <t xml:space="preserve">Width cross section  </t>
    </r>
    <r>
      <rPr>
        <sz val="9"/>
        <rFont val="Arial"/>
        <family val="2"/>
      </rPr>
      <t>(not to scale)</t>
    </r>
  </si>
  <si>
    <r>
      <t xml:space="preserve">Length cross section </t>
    </r>
    <r>
      <rPr>
        <sz val="9"/>
        <rFont val="Arial"/>
        <family val="2"/>
      </rPr>
      <t>(not to scale)</t>
    </r>
  </si>
  <si>
    <r>
      <t>Cross Section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(not to scale)</t>
    </r>
  </si>
  <si>
    <t>Design Vol Level</t>
  </si>
  <si>
    <t xml:space="preserve"> Yr         Sludge      Depth  (ft)</t>
  </si>
  <si>
    <r>
      <t xml:space="preserve">SIDE SLOPE (inside) </t>
    </r>
    <r>
      <rPr>
        <sz val="8"/>
        <rFont val="Arial"/>
        <family val="2"/>
      </rPr>
      <t>(from SPAW sheet)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(ft:ft)</t>
    </r>
  </si>
  <si>
    <t>Pond Storage Capacity</t>
  </si>
  <si>
    <t>:1</t>
  </si>
  <si>
    <t>Acres</t>
  </si>
  <si>
    <t>Q=</t>
  </si>
  <si>
    <t>ac. in.</t>
  </si>
  <si>
    <t>Solids</t>
  </si>
  <si>
    <t>Month</t>
  </si>
  <si>
    <t xml:space="preserve"> inches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</si>
  <si>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</si>
  <si>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</si>
  <si>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</si>
  <si>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</si>
  <si>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</si>
  <si>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</si>
  <si>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</si>
  <si>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</si>
  <si>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</si>
  <si>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</si>
  <si>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</si>
  <si>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</si>
  <si>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U.S. Department of Agriculture</t>
  </si>
  <si>
    <t>ac</t>
  </si>
  <si>
    <t>in</t>
  </si>
  <si>
    <t>Natural Resources Conservation Service</t>
  </si>
  <si>
    <t>CHECKED BY:</t>
  </si>
  <si>
    <t>DATE:</t>
  </si>
  <si>
    <t>ac-ft</t>
  </si>
  <si>
    <t>Dairy Name:</t>
  </si>
  <si>
    <t>Date:</t>
  </si>
  <si>
    <t>Planner:</t>
  </si>
  <si>
    <t>Dairy Manager:</t>
  </si>
  <si>
    <t>USDA Natural Resource Conservation Service</t>
  </si>
  <si>
    <t>Location:</t>
  </si>
  <si>
    <t>Number of milking cows:</t>
  </si>
  <si>
    <t>Average weight of cows:</t>
  </si>
  <si>
    <t>lbs</t>
  </si>
  <si>
    <t>Wash water used in milking center:</t>
  </si>
  <si>
    <t>gal/day/cow</t>
  </si>
  <si>
    <t>Assumptions:</t>
  </si>
  <si>
    <r>
      <t>5.</t>
    </r>
    <r>
      <rPr>
        <sz val="10"/>
        <rFont val="Arial"/>
        <family val="0"/>
      </rPr>
      <t xml:space="preserve"> 27150 gallons = 1 ac in.</t>
    </r>
  </si>
  <si>
    <t>Flush water used per cow:</t>
  </si>
  <si>
    <t>gal/day/cow      X</t>
  </si>
  <si>
    <t>(gal/27150) OR =</t>
  </si>
  <si>
    <t>DAIRY DATA (Flush System)</t>
  </si>
  <si>
    <t>Number of dry cows:</t>
  </si>
  <si>
    <t>Number of heifers:</t>
  </si>
  <si>
    <t>Number of other type cows:</t>
  </si>
  <si>
    <t>Cow Type</t>
  </si>
  <si>
    <t>lbs/day</t>
  </si>
  <si>
    <t>Animal Units</t>
  </si>
  <si>
    <t>lbs/day/1000lbs</t>
  </si>
  <si>
    <t>lbs/animal</t>
  </si>
  <si>
    <t>#xWt/1000</t>
  </si>
  <si>
    <t>Total:</t>
  </si>
  <si>
    <t xml:space="preserve">    days     =</t>
  </si>
  <si>
    <r>
      <t>2.</t>
    </r>
    <r>
      <rPr>
        <sz val="10"/>
        <rFont val="Arial"/>
        <family val="0"/>
      </rPr>
      <t xml:space="preserve">  88% of manure is liquid.</t>
    </r>
  </si>
  <si>
    <r>
      <t xml:space="preserve">3. </t>
    </r>
    <r>
      <rPr>
        <sz val="10"/>
        <rFont val="Arial"/>
        <family val="2"/>
      </rPr>
      <t xml:space="preserve">1 ton manure = 34 Cu Ft </t>
    </r>
    <r>
      <rPr>
        <b/>
        <sz val="10"/>
        <rFont val="Arial"/>
        <family val="2"/>
      </rPr>
      <t xml:space="preserve">             4.</t>
    </r>
    <r>
      <rPr>
        <sz val="10"/>
        <rFont val="Arial"/>
        <family val="0"/>
      </rPr>
      <t xml:space="preserve"> 134.5 Cu. Yds.= 1 ac in.</t>
    </r>
  </si>
  <si>
    <t>Q =</t>
  </si>
  <si>
    <t>X</t>
  </si>
  <si>
    <t xml:space="preserve">                =</t>
  </si>
  <si>
    <t>days         =</t>
  </si>
  <si>
    <t>DAIRY DATA (milking center and flush system)</t>
  </si>
  <si>
    <t>% Time on system</t>
  </si>
  <si>
    <t>Wt per Animal</t>
  </si>
  <si>
    <t>head</t>
  </si>
  <si>
    <t>Flush water added:</t>
  </si>
  <si>
    <r>
      <t xml:space="preserve">gal/cow/day </t>
    </r>
    <r>
      <rPr>
        <i/>
        <sz val="9"/>
        <color indexed="18"/>
        <rFont val="Arial"/>
        <family val="2"/>
      </rPr>
      <t>(total gal per day/number of cows using the system)</t>
    </r>
  </si>
  <si>
    <r>
      <t>Manure</t>
    </r>
    <r>
      <rPr>
        <b/>
        <vertAlign val="superscript"/>
        <sz val="8"/>
        <rFont val="Arial"/>
        <family val="2"/>
      </rPr>
      <t>1</t>
    </r>
  </si>
  <si>
    <t>lbs/day  X</t>
  </si>
  <si>
    <t>AU       X</t>
  </si>
  <si>
    <t>lbs/day X</t>
  </si>
  <si>
    <t>AU    X</t>
  </si>
  <si>
    <t>Month Storage</t>
  </si>
  <si>
    <t>cows  X</t>
  </si>
  <si>
    <t>Vol  =</t>
  </si>
  <si>
    <t>(lbs/mo)/2000 lbs/ton)</t>
  </si>
  <si>
    <t>(cu. ft.) / (27 cu ft/cu yd)</t>
  </si>
  <si>
    <t>(cu. yds.) / (134.5 cu yds/ac in)</t>
  </si>
  <si>
    <t>tons/mo.</t>
  </si>
  <si>
    <t>cu ft/mo.</t>
  </si>
  <si>
    <t>(lbs/day) X</t>
  </si>
  <si>
    <t>Solid Vol = liquid (lbs) / 8.33 lbs/gal = gal. storage need</t>
  </si>
  <si>
    <t>USDA Natural Resources Conservation Service</t>
  </si>
  <si>
    <t xml:space="preserve"> Wash water</t>
  </si>
  <si>
    <t>Pond Area Rainfall</t>
  </si>
  <si>
    <t>Total Inflow</t>
  </si>
  <si>
    <t>Lake Evap.</t>
  </si>
  <si>
    <t>Total Evap.</t>
  </si>
  <si>
    <t>Inflow - Evap.</t>
  </si>
  <si>
    <t>Flush System used?</t>
  </si>
  <si>
    <t>Yes</t>
  </si>
  <si>
    <t>No</t>
  </si>
  <si>
    <t>Liquid Vol = (cow liquid (lbs) / 8.33 lbs/gal) + (added flush water X 30days) = gal. storage need</t>
  </si>
  <si>
    <t>lbs/mo. / 8.33 lbs/gal</t>
  </si>
  <si>
    <t>:1 side slope</t>
  </si>
  <si>
    <t>Foot Top Width</t>
  </si>
  <si>
    <t>Foot Bottom Width</t>
  </si>
  <si>
    <t>NM-DAIRY PLANNING DATA SHEET</t>
  </si>
  <si>
    <t>X 30 days =</t>
  </si>
  <si>
    <t>X 30 X</t>
  </si>
  <si>
    <t xml:space="preserve"> +      (</t>
  </si>
  <si>
    <t>gal/day  X   30 )       =</t>
  </si>
  <si>
    <t>(tons/mo) X 34.5 cu. ft./ton</t>
  </si>
  <si>
    <t>25 year-24 hrs Storm Runoff Volume Storage Requirement:</t>
  </si>
  <si>
    <t>Pond designed for:</t>
  </si>
  <si>
    <t>Foot Top Length</t>
  </si>
  <si>
    <t>Foot Bottom Length</t>
  </si>
  <si>
    <t>Pond/Lagoon #:</t>
  </si>
  <si>
    <t>County</t>
  </si>
  <si>
    <t>Station</t>
  </si>
  <si>
    <t>JanP</t>
  </si>
  <si>
    <t>FebP</t>
  </si>
  <si>
    <t>MarP</t>
  </si>
  <si>
    <t>AprP</t>
  </si>
  <si>
    <t>MayP</t>
  </si>
  <si>
    <t>JunP</t>
  </si>
  <si>
    <t>JulP</t>
  </si>
  <si>
    <t>AugP</t>
  </si>
  <si>
    <t>SepP</t>
  </si>
  <si>
    <t>OctP</t>
  </si>
  <si>
    <t>NovP</t>
  </si>
  <si>
    <t>DecP</t>
  </si>
  <si>
    <t>Bernalillo</t>
  </si>
  <si>
    <t>Catron</t>
  </si>
  <si>
    <t>Chaves</t>
  </si>
  <si>
    <t>Cibola</t>
  </si>
  <si>
    <t>Colfax</t>
  </si>
  <si>
    <t>Curry</t>
  </si>
  <si>
    <t>De Baca</t>
  </si>
  <si>
    <t>Dona Ana</t>
  </si>
  <si>
    <t>Eddy</t>
  </si>
  <si>
    <t>Grant</t>
  </si>
  <si>
    <t>Guadalupe</t>
  </si>
  <si>
    <t>Harding</t>
  </si>
  <si>
    <t>Hidalgo</t>
  </si>
  <si>
    <t>Lea</t>
  </si>
  <si>
    <t>Lincoln</t>
  </si>
  <si>
    <t>Los Alamos</t>
  </si>
  <si>
    <t>Luna</t>
  </si>
  <si>
    <t>McKinley</t>
  </si>
  <si>
    <t>Mora</t>
  </si>
  <si>
    <t>Otero</t>
  </si>
  <si>
    <t>Quay</t>
  </si>
  <si>
    <t>Rio Arriba</t>
  </si>
  <si>
    <t>Roosevelt</t>
  </si>
  <si>
    <t>San Juan</t>
  </si>
  <si>
    <t>San Miguel</t>
  </si>
  <si>
    <t>Sandoval</t>
  </si>
  <si>
    <t>Santa Fe</t>
  </si>
  <si>
    <t>Sierra</t>
  </si>
  <si>
    <t>Socorro</t>
  </si>
  <si>
    <t>Taos</t>
  </si>
  <si>
    <t>Torrance</t>
  </si>
  <si>
    <t>Union</t>
  </si>
  <si>
    <t>Valencia</t>
  </si>
  <si>
    <t>, ALBUQUERQUE AIRPORT</t>
  </si>
  <si>
    <t>, SANDIA PARK  NM8015</t>
  </si>
  <si>
    <t>, ABBOTT 1 SE  NM0022</t>
  </si>
  <si>
    <t>, BEAVERHEAD R S  NM0818</t>
  </si>
  <si>
    <t>, HICKMAN  NM3969</t>
  </si>
  <si>
    <t>, HOOD RANGER STN  NM7386</t>
  </si>
  <si>
    <t>, LUNA RANGER STN  NM5273</t>
  </si>
  <si>
    <t>, QUEMADO  NM7180</t>
  </si>
  <si>
    <t>, BITTER LAKES WL REFUGE  NM0992</t>
  </si>
  <si>
    <t>, ELK 2 E  NM2865</t>
  </si>
  <si>
    <t>, EL MORRO NATL MONUMENT  NM2785</t>
  </si>
  <si>
    <t>, FENCE LAKE 1 N  NM3180</t>
  </si>
  <si>
    <t>, GRANTS AIRPORT  NM3682</t>
  </si>
  <si>
    <t>, LAGUNA  NM4719</t>
  </si>
  <si>
    <t>, SAN MATEO  NM7918</t>
  </si>
  <si>
    <t>, CIMARRON 4 SW  NM1813</t>
  </si>
  <si>
    <t>, EAGLE NEST  NM2700</t>
  </si>
  <si>
    <t>, LAKE MALOYA  NM4742</t>
  </si>
  <si>
    <t>, MAXWELL  NM5490</t>
  </si>
  <si>
    <t>, RATON FILTER PLANT  NM7279</t>
  </si>
  <si>
    <t>, SPRINGER  NM8501</t>
  </si>
  <si>
    <t>, CLOVIS  NM1939</t>
  </si>
  <si>
    <t>, CLOVIS 13 N  NM1963</t>
  </si>
  <si>
    <t>, MELROSE  NM5617</t>
  </si>
  <si>
    <t>, FORT SUMNER  NM3294</t>
  </si>
  <si>
    <t>, YESO  NM9851</t>
  </si>
  <si>
    <t>, HATCH 2 W  NM3855</t>
  </si>
  <si>
    <t>, JORNADA EXP RANGE  NM4426</t>
  </si>
  <si>
    <t>, ARTESIA 6 S  NM0600</t>
  </si>
  <si>
    <t>, CARLSBAD  NM1469</t>
  </si>
  <si>
    <t>, CARLSBAD CAVERNS  NM1480</t>
  </si>
  <si>
    <t>, CARLSBAD FAA AIRPORT  NM1475</t>
  </si>
  <si>
    <t>, CLIFF 11 SE  NM1910</t>
  </si>
  <si>
    <t>, FAYWOOD  NM3157</t>
  </si>
  <si>
    <t>, FORT BAYARD  NM3265</t>
  </si>
  <si>
    <t>, GILA HOT SPRINGS  NM3530</t>
  </si>
  <si>
    <t>, HACHITA  NM3775</t>
  </si>
  <si>
    <t>, MIMBRES RANGER STN  NM5754</t>
  </si>
  <si>
    <t>, REDROCK  NM7340</t>
  </si>
  <si>
    <t>, WHITE SIGNAL  NM9691</t>
  </si>
  <si>
    <t>, DILIA 1 SSE  NM2510</t>
  </si>
  <si>
    <t>, NEWKIRK  NM6115</t>
  </si>
  <si>
    <t>, SANTA ROSA  NM8107</t>
  </si>
  <si>
    <t>, MOSQUERO  NM5937</t>
  </si>
  <si>
    <t>, ROY  NM7638</t>
  </si>
  <si>
    <t>, ANIMAS  NM0417</t>
  </si>
  <si>
    <t>, LORDSBURG 4 SE  NM5079</t>
  </si>
  <si>
    <t>, CROSSROADS #2  NM2207</t>
  </si>
  <si>
    <t>, HOBBS  NM4026</t>
  </si>
  <si>
    <t>, JAL  NM4346</t>
  </si>
  <si>
    <t>, MALJAMAR 4 SE  NM5370</t>
  </si>
  <si>
    <t>, PEARL  NM6659</t>
  </si>
  <si>
    <t>, TATUM  NM8713</t>
  </si>
  <si>
    <t>, CARRIZOZO  NM1515</t>
  </si>
  <si>
    <t>, RAMON 8 SW  NM7254</t>
  </si>
  <si>
    <t>, RUIDOSO 2 NNE  NM7649</t>
  </si>
  <si>
    <t>, LOS ALAMOS  NM5084</t>
  </si>
  <si>
    <t>, COLUMBUS  NM2024</t>
  </si>
  <si>
    <t>, DEMING  NM2436</t>
  </si>
  <si>
    <t>, FLORIDA  NM3225</t>
  </si>
  <si>
    <t>, GAGE 4 ESE  NM3368</t>
  </si>
  <si>
    <t>, MC GAFFEY 5 SE  NM5560</t>
  </si>
  <si>
    <t>, STAR LAKE  NM8524</t>
  </si>
  <si>
    <t>, THOREAU 5 ENE  NM8830</t>
  </si>
  <si>
    <t>, ZUNI  NM9897</t>
  </si>
  <si>
    <t>, GASCON  NM3488</t>
  </si>
  <si>
    <t>, OCATE 1 N  NM6275</t>
  </si>
  <si>
    <t>, VALMORA  NM9330</t>
  </si>
  <si>
    <t>, ALAMOGORDO  NM0199</t>
  </si>
  <si>
    <t>, CLOUDCROFT  NM1927</t>
  </si>
  <si>
    <t>, MOUNTAIN PARK  NM5960</t>
  </si>
  <si>
    <t>, OROGRANDE 1 N  NM6435</t>
  </si>
  <si>
    <t>, TULAROSA  NM9165</t>
  </si>
  <si>
    <t>, WHITE SANDS NATL MON  NM9686</t>
  </si>
  <si>
    <t xml:space="preserve"> ,CAMERON  NM1332</t>
  </si>
  <si>
    <t xml:space="preserve"> ,RAGLAND 3 SSW  NM7226</t>
  </si>
  <si>
    <t xml:space="preserve"> ,SAN JON  NM7867</t>
  </si>
  <si>
    <t xml:space="preserve"> ,TUCUMCARI 4 NE  NM9156</t>
  </si>
  <si>
    <t>, ABIQUIU DAM  NM0041</t>
  </si>
  <si>
    <t>, ALCALDE  NM0245</t>
  </si>
  <si>
    <t>, CHAMA  NM1664</t>
  </si>
  <si>
    <t>, DULCE  NM2608</t>
  </si>
  <si>
    <t>, EL RITO  NM2820</t>
  </si>
  <si>
    <t>, EL VADO DAM  NM2837</t>
  </si>
  <si>
    <t>, ESPANOLA  NM3031</t>
  </si>
  <si>
    <t>, LYBROOK  NM5290</t>
  </si>
  <si>
    <t>, TIERRA AMARILLA 4 N  NM8845</t>
  </si>
  <si>
    <t>, TRES PIEDRAS  NM9085</t>
  </si>
  <si>
    <t>, ELIDA  NM2854</t>
  </si>
  <si>
    <t>, PORTALES  NM7008</t>
  </si>
  <si>
    <t>, AZTEC RUINS NATL MONUME  NM0692</t>
  </si>
  <si>
    <t>, BLOOMFIELD 3 SE  NM1063</t>
  </si>
  <si>
    <t>, CHACO CANYON NATL MON  NM1647</t>
  </si>
  <si>
    <t>, FRUITLAND 2 E  NM3340</t>
  </si>
  <si>
    <t>, NAVAJO DAM  NM6061</t>
  </si>
  <si>
    <t>, OTIS  NM6465</t>
  </si>
  <si>
    <t>, SHIPROCK  NM8284</t>
  </si>
  <si>
    <t>, BELL RANCH  NM0858</t>
  </si>
  <si>
    <t>, CONCHAS DAM  NM2030</t>
  </si>
  <si>
    <t>, LAS VEGAS FAA AIRPORT  NM4856</t>
  </si>
  <si>
    <t>, PECOS RANGER STN  NM6676</t>
  </si>
  <si>
    <t>, CUBA  NM2241</t>
  </si>
  <si>
    <t>, JEMEZ SPRINGS  NM4369</t>
  </si>
  <si>
    <t>, TORREON NAVAJO MISSION  NM9031</t>
  </si>
  <si>
    <t>, WOLF CANYON  NM9820</t>
  </si>
  <si>
    <t>, STANLEY 1 NNE  NM8518</t>
  </si>
  <si>
    <t>, ALEMAN RANCH  NM0268</t>
  </si>
  <si>
    <t>, CABALLO DAM  NM1286</t>
  </si>
  <si>
    <t>, CHLORIDE RANGER STN  NM9806</t>
  </si>
  <si>
    <t>, ELEPHANT BUTTE DAM  NM2848</t>
  </si>
  <si>
    <t>, HILLSBORO  NM4009</t>
  </si>
  <si>
    <t>, AUGUSTINE 2 E  NM0640</t>
  </si>
  <si>
    <t>, BERNARDO  NM0915</t>
  </si>
  <si>
    <t>, BINGHAM 2 NE  NM0983</t>
  </si>
  <si>
    <t>, BOSQUE DEL APACHE  NM1138</t>
  </si>
  <si>
    <t>, MAGDALENA  NM5353</t>
  </si>
  <si>
    <t>, SOCORRO  NM8387</t>
  </si>
  <si>
    <t>, CERRO  NM1630</t>
  </si>
  <si>
    <t>, RED RIVER  NM7323</t>
  </si>
  <si>
    <t>, TAOS  NM8668</t>
  </si>
  <si>
    <t>, CLINES CORNERS 7 SE  NM1918</t>
  </si>
  <si>
    <t>, ESTANCIA  NM3060</t>
  </si>
  <si>
    <t>, GRAN QUIVIRA NATL MON  NM3649</t>
  </si>
  <si>
    <t>, MOUNTAINAIR  NM5965</t>
  </si>
  <si>
    <t>, PEDERNAL 4 E  NM6687</t>
  </si>
  <si>
    <t>, CLAYTON WSO AIRPORT  NM1887</t>
  </si>
  <si>
    <t>, DES MOINES  NM2453</t>
  </si>
  <si>
    <t>, GRENVILLE  NM3706</t>
  </si>
  <si>
    <t>, PASAMONTE  NM6619</t>
  </si>
  <si>
    <t>, LOS LUNAS 3 SSW  NM5150</t>
  </si>
  <si>
    <t>Pond Location (Climate):</t>
  </si>
  <si>
    <t>JanE%</t>
  </si>
  <si>
    <t>FebE%</t>
  </si>
  <si>
    <t>MarE%</t>
  </si>
  <si>
    <t>AprE%</t>
  </si>
  <si>
    <t>MayE%</t>
  </si>
  <si>
    <t>JunE%</t>
  </si>
  <si>
    <t>JulE%</t>
  </si>
  <si>
    <t>AugE%</t>
  </si>
  <si>
    <t>SepE%</t>
  </si>
  <si>
    <t>OctE%</t>
  </si>
  <si>
    <t>NovE%</t>
  </si>
  <si>
    <t>DecE%</t>
  </si>
  <si>
    <t>Annual Lake Evap map:</t>
  </si>
  <si>
    <t>County+Station</t>
  </si>
  <si>
    <t>Climate Station</t>
  </si>
  <si>
    <t>Practice Name:</t>
  </si>
  <si>
    <t>Pond Location (Climate by County):</t>
  </si>
  <si>
    <t>(For dairies it is always 1)</t>
  </si>
  <si>
    <t>Total</t>
  </si>
  <si>
    <t>PROCESS WASTE CALCULATION</t>
  </si>
  <si>
    <t>(See "NM-Evap" worksheet)</t>
  </si>
  <si>
    <t xml:space="preserve"> Manure Liquids</t>
  </si>
  <si>
    <t>ac in.</t>
  </si>
  <si>
    <t xml:space="preserve">   ac in.</t>
  </si>
  <si>
    <t>Solids Storage = 1000 lbs units X manure (lbs/day) X % solids (12%) X  storage (30days) X barn time (%) = Lbs/Mo</t>
  </si>
  <si>
    <t>Liquid Vol = AU (#) X manure (lbs/day) X % liquid (88%) X % time (%) X 30 (days) = Lbs/Mo</t>
  </si>
  <si>
    <t>Liquid Vol = milk center (gal/day/cow) x cows in system (# of cows) x days of storage (days) = Gal/Mo</t>
  </si>
  <si>
    <t>Liquid Vol  = Manure weight (lbs/day) x percent liquid (0.88) x storage (30days) = Lbs/Mo</t>
  </si>
  <si>
    <t>Solid Vol  = Manure weight (lbs/day) x percent solid (0.88) x storage (30days) = Lbs/Mo</t>
  </si>
  <si>
    <t>Milking Center Manure Production (liquid storage needed/Mo)</t>
  </si>
  <si>
    <t>(lbs/Mo) / (8.33 lbs/gal)        =</t>
  </si>
  <si>
    <t>ac. in./Mo</t>
  </si>
  <si>
    <t>Milking Center Manure Production (solid storage needed/Mo)</t>
  </si>
  <si>
    <t>cu. yds./Mo</t>
  </si>
  <si>
    <t>(tons/Mo) X 34.5 cu. ft./ton</t>
  </si>
  <si>
    <t>Alley Flush Manure Production (liquid storage needed/Mo)</t>
  </si>
  <si>
    <t>Alley Flush Manure Production (solid storage needed/Mo)</t>
  </si>
  <si>
    <t>lbs/Mo / 8.33 lbs/gal</t>
  </si>
  <si>
    <t>Milking Center Washwater (water storage needed/Mo)</t>
  </si>
  <si>
    <t>(Gal/27150) OR =</t>
  </si>
  <si>
    <t>Liquid storage needed = liquid (lbs/Mo) / 8.33 lbs/Gal = Gal/Mo</t>
  </si>
  <si>
    <t>Gal/Mo</t>
  </si>
  <si>
    <t>Gal./Mo</t>
  </si>
  <si>
    <t>Manure/Day</t>
  </si>
  <si>
    <t>Lbs/Mo</t>
  </si>
  <si>
    <t>Lbs/Mo.</t>
  </si>
  <si>
    <t>% waste from the milking center:</t>
  </si>
  <si>
    <t>percent (%), 15% is typical</t>
  </si>
  <si>
    <t>Gal/Day</t>
  </si>
  <si>
    <t>ft Total depth needed</t>
  </si>
  <si>
    <t>ft</t>
  </si>
  <si>
    <t>Total Designed Storage:</t>
  </si>
  <si>
    <r>
      <t xml:space="preserve">SIDE SLOPE </t>
    </r>
    <r>
      <rPr>
        <sz val="8"/>
        <rFont val="Arial"/>
        <family val="2"/>
      </rPr>
      <t>(inside)</t>
    </r>
    <r>
      <rPr>
        <sz val="11"/>
        <rFont val="Arial"/>
        <family val="2"/>
      </rPr>
      <t xml:space="preserve"> (ft:ft)</t>
    </r>
  </si>
  <si>
    <t>NM-POND VOLUME EVALUATION</t>
  </si>
  <si>
    <t>cf</t>
  </si>
  <si>
    <t>ac ft</t>
  </si>
  <si>
    <t>ac in</t>
  </si>
  <si>
    <t>ac. ft.</t>
  </si>
  <si>
    <t>AWMFH</t>
  </si>
  <si>
    <t>Wetted Perimeter (ft):</t>
  </si>
  <si>
    <t>Lining Area</t>
  </si>
  <si>
    <t>Lining Area =</t>
  </si>
  <si>
    <r>
      <t>ft</t>
    </r>
    <r>
      <rPr>
        <b/>
        <vertAlign val="superscript"/>
        <sz val="10"/>
        <rFont val="Arial"/>
        <family val="2"/>
      </rPr>
      <t>2</t>
    </r>
  </si>
  <si>
    <t>1st yr</t>
  </si>
  <si>
    <t>2nd yr</t>
  </si>
  <si>
    <t>3rd yr</t>
  </si>
  <si>
    <t>Evap Pond Depth (ac-inches)</t>
  </si>
  <si>
    <t>Pond Types</t>
  </si>
  <si>
    <t>60-day Storage</t>
  </si>
  <si>
    <t>Type of Pond:</t>
  </si>
  <si>
    <t>Evaporation Surface Area:</t>
  </si>
  <si>
    <t>ac.</t>
  </si>
  <si>
    <r>
      <t>POND Length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(at evaporation surface)</t>
    </r>
    <r>
      <rPr>
        <sz val="11"/>
        <rFont val="Arial"/>
        <family val="2"/>
      </rPr>
      <t xml:space="preserve"> (ft)</t>
    </r>
  </si>
  <si>
    <r>
      <t>POND Width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(at evaporation surface)</t>
    </r>
    <r>
      <rPr>
        <sz val="11"/>
        <rFont val="Arial"/>
        <family val="2"/>
      </rPr>
      <t xml:space="preserve"> (ft)</t>
    </r>
  </si>
  <si>
    <t>B1=</t>
  </si>
  <si>
    <t>B2=</t>
  </si>
  <si>
    <t>Devap=</t>
  </si>
  <si>
    <t>Vevap=</t>
  </si>
  <si>
    <t>ft.</t>
  </si>
  <si>
    <t>sq. ft.</t>
  </si>
  <si>
    <t>cu. ft.</t>
  </si>
  <si>
    <t>runoff</t>
  </si>
  <si>
    <t>both</t>
  </si>
  <si>
    <t>center</t>
  </si>
  <si>
    <t>Total Storage Required:</t>
  </si>
  <si>
    <r>
      <t>POND Depth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(for required storage)</t>
    </r>
    <r>
      <rPr>
        <sz val="11"/>
        <rFont val="Arial"/>
        <family val="2"/>
      </rPr>
      <t xml:space="preserve"> (ft)</t>
    </r>
  </si>
  <si>
    <r>
      <t>SURFACE AREA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(at top of required storage)</t>
    </r>
    <r>
      <rPr>
        <sz val="11"/>
        <rFont val="Arial"/>
        <family val="2"/>
      </rPr>
      <t xml:space="preserve"> (ac)</t>
    </r>
  </si>
  <si>
    <t>V25yr</t>
  </si>
  <si>
    <r>
      <t>TOTAL Pond Depth</t>
    </r>
    <r>
      <rPr>
        <sz val="11"/>
        <rFont val="Arial"/>
        <family val="2"/>
      </rPr>
      <t xml:space="preserve"> </t>
    </r>
    <r>
      <rPr>
        <sz val="11"/>
        <rFont val="Arial"/>
        <family val="2"/>
      </rPr>
      <t>(ft)</t>
    </r>
  </si>
  <si>
    <r>
      <t>TOTAL Pond Length</t>
    </r>
    <r>
      <rPr>
        <sz val="11"/>
        <rFont val="Arial"/>
        <family val="2"/>
      </rPr>
      <t xml:space="preserve"> </t>
    </r>
    <r>
      <rPr>
        <sz val="11"/>
        <rFont val="Arial"/>
        <family val="2"/>
      </rPr>
      <t>(ft)</t>
    </r>
  </si>
  <si>
    <r>
      <t>TOTAL Pond Width</t>
    </r>
    <r>
      <rPr>
        <sz val="11"/>
        <rFont val="Arial"/>
        <family val="2"/>
      </rPr>
      <t xml:space="preserve"> </t>
    </r>
    <r>
      <rPr>
        <sz val="11"/>
        <rFont val="Arial"/>
        <family val="2"/>
      </rPr>
      <t>(ft)</t>
    </r>
  </si>
  <si>
    <r>
      <t>TOTAL Surface Area</t>
    </r>
    <r>
      <rPr>
        <sz val="11"/>
        <rFont val="Arial"/>
        <family val="2"/>
      </rPr>
      <t xml:space="preserve"> (ac)</t>
    </r>
  </si>
  <si>
    <r>
      <t>Required Freeboard Depth</t>
    </r>
    <r>
      <rPr>
        <sz val="11"/>
        <rFont val="Arial"/>
        <family val="2"/>
      </rPr>
      <t xml:space="preserve"> </t>
    </r>
    <r>
      <rPr>
        <sz val="11"/>
        <rFont val="Arial"/>
        <family val="2"/>
      </rPr>
      <t>(ft)</t>
    </r>
  </si>
  <si>
    <t>ft depth for storage</t>
  </si>
  <si>
    <t>ac-ft.</t>
  </si>
  <si>
    <r>
      <t>POND Volume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(for required storage)</t>
    </r>
    <r>
      <rPr>
        <sz val="11"/>
        <rFont val="Arial"/>
        <family val="2"/>
      </rPr>
      <t xml:space="preserve"> (ac-ft)</t>
    </r>
  </si>
  <si>
    <t>ac-ft = Required storage for 25 yr storm</t>
  </si>
  <si>
    <t>B3=</t>
  </si>
  <si>
    <t>D25yr=</t>
  </si>
  <si>
    <t>Storage for 21 days=</t>
  </si>
  <si>
    <t>days of storage=</t>
  </si>
  <si>
    <t>D21=</t>
  </si>
  <si>
    <t>V21=</t>
  </si>
  <si>
    <t>B21=</t>
  </si>
  <si>
    <t>STORAGE OF 25 year-24 hour STORM</t>
  </si>
  <si>
    <t>FINAL POND DIMENSIONS</t>
  </si>
  <si>
    <r>
      <t xml:space="preserve">Required 21 Day Storage </t>
    </r>
    <r>
      <rPr>
        <sz val="11"/>
        <rFont val="Arial"/>
        <family val="2"/>
      </rPr>
      <t>(ac-ft)</t>
    </r>
  </si>
  <si>
    <r>
      <t>Depth of 21-day storage</t>
    </r>
    <r>
      <rPr>
        <sz val="11"/>
        <rFont val="Arial"/>
        <family val="2"/>
      </rPr>
      <t xml:space="preserve"> (ft)</t>
    </r>
  </si>
  <si>
    <t xml:space="preserve">    Increment 21-day depth until volumes balance.</t>
  </si>
  <si>
    <r>
      <t>Calculated 21-day Storage</t>
    </r>
    <r>
      <rPr>
        <sz val="11"/>
        <rFont val="Arial"/>
        <family val="2"/>
      </rPr>
      <t xml:space="preserve"> (ac-ft)</t>
    </r>
  </si>
  <si>
    <t>(ft) Estimated Length</t>
  </si>
  <si>
    <t>(ft) Estimated Width</t>
  </si>
  <si>
    <r>
      <t>STORM Depth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(for storage of 25 yr storm)</t>
    </r>
    <r>
      <rPr>
        <sz val="11"/>
        <rFont val="Arial"/>
        <family val="2"/>
      </rPr>
      <t xml:space="preserve"> (ft)</t>
    </r>
  </si>
  <si>
    <r>
      <t>STORM Length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(at top of required storage)</t>
    </r>
    <r>
      <rPr>
        <sz val="11"/>
        <rFont val="Arial"/>
        <family val="2"/>
      </rPr>
      <t xml:space="preserve"> (ft)</t>
    </r>
  </si>
  <si>
    <r>
      <t>STORM Width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(at top of required storage)</t>
    </r>
    <r>
      <rPr>
        <sz val="11"/>
        <rFont val="Arial"/>
        <family val="2"/>
      </rPr>
      <t xml:space="preserve"> (ft)</t>
    </r>
  </si>
  <si>
    <r>
      <t>STORM Volume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(for 25 yr storm storage)</t>
    </r>
    <r>
      <rPr>
        <sz val="11"/>
        <rFont val="Arial"/>
        <family val="2"/>
      </rPr>
      <t xml:space="preserve"> (ac-ft)</t>
    </r>
  </si>
  <si>
    <t>WASTE WATER STORAGE REQUIREMENT</t>
  </si>
  <si>
    <r>
      <t xml:space="preserve">GWQB requires 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3:1</t>
    </r>
  </si>
  <si>
    <r>
      <t xml:space="preserve">STORM Volume </t>
    </r>
    <r>
      <rPr>
        <sz val="10"/>
        <rFont val="Arial"/>
        <family val="2"/>
      </rPr>
      <t>(25 year-24 hour Rainfall over Pond)</t>
    </r>
    <r>
      <rPr>
        <b/>
        <sz val="10"/>
        <rFont val="Arial"/>
        <family val="2"/>
      </rPr>
      <t>:</t>
    </r>
  </si>
  <si>
    <r>
      <t xml:space="preserve">STORM Volume </t>
    </r>
    <r>
      <rPr>
        <sz val="10"/>
        <rFont val="Arial"/>
        <family val="2"/>
      </rPr>
      <t>(25 year-24 hrs Storm Runoff from Lot)</t>
    </r>
    <r>
      <rPr>
        <b/>
        <sz val="10"/>
        <rFont val="Arial"/>
        <family val="2"/>
      </rPr>
      <t>:</t>
    </r>
  </si>
  <si>
    <t>Outlet Level</t>
  </si>
  <si>
    <t>ft  freeboard</t>
  </si>
  <si>
    <t>ft  24 hr storm vol.</t>
  </si>
  <si>
    <t>in.</t>
  </si>
  <si>
    <r>
      <t>POND DEPTH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(high water line)</t>
    </r>
    <r>
      <rPr>
        <sz val="11"/>
        <rFont val="Arial"/>
        <family val="2"/>
      </rPr>
      <t xml:space="preserve"> (ft)</t>
    </r>
  </si>
  <si>
    <t>Area at top (water line) =</t>
  </si>
  <si>
    <r>
      <t>LENGTH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(high water line) </t>
    </r>
    <r>
      <rPr>
        <sz val="11"/>
        <rFont val="Arial"/>
        <family val="2"/>
      </rPr>
      <t>(ft)</t>
    </r>
  </si>
  <si>
    <t>Area at bottom =</t>
  </si>
  <si>
    <r>
      <t xml:space="preserve">WIDTH </t>
    </r>
    <r>
      <rPr>
        <sz val="8"/>
        <rFont val="Arial"/>
        <family val="2"/>
      </rPr>
      <t>(high water line)</t>
    </r>
    <r>
      <rPr>
        <sz val="11"/>
        <rFont val="Arial"/>
        <family val="2"/>
      </rPr>
      <t xml:space="preserve"> (ft)</t>
    </r>
  </si>
  <si>
    <t>Area Mid Section x 4 =</t>
  </si>
  <si>
    <r>
      <t>SURFACE AREA</t>
    </r>
    <r>
      <rPr>
        <sz val="8"/>
        <rFont val="Arial"/>
        <family val="2"/>
      </rPr>
      <t xml:space="preserve"> (high water Line)</t>
    </r>
  </si>
  <si>
    <t xml:space="preserve">TOTAL </t>
  </si>
  <si>
    <t>Pond Type:</t>
  </si>
  <si>
    <t>25 year-24 hrs Storm Direct Rainfall Volume Storage Requirement:</t>
  </si>
  <si>
    <t>Total Design Volume Needed:</t>
  </si>
  <si>
    <t>cu. Yd.</t>
  </si>
  <si>
    <t>gal.</t>
  </si>
  <si>
    <r>
      <t>yds</t>
    </r>
    <r>
      <rPr>
        <b/>
        <vertAlign val="superscript"/>
        <sz val="10"/>
        <rFont val="Arial"/>
        <family val="2"/>
      </rPr>
      <t>2</t>
    </r>
  </si>
  <si>
    <t>ft Storage Depth</t>
  </si>
  <si>
    <t>ft  Freeboard</t>
  </si>
  <si>
    <r>
      <t xml:space="preserve">    Adjust </t>
    </r>
    <r>
      <rPr>
        <u val="single"/>
        <sz val="8"/>
        <rFont val="Arial"/>
        <family val="2"/>
      </rPr>
      <t>POND Depth</t>
    </r>
    <r>
      <rPr>
        <sz val="8"/>
        <rFont val="Arial"/>
        <family val="2"/>
      </rPr>
      <t xml:space="preserve"> until pond vol balances.</t>
    </r>
  </si>
  <si>
    <t>Num. of Cows</t>
  </si>
  <si>
    <t>Pond Name/Num.:</t>
  </si>
  <si>
    <t>POND STORAGE CAPACITY</t>
  </si>
  <si>
    <r>
      <t>Note:</t>
    </r>
    <r>
      <rPr>
        <sz val="11"/>
        <color indexed="10"/>
        <rFont val="Arial"/>
        <family val="2"/>
      </rPr>
      <t xml:space="preserve"> This page estimates the pond depth using cube shape with the given surface area of the pond.</t>
    </r>
  </si>
  <si>
    <r>
      <t xml:space="preserve">System Planning Notes </t>
    </r>
    <r>
      <rPr>
        <sz val="11"/>
        <rFont val="Arial"/>
        <family val="2"/>
      </rPr>
      <t>(Explain pond arrangements or Waste flow characteristics)</t>
    </r>
  </si>
  <si>
    <t>Bottom L=</t>
  </si>
  <si>
    <t>Bottom W=</t>
  </si>
  <si>
    <t>These quantities assumes a</t>
  </si>
  <si>
    <t xml:space="preserve"> level existing ground surface.</t>
  </si>
  <si>
    <t xml:space="preserve">   sq. ft. X </t>
  </si>
  <si>
    <t>ft. deep / 6 =</t>
  </si>
  <si>
    <t>cu. Ft. / 43560 sq. ft. per ac. ft. =</t>
  </si>
  <si>
    <t>ac. ft</t>
  </si>
  <si>
    <t>Bottom Area =</t>
  </si>
  <si>
    <t>Top Area =</t>
  </si>
  <si>
    <t>Excavation Volume =</t>
  </si>
  <si>
    <t>Cu. Yds.</t>
  </si>
  <si>
    <t>Note:</t>
  </si>
  <si>
    <t>NM-POND SIZE EVALUATION OR LOT RUNOFF</t>
  </si>
  <si>
    <t>Max 60 day storage</t>
  </si>
  <si>
    <t xml:space="preserve">ac. ft. </t>
  </si>
  <si>
    <r>
      <t>Note:</t>
    </r>
    <r>
      <rPr>
        <b/>
        <i/>
        <sz val="9"/>
        <rFont val="Arial"/>
        <family val="2"/>
      </rPr>
      <t>((area of high water line)+(area of the bottom)+(4 times the area of the mid section))*(depth)/6 = Vol (cu ft)</t>
    </r>
  </si>
  <si>
    <t>21 day storage</t>
  </si>
  <si>
    <t>Pond full (ft):</t>
  </si>
  <si>
    <t xml:space="preserve">    Since evaporation from the pond surface varies with depth, the required or average "evaporation surface" is located halfway</t>
  </si>
  <si>
    <t xml:space="preserve">    between the bottom and top of the waste water storage volume (Pond Volume). </t>
  </si>
  <si>
    <t>% reduction</t>
  </si>
  <si>
    <t>Solids Produced (ac in/yr from Pond Vol sheet):</t>
  </si>
  <si>
    <t>Sand Media Filter</t>
  </si>
  <si>
    <t>Adjustment</t>
  </si>
  <si>
    <t>% Adjust.  (+/-)</t>
  </si>
  <si>
    <t>Storage Need    (ac in)</t>
  </si>
  <si>
    <t>% Reduced     (default value)</t>
  </si>
  <si>
    <t>Separation Value      (%)</t>
  </si>
  <si>
    <t>None</t>
  </si>
  <si>
    <t>2-Cell Sediment Separation Structure</t>
  </si>
  <si>
    <r>
      <t xml:space="preserve">SOLIDS SEPARATION </t>
    </r>
    <r>
      <rPr>
        <i/>
        <sz val="12"/>
        <rFont val="Arial"/>
        <family val="2"/>
      </rPr>
      <t>(adjustment to total storage requirements)</t>
    </r>
  </si>
  <si>
    <t>Estimate Number of Years Before Cleaning Pond:</t>
  </si>
  <si>
    <t xml:space="preserve"> years</t>
  </si>
  <si>
    <t>Rainfall</t>
  </si>
  <si>
    <r>
      <t xml:space="preserve"> ac.in.</t>
    </r>
    <r>
      <rPr>
        <vertAlign val="superscript"/>
        <sz val="10"/>
        <rFont val="Arial"/>
        <family val="2"/>
      </rPr>
      <t>1</t>
    </r>
  </si>
  <si>
    <r>
      <t xml:space="preserve">   ac in.</t>
    </r>
    <r>
      <rPr>
        <vertAlign val="superscript"/>
        <sz val="10"/>
        <rFont val="Arial"/>
        <family val="2"/>
      </rPr>
      <t>1</t>
    </r>
  </si>
  <si>
    <t>ac ft/yr</t>
  </si>
  <si>
    <t>ac in/yr</t>
  </si>
  <si>
    <t>Total Volume of Solids:</t>
  </si>
  <si>
    <r>
      <t xml:space="preserve">Sludge Storage Volume </t>
    </r>
    <r>
      <rPr>
        <sz val="10"/>
        <rFont val="Arial"/>
        <family val="2"/>
      </rPr>
      <t>(based on yrs before cleaning)</t>
    </r>
    <r>
      <rPr>
        <b/>
        <sz val="10"/>
        <rFont val="Arial"/>
        <family val="2"/>
      </rPr>
      <t>:</t>
    </r>
  </si>
  <si>
    <t>STORAGE OF SLUDGE</t>
  </si>
  <si>
    <t xml:space="preserve"> ac-ft = Required storage for sludge storage</t>
  </si>
  <si>
    <t xml:space="preserve"> Ac Ft</t>
  </si>
  <si>
    <t xml:space="preserve"> Gal</t>
  </si>
  <si>
    <t xml:space="preserve"> Ac In</t>
  </si>
  <si>
    <t xml:space="preserve"> Cu Ft</t>
  </si>
  <si>
    <t>These quantities assumes a level existing ground surface.</t>
  </si>
  <si>
    <t>Required pond storage volume (liquid only):</t>
  </si>
  <si>
    <r>
      <t>SLUDGE Length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(bottom of required storage) (ft)</t>
    </r>
  </si>
  <si>
    <r>
      <t>SLUDGE Width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(bottom of required storage) (ft)</t>
    </r>
  </si>
  <si>
    <r>
      <t>SLUDGE Depth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(for storage of sludge) (ft)</t>
    </r>
  </si>
  <si>
    <t>Bs,top</t>
  </si>
  <si>
    <t>Bs,bottom</t>
  </si>
  <si>
    <t>Ls,bottom</t>
  </si>
  <si>
    <t>Ws,bottom</t>
  </si>
  <si>
    <r>
      <t>SLUDGE AREA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(bottom of required storage) (ac)</t>
    </r>
  </si>
  <si>
    <r>
      <t>SLUDGE Volume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(designed storage) (ac-ft)</t>
    </r>
  </si>
  <si>
    <t>Vsludge</t>
  </si>
  <si>
    <t xml:space="preserve"> Cu Yd</t>
  </si>
  <si>
    <t>TOTAL VOLUME (includes                   freeboard and sludge):</t>
  </si>
  <si>
    <t>Length (ft.):</t>
  </si>
  <si>
    <t>Width (ft.):</t>
  </si>
  <si>
    <t xml:space="preserve">Wetted Perimeter:     </t>
  </si>
  <si>
    <t>Pond Depth (Staff Gauge) -- Volume Table</t>
  </si>
  <si>
    <t>Depth</t>
  </si>
  <si>
    <t>Ac Ft</t>
  </si>
  <si>
    <t>Ac In</t>
  </si>
  <si>
    <t>Gallons</t>
  </si>
  <si>
    <t>Area, ac.</t>
  </si>
  <si>
    <t>Type of Separators</t>
  </si>
  <si>
    <t>378 Pond</t>
  </si>
  <si>
    <t>Runoff Pond (feeding area)</t>
  </si>
  <si>
    <t>Static Incline Screen (12 mesh)</t>
  </si>
  <si>
    <t>Static Incline Screen (36 mesh)</t>
  </si>
  <si>
    <t>Screw Press</t>
  </si>
  <si>
    <t>Decanter 16-30 gpm</t>
  </si>
  <si>
    <t>Static Screen</t>
  </si>
  <si>
    <t>TOTALS</t>
  </si>
  <si>
    <r>
      <t xml:space="preserve">Rainfall </t>
    </r>
    <r>
      <rPr>
        <sz val="11"/>
        <rFont val="Arial"/>
        <family val="2"/>
      </rPr>
      <t>(in):</t>
    </r>
  </si>
  <si>
    <r>
      <t>Yearly Liquid Inflow</t>
    </r>
    <r>
      <rPr>
        <sz val="11"/>
        <rFont val="Arial"/>
        <family val="2"/>
      </rPr>
      <t xml:space="preserve"> (ac in):</t>
    </r>
  </si>
  <si>
    <t>Type of separator</t>
  </si>
  <si>
    <t>Vibrating Screen  16 mesh</t>
  </si>
  <si>
    <t>Vibrating Screen  18 mesh</t>
  </si>
  <si>
    <t>Vibrating Screen  24 mesh</t>
  </si>
  <si>
    <t>Vibrating Screen  30 mesh</t>
  </si>
  <si>
    <t xml:space="preserve">  Includes storage, runoff, freeboard and sludge.</t>
  </si>
  <si>
    <r>
      <t>FREEBOARD</t>
    </r>
    <r>
      <rPr>
        <sz val="8"/>
        <rFont val="Arial"/>
        <family val="2"/>
      </rPr>
      <t xml:space="preserve"> (above high water line)</t>
    </r>
    <r>
      <rPr>
        <sz val="11"/>
        <rFont val="Arial"/>
        <family val="2"/>
      </rPr>
      <t xml:space="preserve"> (ft)</t>
    </r>
  </si>
  <si>
    <t>Construction  Quantities</t>
  </si>
  <si>
    <t>Number of months of storage needed:</t>
  </si>
  <si>
    <t>Freeboard</t>
  </si>
  <si>
    <t>120-day Storage</t>
  </si>
  <si>
    <t>120 day vol</t>
  </si>
  <si>
    <t>60 day vol-2 mo vol</t>
  </si>
  <si>
    <t>2 mo</t>
  </si>
  <si>
    <t xml:space="preserve">4 mo </t>
  </si>
  <si>
    <t>ac. In.</t>
  </si>
  <si>
    <t>Running Ave (ac in)</t>
  </si>
  <si>
    <r>
      <t>1</t>
    </r>
    <r>
      <rPr>
        <i/>
        <sz val="11"/>
        <rFont val="Arial"/>
        <family val="2"/>
      </rPr>
      <t>Based on pond surface area.</t>
    </r>
  </si>
  <si>
    <t>Cubic Pond Depth Est.</t>
  </si>
  <si>
    <t>Centrifuge</t>
  </si>
  <si>
    <t>Geotextile Container</t>
  </si>
  <si>
    <t>Inclined Screen w Drag Chain</t>
  </si>
  <si>
    <t>Rotating Screen</t>
  </si>
  <si>
    <t>From Table 1 NRCS Practice Standard 632</t>
  </si>
  <si>
    <t>DEPTH OF 21 DAY STORAGE WITHIN THE TOTAL STORAGE VOLUME</t>
  </si>
  <si>
    <r>
      <t xml:space="preserve">(Chapter 2 - Engineering Field Manual for Conservation Practices, NM 2/85 update, </t>
    </r>
    <r>
      <rPr>
        <b/>
        <sz val="10"/>
        <color indexed="10"/>
        <rFont val="Arial"/>
        <family val="2"/>
      </rPr>
      <t>modified for volume only</t>
    </r>
    <r>
      <rPr>
        <sz val="10"/>
        <rFont val="Arial"/>
        <family val="0"/>
      </rPr>
      <t>)</t>
    </r>
  </si>
  <si>
    <r>
      <t>VOLUME OF RUNOFF</t>
    </r>
    <r>
      <rPr>
        <sz val="10"/>
        <rFont val="Arial"/>
        <family val="2"/>
      </rPr>
      <t xml:space="preserve"> (Qn*A/12):</t>
    </r>
  </si>
  <si>
    <t>Acres in WS</t>
  </si>
  <si>
    <t>Soil Map Unit #</t>
  </si>
  <si>
    <t>Soil Name</t>
  </si>
  <si>
    <t>RCN x Ac</t>
  </si>
  <si>
    <t>RCN #</t>
  </si>
  <si>
    <t>Fallow, Bare Soil - B</t>
  </si>
  <si>
    <t>Fallow, Bare Soil - C</t>
  </si>
  <si>
    <t>Fallow, Bare Soil - D</t>
  </si>
  <si>
    <t xml:space="preserve">Fallow, 0-20% Residue Cover - A </t>
  </si>
  <si>
    <t>Fallow, &gt;20% Residue Cover - A</t>
  </si>
  <si>
    <t>Fallow, 0-20% Residue Cover - B</t>
  </si>
  <si>
    <t>Fallow, &gt;20% Residue Cover - B</t>
  </si>
  <si>
    <t>Fallow, 0-20% Residue Cover - C</t>
  </si>
  <si>
    <t>Fallow, &gt;20% Residue Cover - C</t>
  </si>
  <si>
    <t>Fallow, 0-20% Residue Cover - D</t>
  </si>
  <si>
    <t>Fallow, &gt;20% Residue Cover - D</t>
  </si>
  <si>
    <t>Row Crop, no residue cover - A</t>
  </si>
  <si>
    <t>Row Crop, no residue cover - B</t>
  </si>
  <si>
    <t>Row Crop, no residue cover - C</t>
  </si>
  <si>
    <t>Row Crop, no residue cover - D</t>
  </si>
  <si>
    <t>Small Grain, no residue cover - A</t>
  </si>
  <si>
    <t>Small Grain, no residue cover - B</t>
  </si>
  <si>
    <t>Small Grain, no residue cover - C</t>
  </si>
  <si>
    <t>Small Grain, no residue cover - D</t>
  </si>
  <si>
    <t>Farmstead-unpaved lanes, driveways, &amp; surrounding lots - C</t>
  </si>
  <si>
    <t>Farmstead-unpaved lanes, driveways, &amp; surrounding lots - A</t>
  </si>
  <si>
    <t>Farmstead-unpaved lanes, driveways, &amp; surrounding lots - B</t>
  </si>
  <si>
    <t>Farmstead-unpaved lanes, driveways, &amp; surrounding lots - D</t>
  </si>
  <si>
    <t>Open Space, w/grass cover, &lt;50% ground cover - A</t>
  </si>
  <si>
    <t>Open Space, w/grass cover, &lt;50% ground cover - B</t>
  </si>
  <si>
    <t>Open Space, w/grass cover, &lt;50% ground cover - C</t>
  </si>
  <si>
    <t>Open Space, w/grass cover, &lt;50% ground cover - D</t>
  </si>
  <si>
    <t>Open Space, w/grass cover, 50-75% ground cover - C</t>
  </si>
  <si>
    <t>Open Space, w/grass cover, 50-75% ground cover - A</t>
  </si>
  <si>
    <t>Open Space, w/grass cover, 50-75% ground cover - B</t>
  </si>
  <si>
    <t>Open Space, w/grass cover, 50-75% ground cover - D</t>
  </si>
  <si>
    <t>Open Space, w/grass cover, &gt;75% ground cover - A</t>
  </si>
  <si>
    <t>Open Space, w/grass cover, &gt;75% ground cover - B</t>
  </si>
  <si>
    <t>Open Space, w/grass cover, &gt;75% ground cover - C</t>
  </si>
  <si>
    <t>Open Space, w/grass cover, &gt;75% ground cover - D</t>
  </si>
  <si>
    <t>Table 2-2 Runoff Curve Number for Hydrologic Soil-cover Complexes for NM</t>
  </si>
  <si>
    <t>Land Use-Treatment or Practice-Hydro Condition-Hydrologic Soil Condition</t>
  </si>
  <si>
    <t>Xeric Landscape, pervious cover - A</t>
  </si>
  <si>
    <t>Xeric Landscape, pervious cover - B</t>
  </si>
  <si>
    <t>Xeric Landscape, pervious cover - C</t>
  </si>
  <si>
    <t>Xeric Landscape, impervious cover - All</t>
  </si>
  <si>
    <t>Roads, gravel - A</t>
  </si>
  <si>
    <t>Roads, gravel - B</t>
  </si>
  <si>
    <t>Roads, gravel - C</t>
  </si>
  <si>
    <t>Roads, gravel - D</t>
  </si>
  <si>
    <t>Roads, dirt - A</t>
  </si>
  <si>
    <t>Roads, dirt - B</t>
  </si>
  <si>
    <t>Roads, dirt - C</t>
  </si>
  <si>
    <t>Roads, dirt - D</t>
  </si>
  <si>
    <t>Herbaceous, w/brush a minor element, &lt;30% ground cover  - C</t>
  </si>
  <si>
    <t>Herbaceous, w/brush a minor element, &lt;30% ground cover  - D</t>
  </si>
  <si>
    <t>Herbaceous, w/brush a minor element, 30-70% ground cover  - C</t>
  </si>
  <si>
    <t>Herbaceous, w/brush a minor element, 30-70% ground cover  - D</t>
  </si>
  <si>
    <t>Herbaceous, w/brush a minor element, &lt;30% ground cover  - A&amp;B</t>
  </si>
  <si>
    <t>Herbaceous, w/brush a minor element, 30-70% ground cover  - A&amp;B</t>
  </si>
  <si>
    <t>Herbaceous, w/brush a minor element, &gt;70% ground cover  - D</t>
  </si>
  <si>
    <t>Herbaceous, w/brush a minor element, &gt;70% ground cover  - A&amp;B</t>
  </si>
  <si>
    <t>Herbaceous, w/brush a minor element, &gt;70% ground cover  - C</t>
  </si>
  <si>
    <t>Desert Shrub, w/shrub predominate, 30-70% ground cover - D</t>
  </si>
  <si>
    <t>Desert Shrub, w/shrub predominate, &lt;30% ground cover - A</t>
  </si>
  <si>
    <t>Desert Shrub, w/shrub predominate, &lt;30% ground cover - B</t>
  </si>
  <si>
    <t>Desert Shrub, w/shrub predominate, &lt;30% ground cover - C</t>
  </si>
  <si>
    <t>Desert Shrub, w/shrub predominate, &lt;30% ground cover - D</t>
  </si>
  <si>
    <t>Desert Shrub, w/shrub predominate, 30-70% ground cover - A</t>
  </si>
  <si>
    <t>Desert Shrub, w/shrub predominate, 30-70% ground cover - B</t>
  </si>
  <si>
    <t>Desert Shrub, w/shrub predominate, 30-70% ground cover - C</t>
  </si>
  <si>
    <t>Desert Shrub, w/shrub predominate, &gt;70% ground cover - D</t>
  </si>
  <si>
    <t>Desert Shrub, w/shrub predominate, &gt;70% ground cover - A</t>
  </si>
  <si>
    <t>Desert Shrub, w/shrub predominate, &gt;70% ground cover - B</t>
  </si>
  <si>
    <t>Desert Shrub, w/shrub predominate, &gt;70% ground cover - C</t>
  </si>
  <si>
    <t>Xeric Landscape, pervious cover - D</t>
  </si>
  <si>
    <t>Hay, Alfalfa, good infiltration - A</t>
  </si>
  <si>
    <t>Hay, Alfalfa, good infiltration - B</t>
  </si>
  <si>
    <t>Hay, Alfalfa, good infiltration - C</t>
  </si>
  <si>
    <t>Hay, Alfalfa, good infiltration - D</t>
  </si>
  <si>
    <t>Soil Hydrologic Condition &amp; Hyd. Soil Group</t>
  </si>
  <si>
    <t>HYDROLOGY DATA SHEET for 25 yr 24 hr rainfall in NM</t>
  </si>
  <si>
    <t>Fallow, Bare Soil - A</t>
  </si>
  <si>
    <r>
      <t xml:space="preserve">Weighted Average Runoff Curve Number                                                                                                                               </t>
    </r>
    <r>
      <rPr>
        <i/>
        <sz val="11"/>
        <rFont val="Arial"/>
        <family val="2"/>
      </rPr>
      <t>(Attach a drawing or map showing the Soil Hydrologic Conditions zones and acres)</t>
    </r>
  </si>
  <si>
    <r>
      <t>RCN</t>
    </r>
    <r>
      <rPr>
        <b/>
        <vertAlign val="superscript"/>
        <sz val="10"/>
        <rFont val="Arial"/>
        <family val="2"/>
      </rPr>
      <t>1</t>
    </r>
  </si>
  <si>
    <t>NM-ENG-121 (modified for dairy runoff ponds)</t>
  </si>
  <si>
    <t>Piñon-Juniper/Grass, &lt;30% ground cover  - A&amp;B</t>
  </si>
  <si>
    <t>Piñon-Juniper/Grass, &lt;30% ground cover  - C</t>
  </si>
  <si>
    <r>
      <t>WEIGHTED RUNOFF CURVE NUMBER</t>
    </r>
    <r>
      <rPr>
        <sz val="10"/>
        <rFont val="Arial"/>
        <family val="2"/>
      </rPr>
      <t xml:space="preserve"> =</t>
    </r>
  </si>
  <si>
    <t>All</t>
  </si>
  <si>
    <r>
      <t>RAINFALL, 24-HR</t>
    </r>
    <r>
      <rPr>
        <sz val="10"/>
        <rFont val="Arial"/>
        <family val="0"/>
      </rPr>
      <t>:</t>
    </r>
  </si>
  <si>
    <t>Feedlot-Confined Animal Area, unpaved - All</t>
  </si>
  <si>
    <t>Briefly describe the dairy pond drainage hydrologic condition:</t>
  </si>
  <si>
    <t>Piñon-Juniper/Grass, &lt;30% ground cover  - D</t>
  </si>
  <si>
    <t>Piñon-Juniper/Grass, &gt;70% ground cover  - A&amp;B</t>
  </si>
  <si>
    <t>Piñon-Juniper/Grass, &gt;70% ground cover  - C</t>
  </si>
  <si>
    <t>Piñon-Juniper/Grass, &gt;70% ground cover  - D</t>
  </si>
  <si>
    <t>Piñon-Juniper/Grass, 30-70% ground cover  - A&amp;B</t>
  </si>
  <si>
    <t>Piñon-Juniper/Grass, 30-70% ground cover  - C</t>
  </si>
  <si>
    <t>Piñon-Juniper/Grass, 30-70% ground cover  - D</t>
  </si>
  <si>
    <t>Newly Graded Areas-no vegetation - A</t>
  </si>
  <si>
    <t>Newly Graded Areas-no vegetation - B</t>
  </si>
  <si>
    <t>Newly Graded Areas-no vegetation - C</t>
  </si>
  <si>
    <t>Newly Graded Areas-no vegetation - D</t>
  </si>
  <si>
    <t>Pasture, irr, continuous graze - A</t>
  </si>
  <si>
    <t>Pasture, irr, continuous graze - B</t>
  </si>
  <si>
    <t>Pasture, irr, continuous graze - C</t>
  </si>
  <si>
    <t>Pasture, irr, continuous graze - D</t>
  </si>
  <si>
    <t>CHANNEL-LOSS FACTOR (CLF):</t>
  </si>
  <si>
    <t>DIRECT RUNOFF (Q):</t>
  </si>
  <si>
    <t>NET RUNOFF (Q*CLF):</t>
  </si>
  <si>
    <r>
      <t>TOTAL DRAINAGE AREA</t>
    </r>
    <r>
      <rPr>
        <sz val="9"/>
        <rFont val="Arial"/>
        <family val="2"/>
      </rPr>
      <t xml:space="preserve"> (A) =</t>
    </r>
  </si>
  <si>
    <t>Planners are reminded that ALL clean water from the runoff area is to be DIVERTED out of the pond drainage area.</t>
  </si>
  <si>
    <t>Impervious Areas-pavement, roofs, concrete alleys - All</t>
  </si>
  <si>
    <r>
      <t>1</t>
    </r>
    <r>
      <rPr>
        <sz val="10"/>
        <color indexed="10"/>
        <rFont val="Arial"/>
        <family val="2"/>
      </rPr>
      <t xml:space="preserve"> RCNs are based on the Chapter 2 of the Engineering Field Manual (updated for NM 2/85) and the TR-55 manual (6/86).  Selected numbers are appropriate for NM dairy runoff pond estimates.</t>
    </r>
  </si>
  <si>
    <t>, STATE UNIV.  NM8535 (Anthony)</t>
  </si>
  <si>
    <t>, STATE UNIV.  NM8535</t>
  </si>
  <si>
    <t>, AMISTAD 3 ESE  NM0377</t>
  </si>
  <si>
    <t>Top L</t>
  </si>
  <si>
    <t>Top W</t>
  </si>
  <si>
    <t>Middle L</t>
  </si>
  <si>
    <t>Middle W</t>
  </si>
  <si>
    <t xml:space="preserve">Bottom L </t>
  </si>
  <si>
    <t xml:space="preserve">Bottom W </t>
  </si>
  <si>
    <t>Volume</t>
  </si>
  <si>
    <t>Feet</t>
  </si>
  <si>
    <t>Acre-Ft</t>
  </si>
  <si>
    <t>Side Area - L</t>
  </si>
  <si>
    <t>Side Area  W</t>
  </si>
  <si>
    <t>Bottom Area</t>
  </si>
  <si>
    <t>Anchor Trench</t>
  </si>
  <si>
    <t>Total Area of Lining</t>
  </si>
  <si>
    <t>Lining Calulation</t>
  </si>
  <si>
    <t>OR</t>
  </si>
  <si>
    <r>
      <t>Ft</t>
    </r>
    <r>
      <rPr>
        <b/>
        <vertAlign val="superscript"/>
        <sz val="10"/>
        <rFont val="Arial"/>
        <family val="2"/>
      </rPr>
      <t>2</t>
    </r>
  </si>
  <si>
    <t>Total Yearly Volume Produced:</t>
  </si>
  <si>
    <t>gallons</t>
  </si>
  <si>
    <t>Acc. Vol Ac-Ft</t>
  </si>
  <si>
    <t>Volume, Ac-Ft</t>
  </si>
  <si>
    <t>Depth ft</t>
  </si>
  <si>
    <t>Length ft</t>
  </si>
  <si>
    <t>Width ft</t>
  </si>
  <si>
    <r>
      <t xml:space="preserve">Evaporation Surface Area </t>
    </r>
    <r>
      <rPr>
        <sz val="10"/>
        <rFont val="Arial"/>
        <family val="2"/>
      </rPr>
      <t>(starting at the bottom of the pond)</t>
    </r>
    <r>
      <rPr>
        <b/>
        <sz val="10"/>
        <rFont val="Arial"/>
        <family val="2"/>
      </rPr>
      <t>:</t>
    </r>
  </si>
  <si>
    <r>
      <t>ac. ft.</t>
    </r>
    <r>
      <rPr>
        <b/>
        <sz val="8"/>
        <rFont val="Arial"/>
        <family val="0"/>
      </rPr>
      <t xml:space="preserve">      </t>
    </r>
    <r>
      <rPr>
        <sz val="8"/>
        <rFont val="Arial"/>
        <family val="2"/>
      </rPr>
      <t>(Max Vol from SPAW)</t>
    </r>
  </si>
  <si>
    <t>Stage Storage (square pond)</t>
  </si>
  <si>
    <t>gpm</t>
  </si>
  <si>
    <t>SPAW Input Sheet for Total Evaporation Pond Size</t>
  </si>
  <si>
    <t>Side Slope:</t>
  </si>
  <si>
    <t>Watershed Drainage Area:</t>
  </si>
  <si>
    <t>Watershed Description</t>
  </si>
  <si>
    <r>
      <t>Depth</t>
    </r>
    <r>
      <rPr>
        <sz val="11"/>
        <rFont val="Arial"/>
        <family val="0"/>
      </rPr>
      <t xml:space="preserve"> (ft)</t>
    </r>
  </si>
  <si>
    <r>
      <t>Side Length</t>
    </r>
    <r>
      <rPr>
        <sz val="11"/>
        <rFont val="Arial"/>
        <family val="0"/>
      </rPr>
      <t xml:space="preserve"> (ft)</t>
    </r>
  </si>
  <si>
    <t>SPAW Standard Assumptions</t>
  </si>
  <si>
    <t>Planner Name:</t>
  </si>
  <si>
    <t>Weighted Ave. Runoff Curve Number:</t>
  </si>
  <si>
    <t>Soil (map unit, name, &amp; texture):</t>
  </si>
  <si>
    <t>(From Lot Runoff sheet)</t>
  </si>
  <si>
    <r>
      <t xml:space="preserve">acres </t>
    </r>
    <r>
      <rPr>
        <sz val="9"/>
        <rFont val="Arial"/>
        <family val="2"/>
      </rPr>
      <t>(from the Lot Runoff sheet)</t>
    </r>
  </si>
  <si>
    <r>
      <t>Wash Water</t>
    </r>
    <r>
      <rPr>
        <sz val="9"/>
        <rFont val="Arial"/>
        <family val="2"/>
      </rPr>
      <t xml:space="preserve"> (milkhouse)</t>
    </r>
    <r>
      <rPr>
        <sz val="11"/>
        <rFont val="Arial"/>
        <family val="0"/>
      </rPr>
      <t>:</t>
    </r>
  </si>
  <si>
    <r>
      <t xml:space="preserve">Liquid Waste </t>
    </r>
    <r>
      <rPr>
        <sz val="9"/>
        <rFont val="Arial"/>
        <family val="2"/>
      </rPr>
      <t>(milkhouse)</t>
    </r>
    <r>
      <rPr>
        <sz val="11"/>
        <rFont val="Arial"/>
        <family val="0"/>
      </rPr>
      <t>:</t>
    </r>
  </si>
  <si>
    <r>
      <t xml:space="preserve">Flush Water Added </t>
    </r>
    <r>
      <rPr>
        <sz val="9"/>
        <rFont val="Arial"/>
        <family val="2"/>
      </rPr>
      <t>(flush system only)</t>
    </r>
    <r>
      <rPr>
        <sz val="11"/>
        <rFont val="Arial"/>
        <family val="0"/>
      </rPr>
      <t>:</t>
    </r>
  </si>
  <si>
    <r>
      <t xml:space="preserve">gpm </t>
    </r>
    <r>
      <rPr>
        <sz val="9"/>
        <rFont val="Arial"/>
        <family val="2"/>
      </rPr>
      <t>(Milkhouse+Flush)</t>
    </r>
  </si>
  <si>
    <r>
      <t xml:space="preserve">Liquid Waste </t>
    </r>
    <r>
      <rPr>
        <sz val="9"/>
        <rFont val="Arial"/>
        <family val="2"/>
      </rPr>
      <t>(flush system only)</t>
    </r>
    <r>
      <rPr>
        <sz val="11"/>
        <rFont val="Arial"/>
        <family val="0"/>
      </rPr>
      <t>:</t>
    </r>
  </si>
  <si>
    <r>
      <t>1</t>
    </r>
    <r>
      <rPr>
        <b/>
        <sz val="11"/>
        <rFont val="Arial"/>
        <family val="2"/>
      </rPr>
      <t>Surface Area</t>
    </r>
    <r>
      <rPr>
        <sz val="11"/>
        <rFont val="Arial"/>
        <family val="0"/>
      </rPr>
      <t xml:space="preserve"> (Ac)</t>
    </r>
  </si>
  <si>
    <r>
      <t>1</t>
    </r>
    <r>
      <rPr>
        <b/>
        <sz val="11"/>
        <rFont val="Arial"/>
        <family val="2"/>
      </rPr>
      <t>Surface Area</t>
    </r>
    <r>
      <rPr>
        <sz val="11"/>
        <rFont val="Arial"/>
        <family val="0"/>
      </rPr>
      <t xml:space="preserve"> (ft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>)</t>
    </r>
  </si>
  <si>
    <r>
      <t>1</t>
    </r>
    <r>
      <rPr>
        <b/>
        <sz val="10"/>
        <color indexed="10"/>
        <rFont val="Arial"/>
        <family val="2"/>
      </rPr>
      <t>Note:</t>
    </r>
    <r>
      <rPr>
        <sz val="10"/>
        <color indexed="10"/>
        <rFont val="Arial"/>
        <family val="0"/>
      </rPr>
      <t xml:space="preserve"> The pond surface area comes from the Pond  Volume sheet  (</t>
    </r>
    <r>
      <rPr>
        <sz val="10"/>
        <color indexed="10"/>
        <rFont val="Times New Roman"/>
        <family val="1"/>
      </rPr>
      <t>Cell I6</t>
    </r>
    <r>
      <rPr>
        <sz val="10"/>
        <color indexed="10"/>
        <rFont val="Arial"/>
        <family val="0"/>
      </rPr>
      <t>).  This sheet (SPAW) assumes the area is at the bottom of the pond.</t>
    </r>
  </si>
  <si>
    <r>
      <t xml:space="preserve">Liquid Flow from the Milkhouse+Flush System </t>
    </r>
    <r>
      <rPr>
        <sz val="9"/>
        <rFont val="Arial"/>
        <family val="2"/>
      </rPr>
      <t>(if used)</t>
    </r>
  </si>
  <si>
    <t>Reviewed by:</t>
  </si>
  <si>
    <t>SPAW Run by:</t>
  </si>
  <si>
    <t>Climate Information</t>
  </si>
  <si>
    <t>Climate List</t>
  </si>
  <si>
    <t>Climate station (rainfall):</t>
  </si>
  <si>
    <t>Mo.</t>
  </si>
  <si>
    <t>Evap 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</si>
  <si>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</si>
  <si>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</si>
  <si>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</si>
  <si>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</si>
  <si>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</si>
  <si>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</si>
  <si>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</si>
  <si>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</si>
  <si>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</si>
  <si>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</si>
  <si>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</si>
  <si>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</si>
  <si>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SPAW Additional Assumptions and Guidance</t>
  </si>
  <si>
    <t>Climate station (evaporation):</t>
  </si>
  <si>
    <t>Total Evaporation of the Feedlot Runoff and Milkhouse Wash Water in a combined pond sized using SPAW.</t>
  </si>
  <si>
    <r>
      <t xml:space="preserve">C.  </t>
    </r>
    <r>
      <rPr>
        <b/>
        <sz val="10"/>
        <rFont val="Arial"/>
        <family val="2"/>
      </rPr>
      <t xml:space="preserve">Evaporation data </t>
    </r>
    <r>
      <rPr>
        <sz val="10"/>
        <rFont val="Arial"/>
        <family val="0"/>
      </rPr>
      <t>is (monthly percent of yearly total) from the closest weather station having a full set of data.  If the closest weather station did not have adequate evaporation data (length of record and completeness) the next closest was used.</t>
    </r>
  </si>
  <si>
    <r>
      <t xml:space="preserve">D.  </t>
    </r>
    <r>
      <rPr>
        <b/>
        <sz val="10"/>
        <rFont val="Arial"/>
        <family val="2"/>
      </rPr>
      <t>Soils</t>
    </r>
    <r>
      <rPr>
        <sz val="10"/>
        <rFont val="Arial"/>
        <family val="0"/>
      </rPr>
      <t xml:space="preserve"> In SPAW, the first layer entered in the soils data is 2" thick and has an organic content of 20% in order to model the compacted layer.  The second soil layer is assumed to have 3% organic matter.  Moist Bulk Densities are from soil survey values in the Physical Soil Properties report (g/cc * 62.4).  Other soils data used come from the Engineering and Chemical Soil Properties tables of the county soil survey.</t>
    </r>
  </si>
  <si>
    <r>
      <t xml:space="preserve">F.  </t>
    </r>
    <r>
      <rPr>
        <b/>
        <sz val="10"/>
        <rFont val="Arial"/>
        <family val="2"/>
      </rPr>
      <t xml:space="preserve">Management - </t>
    </r>
    <r>
      <rPr>
        <sz val="10"/>
        <rFont val="Arial"/>
        <family val="2"/>
      </rPr>
      <t>The management file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used in SPAW is named "bare feedlot crop with no irrigation".</t>
    </r>
  </si>
  <si>
    <r>
      <t xml:space="preserve">G.  </t>
    </r>
    <r>
      <rPr>
        <b/>
        <sz val="10"/>
        <rFont val="Arial"/>
        <family val="2"/>
      </rPr>
      <t>Field Project</t>
    </r>
    <r>
      <rPr>
        <sz val="10"/>
        <rFont val="Arial"/>
        <family val="0"/>
      </rPr>
      <t xml:space="preserve"> - The annual weighted runoff curve number is used for the entire climate record.  This is a manual entry in SPAW calculated on the "Lot Runoff" sheet.  </t>
    </r>
  </si>
  <si>
    <r>
      <t xml:space="preserve">H.  </t>
    </r>
    <r>
      <rPr>
        <b/>
        <sz val="10"/>
        <rFont val="Arial"/>
        <family val="2"/>
      </rPr>
      <t>Pond Project</t>
    </r>
    <r>
      <rPr>
        <sz val="10"/>
        <rFont val="Arial"/>
        <family val="0"/>
      </rPr>
      <t xml:space="preserve"> - The entire climate record is used.  Pond depth is assumed to be top of embankment to the bottom of the pond without any freeboard.  </t>
    </r>
    <r>
      <rPr>
        <b/>
        <sz val="10"/>
        <rFont val="Arial"/>
        <family val="2"/>
      </rPr>
      <t>Watershed fields</t>
    </r>
    <r>
      <rPr>
        <sz val="10"/>
        <rFont val="Arial"/>
        <family val="0"/>
      </rPr>
      <t xml:space="preserve"> is the previously developed Field Project.  Zero pond seepage is assumed since it is lined.  </t>
    </r>
    <r>
      <rPr>
        <b/>
        <sz val="10"/>
        <rFont val="Arial"/>
        <family val="2"/>
      </rPr>
      <t>External input</t>
    </r>
    <r>
      <rPr>
        <sz val="10"/>
        <rFont val="Arial"/>
        <family val="0"/>
      </rPr>
      <t xml:space="preserve"> is for entire year with the flow rate being the total liquid flow, Upper limit - 12, and Lower limit = 0.</t>
    </r>
  </si>
  <si>
    <r>
      <t xml:space="preserve">J.  </t>
    </r>
    <r>
      <rPr>
        <b/>
        <sz val="10"/>
        <rFont val="Arial"/>
        <family val="2"/>
      </rPr>
      <t>Pond Project Depth</t>
    </r>
    <r>
      <rPr>
        <sz val="10"/>
        <rFont val="Arial"/>
        <family val="0"/>
      </rPr>
      <t xml:space="preserve"> is adjusted upward until there are no days of overtopping (no spillway depth in graph).  This can be adjusted lower if overtopping is just from a very thin spike and overtopping volume is much lower than storage in 2-foot of freeboard.  </t>
    </r>
  </si>
  <si>
    <r>
      <t xml:space="preserve">L. </t>
    </r>
    <r>
      <rPr>
        <b/>
        <sz val="10"/>
        <rFont val="Arial"/>
        <family val="2"/>
      </rPr>
      <t>Sludge storage depth</t>
    </r>
    <r>
      <rPr>
        <sz val="10"/>
        <rFont val="Arial"/>
        <family val="0"/>
      </rPr>
      <t xml:space="preserve"> is added to the depth after the SPAW depth is established.  It is designed to be for the life of the liner material.  The minimum is 20 years.</t>
    </r>
  </si>
  <si>
    <r>
      <t xml:space="preserve">M. In the </t>
    </r>
    <r>
      <rPr>
        <b/>
        <sz val="10"/>
        <rFont val="Arial"/>
        <family val="2"/>
      </rPr>
      <t>sizing of the pond</t>
    </r>
    <r>
      <rPr>
        <sz val="10"/>
        <rFont val="Arial"/>
        <family val="0"/>
      </rPr>
      <t xml:space="preserve"> for construction using the Total Evap Pond Size sheet, the surface area and pond depth will not be changed.</t>
    </r>
  </si>
  <si>
    <r>
      <t xml:space="preserve">E.   </t>
    </r>
    <r>
      <rPr>
        <b/>
        <sz val="10"/>
        <rFont val="Arial"/>
        <family val="2"/>
      </rPr>
      <t>Feedlot area</t>
    </r>
    <r>
      <rPr>
        <sz val="10"/>
        <rFont val="Arial"/>
        <family val="0"/>
      </rPr>
      <t xml:space="preserve"> is considered "</t>
    </r>
    <r>
      <rPr>
        <b/>
        <sz val="10"/>
        <rFont val="Arial"/>
        <family val="2"/>
      </rPr>
      <t>fallow</t>
    </r>
    <r>
      <rPr>
        <sz val="10"/>
        <rFont val="Arial"/>
        <family val="0"/>
      </rPr>
      <t>" i.e. no crop, no cover, no growth, no root depth etc, for the entire year.</t>
    </r>
  </si>
  <si>
    <r>
      <t xml:space="preserve">I.  </t>
    </r>
    <r>
      <rPr>
        <b/>
        <sz val="10"/>
        <rFont val="Arial"/>
        <family val="2"/>
      </rPr>
      <t xml:space="preserve">Field &amp; Pond Project - Output Budgets - </t>
    </r>
    <r>
      <rPr>
        <sz val="10"/>
        <rFont val="Arial"/>
        <family val="2"/>
      </rPr>
      <t>The output from SPAW is shown as annual or monthly volume and a depth-duration table or graph.</t>
    </r>
  </si>
  <si>
    <t>K.  The 2-foot freeboard is considered adequate to handle additional 25 yr-24 hr storm events (one is included in the 25 yr climate data) or a series of smaller events .</t>
  </si>
  <si>
    <t>H:1V</t>
  </si>
  <si>
    <t>Surface Area from Pond Vol</t>
  </si>
  <si>
    <t>Design Surface Area:</t>
  </si>
  <si>
    <t>ac (from Cell I6 on the Pond Volume sheet)</t>
  </si>
  <si>
    <t>25yr-24hr Storm Rainfall:</t>
  </si>
  <si>
    <t>inches (from Lot Runoff sheet)</t>
  </si>
  <si>
    <r>
      <t xml:space="preserve">A. The </t>
    </r>
    <r>
      <rPr>
        <b/>
        <sz val="10"/>
        <rFont val="Arial"/>
        <family val="2"/>
      </rPr>
      <t>Pond evaporative area</t>
    </r>
    <r>
      <rPr>
        <sz val="10"/>
        <rFont val="Arial"/>
        <family val="0"/>
      </rPr>
      <t xml:space="preserve"> (cell</t>
    </r>
    <r>
      <rPr>
        <sz val="10"/>
        <rFont val="Times New Roman"/>
        <family val="1"/>
      </rPr>
      <t xml:space="preserve"> I</t>
    </r>
    <r>
      <rPr>
        <sz val="10"/>
        <rFont val="Arial"/>
        <family val="0"/>
      </rPr>
      <t>6 on Pond Volume Sheet) starting point is set to at least 6 zeros (sheet Pond Vol and Column J) for any location in the state.  This provides a surface area starting point (bottom of the pond) for the total evaporation system.</t>
    </r>
  </si>
  <si>
    <r>
      <t xml:space="preserve">B. </t>
    </r>
    <r>
      <rPr>
        <b/>
        <sz val="10"/>
        <rFont val="Arial"/>
        <family val="2"/>
      </rPr>
      <t xml:space="preserve">Climate Data, </t>
    </r>
    <r>
      <rPr>
        <sz val="10"/>
        <rFont val="Arial"/>
        <family val="2"/>
      </rPr>
      <t xml:space="preserve">The rainfall records used have </t>
    </r>
    <r>
      <rPr>
        <sz val="10"/>
        <rFont val="Arial"/>
        <family val="0"/>
      </rPr>
      <t>no missing data and includes greater than 25 years of records.  These are daily records and include at least one storm close to the 25 yr-24 hr storm rainfall in inches.</t>
    </r>
  </si>
  <si>
    <t>Dry:</t>
  </si>
  <si>
    <t>1000 lbs units (AU) Milking</t>
  </si>
  <si>
    <t>Number of cows - Milking:</t>
  </si>
  <si>
    <t>Tt Evap (in/yr)</t>
  </si>
  <si>
    <t>Storm Cal</t>
  </si>
  <si>
    <t>Depth=</t>
  </si>
  <si>
    <t>ft 25yr-Storm</t>
  </si>
  <si>
    <t>ft Min 20 yr Sludge storage</t>
  </si>
  <si>
    <t>ft Storage depth</t>
  </si>
  <si>
    <t>ft Freeboard</t>
  </si>
  <si>
    <r>
      <t>STORAGE OF 25 year-24 hour STORM</t>
    </r>
    <r>
      <rPr>
        <sz val="12"/>
        <rFont val="Arial"/>
        <family val="2"/>
      </rPr>
      <t xml:space="preserve"> (lot runoff plus over the pond)</t>
    </r>
  </si>
  <si>
    <t>Top area 25 yr.=</t>
  </si>
  <si>
    <t>Vol of 25 yr.=</t>
  </si>
  <si>
    <r>
      <t>POND Length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(at the bottom)</t>
    </r>
    <r>
      <rPr>
        <sz val="11"/>
        <rFont val="Arial"/>
        <family val="2"/>
      </rPr>
      <t xml:space="preserve"> (ft)</t>
    </r>
  </si>
  <si>
    <r>
      <t>POND Width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(at the bottom)</t>
    </r>
    <r>
      <rPr>
        <sz val="11"/>
        <rFont val="Arial"/>
        <family val="2"/>
      </rPr>
      <t xml:space="preserve"> (ft)</t>
    </r>
  </si>
  <si>
    <r>
      <t>Top Width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(at the top)</t>
    </r>
    <r>
      <rPr>
        <sz val="11"/>
        <rFont val="Arial"/>
        <family val="2"/>
      </rPr>
      <t xml:space="preserve"> (ft)</t>
    </r>
  </si>
  <si>
    <r>
      <t>Top Length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(at the top)</t>
    </r>
    <r>
      <rPr>
        <sz val="11"/>
        <rFont val="Arial"/>
        <family val="2"/>
      </rPr>
      <t xml:space="preserve"> (ft)</t>
    </r>
  </si>
  <si>
    <r>
      <t xml:space="preserve"> TOP SURFACE AREA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(at the top)</t>
    </r>
    <r>
      <rPr>
        <sz val="11"/>
        <rFont val="Arial"/>
        <family val="2"/>
      </rPr>
      <t xml:space="preserve"> (ac)</t>
    </r>
  </si>
  <si>
    <t>ac-ft = Required storage for waste water</t>
  </si>
  <si>
    <t>Sludge Volume</t>
  </si>
  <si>
    <t>25yr-24hr Storm Volume</t>
  </si>
  <si>
    <t>SPAW  Waste Storage Volume</t>
  </si>
  <si>
    <t>This calculation uses 6 feet for the overlap into the anchor trench.</t>
  </si>
  <si>
    <t>Lining Area (with a 6 ft width for anchoring and no extra lining for laps or joints) =</t>
  </si>
  <si>
    <r>
      <t xml:space="preserve">Milk Center/Flush Volume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>and field application from pond:</t>
    </r>
  </si>
  <si>
    <t>ac-ft = Required for Storage Vol.</t>
  </si>
  <si>
    <t>Evaporative Pond</t>
  </si>
  <si>
    <r>
      <t>Yearly Solids</t>
    </r>
    <r>
      <rPr>
        <sz val="10"/>
        <rFont val="Arial"/>
        <family val="2"/>
      </rPr>
      <t>(ac in):</t>
    </r>
  </si>
  <si>
    <t>ac in  or</t>
  </si>
  <si>
    <t>The compluted volume from SPAW is:</t>
  </si>
  <si>
    <t>SPAW Output Volume</t>
  </si>
  <si>
    <r>
      <t xml:space="preserve">60-day Storage </t>
    </r>
    <r>
      <rPr>
        <sz val="10"/>
        <rFont val="Arial"/>
        <family val="2"/>
      </rPr>
      <t>(ft)</t>
    </r>
    <r>
      <rPr>
        <b/>
        <sz val="10"/>
        <rFont val="Arial"/>
        <family val="2"/>
      </rPr>
      <t>:</t>
    </r>
  </si>
  <si>
    <r>
      <t>120-day Storage</t>
    </r>
    <r>
      <rPr>
        <sz val="10"/>
        <rFont val="Arial"/>
        <family val="2"/>
      </rPr>
      <t>(ft)</t>
    </r>
    <r>
      <rPr>
        <b/>
        <sz val="10"/>
        <rFont val="Arial"/>
        <family val="2"/>
      </rPr>
      <t>:</t>
    </r>
  </si>
  <si>
    <r>
      <t xml:space="preserve">Milk Center/Flush </t>
    </r>
    <r>
      <rPr>
        <b/>
        <sz val="10"/>
        <rFont val="Arial"/>
        <family val="2"/>
      </rPr>
      <t>AND</t>
    </r>
    <r>
      <rPr>
        <sz val="10"/>
        <rFont val="Arial"/>
        <family val="2"/>
      </rPr>
      <t xml:space="preserve"> Storm Lot Runoff with field application from pond:</t>
    </r>
  </si>
  <si>
    <r>
      <t xml:space="preserve">POND Volume </t>
    </r>
    <r>
      <rPr>
        <sz val="9"/>
        <rFont val="Arial"/>
        <family val="2"/>
      </rPr>
      <t>(</t>
    </r>
    <r>
      <rPr>
        <sz val="9"/>
        <rFont val="Arial"/>
        <family val="2"/>
      </rPr>
      <t xml:space="preserve">60 day Storage w/2 mo. Solids, </t>
    </r>
    <r>
      <rPr>
        <b/>
        <sz val="9"/>
        <color indexed="10"/>
        <rFont val="Arial"/>
        <family val="2"/>
      </rPr>
      <t>or</t>
    </r>
    <r>
      <rPr>
        <sz val="9"/>
        <rFont val="Arial"/>
        <family val="2"/>
      </rPr>
      <t xml:space="preserve"> 120 day Storage w/4 mo. Solids)</t>
    </r>
    <r>
      <rPr>
        <b/>
        <sz val="9"/>
        <rFont val="Arial"/>
        <family val="2"/>
      </rPr>
      <t>:</t>
    </r>
  </si>
  <si>
    <t>Free Board</t>
  </si>
  <si>
    <t>Top=</t>
  </si>
  <si>
    <t>sq ft</t>
  </si>
  <si>
    <t>Bottom=</t>
  </si>
  <si>
    <t>Vol of freeboard=</t>
  </si>
  <si>
    <t>cu ft</t>
  </si>
  <si>
    <t>NM-POND SIZE DETERMINATION for Ponds with Field application</t>
  </si>
  <si>
    <t>NM-POND SIZE DETERMINATION for Total Evaporation Ponds</t>
  </si>
  <si>
    <t>Surface Area:</t>
  </si>
  <si>
    <r>
      <t xml:space="preserve">Freeboard Volume </t>
    </r>
    <r>
      <rPr>
        <sz val="10"/>
        <rFont val="Arial"/>
        <family val="2"/>
      </rPr>
      <t>(ac ft)</t>
    </r>
  </si>
  <si>
    <t>E25 modified</t>
  </si>
  <si>
    <t>Socorro, BERNARDO  NM0915</t>
  </si>
  <si>
    <t>Milk #/d:</t>
  </si>
  <si>
    <r>
      <t>1.</t>
    </r>
    <r>
      <rPr>
        <sz val="10"/>
        <rFont val="Arial"/>
        <family val="0"/>
      </rPr>
      <t xml:space="preserve">  A 1000 lbs cow  produces 97-130 lbs of manure daily.</t>
    </r>
  </si>
  <si>
    <t>Milk/d/1000 lb animal</t>
  </si>
  <si>
    <t>Manure #/d/AU</t>
  </si>
  <si>
    <t>Version 2.7  (2/22/08)</t>
  </si>
  <si>
    <r>
      <t>1</t>
    </r>
    <r>
      <rPr>
        <i/>
        <sz val="10"/>
        <rFont val="Arial"/>
        <family val="2"/>
      </rPr>
      <t>Values from the AWMFH 9/06</t>
    </r>
  </si>
  <si>
    <r>
      <t>6.</t>
    </r>
    <r>
      <rPr>
        <sz val="10"/>
        <rFont val="Arial"/>
        <family val="0"/>
      </rPr>
      <t xml:space="preserve"> 8.33 lbs. liquid = 1gal liquid         </t>
    </r>
    <r>
      <rPr>
        <b/>
        <sz val="10"/>
        <rFont val="Arial"/>
        <family val="2"/>
      </rPr>
      <t xml:space="preserve"> 7.</t>
    </r>
    <r>
      <rPr>
        <sz val="10"/>
        <rFont val="Arial"/>
        <family val="0"/>
      </rPr>
      <t xml:space="preserve">  Non-Jersey Cows </t>
    </r>
  </si>
  <si>
    <r>
      <t>8</t>
    </r>
    <r>
      <rPr>
        <sz val="10"/>
        <rFont val="Arial"/>
        <family val="0"/>
      </rPr>
      <t>. Manure # from milk production.</t>
    </r>
  </si>
  <si>
    <t>Super Cow Dairy</t>
  </si>
  <si>
    <t>Joe Holstein</t>
  </si>
  <si>
    <t>Artesia, NM</t>
  </si>
  <si>
    <t>R White</t>
  </si>
  <si>
    <t>9/25/08</t>
  </si>
  <si>
    <t>Gravel Road</t>
  </si>
  <si>
    <t>Runoff Pond 1</t>
  </si>
  <si>
    <t>25-year Hr</t>
  </si>
  <si>
    <t>Chaves, BITTER LAKES WL REFUGE  NM0992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</si>
</sst>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  <numFmt numFmtId="166" formatCode="0.0"/>
    <numFmt numFmtId="167" formatCode="0.00000"/>
    <numFmt numFmtId="168" formatCode="0.0000"/>
    <numFmt numFmtId="169" formatCode="#,##0.0"/>
    <numFmt numFmtId="170" formatCode="0.000%"/>
    <numFmt numFmtId="171" formatCode="0.0%"/>
    <numFmt numFmtId="172" formatCode="0.000_)"/>
    <numFmt numFmtId="173" formatCode="0.0_)"/>
    <numFmt numFmtId="174" formatCode="0.000000"/>
    <numFmt numFmtId="175" formatCode="#,##0.000"/>
    <numFmt numFmtId="176" formatCode="0_)"/>
    <numFmt numFmtId="177" formatCode="_(* #,##0.0_);_(* \(#,##0.0\);_(* &quot;-&quot;??_);_(@_)"/>
    <numFmt numFmtId="178" formatCode="_(* #,##0_);_(* \(#,##0\);_(* &quot;-&quot;??_);_(@_)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[$-409]dddd\,\ mmmm\ dd\,\ yyyy"/>
    <numFmt numFmtId="185" formatCode="m/d/yy;@"/>
    <numFmt numFmtId="186" formatCode="mm/dd/yy;@"/>
  </numFmts>
  <fonts count="59">
    <font>
      <sz val="10"/>
      <name val="Arial"/>
      <family val="0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indexed="1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17"/>
      <name val="Arial"/>
      <family val="0"/>
    </font>
    <font>
      <b/>
      <sz val="8"/>
      <color indexed="10"/>
      <name val="Arial"/>
      <family val="2"/>
    </font>
    <font>
      <sz val="9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i/>
      <sz val="12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Tahoma"/>
      <family val="2"/>
    </font>
    <font>
      <i/>
      <vertAlign val="superscript"/>
      <sz val="11"/>
      <name val="Arial"/>
      <family val="2"/>
    </font>
    <font>
      <i/>
      <sz val="11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i/>
      <sz val="9"/>
      <name val="Arial"/>
      <family val="2"/>
    </font>
    <font>
      <sz val="14"/>
      <color indexed="9"/>
      <name val="Arial"/>
      <family val="0"/>
    </font>
    <font>
      <vertAlign val="superscript"/>
      <sz val="11"/>
      <name val="Arial"/>
      <family val="2"/>
    </font>
    <font>
      <sz val="10"/>
      <color indexed="10"/>
      <name val="Times New Roman"/>
      <family val="1"/>
    </font>
    <font>
      <b/>
      <vertAlign val="superscript"/>
      <sz val="11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sz val="7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</fills>
  <borders count="9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18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</cellStyleXfs>
  <cellXfs count="106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0" xfId="0" applyNumberFormat="1" applyFill="1" applyAlignment="1">
      <alignment/>
    </xf>
    <xf numFmtId="0" fontId="6" fillId="3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7" fillId="3" borderId="4" xfId="0" applyFont="1" applyFill="1" applyBorder="1" applyAlignment="1">
      <alignment horizontal="right"/>
    </xf>
    <xf numFmtId="0" fontId="3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0" fillId="2" borderId="9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2" borderId="10" xfId="0" applyFont="1" applyFill="1" applyBorder="1" applyAlignment="1">
      <alignment horizontal="right" vertical="center"/>
    </xf>
    <xf numFmtId="0" fontId="0" fillId="2" borderId="8" xfId="0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4" borderId="9" xfId="0" applyFont="1" applyFill="1" applyBorder="1" applyAlignment="1">
      <alignment/>
    </xf>
    <xf numFmtId="3" fontId="0" fillId="2" borderId="11" xfId="0" applyNumberFormat="1" applyFill="1" applyBorder="1" applyAlignment="1">
      <alignment horizontal="center" vertical="top" wrapText="1"/>
    </xf>
    <xf numFmtId="3" fontId="0" fillId="2" borderId="11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 vertical="top" wrapText="1"/>
    </xf>
    <xf numFmtId="3" fontId="0" fillId="2" borderId="12" xfId="0" applyNumberForma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3" fontId="0" fillId="2" borderId="13" xfId="0" applyNumberFormat="1" applyFill="1" applyBorder="1" applyAlignment="1">
      <alignment horizontal="center" vertical="top" wrapText="1"/>
    </xf>
    <xf numFmtId="3" fontId="0" fillId="2" borderId="14" xfId="0" applyNumberForma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/>
    </xf>
    <xf numFmtId="0" fontId="10" fillId="5" borderId="16" xfId="0" applyFont="1" applyFill="1" applyBorder="1" applyAlignment="1">
      <alignment horizontal="center"/>
    </xf>
    <xf numFmtId="0" fontId="3" fillId="5" borderId="9" xfId="0" applyFont="1" applyFill="1" applyBorder="1" applyAlignment="1">
      <alignment/>
    </xf>
    <xf numFmtId="0" fontId="0" fillId="5" borderId="3" xfId="0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166" fontId="2" fillId="2" borderId="6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0" borderId="0" xfId="0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3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11" fillId="5" borderId="15" xfId="0" applyFont="1" applyFill="1" applyBorder="1" applyAlignment="1">
      <alignment horizontal="center" wrapText="1"/>
    </xf>
    <xf numFmtId="3" fontId="0" fillId="2" borderId="0" xfId="0" applyNumberFormat="1" applyFill="1" applyBorder="1" applyAlignment="1">
      <alignment horizontal="left"/>
    </xf>
    <xf numFmtId="3" fontId="0" fillId="2" borderId="13" xfId="0" applyNumberFormat="1" applyFill="1" applyBorder="1" applyAlignment="1">
      <alignment horizontal="center"/>
    </xf>
    <xf numFmtId="0" fontId="12" fillId="2" borderId="4" xfId="0" applyFont="1" applyFill="1" applyBorder="1" applyAlignment="1">
      <alignment horizontal="left" vertical="top" wrapText="1"/>
    </xf>
    <xf numFmtId="166" fontId="2" fillId="2" borderId="7" xfId="0" applyNumberFormat="1" applyFont="1" applyFill="1" applyBorder="1" applyAlignment="1">
      <alignment/>
    </xf>
    <xf numFmtId="1" fontId="2" fillId="2" borderId="6" xfId="0" applyNumberFormat="1" applyFont="1" applyFill="1" applyBorder="1" applyAlignment="1">
      <alignment/>
    </xf>
    <xf numFmtId="2" fontId="2" fillId="2" borderId="6" xfId="0" applyNumberFormat="1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2" borderId="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2" borderId="0" xfId="0" applyFill="1" applyBorder="1" applyAlignment="1">
      <alignment horizontal="right" vertical="top"/>
    </xf>
    <xf numFmtId="0" fontId="11" fillId="2" borderId="2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169" fontId="0" fillId="2" borderId="0" xfId="0" applyNumberForma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right"/>
    </xf>
    <xf numFmtId="9" fontId="0" fillId="0" borderId="0" xfId="0" applyNumberFormat="1" applyBorder="1" applyAlignment="1">
      <alignment horizontal="center"/>
    </xf>
    <xf numFmtId="0" fontId="0" fillId="2" borderId="4" xfId="0" applyFill="1" applyBorder="1" applyAlignment="1">
      <alignment horizontal="right"/>
    </xf>
    <xf numFmtId="164" fontId="19" fillId="0" borderId="0" xfId="21" applyFont="1">
      <alignment/>
      <protection/>
    </xf>
    <xf numFmtId="164" fontId="1" fillId="3" borderId="3" xfId="21" applyFont="1" applyFill="1" applyBorder="1">
      <alignment/>
      <protection/>
    </xf>
    <xf numFmtId="164" fontId="1" fillId="3" borderId="4" xfId="21" applyFont="1" applyFill="1" applyBorder="1">
      <alignment/>
      <protection/>
    </xf>
    <xf numFmtId="164" fontId="1" fillId="3" borderId="4" xfId="21" applyFont="1" applyFill="1" applyBorder="1" applyAlignment="1">
      <alignment horizontal="right"/>
      <protection/>
    </xf>
    <xf numFmtId="164" fontId="8" fillId="0" borderId="0" xfId="21" applyFont="1" applyFill="1" applyBorder="1" applyAlignment="1">
      <alignment horizontal="center"/>
      <protection/>
    </xf>
    <xf numFmtId="164" fontId="3" fillId="2" borderId="0" xfId="21" applyFont="1" applyFill="1" applyBorder="1" applyAlignment="1">
      <alignment horizontal="right" vertical="center"/>
      <protection/>
    </xf>
    <xf numFmtId="0" fontId="3" fillId="2" borderId="0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0" fillId="2" borderId="2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2" borderId="0" xfId="0" applyFont="1" applyFill="1" applyBorder="1" applyAlignment="1">
      <alignment/>
    </xf>
    <xf numFmtId="164" fontId="1" fillId="0" borderId="0" xfId="21" applyFont="1" applyFill="1" applyBorder="1" applyAlignment="1">
      <alignment horizontal="right"/>
      <protection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20" fillId="2" borderId="2" xfId="0" applyFont="1" applyFill="1" applyBorder="1" applyAlignment="1">
      <alignment/>
    </xf>
    <xf numFmtId="0" fontId="22" fillId="0" borderId="18" xfId="22" applyFont="1" applyFill="1" applyBorder="1" applyAlignment="1">
      <alignment horizontal="left" wrapText="1"/>
      <protection/>
    </xf>
    <xf numFmtId="0" fontId="24" fillId="5" borderId="19" xfId="22" applyFont="1" applyFill="1" applyBorder="1" applyAlignment="1">
      <alignment horizontal="center"/>
      <protection/>
    </xf>
    <xf numFmtId="0" fontId="24" fillId="5" borderId="20" xfId="22" applyFont="1" applyFill="1" applyBorder="1" applyAlignment="1">
      <alignment horizontal="center"/>
      <protection/>
    </xf>
    <xf numFmtId="0" fontId="24" fillId="0" borderId="0" xfId="22" applyFont="1" applyFill="1" applyBorder="1" applyAlignment="1">
      <alignment horizontal="center"/>
      <protection/>
    </xf>
    <xf numFmtId="171" fontId="0" fillId="0" borderId="0" xfId="23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2" fillId="2" borderId="0" xfId="0" applyFont="1" applyFill="1" applyBorder="1" applyAlignment="1">
      <alignment horizontal="right" vertical="center"/>
    </xf>
    <xf numFmtId="0" fontId="0" fillId="6" borderId="21" xfId="0" applyFill="1" applyBorder="1" applyAlignment="1" applyProtection="1">
      <alignment horizontal="center"/>
      <protection locked="0"/>
    </xf>
    <xf numFmtId="3" fontId="0" fillId="6" borderId="22" xfId="0" applyNumberFormat="1" applyFill="1" applyBorder="1" applyAlignment="1" applyProtection="1">
      <alignment horizontal="center"/>
      <protection locked="0"/>
    </xf>
    <xf numFmtId="3" fontId="0" fillId="6" borderId="11" xfId="0" applyNumberFormat="1" applyFill="1" applyBorder="1" applyAlignment="1" applyProtection="1">
      <alignment horizontal="center"/>
      <protection locked="0"/>
    </xf>
    <xf numFmtId="9" fontId="0" fillId="6" borderId="11" xfId="0" applyNumberFormat="1" applyFill="1" applyBorder="1" applyAlignment="1" applyProtection="1">
      <alignment horizontal="center"/>
      <protection locked="0"/>
    </xf>
    <xf numFmtId="9" fontId="0" fillId="6" borderId="22" xfId="0" applyNumberFormat="1" applyFill="1" applyBorder="1" applyAlignment="1" applyProtection="1">
      <alignment horizontal="center"/>
      <protection locked="0"/>
    </xf>
    <xf numFmtId="164" fontId="1" fillId="3" borderId="3" xfId="21" applyFont="1" applyFill="1" applyBorder="1" applyProtection="1">
      <alignment/>
      <protection/>
    </xf>
    <xf numFmtId="164" fontId="1" fillId="3" borderId="4" xfId="21" applyFont="1" applyFill="1" applyBorder="1" applyProtection="1">
      <alignment/>
      <protection/>
    </xf>
    <xf numFmtId="164" fontId="1" fillId="3" borderId="4" xfId="21" applyFont="1" applyFill="1" applyBorder="1" applyAlignment="1" applyProtection="1">
      <alignment horizontal="right"/>
      <protection/>
    </xf>
    <xf numFmtId="164" fontId="19" fillId="2" borderId="1" xfId="21" applyFont="1" applyFill="1" applyBorder="1" applyAlignment="1" applyProtection="1">
      <alignment horizontal="right" vertical="center"/>
      <protection/>
    </xf>
    <xf numFmtId="164" fontId="19" fillId="2" borderId="0" xfId="21" applyFont="1" applyFill="1" applyBorder="1" applyAlignment="1" applyProtection="1">
      <alignment horizontal="left" vertical="center"/>
      <protection/>
    </xf>
    <xf numFmtId="0" fontId="19" fillId="2" borderId="0" xfId="0" applyFont="1" applyFill="1" applyBorder="1" applyAlignment="1" applyProtection="1">
      <alignment horizontal="right" vertical="center"/>
      <protection/>
    </xf>
    <xf numFmtId="164" fontId="19" fillId="2" borderId="1" xfId="21" applyFont="1" applyFill="1" applyBorder="1" applyAlignment="1" applyProtection="1">
      <alignment vertical="center"/>
      <protection/>
    </xf>
    <xf numFmtId="164" fontId="19" fillId="0" borderId="0" xfId="21" applyFont="1" applyProtection="1">
      <alignment/>
      <protection/>
    </xf>
    <xf numFmtId="164" fontId="19" fillId="2" borderId="1" xfId="21" applyFont="1" applyFill="1" applyBorder="1" applyProtection="1">
      <alignment/>
      <protection/>
    </xf>
    <xf numFmtId="164" fontId="19" fillId="2" borderId="0" xfId="21" applyFont="1" applyFill="1" applyBorder="1" applyProtection="1">
      <alignment/>
      <protection/>
    </xf>
    <xf numFmtId="164" fontId="18" fillId="2" borderId="0" xfId="21" applyFont="1" applyFill="1" applyBorder="1" applyProtection="1">
      <alignment/>
      <protection/>
    </xf>
    <xf numFmtId="164" fontId="18" fillId="0" borderId="0" xfId="21" applyFo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2" borderId="1" xfId="0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right"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2" fillId="2" borderId="24" xfId="0" applyFon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13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20" fillId="2" borderId="8" xfId="0" applyFont="1" applyFill="1" applyBorder="1" applyAlignment="1">
      <alignment horizontal="left" vertical="center"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164" fontId="10" fillId="2" borderId="0" xfId="21" applyFont="1" applyFill="1" applyBorder="1" applyAlignment="1" applyProtection="1">
      <alignment horizontal="right" vertical="center" wrapText="1"/>
      <protection/>
    </xf>
    <xf numFmtId="164" fontId="3" fillId="2" borderId="0" xfId="21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vertical="center"/>
      <protection/>
    </xf>
    <xf numFmtId="0" fontId="0" fillId="0" borderId="3" xfId="0" applyBorder="1" applyAlignment="1">
      <alignment/>
    </xf>
    <xf numFmtId="1" fontId="0" fillId="0" borderId="0" xfId="0" applyNumberFormat="1" applyAlignment="1">
      <alignment/>
    </xf>
    <xf numFmtId="164" fontId="19" fillId="0" borderId="1" xfId="21" applyFont="1" applyBorder="1" applyProtection="1">
      <alignment/>
      <protection/>
    </xf>
    <xf numFmtId="164" fontId="10" fillId="2" borderId="2" xfId="21" applyFont="1" applyFill="1" applyBorder="1" applyAlignment="1" applyProtection="1">
      <alignment horizontal="right" vertical="center"/>
      <protection/>
    </xf>
    <xf numFmtId="0" fontId="1" fillId="3" borderId="9" xfId="0" applyFont="1" applyFill="1" applyBorder="1" applyAlignment="1" applyProtection="1">
      <alignment/>
      <protection/>
    </xf>
    <xf numFmtId="0" fontId="1" fillId="3" borderId="10" xfId="0" applyFont="1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/>
      <protection/>
    </xf>
    <xf numFmtId="0" fontId="1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/>
      <protection/>
    </xf>
    <xf numFmtId="173" fontId="18" fillId="6" borderId="25" xfId="2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" fontId="2" fillId="2" borderId="2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0" fontId="0" fillId="0" borderId="9" xfId="0" applyBorder="1" applyAlignment="1" applyProtection="1">
      <alignment vertical="center"/>
      <protection/>
    </xf>
    <xf numFmtId="0" fontId="2" fillId="2" borderId="10" xfId="0" applyFont="1" applyFill="1" applyBorder="1" applyAlignment="1" applyProtection="1">
      <alignment horizontal="right" vertical="center"/>
      <protection/>
    </xf>
    <xf numFmtId="0" fontId="0" fillId="2" borderId="10" xfId="0" applyFill="1" applyBorder="1" applyAlignment="1" applyProtection="1">
      <alignment vertical="center"/>
      <protection/>
    </xf>
    <xf numFmtId="0" fontId="0" fillId="2" borderId="26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2" borderId="0" xfId="0" applyFill="1" applyBorder="1" applyAlignment="1" applyProtection="1">
      <alignment horizontal="right" vertical="center"/>
      <protection/>
    </xf>
    <xf numFmtId="0" fontId="0" fillId="2" borderId="2" xfId="0" applyFill="1" applyBorder="1" applyAlignment="1" applyProtection="1">
      <alignment vertical="center"/>
      <protection/>
    </xf>
    <xf numFmtId="164" fontId="19" fillId="0" borderId="0" xfId="21" applyFont="1" applyAlignment="1">
      <alignment horizontal="right"/>
      <protection/>
    </xf>
    <xf numFmtId="173" fontId="18" fillId="6" borderId="27" xfId="21" applyNumberFormat="1" applyFont="1" applyFill="1" applyBorder="1" applyAlignment="1" applyProtection="1">
      <alignment horizontal="center"/>
      <protection locked="0"/>
    </xf>
    <xf numFmtId="169" fontId="20" fillId="6" borderId="6" xfId="0" applyNumberFormat="1" applyFont="1" applyFill="1" applyBorder="1" applyAlignment="1" applyProtection="1">
      <alignment horizontal="right" vertical="center"/>
      <protection locked="0"/>
    </xf>
    <xf numFmtId="169" fontId="20" fillId="6" borderId="28" xfId="0" applyNumberFormat="1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2" fontId="22" fillId="0" borderId="18" xfId="22" applyNumberFormat="1" applyFont="1" applyFill="1" applyBorder="1" applyAlignment="1">
      <alignment horizontal="right" wrapText="1"/>
      <protection/>
    </xf>
    <xf numFmtId="2" fontId="22" fillId="0" borderId="18" xfId="22" applyNumberFormat="1" applyFont="1" applyFill="1" applyBorder="1" applyAlignment="1">
      <alignment horizontal="center" wrapText="1"/>
      <protection/>
    </xf>
    <xf numFmtId="9" fontId="30" fillId="0" borderId="18" xfId="23" applyNumberFormat="1" applyFont="1" applyFill="1" applyBorder="1" applyAlignment="1">
      <alignment horizontal="center" wrapText="1"/>
    </xf>
    <xf numFmtId="9" fontId="30" fillId="0" borderId="29" xfId="23" applyNumberFormat="1" applyFont="1" applyFill="1" applyBorder="1" applyAlignment="1">
      <alignment horizontal="center" wrapText="1"/>
    </xf>
    <xf numFmtId="171" fontId="0" fillId="0" borderId="0" xfId="0" applyNumberFormat="1" applyFill="1" applyBorder="1" applyAlignment="1">
      <alignment horizontal="center"/>
    </xf>
    <xf numFmtId="9" fontId="31" fillId="0" borderId="18" xfId="23" applyNumberFormat="1" applyFont="1" applyFill="1" applyBorder="1" applyAlignment="1">
      <alignment horizontal="center" wrapText="1"/>
    </xf>
    <xf numFmtId="9" fontId="31" fillId="0" borderId="29" xfId="23" applyNumberFormat="1" applyFont="1" applyFill="1" applyBorder="1" applyAlignment="1">
      <alignment horizontal="center" wrapText="1"/>
    </xf>
    <xf numFmtId="9" fontId="32" fillId="0" borderId="18" xfId="23" applyNumberFormat="1" applyFont="1" applyFill="1" applyBorder="1" applyAlignment="1">
      <alignment horizontal="center" wrapText="1"/>
    </xf>
    <xf numFmtId="9" fontId="32" fillId="0" borderId="29" xfId="23" applyNumberFormat="1" applyFont="1" applyFill="1" applyBorder="1" applyAlignment="1">
      <alignment horizontal="center" wrapText="1"/>
    </xf>
    <xf numFmtId="9" fontId="33" fillId="0" borderId="18" xfId="23" applyNumberFormat="1" applyFont="1" applyFill="1" applyBorder="1" applyAlignment="1">
      <alignment horizontal="center" wrapText="1"/>
    </xf>
    <xf numFmtId="9" fontId="33" fillId="0" borderId="29" xfId="23" applyNumberFormat="1" applyFont="1" applyFill="1" applyBorder="1" applyAlignment="1">
      <alignment horizontal="center" wrapText="1"/>
    </xf>
    <xf numFmtId="14" fontId="6" fillId="3" borderId="5" xfId="21" applyNumberFormat="1" applyFont="1" applyFill="1" applyBorder="1" applyAlignment="1">
      <alignment horizontal="center"/>
      <protection/>
    </xf>
    <xf numFmtId="166" fontId="3" fillId="2" borderId="6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/>
    </xf>
    <xf numFmtId="3" fontId="20" fillId="6" borderId="28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right" vertical="center"/>
    </xf>
    <xf numFmtId="1" fontId="10" fillId="2" borderId="30" xfId="0" applyNumberFormat="1" applyFont="1" applyFill="1" applyBorder="1" applyAlignment="1" applyProtection="1">
      <alignment horizontal="right" vertical="center"/>
      <protection/>
    </xf>
    <xf numFmtId="0" fontId="20" fillId="6" borderId="2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/>
    </xf>
    <xf numFmtId="0" fontId="20" fillId="6" borderId="15" xfId="0" applyFont="1" applyFill="1" applyBorder="1" applyAlignment="1" applyProtection="1">
      <alignment horizontal="center" vertical="center"/>
      <protection locked="0"/>
    </xf>
    <xf numFmtId="0" fontId="20" fillId="6" borderId="6" xfId="0" applyFont="1" applyFill="1" applyBorder="1" applyAlignment="1" applyProtection="1">
      <alignment horizontal="right" vertical="center"/>
      <protection locked="0"/>
    </xf>
    <xf numFmtId="166" fontId="20" fillId="2" borderId="16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left" vertical="center"/>
    </xf>
    <xf numFmtId="165" fontId="2" fillId="0" borderId="0" xfId="0" applyNumberFormat="1" applyFont="1" applyAlignment="1">
      <alignment/>
    </xf>
    <xf numFmtId="3" fontId="3" fillId="7" borderId="5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166" fontId="3" fillId="0" borderId="6" xfId="0" applyNumberFormat="1" applyFont="1" applyBorder="1" applyAlignment="1">
      <alignment/>
    </xf>
    <xf numFmtId="3" fontId="3" fillId="7" borderId="4" xfId="0" applyNumberFormat="1" applyFont="1" applyFill="1" applyBorder="1" applyAlignment="1">
      <alignment horizontal="right"/>
    </xf>
    <xf numFmtId="14" fontId="35" fillId="3" borderId="5" xfId="0" applyNumberFormat="1" applyFont="1" applyFill="1" applyBorder="1" applyAlignment="1">
      <alignment horizontal="center"/>
    </xf>
    <xf numFmtId="173" fontId="3" fillId="7" borderId="6" xfId="0" applyNumberFormat="1" applyFont="1" applyFill="1" applyBorder="1" applyAlignment="1" applyProtection="1">
      <alignment/>
      <protection/>
    </xf>
    <xf numFmtId="0" fontId="3" fillId="7" borderId="8" xfId="0" applyFont="1" applyFill="1" applyBorder="1" applyAlignment="1">
      <alignment/>
    </xf>
    <xf numFmtId="1" fontId="3" fillId="7" borderId="6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20" fillId="0" borderId="0" xfId="0" applyFont="1" applyFill="1" applyBorder="1" applyAlignment="1">
      <alignment horizontal="right"/>
    </xf>
    <xf numFmtId="37" fontId="20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 applyProtection="1">
      <alignment/>
      <protection/>
    </xf>
    <xf numFmtId="172" fontId="20" fillId="0" borderId="0" xfId="0" applyNumberFormat="1" applyFont="1" applyFill="1" applyBorder="1" applyAlignment="1" applyProtection="1">
      <alignment horizontal="right"/>
      <protection/>
    </xf>
    <xf numFmtId="0" fontId="2" fillId="2" borderId="26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right"/>
    </xf>
    <xf numFmtId="164" fontId="8" fillId="0" borderId="0" xfId="21" applyFont="1" applyFill="1" applyBorder="1" applyAlignment="1" applyProtection="1">
      <alignment horizontal="center"/>
      <protection/>
    </xf>
    <xf numFmtId="164" fontId="38" fillId="3" borderId="4" xfId="21" applyFont="1" applyFill="1" applyBorder="1" applyProtection="1">
      <alignment/>
      <protection/>
    </xf>
    <xf numFmtId="14" fontId="6" fillId="3" borderId="5" xfId="21" applyNumberFormat="1" applyFont="1" applyFill="1" applyBorder="1" applyAlignment="1" applyProtection="1">
      <alignment horizontal="center"/>
      <protection/>
    </xf>
    <xf numFmtId="164" fontId="1" fillId="0" borderId="0" xfId="21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 applyProtection="1">
      <alignment/>
      <protection/>
    </xf>
    <xf numFmtId="164" fontId="3" fillId="2" borderId="0" xfId="21" applyFont="1" applyFill="1" applyBorder="1" applyAlignment="1" applyProtection="1">
      <alignment horizontal="right" vertical="center"/>
      <protection/>
    </xf>
    <xf numFmtId="0" fontId="20" fillId="2" borderId="2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right" vertical="center"/>
      <protection/>
    </xf>
    <xf numFmtId="0" fontId="3" fillId="2" borderId="17" xfId="0" applyFont="1" applyFill="1" applyBorder="1" applyAlignment="1" applyProtection="1">
      <alignment horizontal="right" vertical="center"/>
      <protection/>
    </xf>
    <xf numFmtId="0" fontId="20" fillId="2" borderId="2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10" xfId="0" applyFont="1" applyFill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166" fontId="3" fillId="2" borderId="6" xfId="0" applyNumberFormat="1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8" borderId="6" xfId="0" applyFill="1" applyBorder="1" applyAlignment="1" applyProtection="1">
      <alignment/>
      <protection/>
    </xf>
    <xf numFmtId="0" fontId="2" fillId="8" borderId="7" xfId="0" applyFont="1" applyFill="1" applyBorder="1" applyAlignment="1" applyProtection="1">
      <alignment horizontal="right"/>
      <protection/>
    </xf>
    <xf numFmtId="0" fontId="19" fillId="8" borderId="6" xfId="0" applyFont="1" applyFill="1" applyBorder="1" applyAlignment="1" applyProtection="1">
      <alignment horizontal="center"/>
      <protection/>
    </xf>
    <xf numFmtId="0" fontId="0" fillId="8" borderId="8" xfId="0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right" vertical="center" wrapText="1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6" fontId="20" fillId="2" borderId="16" xfId="0" applyNumberFormat="1" applyFont="1" applyFill="1" applyBorder="1" applyAlignment="1" applyProtection="1">
      <alignment horizontal="right"/>
      <protection/>
    </xf>
    <xf numFmtId="3" fontId="12" fillId="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169" fontId="0" fillId="0" borderId="0" xfId="0" applyNumberFormat="1" applyAlignment="1" applyProtection="1">
      <alignment/>
      <protection/>
    </xf>
    <xf numFmtId="1" fontId="10" fillId="2" borderId="31" xfId="0" applyNumberFormat="1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20" fillId="2" borderId="8" xfId="0" applyFont="1" applyFill="1" applyBorder="1" applyAlignment="1" applyProtection="1">
      <alignment horizontal="left" vertical="center"/>
      <protection/>
    </xf>
    <xf numFmtId="3" fontId="20" fillId="2" borderId="28" xfId="0" applyNumberFormat="1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/>
      <protection/>
    </xf>
    <xf numFmtId="166" fontId="20" fillId="2" borderId="28" xfId="0" applyNumberFormat="1" applyFont="1" applyFill="1" applyBorder="1" applyAlignment="1" applyProtection="1">
      <alignment horizontal="right"/>
      <protection/>
    </xf>
    <xf numFmtId="0" fontId="34" fillId="2" borderId="1" xfId="0" applyFont="1" applyFill="1" applyBorder="1" applyAlignment="1" applyProtection="1">
      <alignment/>
      <protection/>
    </xf>
    <xf numFmtId="0" fontId="3" fillId="8" borderId="7" xfId="0" applyFont="1" applyFill="1" applyBorder="1" applyAlignment="1" applyProtection="1">
      <alignment/>
      <protection/>
    </xf>
    <xf numFmtId="0" fontId="10" fillId="8" borderId="7" xfId="0" applyFont="1" applyFill="1" applyBorder="1" applyAlignment="1" applyProtection="1">
      <alignment/>
      <protection/>
    </xf>
    <xf numFmtId="0" fontId="11" fillId="8" borderId="7" xfId="0" applyFont="1" applyFill="1" applyBorder="1" applyAlignment="1" applyProtection="1">
      <alignment/>
      <protection/>
    </xf>
    <xf numFmtId="1" fontId="10" fillId="2" borderId="0" xfId="0" applyNumberFormat="1" applyFont="1" applyFill="1" applyBorder="1" applyAlignment="1" applyProtection="1">
      <alignment/>
      <protection/>
    </xf>
    <xf numFmtId="166" fontId="10" fillId="2" borderId="0" xfId="0" applyNumberFormat="1" applyFont="1" applyFill="1" applyBorder="1" applyAlignment="1" applyProtection="1">
      <alignment/>
      <protection/>
    </xf>
    <xf numFmtId="0" fontId="3" fillId="8" borderId="7" xfId="0" applyFont="1" applyFill="1" applyBorder="1" applyAlignment="1" applyProtection="1">
      <alignment horizontal="right" vertical="center" wrapText="1"/>
      <protection/>
    </xf>
    <xf numFmtId="0" fontId="0" fillId="8" borderId="7" xfId="0" applyFont="1" applyFill="1" applyBorder="1" applyAlignment="1" applyProtection="1">
      <alignment/>
      <protection/>
    </xf>
    <xf numFmtId="0" fontId="0" fillId="8" borderId="8" xfId="0" applyFont="1" applyFill="1" applyBorder="1" applyAlignment="1" applyProtection="1">
      <alignment/>
      <protection/>
    </xf>
    <xf numFmtId="1" fontId="20" fillId="2" borderId="16" xfId="0" applyNumberFormat="1" applyFont="1" applyFill="1" applyBorder="1" applyAlignment="1" applyProtection="1">
      <alignment horizontal="right"/>
      <protection/>
    </xf>
    <xf numFmtId="0" fontId="20" fillId="7" borderId="8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20" fillId="8" borderId="6" xfId="0" applyFont="1" applyFill="1" applyBorder="1" applyAlignment="1" applyProtection="1">
      <alignment/>
      <protection/>
    </xf>
    <xf numFmtId="0" fontId="20" fillId="8" borderId="7" xfId="0" applyFont="1" applyFill="1" applyBorder="1" applyAlignment="1" applyProtection="1">
      <alignment/>
      <protection/>
    </xf>
    <xf numFmtId="0" fontId="20" fillId="8" borderId="8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20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right" vertical="center"/>
      <protection/>
    </xf>
    <xf numFmtId="1" fontId="2" fillId="2" borderId="2" xfId="0" applyNumberFormat="1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right"/>
      <protection/>
    </xf>
    <xf numFmtId="3" fontId="2" fillId="2" borderId="4" xfId="0" applyNumberFormat="1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64" fontId="18" fillId="0" borderId="4" xfId="21" applyFont="1" applyBorder="1">
      <alignment/>
      <protection/>
    </xf>
    <xf numFmtId="164" fontId="39" fillId="3" borderId="4" xfId="21" applyFont="1" applyFill="1" applyBorder="1">
      <alignment/>
      <protection/>
    </xf>
    <xf numFmtId="0" fontId="0" fillId="0" borderId="0" xfId="0" applyAlignment="1" applyProtection="1">
      <alignment/>
      <protection locked="0"/>
    </xf>
    <xf numFmtId="0" fontId="10" fillId="2" borderId="1" xfId="0" applyFont="1" applyFill="1" applyBorder="1" applyAlignment="1" applyProtection="1">
      <alignment/>
      <protection/>
    </xf>
    <xf numFmtId="0" fontId="10" fillId="2" borderId="2" xfId="0" applyFont="1" applyFill="1" applyBorder="1" applyAlignment="1" applyProtection="1">
      <alignment/>
      <protection/>
    </xf>
    <xf numFmtId="166" fontId="20" fillId="2" borderId="0" xfId="0" applyNumberFormat="1" applyFont="1" applyFill="1" applyBorder="1" applyAlignment="1" applyProtection="1">
      <alignment horizontal="right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9" fontId="0" fillId="0" borderId="0" xfId="23" applyAlignment="1">
      <alignment/>
    </xf>
    <xf numFmtId="171" fontId="0" fillId="0" borderId="0" xfId="0" applyNumberFormat="1" applyAlignment="1">
      <alignment/>
    </xf>
    <xf numFmtId="0" fontId="2" fillId="8" borderId="28" xfId="0" applyFont="1" applyFill="1" applyBorder="1" applyAlignment="1">
      <alignment horizontal="center" wrapText="1"/>
    </xf>
    <xf numFmtId="166" fontId="2" fillId="8" borderId="28" xfId="0" applyNumberFormat="1" applyFont="1" applyFill="1" applyBorder="1" applyAlignment="1" applyProtection="1">
      <alignment horizontal="center" wrapText="1"/>
      <protection/>
    </xf>
    <xf numFmtId="0" fontId="20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 applyProtection="1">
      <alignment horizontal="right"/>
      <protection/>
    </xf>
    <xf numFmtId="164" fontId="0" fillId="5" borderId="32" xfId="21" applyFont="1" applyFill="1" applyBorder="1" applyAlignment="1" applyProtection="1">
      <alignment horizontal="center" vertical="center"/>
      <protection/>
    </xf>
    <xf numFmtId="164" fontId="0" fillId="5" borderId="33" xfId="21" applyFont="1" applyFill="1" applyBorder="1" applyAlignment="1" applyProtection="1">
      <alignment horizontal="center" vertical="center"/>
      <protection/>
    </xf>
    <xf numFmtId="164" fontId="3" fillId="2" borderId="34" xfId="21" applyFont="1" applyFill="1" applyBorder="1" applyAlignment="1" applyProtection="1">
      <alignment horizontal="center"/>
      <protection/>
    </xf>
    <xf numFmtId="173" fontId="20" fillId="2" borderId="35" xfId="21" applyNumberFormat="1" applyFont="1" applyFill="1" applyBorder="1" applyAlignment="1" applyProtection="1">
      <alignment horizontal="center"/>
      <protection/>
    </xf>
    <xf numFmtId="164" fontId="20" fillId="2" borderId="35" xfId="21" applyNumberFormat="1" applyFont="1" applyFill="1" applyBorder="1" applyAlignment="1" applyProtection="1">
      <alignment horizontal="center"/>
      <protection/>
    </xf>
    <xf numFmtId="164" fontId="3" fillId="2" borderId="36" xfId="21" applyFont="1" applyFill="1" applyBorder="1" applyAlignment="1" applyProtection="1">
      <alignment horizontal="center"/>
      <protection/>
    </xf>
    <xf numFmtId="173" fontId="20" fillId="2" borderId="37" xfId="21" applyNumberFormat="1" applyFont="1" applyFill="1" applyBorder="1" applyAlignment="1" applyProtection="1">
      <alignment horizontal="center"/>
      <protection/>
    </xf>
    <xf numFmtId="164" fontId="20" fillId="2" borderId="37" xfId="21" applyNumberFormat="1" applyFont="1" applyFill="1" applyBorder="1" applyAlignment="1" applyProtection="1">
      <alignment horizontal="center"/>
      <protection/>
    </xf>
    <xf numFmtId="164" fontId="3" fillId="2" borderId="0" xfId="21" applyFont="1" applyFill="1" applyBorder="1" applyProtection="1">
      <alignment/>
      <protection/>
    </xf>
    <xf numFmtId="164" fontId="3" fillId="2" borderId="10" xfId="21" applyFont="1" applyFill="1" applyBorder="1" applyProtection="1">
      <alignment/>
      <protection/>
    </xf>
    <xf numFmtId="164" fontId="3" fillId="0" borderId="26" xfId="21" applyFont="1" applyBorder="1" applyProtection="1">
      <alignment/>
      <protection/>
    </xf>
    <xf numFmtId="164" fontId="3" fillId="2" borderId="4" xfId="21" applyFont="1" applyFill="1" applyBorder="1" applyProtection="1">
      <alignment/>
      <protection/>
    </xf>
    <xf numFmtId="164" fontId="3" fillId="2" borderId="5" xfId="21" applyFont="1" applyFill="1" applyBorder="1" applyProtection="1">
      <alignment/>
      <protection/>
    </xf>
    <xf numFmtId="164" fontId="3" fillId="0" borderId="10" xfId="21" applyFont="1" applyBorder="1" applyProtection="1">
      <alignment/>
      <protection/>
    </xf>
    <xf numFmtId="0" fontId="3" fillId="7" borderId="10" xfId="0" applyFont="1" applyFill="1" applyBorder="1" applyAlignment="1" applyProtection="1">
      <alignment vertical="center"/>
      <protection/>
    </xf>
    <xf numFmtId="0" fontId="20" fillId="7" borderId="0" xfId="0" applyFont="1" applyFill="1" applyBorder="1" applyAlignment="1" applyProtection="1">
      <alignment horizontal="right"/>
      <protection/>
    </xf>
    <xf numFmtId="0" fontId="3" fillId="7" borderId="0" xfId="0" applyFont="1" applyFill="1" applyBorder="1" applyAlignment="1" applyProtection="1">
      <alignment horizontal="center"/>
      <protection/>
    </xf>
    <xf numFmtId="0" fontId="20" fillId="7" borderId="0" xfId="0" applyFont="1" applyFill="1" applyBorder="1" applyAlignment="1" applyProtection="1">
      <alignment horizontal="right" vertical="center"/>
      <protection/>
    </xf>
    <xf numFmtId="0" fontId="20" fillId="7" borderId="0" xfId="0" applyFont="1" applyFill="1" applyBorder="1" applyAlignment="1" applyProtection="1">
      <alignment horizontal="left"/>
      <protection/>
    </xf>
    <xf numFmtId="0" fontId="3" fillId="7" borderId="0" xfId="0" applyFont="1" applyFill="1" applyBorder="1" applyAlignment="1" applyProtection="1">
      <alignment horizontal="right"/>
      <protection/>
    </xf>
    <xf numFmtId="166" fontId="3" fillId="0" borderId="15" xfId="0" applyNumberFormat="1" applyFont="1" applyFill="1" applyBorder="1" applyAlignment="1" applyProtection="1">
      <alignment horizontal="center"/>
      <protection/>
    </xf>
    <xf numFmtId="0" fontId="3" fillId="8" borderId="28" xfId="0" applyFont="1" applyFill="1" applyBorder="1" applyAlignment="1" applyProtection="1">
      <alignment horizontal="center" wrapText="1"/>
      <protection/>
    </xf>
    <xf numFmtId="9" fontId="20" fillId="0" borderId="22" xfId="0" applyNumberFormat="1" applyFont="1" applyBorder="1" applyAlignment="1">
      <alignment horizontal="center"/>
    </xf>
    <xf numFmtId="166" fontId="20" fillId="0" borderId="21" xfId="0" applyNumberFormat="1" applyFont="1" applyFill="1" applyBorder="1" applyAlignment="1" applyProtection="1">
      <alignment horizontal="center"/>
      <protection/>
    </xf>
    <xf numFmtId="9" fontId="20" fillId="0" borderId="11" xfId="0" applyNumberFormat="1" applyFont="1" applyBorder="1" applyAlignment="1">
      <alignment horizontal="center"/>
    </xf>
    <xf numFmtId="166" fontId="20" fillId="0" borderId="25" xfId="0" applyNumberFormat="1" applyFont="1" applyFill="1" applyBorder="1" applyAlignment="1" applyProtection="1">
      <alignment horizontal="center"/>
      <protection/>
    </xf>
    <xf numFmtId="0" fontId="34" fillId="2" borderId="0" xfId="0" applyFont="1" applyFill="1" applyBorder="1" applyAlignment="1" applyProtection="1">
      <alignment horizontal="center" vertical="top" wrapText="1"/>
      <protection/>
    </xf>
    <xf numFmtId="0" fontId="34" fillId="2" borderId="2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2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 wrapText="1"/>
      <protection/>
    </xf>
    <xf numFmtId="0" fontId="20" fillId="2" borderId="5" xfId="0" applyFont="1" applyFill="1" applyBorder="1" applyAlignment="1" applyProtection="1">
      <alignment horizontal="left"/>
      <protection/>
    </xf>
    <xf numFmtId="0" fontId="20" fillId="2" borderId="5" xfId="0" applyFont="1" applyFill="1" applyBorder="1" applyAlignment="1" applyProtection="1">
      <alignment/>
      <protection/>
    </xf>
    <xf numFmtId="9" fontId="20" fillId="0" borderId="38" xfId="0" applyNumberFormat="1" applyFont="1" applyBorder="1" applyAlignment="1">
      <alignment horizontal="center"/>
    </xf>
    <xf numFmtId="166" fontId="20" fillId="0" borderId="39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7" borderId="8" xfId="0" applyFont="1" applyFill="1" applyBorder="1" applyAlignment="1" applyProtection="1">
      <alignment/>
      <protection/>
    </xf>
    <xf numFmtId="2" fontId="10" fillId="2" borderId="0" xfId="0" applyNumberFormat="1" applyFont="1" applyFill="1" applyBorder="1" applyAlignment="1" applyProtection="1">
      <alignment horizontal="right" vertical="center" wrapText="1"/>
      <protection/>
    </xf>
    <xf numFmtId="166" fontId="20" fillId="2" borderId="40" xfId="0" applyNumberFormat="1" applyFont="1" applyFill="1" applyBorder="1" applyAlignment="1" applyProtection="1">
      <alignment horizontal="right"/>
      <protection/>
    </xf>
    <xf numFmtId="3" fontId="20" fillId="7" borderId="8" xfId="0" applyNumberFormat="1" applyFont="1" applyFill="1" applyBorder="1" applyAlignment="1" applyProtection="1">
      <alignment/>
      <protection/>
    </xf>
    <xf numFmtId="166" fontId="3" fillId="7" borderId="6" xfId="0" applyNumberFormat="1" applyFont="1" applyFill="1" applyBorder="1" applyAlignment="1" applyProtection="1">
      <alignment horizontal="right"/>
      <protection/>
    </xf>
    <xf numFmtId="3" fontId="3" fillId="7" borderId="6" xfId="0" applyNumberFormat="1" applyFont="1" applyFill="1" applyBorder="1" applyAlignment="1" applyProtection="1">
      <alignment horizontal="right"/>
      <protection/>
    </xf>
    <xf numFmtId="169" fontId="3" fillId="7" borderId="6" xfId="0" applyNumberFormat="1" applyFont="1" applyFill="1" applyBorder="1" applyAlignment="1" applyProtection="1">
      <alignment/>
      <protection/>
    </xf>
    <xf numFmtId="166" fontId="3" fillId="7" borderId="6" xfId="0" applyNumberFormat="1" applyFont="1" applyFill="1" applyBorder="1" applyAlignment="1" applyProtection="1">
      <alignment/>
      <protection/>
    </xf>
    <xf numFmtId="3" fontId="3" fillId="7" borderId="6" xfId="0" applyNumberFormat="1" applyFont="1" applyFill="1" applyBorder="1" applyAlignment="1" applyProtection="1">
      <alignment/>
      <protection/>
    </xf>
    <xf numFmtId="0" fontId="0" fillId="2" borderId="40" xfId="0" applyFill="1" applyBorder="1" applyAlignment="1">
      <alignment/>
    </xf>
    <xf numFmtId="0" fontId="12" fillId="2" borderId="1" xfId="0" applyFont="1" applyFill="1" applyBorder="1" applyAlignment="1" applyProtection="1">
      <alignment vertical="center"/>
      <protection/>
    </xf>
    <xf numFmtId="0" fontId="12" fillId="0" borderId="1" xfId="0" applyFont="1" applyBorder="1" applyAlignment="1">
      <alignment/>
    </xf>
    <xf numFmtId="166" fontId="20" fillId="2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166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>
      <alignment/>
    </xf>
    <xf numFmtId="3" fontId="2" fillId="2" borderId="0" xfId="0" applyNumberFormat="1" applyFont="1" applyFill="1" applyBorder="1" applyAlignment="1" applyProtection="1">
      <alignment/>
      <protection/>
    </xf>
    <xf numFmtId="0" fontId="3" fillId="7" borderId="6" xfId="0" applyFont="1" applyFill="1" applyBorder="1" applyAlignment="1" applyProtection="1">
      <alignment vertical="center"/>
      <protection/>
    </xf>
    <xf numFmtId="166" fontId="2" fillId="2" borderId="4" xfId="0" applyNumberFormat="1" applyFont="1" applyFill="1" applyBorder="1" applyAlignment="1" applyProtection="1">
      <alignment/>
      <protection/>
    </xf>
    <xf numFmtId="169" fontId="2" fillId="2" borderId="0" xfId="0" applyNumberFormat="1" applyFont="1" applyFill="1" applyBorder="1" applyAlignment="1" applyProtection="1">
      <alignment horizontal="right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166" fontId="12" fillId="2" borderId="22" xfId="0" applyNumberFormat="1" applyFont="1" applyFill="1" applyBorder="1" applyAlignment="1" applyProtection="1">
      <alignment horizontal="center"/>
      <protection/>
    </xf>
    <xf numFmtId="3" fontId="12" fillId="2" borderId="21" xfId="0" applyNumberFormat="1" applyFont="1" applyFill="1" applyBorder="1" applyAlignment="1" applyProtection="1">
      <alignment horizontal="center"/>
      <protection/>
    </xf>
    <xf numFmtId="166" fontId="12" fillId="2" borderId="11" xfId="0" applyNumberFormat="1" applyFont="1" applyFill="1" applyBorder="1" applyAlignment="1" applyProtection="1">
      <alignment horizontal="center"/>
      <protection/>
    </xf>
    <xf numFmtId="166" fontId="12" fillId="2" borderId="38" xfId="0" applyNumberFormat="1" applyFont="1" applyFill="1" applyBorder="1" applyAlignment="1" applyProtection="1">
      <alignment horizontal="center"/>
      <protection/>
    </xf>
    <xf numFmtId="0" fontId="2" fillId="8" borderId="16" xfId="0" applyFont="1" applyFill="1" applyBorder="1" applyAlignment="1" applyProtection="1">
      <alignment horizontal="center"/>
      <protection/>
    </xf>
    <xf numFmtId="166" fontId="13" fillId="2" borderId="41" xfId="0" applyNumberFormat="1" applyFont="1" applyFill="1" applyBorder="1" applyAlignment="1" applyProtection="1">
      <alignment horizontal="center"/>
      <protection/>
    </xf>
    <xf numFmtId="3" fontId="12" fillId="2" borderId="25" xfId="0" applyNumberFormat="1" applyFont="1" applyFill="1" applyBorder="1" applyAlignment="1" applyProtection="1">
      <alignment horizontal="center"/>
      <protection/>
    </xf>
    <xf numFmtId="166" fontId="13" fillId="2" borderId="42" xfId="0" applyNumberFormat="1" applyFont="1" applyFill="1" applyBorder="1" applyAlignment="1" applyProtection="1">
      <alignment horizontal="center"/>
      <protection/>
    </xf>
    <xf numFmtId="3" fontId="12" fillId="2" borderId="39" xfId="0" applyNumberFormat="1" applyFont="1" applyFill="1" applyBorder="1" applyAlignment="1" applyProtection="1">
      <alignment horizontal="center"/>
      <protection/>
    </xf>
    <xf numFmtId="166" fontId="13" fillId="2" borderId="43" xfId="0" applyNumberFormat="1" applyFont="1" applyFill="1" applyBorder="1" applyAlignment="1" applyProtection="1">
      <alignment horizontal="center"/>
      <protection/>
    </xf>
    <xf numFmtId="9" fontId="20" fillId="6" borderId="22" xfId="23" applyFont="1" applyFill="1" applyBorder="1" applyAlignment="1" applyProtection="1">
      <alignment horizontal="center"/>
      <protection locked="0"/>
    </xf>
    <xf numFmtId="9" fontId="20" fillId="6" borderId="11" xfId="23" applyFont="1" applyFill="1" applyBorder="1" applyAlignment="1" applyProtection="1">
      <alignment horizontal="center"/>
      <protection locked="0"/>
    </xf>
    <xf numFmtId="9" fontId="20" fillId="6" borderId="38" xfId="23" applyFont="1" applyFill="1" applyBorder="1" applyAlignment="1" applyProtection="1">
      <alignment horizontal="center"/>
      <protection locked="0"/>
    </xf>
    <xf numFmtId="178" fontId="2" fillId="2" borderId="4" xfId="15" applyNumberFormat="1" applyFont="1" applyFill="1" applyBorder="1" applyAlignment="1" applyProtection="1">
      <alignment/>
      <protection/>
    </xf>
    <xf numFmtId="164" fontId="19" fillId="0" borderId="0" xfId="21" applyFont="1" applyFill="1" applyBorder="1" applyAlignment="1">
      <alignment horizontal="center"/>
      <protection/>
    </xf>
    <xf numFmtId="164" fontId="20" fillId="2" borderId="44" xfId="21" applyNumberFormat="1" applyFont="1" applyFill="1" applyBorder="1" applyAlignment="1" applyProtection="1">
      <alignment horizontal="center"/>
      <protection/>
    </xf>
    <xf numFmtId="164" fontId="20" fillId="2" borderId="45" xfId="21" applyNumberFormat="1" applyFont="1" applyFill="1" applyBorder="1" applyAlignment="1" applyProtection="1">
      <alignment horizontal="center"/>
      <protection/>
    </xf>
    <xf numFmtId="164" fontId="3" fillId="0" borderId="6" xfId="21" applyFont="1" applyBorder="1" applyAlignment="1">
      <alignment horizontal="right"/>
      <protection/>
    </xf>
    <xf numFmtId="173" fontId="3" fillId="0" borderId="8" xfId="21" applyNumberFormat="1" applyFont="1" applyBorder="1" applyAlignment="1">
      <alignment horizontal="center"/>
      <protection/>
    </xf>
    <xf numFmtId="173" fontId="3" fillId="2" borderId="8" xfId="21" applyNumberFormat="1" applyFont="1" applyFill="1" applyBorder="1" applyAlignment="1" applyProtection="1">
      <alignment horizontal="center"/>
      <protection/>
    </xf>
    <xf numFmtId="164" fontId="3" fillId="2" borderId="7" xfId="21" applyFont="1" applyFill="1" applyBorder="1" applyAlignment="1" applyProtection="1">
      <alignment horizontal="right"/>
      <protection/>
    </xf>
    <xf numFmtId="164" fontId="3" fillId="2" borderId="46" xfId="21" applyFont="1" applyFill="1" applyBorder="1" applyAlignment="1" applyProtection="1">
      <alignment horizontal="center"/>
      <protection/>
    </xf>
    <xf numFmtId="173" fontId="20" fillId="2" borderId="47" xfId="21" applyNumberFormat="1" applyFont="1" applyFill="1" applyBorder="1" applyAlignment="1" applyProtection="1">
      <alignment horizontal="center"/>
      <protection/>
    </xf>
    <xf numFmtId="164" fontId="20" fillId="2" borderId="48" xfId="21" applyNumberFormat="1" applyFont="1" applyFill="1" applyBorder="1" applyAlignment="1" applyProtection="1">
      <alignment horizontal="center"/>
      <protection/>
    </xf>
    <xf numFmtId="164" fontId="3" fillId="2" borderId="7" xfId="21" applyFont="1" applyFill="1" applyBorder="1" applyProtection="1">
      <alignment/>
      <protection/>
    </xf>
    <xf numFmtId="0" fontId="20" fillId="6" borderId="16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right" vertical="center"/>
    </xf>
    <xf numFmtId="185" fontId="0" fillId="6" borderId="5" xfId="0" applyNumberFormat="1" applyFill="1" applyBorder="1" applyAlignment="1" applyProtection="1">
      <alignment horizontal="center" vertical="center"/>
      <protection locked="0"/>
    </xf>
    <xf numFmtId="186" fontId="25" fillId="3" borderId="5" xfId="21" applyNumberFormat="1" applyFont="1" applyFill="1" applyBorder="1" applyAlignment="1" applyProtection="1">
      <alignment horizontal="center"/>
      <protection/>
    </xf>
    <xf numFmtId="173" fontId="3" fillId="2" borderId="5" xfId="21" applyNumberFormat="1" applyFont="1" applyFill="1" applyBorder="1" applyAlignment="1" applyProtection="1">
      <alignment horizontal="center" vertical="center"/>
      <protection/>
    </xf>
    <xf numFmtId="166" fontId="3" fillId="2" borderId="3" xfId="0" applyNumberFormat="1" applyFont="1" applyFill="1" applyBorder="1" applyAlignment="1" applyProtection="1">
      <alignment horizontal="center"/>
      <protection/>
    </xf>
    <xf numFmtId="164" fontId="19" fillId="4" borderId="6" xfId="21" applyFont="1" applyFill="1" applyBorder="1" applyAlignment="1">
      <alignment/>
      <protection/>
    </xf>
    <xf numFmtId="164" fontId="19" fillId="4" borderId="7" xfId="21" applyFont="1" applyFill="1" applyBorder="1" applyAlignment="1">
      <alignment/>
      <protection/>
    </xf>
    <xf numFmtId="164" fontId="19" fillId="4" borderId="8" xfId="21" applyFont="1" applyFill="1" applyBorder="1" applyAlignment="1">
      <alignment/>
      <protection/>
    </xf>
    <xf numFmtId="164" fontId="19" fillId="0" borderId="1" xfId="21" applyFont="1" applyBorder="1">
      <alignment/>
      <protection/>
    </xf>
    <xf numFmtId="164" fontId="19" fillId="0" borderId="2" xfId="21" applyFont="1" applyBorder="1">
      <alignment/>
      <protection/>
    </xf>
    <xf numFmtId="164" fontId="18" fillId="0" borderId="1" xfId="21" applyFont="1" applyBorder="1">
      <alignment/>
      <protection/>
    </xf>
    <xf numFmtId="164" fontId="18" fillId="0" borderId="3" xfId="21" applyFont="1" applyBorder="1">
      <alignment/>
      <protection/>
    </xf>
    <xf numFmtId="164" fontId="18" fillId="0" borderId="2" xfId="21" applyFont="1" applyBorder="1">
      <alignment/>
      <protection/>
    </xf>
    <xf numFmtId="164" fontId="19" fillId="0" borderId="3" xfId="21" applyFont="1" applyBorder="1">
      <alignment/>
      <protection/>
    </xf>
    <xf numFmtId="164" fontId="19" fillId="0" borderId="5" xfId="21" applyFont="1" applyBorder="1">
      <alignment/>
      <protection/>
    </xf>
    <xf numFmtId="164" fontId="19" fillId="0" borderId="0" xfId="21" applyFont="1" applyBorder="1">
      <alignment/>
      <protection/>
    </xf>
    <xf numFmtId="166" fontId="18" fillId="0" borderId="1" xfId="21" applyNumberFormat="1" applyFont="1" applyBorder="1" applyAlignment="1">
      <alignment horizontal="center"/>
      <protection/>
    </xf>
    <xf numFmtId="166" fontId="18" fillId="0" borderId="0" xfId="21" applyNumberFormat="1" applyFont="1" applyBorder="1" applyAlignment="1">
      <alignment horizontal="center"/>
      <protection/>
    </xf>
    <xf numFmtId="173" fontId="18" fillId="0" borderId="0" xfId="21" applyNumberFormat="1" applyFont="1" applyBorder="1" applyAlignment="1">
      <alignment horizontal="center"/>
      <protection/>
    </xf>
    <xf numFmtId="164" fontId="18" fillId="0" borderId="0" xfId="21" applyFont="1" applyBorder="1">
      <alignment/>
      <protection/>
    </xf>
    <xf numFmtId="164" fontId="18" fillId="0" borderId="5" xfId="21" applyFont="1" applyBorder="1">
      <alignment/>
      <protection/>
    </xf>
    <xf numFmtId="164" fontId="18" fillId="0" borderId="0" xfId="21" applyFont="1" applyBorder="1" applyAlignment="1">
      <alignment horizontal="right"/>
      <protection/>
    </xf>
    <xf numFmtId="164" fontId="19" fillId="0" borderId="4" xfId="21" applyFont="1" applyBorder="1">
      <alignment/>
      <protection/>
    </xf>
    <xf numFmtId="164" fontId="18" fillId="0" borderId="4" xfId="21" applyFont="1" applyBorder="1" applyAlignment="1">
      <alignment horizontal="right"/>
      <protection/>
    </xf>
    <xf numFmtId="166" fontId="18" fillId="5" borderId="1" xfId="21" applyNumberFormat="1" applyFont="1" applyFill="1" applyBorder="1" applyAlignment="1">
      <alignment horizontal="center"/>
      <protection/>
    </xf>
    <xf numFmtId="166" fontId="18" fillId="5" borderId="0" xfId="21" applyNumberFormat="1" applyFont="1" applyFill="1" applyBorder="1" applyAlignment="1">
      <alignment horizontal="center"/>
      <protection/>
    </xf>
    <xf numFmtId="164" fontId="18" fillId="5" borderId="0" xfId="21" applyFont="1" applyFill="1" applyBorder="1" applyAlignment="1">
      <alignment horizontal="center"/>
      <protection/>
    </xf>
    <xf numFmtId="173" fontId="19" fillId="0" borderId="1" xfId="21" applyNumberFormat="1" applyFont="1" applyBorder="1">
      <alignment/>
      <protection/>
    </xf>
    <xf numFmtId="173" fontId="18" fillId="0" borderId="1" xfId="21" applyNumberFormat="1" applyFont="1" applyBorder="1">
      <alignment/>
      <protection/>
    </xf>
    <xf numFmtId="173" fontId="19" fillId="0" borderId="3" xfId="21" applyNumberFormat="1" applyFont="1" applyBorder="1">
      <alignment/>
      <protection/>
    </xf>
    <xf numFmtId="164" fontId="3" fillId="2" borderId="2" xfId="21" applyFont="1" applyFill="1" applyBorder="1" applyProtection="1">
      <alignment/>
      <protection/>
    </xf>
    <xf numFmtId="173" fontId="3" fillId="2" borderId="9" xfId="21" applyNumberFormat="1" applyFont="1" applyFill="1" applyBorder="1" applyAlignment="1" applyProtection="1">
      <alignment horizontal="right"/>
      <protection/>
    </xf>
    <xf numFmtId="173" fontId="3" fillId="2" borderId="1" xfId="21" applyNumberFormat="1" applyFont="1" applyFill="1" applyBorder="1" applyAlignment="1" applyProtection="1">
      <alignment horizontal="right"/>
      <protection/>
    </xf>
    <xf numFmtId="164" fontId="43" fillId="2" borderId="1" xfId="21" applyFont="1" applyFill="1" applyBorder="1" applyProtection="1">
      <alignment/>
      <protection/>
    </xf>
    <xf numFmtId="173" fontId="3" fillId="2" borderId="2" xfId="21" applyNumberFormat="1" applyFont="1" applyFill="1" applyBorder="1" applyAlignment="1" applyProtection="1">
      <alignment horizontal="center" vertical="center"/>
      <protection/>
    </xf>
    <xf numFmtId="173" fontId="20" fillId="2" borderId="49" xfId="21" applyNumberFormat="1" applyFont="1" applyFill="1" applyBorder="1" applyAlignment="1" applyProtection="1">
      <alignment horizontal="center"/>
      <protection/>
    </xf>
    <xf numFmtId="164" fontId="0" fillId="5" borderId="50" xfId="21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/>
      <protection/>
    </xf>
    <xf numFmtId="0" fontId="3" fillId="2" borderId="52" xfId="0" applyFont="1" applyFill="1" applyBorder="1" applyAlignment="1" applyProtection="1">
      <alignment horizontal="right" vertical="center"/>
      <protection/>
    </xf>
    <xf numFmtId="0" fontId="3" fillId="2" borderId="53" xfId="0" applyFont="1" applyFill="1" applyBorder="1" applyAlignment="1" applyProtection="1">
      <alignment horizontal="center"/>
      <protection/>
    </xf>
    <xf numFmtId="0" fontId="20" fillId="6" borderId="54" xfId="0" applyFont="1" applyFill="1" applyBorder="1" applyAlignment="1" applyProtection="1">
      <alignment horizontal="center"/>
      <protection locked="0"/>
    </xf>
    <xf numFmtId="173" fontId="3" fillId="2" borderId="3" xfId="21" applyNumberFormat="1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 horizontal="left" vertical="center"/>
      <protection/>
    </xf>
    <xf numFmtId="0" fontId="2" fillId="8" borderId="6" xfId="0" applyFont="1" applyFill="1" applyBorder="1" applyAlignment="1" applyProtection="1">
      <alignment horizontal="center"/>
      <protection/>
    </xf>
    <xf numFmtId="0" fontId="2" fillId="8" borderId="8" xfId="0" applyFont="1" applyFill="1" applyBorder="1" applyAlignment="1">
      <alignment horizontal="center"/>
    </xf>
    <xf numFmtId="0" fontId="0" fillId="0" borderId="1" xfId="0" applyBorder="1" applyAlignment="1" applyProtection="1">
      <alignment horizontal="left"/>
      <protection/>
    </xf>
    <xf numFmtId="9" fontId="0" fillId="0" borderId="2" xfId="23" applyBorder="1" applyAlignment="1">
      <alignment horizontal="center"/>
    </xf>
    <xf numFmtId="0" fontId="0" fillId="0" borderId="1" xfId="0" applyFont="1" applyBorder="1" applyAlignment="1" applyProtection="1">
      <alignment horizontal="left"/>
      <protection/>
    </xf>
    <xf numFmtId="9" fontId="0" fillId="0" borderId="2" xfId="23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left"/>
      <protection/>
    </xf>
    <xf numFmtId="0" fontId="46" fillId="0" borderId="3" xfId="0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2" fillId="2" borderId="55" xfId="0" applyFont="1" applyFill="1" applyBorder="1" applyAlignment="1" applyProtection="1">
      <alignment horizontal="right"/>
      <protection/>
    </xf>
    <xf numFmtId="0" fontId="2" fillId="2" borderId="56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4" borderId="28" xfId="0" applyFill="1" applyBorder="1" applyAlignment="1" applyProtection="1">
      <alignment horizontal="center"/>
      <protection/>
    </xf>
    <xf numFmtId="0" fontId="0" fillId="2" borderId="11" xfId="0" applyFont="1" applyFill="1" applyBorder="1" applyAlignment="1" applyProtection="1">
      <alignment horizontal="center" vertical="center"/>
      <protection/>
    </xf>
    <xf numFmtId="0" fontId="2" fillId="4" borderId="6" xfId="0" applyFont="1" applyFill="1" applyBorder="1" applyAlignment="1" applyProtection="1">
      <alignment horizontal="left" vertical="center"/>
      <protection/>
    </xf>
    <xf numFmtId="0" fontId="0" fillId="4" borderId="28" xfId="0" applyFill="1" applyBorder="1" applyAlignment="1" applyProtection="1">
      <alignment horizontal="left" vertical="center"/>
      <protection/>
    </xf>
    <xf numFmtId="0" fontId="0" fillId="2" borderId="25" xfId="0" applyFont="1" applyFill="1" applyBorder="1" applyAlignment="1" applyProtection="1">
      <alignment horizontal="center" vertical="center"/>
      <protection/>
    </xf>
    <xf numFmtId="0" fontId="0" fillId="2" borderId="38" xfId="0" applyFont="1" applyFill="1" applyBorder="1" applyAlignment="1" applyProtection="1">
      <alignment horizontal="center" vertical="center"/>
      <protection/>
    </xf>
    <xf numFmtId="0" fontId="0" fillId="2" borderId="39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164" fontId="2" fillId="2" borderId="0" xfId="21" applyFont="1" applyFill="1" applyBorder="1" applyAlignment="1" applyProtection="1">
      <alignment horizontal="right" vertical="center"/>
      <protection/>
    </xf>
    <xf numFmtId="0" fontId="0" fillId="2" borderId="10" xfId="0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0" fillId="6" borderId="11" xfId="0" applyFill="1" applyBorder="1" applyAlignment="1" applyProtection="1">
      <alignment vertical="center"/>
      <protection locked="0"/>
    </xf>
    <xf numFmtId="0" fontId="1" fillId="3" borderId="26" xfId="0" applyFont="1" applyFill="1" applyBorder="1" applyAlignment="1" applyProtection="1">
      <alignment horizontal="right"/>
      <protection/>
    </xf>
    <xf numFmtId="0" fontId="0" fillId="4" borderId="8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164" fontId="0" fillId="2" borderId="0" xfId="21" applyFont="1" applyFill="1" applyBorder="1" applyAlignment="1" applyProtection="1">
      <alignment vertical="center"/>
      <protection/>
    </xf>
    <xf numFmtId="1" fontId="0" fillId="2" borderId="16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38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/>
      <protection/>
    </xf>
    <xf numFmtId="0" fontId="0" fillId="2" borderId="57" xfId="0" applyFill="1" applyBorder="1" applyAlignment="1" applyProtection="1">
      <alignment/>
      <protection/>
    </xf>
    <xf numFmtId="0" fontId="0" fillId="2" borderId="58" xfId="0" applyFill="1" applyBorder="1" applyAlignment="1" applyProtection="1">
      <alignment/>
      <protection/>
    </xf>
    <xf numFmtId="0" fontId="10" fillId="2" borderId="59" xfId="0" applyFont="1" applyFill="1" applyBorder="1" applyAlignment="1" applyProtection="1">
      <alignment/>
      <protection/>
    </xf>
    <xf numFmtId="0" fontId="0" fillId="2" borderId="58" xfId="0" applyFill="1" applyBorder="1" applyAlignment="1" applyProtection="1">
      <alignment/>
      <protection/>
    </xf>
    <xf numFmtId="166" fontId="0" fillId="2" borderId="60" xfId="0" applyNumberFormat="1" applyFill="1" applyBorder="1" applyAlignment="1" applyProtection="1">
      <alignment/>
      <protection/>
    </xf>
    <xf numFmtId="166" fontId="0" fillId="0" borderId="60" xfId="0" applyNumberFormat="1" applyBorder="1" applyAlignment="1" applyProtection="1">
      <alignment/>
      <protection/>
    </xf>
    <xf numFmtId="166" fontId="2" fillId="2" borderId="56" xfId="0" applyNumberFormat="1" applyFont="1" applyFill="1" applyBorder="1" applyAlignment="1" applyProtection="1">
      <alignment/>
      <protection/>
    </xf>
    <xf numFmtId="0" fontId="0" fillId="2" borderId="58" xfId="0" applyFont="1" applyFill="1" applyBorder="1" applyAlignment="1" applyProtection="1">
      <alignment horizontal="right"/>
      <protection/>
    </xf>
    <xf numFmtId="0" fontId="0" fillId="2" borderId="61" xfId="0" applyFill="1" applyBorder="1" applyAlignment="1" applyProtection="1">
      <alignment/>
      <protection/>
    </xf>
    <xf numFmtId="0" fontId="0" fillId="2" borderId="6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60" xfId="0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1" fontId="0" fillId="2" borderId="2" xfId="0" applyNumberFormat="1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166" fontId="0" fillId="2" borderId="28" xfId="0" applyNumberFormat="1" applyFont="1" applyFill="1" applyBorder="1" applyAlignment="1" applyProtection="1">
      <alignment horizontal="center" vertical="center"/>
      <protection/>
    </xf>
    <xf numFmtId="166" fontId="0" fillId="6" borderId="42" xfId="0" applyNumberFormat="1" applyFont="1" applyFill="1" applyBorder="1" applyAlignment="1" applyProtection="1">
      <alignment horizontal="center" vertical="center"/>
      <protection locked="0"/>
    </xf>
    <xf numFmtId="166" fontId="0" fillId="6" borderId="43" xfId="0" applyNumberFormat="1" applyFont="1" applyFill="1" applyBorder="1" applyAlignment="1" applyProtection="1">
      <alignment horizontal="center" vertical="center"/>
      <protection locked="0"/>
    </xf>
    <xf numFmtId="164" fontId="20" fillId="2" borderId="49" xfId="21" applyNumberFormat="1" applyFont="1" applyFill="1" applyBorder="1" applyAlignment="1" applyProtection="1">
      <alignment horizontal="center"/>
      <protection/>
    </xf>
    <xf numFmtId="0" fontId="2" fillId="0" borderId="62" xfId="0" applyFont="1" applyBorder="1" applyAlignment="1">
      <alignment/>
    </xf>
    <xf numFmtId="0" fontId="0" fillId="0" borderId="63" xfId="0" applyFont="1" applyBorder="1" applyAlignment="1">
      <alignment horizontal="center"/>
    </xf>
    <xf numFmtId="0" fontId="2" fillId="0" borderId="64" xfId="0" applyFont="1" applyBorder="1" applyAlignment="1">
      <alignment/>
    </xf>
    <xf numFmtId="0" fontId="2" fillId="0" borderId="6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3" fontId="0" fillId="0" borderId="0" xfId="0" applyNumberFormat="1" applyAlignment="1">
      <alignment horizontal="center"/>
    </xf>
    <xf numFmtId="2" fontId="1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169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4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6" fontId="0" fillId="2" borderId="16" xfId="0" applyNumberFormat="1" applyFont="1" applyFill="1" applyBorder="1" applyAlignment="1">
      <alignment horizontal="center"/>
    </xf>
    <xf numFmtId="169" fontId="0" fillId="2" borderId="3" xfId="0" applyNumberFormat="1" applyFont="1" applyFill="1" applyBorder="1" applyAlignment="1" applyProtection="1">
      <alignment horizontal="center"/>
      <protection locked="0"/>
    </xf>
    <xf numFmtId="169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3" fontId="0" fillId="2" borderId="40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2" fontId="0" fillId="2" borderId="40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3" fontId="0" fillId="2" borderId="3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0" fillId="2" borderId="15" xfId="0" applyFont="1" applyFill="1" applyBorder="1" applyAlignment="1">
      <alignment horizontal="center" wrapText="1"/>
    </xf>
    <xf numFmtId="3" fontId="0" fillId="2" borderId="16" xfId="0" applyNumberFormat="1" applyFont="1" applyFill="1" applyBorder="1" applyAlignment="1">
      <alignment horizontal="center"/>
    </xf>
    <xf numFmtId="178" fontId="2" fillId="2" borderId="4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" borderId="5" xfId="0" applyFont="1" applyFill="1" applyBorder="1" applyAlignment="1" applyProtection="1">
      <alignment/>
      <protection/>
    </xf>
    <xf numFmtId="164" fontId="20" fillId="2" borderId="0" xfId="21" applyFont="1" applyFill="1" applyBorder="1" applyProtection="1">
      <alignment/>
      <protection/>
    </xf>
    <xf numFmtId="176" fontId="20" fillId="0" borderId="8" xfId="21" applyNumberFormat="1" applyFont="1" applyBorder="1" applyAlignment="1">
      <alignment/>
      <protection/>
    </xf>
    <xf numFmtId="2" fontId="0" fillId="0" borderId="0" xfId="0" applyNumberFormat="1" applyAlignment="1">
      <alignment horizontal="center"/>
    </xf>
    <xf numFmtId="0" fontId="2" fillId="8" borderId="0" xfId="0" applyFont="1" applyFill="1" applyAlignment="1" applyProtection="1">
      <alignment horizontal="center"/>
      <protection/>
    </xf>
    <xf numFmtId="0" fontId="2" fillId="8" borderId="0" xfId="0" applyFont="1" applyFill="1" applyBorder="1" applyAlignment="1" applyProtection="1">
      <alignment horizontal="center"/>
      <protection/>
    </xf>
    <xf numFmtId="0" fontId="2" fillId="8" borderId="0" xfId="0" applyFont="1" applyFill="1" applyAlignment="1">
      <alignment horizontal="center"/>
    </xf>
    <xf numFmtId="0" fontId="11" fillId="8" borderId="0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left" vertical="top" wrapText="1"/>
      <protection/>
    </xf>
    <xf numFmtId="2" fontId="20" fillId="2" borderId="28" xfId="0" applyNumberFormat="1" applyFont="1" applyFill="1" applyBorder="1" applyAlignment="1" applyProtection="1">
      <alignment horizontal="right"/>
      <protection/>
    </xf>
    <xf numFmtId="0" fontId="20" fillId="2" borderId="41" xfId="0" applyFont="1" applyFill="1" applyBorder="1" applyAlignment="1">
      <alignment horizontal="center" vertical="center"/>
    </xf>
    <xf numFmtId="2" fontId="20" fillId="2" borderId="22" xfId="15" applyNumberFormat="1" applyFont="1" applyFill="1" applyBorder="1" applyAlignment="1">
      <alignment horizontal="center" vertical="center"/>
    </xf>
    <xf numFmtId="3" fontId="20" fillId="2" borderId="22" xfId="15" applyNumberFormat="1" applyFont="1" applyFill="1" applyBorder="1" applyAlignment="1">
      <alignment horizontal="center" vertical="center"/>
    </xf>
    <xf numFmtId="1" fontId="20" fillId="2" borderId="21" xfId="0" applyNumberFormat="1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2" fontId="20" fillId="2" borderId="11" xfId="15" applyNumberFormat="1" applyFont="1" applyFill="1" applyBorder="1" applyAlignment="1">
      <alignment horizontal="center" vertical="center"/>
    </xf>
    <xf numFmtId="3" fontId="20" fillId="2" borderId="11" xfId="15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50" fillId="9" borderId="9" xfId="0" applyFont="1" applyFill="1" applyBorder="1" applyAlignment="1">
      <alignment/>
    </xf>
    <xf numFmtId="0" fontId="50" fillId="9" borderId="10" xfId="0" applyFont="1" applyFill="1" applyBorder="1" applyAlignment="1">
      <alignment/>
    </xf>
    <xf numFmtId="0" fontId="50" fillId="9" borderId="26" xfId="0" applyFont="1" applyFill="1" applyBorder="1" applyAlignment="1">
      <alignment/>
    </xf>
    <xf numFmtId="0" fontId="25" fillId="9" borderId="3" xfId="0" applyFont="1" applyFill="1" applyBorder="1" applyAlignment="1">
      <alignment/>
    </xf>
    <xf numFmtId="0" fontId="50" fillId="9" borderId="4" xfId="0" applyFont="1" applyFill="1" applyBorder="1" applyAlignment="1">
      <alignment/>
    </xf>
    <xf numFmtId="0" fontId="25" fillId="9" borderId="4" xfId="0" applyFont="1" applyFill="1" applyBorder="1" applyAlignment="1">
      <alignment/>
    </xf>
    <xf numFmtId="0" fontId="50" fillId="9" borderId="5" xfId="0" applyFont="1" applyFill="1" applyBorder="1" applyAlignment="1">
      <alignment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1" fontId="2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0" fillId="2" borderId="5" xfId="0" applyFill="1" applyBorder="1" applyAlignment="1">
      <alignment vertical="center" wrapText="1"/>
    </xf>
    <xf numFmtId="166" fontId="0" fillId="2" borderId="11" xfId="0" applyNumberFormat="1" applyFill="1" applyBorder="1" applyAlignment="1">
      <alignment horizontal="center"/>
    </xf>
    <xf numFmtId="0" fontId="20" fillId="6" borderId="11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85" fontId="20" fillId="2" borderId="26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85" fontId="20" fillId="2" borderId="5" xfId="0" applyNumberFormat="1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right" vertical="center" wrapText="1"/>
    </xf>
    <xf numFmtId="0" fontId="20" fillId="2" borderId="22" xfId="0" applyFont="1" applyFill="1" applyBorder="1" applyAlignment="1">
      <alignment horizontal="right" vertical="center" wrapText="1"/>
    </xf>
    <xf numFmtId="0" fontId="20" fillId="2" borderId="22" xfId="0" applyFont="1" applyFill="1" applyBorder="1" applyAlignment="1">
      <alignment horizontal="right" vertical="center" wrapText="1"/>
    </xf>
    <xf numFmtId="0" fontId="20" fillId="2" borderId="42" xfId="0" applyFont="1" applyFill="1" applyBorder="1" applyAlignment="1">
      <alignment horizontal="right" vertical="center" wrapText="1"/>
    </xf>
    <xf numFmtId="0" fontId="20" fillId="2" borderId="11" xfId="0" applyFont="1" applyFill="1" applyBorder="1" applyAlignment="1">
      <alignment horizontal="right" vertical="center" wrapText="1"/>
    </xf>
    <xf numFmtId="0" fontId="20" fillId="2" borderId="11" xfId="0" applyFont="1" applyFill="1" applyBorder="1" applyAlignment="1">
      <alignment horizontal="right" vertical="center" wrapText="1"/>
    </xf>
    <xf numFmtId="0" fontId="20" fillId="2" borderId="43" xfId="0" applyFont="1" applyFill="1" applyBorder="1" applyAlignment="1">
      <alignment horizontal="right" vertical="center" wrapText="1"/>
    </xf>
    <xf numFmtId="0" fontId="20" fillId="2" borderId="38" xfId="0" applyFont="1" applyFill="1" applyBorder="1" applyAlignment="1">
      <alignment horizontal="right" vertical="center" wrapText="1"/>
    </xf>
    <xf numFmtId="0" fontId="20" fillId="2" borderId="38" xfId="0" applyFont="1" applyFill="1" applyBorder="1" applyAlignment="1">
      <alignment horizontal="right" vertical="center" wrapText="1"/>
    </xf>
    <xf numFmtId="9" fontId="20" fillId="2" borderId="22" xfId="23" applyNumberFormat="1" applyFont="1" applyFill="1" applyBorder="1" applyAlignment="1">
      <alignment horizontal="center" vertical="center" wrapText="1"/>
    </xf>
    <xf numFmtId="9" fontId="20" fillId="2" borderId="11" xfId="23" applyNumberFormat="1" applyFont="1" applyFill="1" applyBorder="1" applyAlignment="1">
      <alignment horizontal="center" vertical="center" wrapText="1"/>
    </xf>
    <xf numFmtId="9" fontId="20" fillId="2" borderId="38" xfId="23" applyNumberFormat="1" applyFont="1" applyFill="1" applyBorder="1" applyAlignment="1">
      <alignment horizontal="center" vertical="center" wrapText="1"/>
    </xf>
    <xf numFmtId="0" fontId="54" fillId="2" borderId="15" xfId="0" applyFont="1" applyFill="1" applyBorder="1" applyAlignment="1">
      <alignment vertical="center" wrapText="1"/>
    </xf>
    <xf numFmtId="0" fontId="31" fillId="2" borderId="40" xfId="0" applyFont="1" applyFill="1" applyBorder="1" applyAlignment="1">
      <alignment vertical="center" wrapText="1"/>
    </xf>
    <xf numFmtId="0" fontId="53" fillId="8" borderId="28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/>
    </xf>
    <xf numFmtId="2" fontId="20" fillId="2" borderId="38" xfId="15" applyNumberFormat="1" applyFont="1" applyFill="1" applyBorder="1" applyAlignment="1">
      <alignment horizontal="center" vertical="center"/>
    </xf>
    <xf numFmtId="3" fontId="20" fillId="2" borderId="38" xfId="15" applyNumberFormat="1" applyFont="1" applyFill="1" applyBorder="1" applyAlignment="1">
      <alignment horizontal="center" vertical="center"/>
    </xf>
    <xf numFmtId="1" fontId="20" fillId="2" borderId="39" xfId="0" applyNumberFormat="1" applyFont="1" applyFill="1" applyBorder="1" applyAlignment="1">
      <alignment horizontal="center" vertical="center"/>
    </xf>
    <xf numFmtId="169" fontId="2" fillId="2" borderId="1" xfId="0" applyNumberFormat="1" applyFont="1" applyFill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horizontal="left" vertical="center"/>
      <protection/>
    </xf>
    <xf numFmtId="0" fontId="0" fillId="0" borderId="1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" fillId="2" borderId="1" xfId="0" applyNumberFormat="1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" fontId="12" fillId="2" borderId="21" xfId="0" applyNumberFormat="1" applyFont="1" applyFill="1" applyBorder="1" applyAlignment="1" applyProtection="1">
      <alignment horizontal="right"/>
      <protection/>
    </xf>
    <xf numFmtId="3" fontId="12" fillId="2" borderId="25" xfId="0" applyNumberFormat="1" applyFont="1" applyFill="1" applyBorder="1" applyAlignment="1" applyProtection="1">
      <alignment horizontal="right"/>
      <protection/>
    </xf>
    <xf numFmtId="3" fontId="12" fillId="2" borderId="39" xfId="0" applyNumberFormat="1" applyFont="1" applyFill="1" applyBorder="1" applyAlignment="1" applyProtection="1">
      <alignment horizontal="right"/>
      <protection/>
    </xf>
    <xf numFmtId="166" fontId="0" fillId="0" borderId="0" xfId="0" applyNumberFormat="1" applyAlignment="1" applyProtection="1">
      <alignment horizontal="center"/>
      <protection/>
    </xf>
    <xf numFmtId="4" fontId="20" fillId="6" borderId="28" xfId="0" applyNumberFormat="1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>
      <alignment/>
    </xf>
    <xf numFmtId="0" fontId="12" fillId="2" borderId="0" xfId="0" applyFont="1" applyFill="1" applyBorder="1" applyAlignment="1" applyProtection="1">
      <alignment horizontal="right"/>
      <protection/>
    </xf>
    <xf numFmtId="169" fontId="11" fillId="2" borderId="1" xfId="0" applyNumberFormat="1" applyFont="1" applyFill="1" applyBorder="1" applyAlignment="1" applyProtection="1">
      <alignment vertical="center"/>
      <protection/>
    </xf>
    <xf numFmtId="0" fontId="10" fillId="2" borderId="1" xfId="0" applyFont="1" applyFill="1" applyBorder="1" applyAlignment="1" applyProtection="1">
      <alignment vertical="center"/>
      <protection/>
    </xf>
    <xf numFmtId="166" fontId="11" fillId="0" borderId="0" xfId="0" applyNumberFormat="1" applyFont="1" applyBorder="1" applyAlignment="1" applyProtection="1">
      <alignment horizontal="left" vertical="center"/>
      <protection/>
    </xf>
    <xf numFmtId="0" fontId="11" fillId="2" borderId="1" xfId="0" applyFont="1" applyFill="1" applyBorder="1" applyAlignment="1" applyProtection="1">
      <alignment vertical="center"/>
      <protection/>
    </xf>
    <xf numFmtId="169" fontId="11" fillId="2" borderId="0" xfId="0" applyNumberFormat="1" applyFont="1" applyFill="1" applyBorder="1" applyAlignment="1" applyProtection="1">
      <alignment horizontal="left"/>
      <protection/>
    </xf>
    <xf numFmtId="166" fontId="11" fillId="2" borderId="1" xfId="0" applyNumberFormat="1" applyFont="1" applyFill="1" applyBorder="1" applyAlignment="1" applyProtection="1">
      <alignment vertical="center"/>
      <protection/>
    </xf>
    <xf numFmtId="169" fontId="20" fillId="2" borderId="6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Alignment="1">
      <alignment/>
    </xf>
    <xf numFmtId="169" fontId="3" fillId="8" borderId="28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0" fillId="2" borderId="65" xfId="0" applyFont="1" applyFill="1" applyBorder="1" applyAlignment="1">
      <alignment horizontal="right" vertical="center"/>
    </xf>
    <xf numFmtId="0" fontId="56" fillId="2" borderId="0" xfId="0" applyFont="1" applyFill="1" applyBorder="1" applyAlignment="1">
      <alignment vertical="center" wrapText="1"/>
    </xf>
    <xf numFmtId="0" fontId="56" fillId="2" borderId="2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right"/>
    </xf>
    <xf numFmtId="0" fontId="0" fillId="6" borderId="11" xfId="0" applyFill="1" applyBorder="1" applyAlignment="1" applyProtection="1">
      <alignment horizontal="center"/>
      <protection locked="0"/>
    </xf>
    <xf numFmtId="3" fontId="0" fillId="2" borderId="11" xfId="0" applyNumberFormat="1" applyFill="1" applyBorder="1" applyAlignment="1" applyProtection="1">
      <alignment horizontal="center"/>
      <protection/>
    </xf>
    <xf numFmtId="0" fontId="24" fillId="5" borderId="0" xfId="22" applyFont="1" applyFill="1" applyBorder="1" applyAlignment="1">
      <alignment horizontal="center"/>
      <protection/>
    </xf>
    <xf numFmtId="166" fontId="3" fillId="2" borderId="6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164" fontId="20" fillId="2" borderId="66" xfId="21" applyNumberFormat="1" applyFont="1" applyFill="1" applyBorder="1" applyAlignment="1" applyProtection="1">
      <alignment horizontal="center"/>
      <protection/>
    </xf>
    <xf numFmtId="164" fontId="0" fillId="5" borderId="67" xfId="21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left" wrapText="1"/>
      <protection/>
    </xf>
    <xf numFmtId="0" fontId="10" fillId="2" borderId="0" xfId="0" applyFont="1" applyFill="1" applyBorder="1" applyAlignment="1" applyProtection="1">
      <alignment horizontal="left" wrapText="1"/>
      <protection/>
    </xf>
    <xf numFmtId="0" fontId="10" fillId="2" borderId="2" xfId="0" applyFont="1" applyFill="1" applyBorder="1" applyAlignment="1" applyProtection="1">
      <alignment horizontal="left" wrapText="1"/>
      <protection/>
    </xf>
    <xf numFmtId="1" fontId="20" fillId="2" borderId="28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4" fontId="20" fillId="6" borderId="3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0" fillId="2" borderId="0" xfId="0" applyFont="1" applyFill="1" applyBorder="1" applyAlignment="1">
      <alignment horizontal="left" wrapText="1"/>
    </xf>
    <xf numFmtId="178" fontId="2" fillId="2" borderId="4" xfId="15" applyNumberFormat="1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178" fontId="2" fillId="2" borderId="4" xfId="0" applyNumberFormat="1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166" fontId="10" fillId="0" borderId="0" xfId="0" applyNumberFormat="1" applyFont="1" applyBorder="1" applyAlignment="1">
      <alignment vertical="center"/>
    </xf>
    <xf numFmtId="169" fontId="2" fillId="0" borderId="1" xfId="0" applyNumberFormat="1" applyFont="1" applyBorder="1" applyAlignment="1">
      <alignment/>
    </xf>
    <xf numFmtId="169" fontId="57" fillId="2" borderId="1" xfId="0" applyNumberFormat="1" applyFont="1" applyFill="1" applyBorder="1" applyAlignment="1" applyProtection="1">
      <alignment horizontal="right"/>
      <protection/>
    </xf>
    <xf numFmtId="0" fontId="2" fillId="5" borderId="1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0" fontId="0" fillId="5" borderId="10" xfId="0" applyFont="1" applyFill="1" applyBorder="1" applyAlignment="1" applyProtection="1">
      <alignment horizontal="left"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2" xfId="0" applyFont="1" applyFill="1" applyBorder="1" applyAlignment="1" applyProtection="1">
      <alignment vertical="center"/>
      <protection/>
    </xf>
    <xf numFmtId="173" fontId="3" fillId="2" borderId="0" xfId="21" applyNumberFormat="1" applyFont="1" applyFill="1" applyBorder="1" applyAlignment="1" applyProtection="1">
      <alignment horizontal="center"/>
      <protection/>
    </xf>
    <xf numFmtId="164" fontId="2" fillId="2" borderId="7" xfId="21" applyFont="1" applyFill="1" applyBorder="1" applyAlignment="1" applyProtection="1">
      <alignment horizontal="right"/>
      <protection/>
    </xf>
    <xf numFmtId="0" fontId="18" fillId="2" borderId="7" xfId="0" applyFont="1" applyFill="1" applyBorder="1" applyAlignment="1">
      <alignment vertical="center" wrapText="1"/>
    </xf>
    <xf numFmtId="0" fontId="56" fillId="2" borderId="7" xfId="0" applyFont="1" applyFill="1" applyBorder="1" applyAlignment="1">
      <alignment vertical="center" wrapText="1"/>
    </xf>
    <xf numFmtId="0" fontId="56" fillId="2" borderId="8" xfId="0" applyFont="1" applyFill="1" applyBorder="1" applyAlignment="1">
      <alignment vertical="center" wrapText="1"/>
    </xf>
    <xf numFmtId="3" fontId="3" fillId="0" borderId="7" xfId="21" applyNumberFormat="1" applyFont="1" applyBorder="1" applyAlignment="1">
      <alignment horizontal="center"/>
      <protection/>
    </xf>
    <xf numFmtId="0" fontId="1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3" fontId="20" fillId="7" borderId="8" xfId="0" applyNumberFormat="1" applyFont="1" applyFill="1" applyBorder="1" applyAlignment="1" applyProtection="1">
      <alignment/>
      <protection/>
    </xf>
    <xf numFmtId="166" fontId="3" fillId="7" borderId="6" xfId="0" applyNumberFormat="1" applyFont="1" applyFill="1" applyBorder="1" applyAlignment="1" applyProtection="1">
      <alignment/>
      <protection/>
    </xf>
    <xf numFmtId="0" fontId="20" fillId="7" borderId="8" xfId="0" applyFont="1" applyFill="1" applyBorder="1" applyAlignment="1" applyProtection="1">
      <alignment/>
      <protection/>
    </xf>
    <xf numFmtId="0" fontId="0" fillId="2" borderId="40" xfId="0" applyFill="1" applyBorder="1" applyAlignment="1">
      <alignment/>
    </xf>
    <xf numFmtId="3" fontId="3" fillId="7" borderId="6" xfId="0" applyNumberFormat="1" applyFont="1" applyFill="1" applyBorder="1" applyAlignment="1" applyProtection="1">
      <alignment/>
      <protection/>
    </xf>
    <xf numFmtId="0" fontId="0" fillId="7" borderId="8" xfId="0" applyFont="1" applyFill="1" applyBorder="1" applyAlignment="1" applyProtection="1">
      <alignment/>
      <protection/>
    </xf>
    <xf numFmtId="169" fontId="3" fillId="7" borderId="6" xfId="0" applyNumberFormat="1" applyFont="1" applyFill="1" applyBorder="1" applyAlignment="1" applyProtection="1">
      <alignment/>
      <protection/>
    </xf>
    <xf numFmtId="0" fontId="20" fillId="2" borderId="4" xfId="0" applyFont="1" applyFill="1" applyBorder="1" applyAlignment="1" applyProtection="1">
      <alignment/>
      <protection/>
    </xf>
    <xf numFmtId="0" fontId="20" fillId="2" borderId="5" xfId="0" applyFont="1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28" xfId="0" applyNumberFormat="1" applyBorder="1" applyAlignment="1">
      <alignment/>
    </xf>
    <xf numFmtId="3" fontId="2" fillId="2" borderId="0" xfId="0" applyNumberFormat="1" applyFont="1" applyFill="1" applyBorder="1" applyAlignment="1" applyProtection="1">
      <alignment horizontal="right"/>
      <protection/>
    </xf>
    <xf numFmtId="0" fontId="19" fillId="6" borderId="65" xfId="0" applyFont="1" applyFill="1" applyBorder="1" applyAlignment="1" applyProtection="1">
      <alignment vertical="center" wrapText="1"/>
      <protection locked="0"/>
    </xf>
    <xf numFmtId="0" fontId="0" fillId="0" borderId="68" xfId="0" applyBorder="1" applyAlignment="1">
      <alignment/>
    </xf>
    <xf numFmtId="166" fontId="3" fillId="2" borderId="6" xfId="0" applyNumberFormat="1" applyFont="1" applyFill="1" applyBorder="1" applyAlignment="1" applyProtection="1">
      <alignment horizontal="right" vertical="center" wrapText="1"/>
      <protection/>
    </xf>
    <xf numFmtId="166" fontId="10" fillId="2" borderId="0" xfId="0" applyNumberFormat="1" applyFont="1" applyFill="1" applyBorder="1" applyAlignment="1" applyProtection="1">
      <alignment horizontal="right" vertical="center" wrapText="1"/>
      <protection/>
    </xf>
    <xf numFmtId="4" fontId="20" fillId="2" borderId="13" xfId="0" applyNumberFormat="1" applyFont="1" applyFill="1" applyBorder="1" applyAlignment="1">
      <alignment vertical="center" wrapText="1"/>
    </xf>
    <xf numFmtId="4" fontId="20" fillId="2" borderId="11" xfId="0" applyNumberFormat="1" applyFont="1" applyFill="1" applyBorder="1" applyAlignment="1">
      <alignment vertical="center" wrapText="1"/>
    </xf>
    <xf numFmtId="4" fontId="20" fillId="2" borderId="69" xfId="0" applyNumberFormat="1" applyFont="1" applyFill="1" applyBorder="1" applyAlignment="1">
      <alignment vertical="center" wrapText="1"/>
    </xf>
    <xf numFmtId="4" fontId="3" fillId="2" borderId="38" xfId="0" applyNumberFormat="1" applyFont="1" applyFill="1" applyBorder="1" applyAlignment="1">
      <alignment vertical="center" wrapText="1"/>
    </xf>
    <xf numFmtId="166" fontId="3" fillId="2" borderId="6" xfId="0" applyNumberFormat="1" applyFont="1" applyFill="1" applyBorder="1" applyAlignment="1" applyProtection="1">
      <alignment horizontal="right" vertical="top"/>
      <protection/>
    </xf>
    <xf numFmtId="3" fontId="20" fillId="5" borderId="28" xfId="0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6" borderId="0" xfId="0" applyFill="1" applyAlignment="1" applyProtection="1">
      <alignment horizontal="center"/>
      <protection locked="0"/>
    </xf>
    <xf numFmtId="0" fontId="13" fillId="2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8" fillId="3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3" fontId="0" fillId="2" borderId="1" xfId="0" applyNumberForma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11" fillId="5" borderId="16" xfId="0" applyFont="1" applyFill="1" applyBorder="1" applyAlignment="1">
      <alignment horizontal="center" wrapText="1"/>
    </xf>
    <xf numFmtId="0" fontId="0" fillId="6" borderId="70" xfId="0" applyFill="1" applyBorder="1" applyAlignment="1" applyProtection="1">
      <alignment horizontal="left" vertical="center"/>
      <protection locked="0"/>
    </xf>
    <xf numFmtId="0" fontId="0" fillId="6" borderId="71" xfId="0" applyFill="1" applyBorder="1" applyAlignment="1" applyProtection="1">
      <alignment horizontal="left" vertical="center"/>
      <protection locked="0"/>
    </xf>
    <xf numFmtId="0" fontId="11" fillId="5" borderId="15" xfId="0" applyFont="1" applyFill="1" applyBorder="1" applyAlignment="1">
      <alignment horizontal="center" wrapText="1"/>
    </xf>
    <xf numFmtId="3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2" fillId="2" borderId="53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0" fillId="6" borderId="72" xfId="0" applyFill="1" applyBorder="1" applyAlignment="1" applyProtection="1">
      <alignment horizontal="left" vertical="center"/>
      <protection locked="0"/>
    </xf>
    <xf numFmtId="0" fontId="0" fillId="6" borderId="30" xfId="0" applyFill="1" applyBorder="1" applyAlignment="1" applyProtection="1">
      <alignment horizontal="left" vertical="center"/>
      <protection locked="0"/>
    </xf>
    <xf numFmtId="0" fontId="0" fillId="6" borderId="73" xfId="0" applyFill="1" applyBorder="1" applyAlignment="1" applyProtection="1">
      <alignment horizontal="left" vertical="center"/>
      <protection locked="0"/>
    </xf>
    <xf numFmtId="0" fontId="0" fillId="6" borderId="31" xfId="0" applyFill="1" applyBorder="1" applyAlignment="1" applyProtection="1">
      <alignment horizontal="left" vertical="center"/>
      <protection locked="0"/>
    </xf>
    <xf numFmtId="0" fontId="0" fillId="6" borderId="72" xfId="0" applyFont="1" applyFill="1" applyBorder="1" applyAlignment="1" applyProtection="1">
      <alignment horizontal="left" vertical="center"/>
      <protection locked="0"/>
    </xf>
    <xf numFmtId="0" fontId="0" fillId="6" borderId="30" xfId="0" applyFont="1" applyFill="1" applyBorder="1" applyAlignment="1" applyProtection="1">
      <alignment horizontal="left" vertical="center"/>
      <protection locked="0"/>
    </xf>
    <xf numFmtId="0" fontId="36" fillId="2" borderId="0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2" borderId="53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2" borderId="75" xfId="0" applyFill="1" applyBorder="1" applyAlignment="1">
      <alignment horizontal="center"/>
    </xf>
    <xf numFmtId="0" fontId="13" fillId="5" borderId="51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164" fontId="0" fillId="6" borderId="12" xfId="21" applyFont="1" applyFill="1" applyBorder="1" applyAlignment="1" applyProtection="1">
      <alignment horizontal="left" vertical="center"/>
      <protection locked="0"/>
    </xf>
    <xf numFmtId="164" fontId="0" fillId="6" borderId="60" xfId="21" applyFont="1" applyFill="1" applyBorder="1" applyAlignment="1" applyProtection="1">
      <alignment horizontal="left" vertical="center"/>
      <protection locked="0"/>
    </xf>
    <xf numFmtId="164" fontId="0" fillId="6" borderId="76" xfId="21" applyFont="1" applyFill="1" applyBorder="1" applyAlignment="1" applyProtection="1">
      <alignment horizontal="left" vertic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horizontal="left" vertical="center"/>
      <protection/>
    </xf>
    <xf numFmtId="0" fontId="0" fillId="6" borderId="12" xfId="0" applyFill="1" applyBorder="1" applyAlignment="1" applyProtection="1">
      <alignment vertical="center"/>
      <protection locked="0"/>
    </xf>
    <xf numFmtId="0" fontId="0" fillId="6" borderId="76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horizontal="left" vertical="center"/>
      <protection/>
    </xf>
    <xf numFmtId="0" fontId="0" fillId="6" borderId="12" xfId="0" applyFill="1" applyBorder="1" applyAlignment="1" applyProtection="1">
      <alignment horizontal="left" vertical="center"/>
      <protection locked="0"/>
    </xf>
    <xf numFmtId="0" fontId="0" fillId="6" borderId="76" xfId="0" applyFill="1" applyBorder="1" applyAlignment="1" applyProtection="1">
      <alignment horizontal="left" vertical="center"/>
      <protection locked="0"/>
    </xf>
    <xf numFmtId="185" fontId="0" fillId="0" borderId="77" xfId="0" applyNumberFormat="1" applyFill="1" applyBorder="1" applyAlignment="1" applyProtection="1">
      <alignment horizontal="left" vertical="center"/>
      <protection/>
    </xf>
    <xf numFmtId="185" fontId="0" fillId="0" borderId="0" xfId="0" applyNumberFormat="1" applyFill="1" applyBorder="1" applyAlignment="1" applyProtection="1">
      <alignment horizontal="left" vertical="center"/>
      <protection/>
    </xf>
    <xf numFmtId="0" fontId="0" fillId="6" borderId="11" xfId="0" applyFont="1" applyFill="1" applyBorder="1" applyAlignment="1" applyProtection="1">
      <alignment horizontal="left" vertical="center" wrapText="1"/>
      <protection locked="0"/>
    </xf>
    <xf numFmtId="0" fontId="0" fillId="6" borderId="3" xfId="0" applyFont="1" applyFill="1" applyBorder="1" applyAlignment="1" applyProtection="1">
      <alignment horizontal="left" vertical="top" wrapText="1"/>
      <protection locked="0"/>
    </xf>
    <xf numFmtId="0" fontId="0" fillId="6" borderId="4" xfId="0" applyFont="1" applyFill="1" applyBorder="1" applyAlignment="1" applyProtection="1">
      <alignment horizontal="left" vertical="top" wrapText="1"/>
      <protection locked="0"/>
    </xf>
    <xf numFmtId="0" fontId="0" fillId="6" borderId="5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19" fillId="5" borderId="9" xfId="0" applyFont="1" applyFill="1" applyBorder="1" applyAlignment="1" applyProtection="1">
      <alignment horizontal="center"/>
      <protection/>
    </xf>
    <xf numFmtId="0" fontId="19" fillId="5" borderId="10" xfId="0" applyFont="1" applyFill="1" applyBorder="1" applyAlignment="1" applyProtection="1">
      <alignment horizontal="center"/>
      <protection/>
    </xf>
    <xf numFmtId="0" fontId="19" fillId="5" borderId="26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2" xfId="0" applyFont="1" applyFill="1" applyBorder="1" applyAlignment="1" applyProtection="1">
      <alignment horizontal="left" vertical="center"/>
      <protection/>
    </xf>
    <xf numFmtId="0" fontId="48" fillId="2" borderId="1" xfId="0" applyFont="1" applyFill="1" applyBorder="1" applyAlignment="1" applyProtection="1">
      <alignment horizontal="left" vertical="center" wrapText="1"/>
      <protection/>
    </xf>
    <xf numFmtId="0" fontId="48" fillId="2" borderId="0" xfId="0" applyFont="1" applyFill="1" applyBorder="1" applyAlignment="1" applyProtection="1">
      <alignment horizontal="left" vertical="center" wrapText="1"/>
      <protection/>
    </xf>
    <xf numFmtId="0" fontId="48" fillId="2" borderId="2" xfId="0" applyFont="1" applyFill="1" applyBorder="1" applyAlignment="1" applyProtection="1">
      <alignment horizontal="left" vertical="center" wrapText="1"/>
      <protection/>
    </xf>
    <xf numFmtId="0" fontId="3" fillId="8" borderId="6" xfId="0" applyFont="1" applyFill="1" applyBorder="1" applyAlignment="1" applyProtection="1">
      <alignment horizontal="center" vertical="center" wrapText="1"/>
      <protection/>
    </xf>
    <xf numFmtId="0" fontId="3" fillId="8" borderId="7" xfId="0" applyFont="1" applyFill="1" applyBorder="1" applyAlignment="1" applyProtection="1">
      <alignment horizontal="center" vertical="center" wrapText="1"/>
      <protection/>
    </xf>
    <xf numFmtId="0" fontId="3" fillId="8" borderId="8" xfId="0" applyFont="1" applyFill="1" applyBorder="1" applyAlignment="1" applyProtection="1">
      <alignment horizontal="center" vertical="center" wrapText="1"/>
      <protection/>
    </xf>
    <xf numFmtId="0" fontId="0" fillId="6" borderId="38" xfId="0" applyFont="1" applyFill="1" applyBorder="1" applyAlignment="1" applyProtection="1">
      <alignment horizontal="center" vertical="center"/>
      <protection locked="0"/>
    </xf>
    <xf numFmtId="0" fontId="0" fillId="6" borderId="38" xfId="0" applyFont="1" applyFill="1" applyBorder="1" applyAlignment="1" applyProtection="1">
      <alignment horizontal="left" vertical="center" wrapText="1"/>
      <protection locked="0"/>
    </xf>
    <xf numFmtId="0" fontId="7" fillId="9" borderId="6" xfId="0" applyFont="1" applyFill="1" applyBorder="1" applyAlignment="1" applyProtection="1">
      <alignment horizontal="center" vertical="center" wrapText="1"/>
      <protection/>
    </xf>
    <xf numFmtId="0" fontId="6" fillId="9" borderId="7" xfId="0" applyFont="1" applyFill="1" applyBorder="1" applyAlignment="1" applyProtection="1">
      <alignment horizontal="center" vertical="center" wrapText="1"/>
      <protection/>
    </xf>
    <xf numFmtId="0" fontId="6" fillId="9" borderId="8" xfId="0" applyFont="1" applyFill="1" applyBorder="1" applyAlignment="1" applyProtection="1">
      <alignment horizontal="center" vertical="center" wrapText="1"/>
      <protection/>
    </xf>
    <xf numFmtId="173" fontId="20" fillId="2" borderId="78" xfId="21" applyNumberFormat="1" applyFont="1" applyFill="1" applyBorder="1" applyAlignment="1" applyProtection="1">
      <alignment horizontal="center"/>
      <protection/>
    </xf>
    <xf numFmtId="173" fontId="20" fillId="2" borderId="79" xfId="21" applyNumberFormat="1" applyFont="1" applyFill="1" applyBorder="1" applyAlignment="1" applyProtection="1">
      <alignment horizontal="center"/>
      <protection/>
    </xf>
    <xf numFmtId="173" fontId="20" fillId="2" borderId="80" xfId="21" applyNumberFormat="1" applyFont="1" applyFill="1" applyBorder="1" applyAlignment="1" applyProtection="1">
      <alignment horizontal="center"/>
      <protection/>
    </xf>
    <xf numFmtId="173" fontId="20" fillId="2" borderId="81" xfId="21" applyNumberFormat="1" applyFont="1" applyFill="1" applyBorder="1" applyAlignment="1" applyProtection="1">
      <alignment horizontal="center"/>
      <protection/>
    </xf>
    <xf numFmtId="164" fontId="0" fillId="5" borderId="6" xfId="21" applyFont="1" applyFill="1" applyBorder="1" applyAlignment="1" applyProtection="1">
      <alignment horizontal="center" vertical="center"/>
      <protection/>
    </xf>
    <xf numFmtId="164" fontId="0" fillId="5" borderId="8" xfId="21" applyFont="1" applyFill="1" applyBorder="1" applyAlignment="1" applyProtection="1">
      <alignment horizontal="center" vertical="center"/>
      <protection/>
    </xf>
    <xf numFmtId="173" fontId="20" fillId="2" borderId="82" xfId="21" applyNumberFormat="1" applyFont="1" applyFill="1" applyBorder="1" applyAlignment="1" applyProtection="1">
      <alignment horizontal="center"/>
      <protection/>
    </xf>
    <xf numFmtId="173" fontId="20" fillId="2" borderId="83" xfId="21" applyNumberFormat="1" applyFont="1" applyFill="1" applyBorder="1" applyAlignment="1" applyProtection="1">
      <alignment horizontal="center"/>
      <protection/>
    </xf>
    <xf numFmtId="164" fontId="3" fillId="5" borderId="10" xfId="21" applyFont="1" applyFill="1" applyBorder="1" applyAlignment="1" applyProtection="1">
      <alignment horizontal="right" vertical="center" wrapText="1"/>
      <protection/>
    </xf>
    <xf numFmtId="164" fontId="3" fillId="5" borderId="26" xfId="21" applyFont="1" applyFill="1" applyBorder="1" applyAlignment="1" applyProtection="1">
      <alignment horizontal="right" vertical="center" wrapText="1"/>
      <protection/>
    </xf>
    <xf numFmtId="164" fontId="3" fillId="5" borderId="0" xfId="21" applyFont="1" applyFill="1" applyBorder="1" applyAlignment="1" applyProtection="1">
      <alignment horizontal="right" vertical="center" wrapText="1"/>
      <protection/>
    </xf>
    <xf numFmtId="164" fontId="3" fillId="5" borderId="2" xfId="21" applyFont="1" applyFill="1" applyBorder="1" applyAlignment="1" applyProtection="1">
      <alignment horizontal="right" vertical="center" wrapText="1"/>
      <protection/>
    </xf>
    <xf numFmtId="164" fontId="2" fillId="2" borderId="1" xfId="21" applyFont="1" applyFill="1" applyBorder="1" applyAlignment="1" applyProtection="1">
      <alignment horizontal="right" vertical="center" wrapText="1"/>
      <protection/>
    </xf>
    <xf numFmtId="164" fontId="2" fillId="2" borderId="0" xfId="21" applyFont="1" applyFill="1" applyBorder="1" applyAlignment="1" applyProtection="1">
      <alignment horizontal="right" vertical="center" wrapText="1"/>
      <protection/>
    </xf>
    <xf numFmtId="164" fontId="2" fillId="2" borderId="3" xfId="21" applyFont="1" applyFill="1" applyBorder="1" applyAlignment="1" applyProtection="1">
      <alignment horizontal="right"/>
      <protection/>
    </xf>
    <xf numFmtId="164" fontId="2" fillId="2" borderId="4" xfId="21" applyFont="1" applyFill="1" applyBorder="1" applyAlignment="1" applyProtection="1">
      <alignment horizontal="right"/>
      <protection/>
    </xf>
    <xf numFmtId="164" fontId="3" fillId="5" borderId="6" xfId="21" applyFont="1" applyFill="1" applyBorder="1" applyAlignment="1" applyProtection="1">
      <alignment horizontal="center" vertical="center" wrapText="1"/>
      <protection/>
    </xf>
    <xf numFmtId="164" fontId="3" fillId="5" borderId="7" xfId="21" applyFont="1" applyFill="1" applyBorder="1" applyAlignment="1" applyProtection="1">
      <alignment horizontal="center" vertical="center" wrapText="1"/>
      <protection/>
    </xf>
    <xf numFmtId="164" fontId="3" fillId="5" borderId="8" xfId="21" applyFont="1" applyFill="1" applyBorder="1" applyAlignment="1" applyProtection="1">
      <alignment horizontal="center" vertical="center" wrapText="1"/>
      <protection/>
    </xf>
    <xf numFmtId="164" fontId="19" fillId="4" borderId="6" xfId="21" applyFont="1" applyFill="1" applyBorder="1" applyAlignment="1">
      <alignment horizontal="center" vertical="center" wrapText="1"/>
      <protection/>
    </xf>
    <xf numFmtId="164" fontId="19" fillId="4" borderId="8" xfId="21" applyFont="1" applyFill="1" applyBorder="1" applyAlignment="1">
      <alignment horizontal="center" vertical="center" wrapText="1"/>
      <protection/>
    </xf>
    <xf numFmtId="164" fontId="18" fillId="0" borderId="9" xfId="21" applyFont="1" applyBorder="1" applyAlignment="1">
      <alignment horizontal="center"/>
      <protection/>
    </xf>
    <xf numFmtId="164" fontId="18" fillId="0" borderId="26" xfId="21" applyFont="1" applyBorder="1" applyAlignment="1">
      <alignment horizontal="center"/>
      <protection/>
    </xf>
    <xf numFmtId="164" fontId="18" fillId="0" borderId="1" xfId="21" applyFont="1" applyBorder="1" applyAlignment="1">
      <alignment horizontal="center"/>
      <protection/>
    </xf>
    <xf numFmtId="164" fontId="18" fillId="0" borderId="2" xfId="21" applyFont="1" applyBorder="1" applyAlignment="1">
      <alignment horizontal="center"/>
      <protection/>
    </xf>
    <xf numFmtId="164" fontId="19" fillId="4" borderId="6" xfId="21" applyFont="1" applyFill="1" applyBorder="1" applyAlignment="1">
      <alignment horizontal="center"/>
      <protection/>
    </xf>
    <xf numFmtId="164" fontId="19" fillId="4" borderId="8" xfId="21" applyFont="1" applyFill="1" applyBorder="1" applyAlignment="1">
      <alignment horizontal="center"/>
      <protection/>
    </xf>
    <xf numFmtId="164" fontId="3" fillId="5" borderId="84" xfId="21" applyFont="1" applyFill="1" applyBorder="1" applyAlignment="1" applyProtection="1">
      <alignment horizontal="center" vertical="center"/>
      <protection/>
    </xf>
    <xf numFmtId="164" fontId="3" fillId="5" borderId="85" xfId="21" applyFont="1" applyFill="1" applyBorder="1" applyAlignment="1" applyProtection="1">
      <alignment horizontal="center" vertical="center"/>
      <protection/>
    </xf>
    <xf numFmtId="164" fontId="2" fillId="5" borderId="86" xfId="21" applyFont="1" applyFill="1" applyBorder="1" applyAlignment="1" applyProtection="1">
      <alignment horizontal="center" vertical="center" wrapText="1"/>
      <protection/>
    </xf>
    <xf numFmtId="164" fontId="2" fillId="5" borderId="32" xfId="21" applyFont="1" applyFill="1" applyBorder="1" applyAlignment="1" applyProtection="1">
      <alignment horizontal="center" vertical="center" wrapText="1"/>
      <protection/>
    </xf>
    <xf numFmtId="0" fontId="0" fillId="5" borderId="32" xfId="0" applyFont="1" applyFill="1" applyBorder="1" applyAlignment="1" applyProtection="1">
      <alignment horizontal="center" vertical="center" wrapText="1"/>
      <protection/>
    </xf>
    <xf numFmtId="164" fontId="8" fillId="3" borderId="9" xfId="21" applyFont="1" applyFill="1" applyBorder="1" applyAlignment="1" applyProtection="1">
      <alignment horizontal="center"/>
      <protection/>
    </xf>
    <xf numFmtId="164" fontId="8" fillId="3" borderId="10" xfId="21" applyFont="1" applyFill="1" applyBorder="1" applyAlignment="1" applyProtection="1">
      <alignment horizontal="center"/>
      <protection/>
    </xf>
    <xf numFmtId="164" fontId="8" fillId="3" borderId="26" xfId="21" applyFont="1" applyFill="1" applyBorder="1" applyAlignment="1" applyProtection="1">
      <alignment horizontal="center"/>
      <protection/>
    </xf>
    <xf numFmtId="164" fontId="19" fillId="2" borderId="1" xfId="21" applyFont="1" applyFill="1" applyBorder="1" applyAlignment="1" applyProtection="1">
      <alignment horizontal="right" vertical="center"/>
      <protection/>
    </xf>
    <xf numFmtId="164" fontId="19" fillId="2" borderId="0" xfId="21" applyFont="1" applyFill="1" applyBorder="1" applyAlignment="1" applyProtection="1">
      <alignment horizontal="right" vertical="center"/>
      <protection/>
    </xf>
    <xf numFmtId="164" fontId="18" fillId="2" borderId="0" xfId="21" applyFont="1" applyFill="1" applyBorder="1" applyAlignment="1" applyProtection="1">
      <alignment horizontal="left" vertical="center"/>
      <protection/>
    </xf>
    <xf numFmtId="164" fontId="19" fillId="2" borderId="0" xfId="21" applyFont="1" applyFill="1" applyBorder="1" applyAlignment="1" applyProtection="1">
      <alignment horizontal="right" vertical="center" wrapText="1"/>
      <protection/>
    </xf>
    <xf numFmtId="164" fontId="2" fillId="5" borderId="87" xfId="21" applyFont="1" applyFill="1" applyBorder="1" applyAlignment="1" applyProtection="1">
      <alignment horizontal="center" vertical="center" wrapText="1"/>
      <protection/>
    </xf>
    <xf numFmtId="164" fontId="2" fillId="5" borderId="88" xfId="21" applyFont="1" applyFill="1" applyBorder="1" applyAlignment="1" applyProtection="1">
      <alignment horizontal="center" vertical="center" wrapText="1"/>
      <protection/>
    </xf>
    <xf numFmtId="164" fontId="2" fillId="5" borderId="33" xfId="21" applyFont="1" applyFill="1" applyBorder="1" applyAlignment="1" applyProtection="1">
      <alignment horizontal="center" vertical="center" wrapText="1"/>
      <protection/>
    </xf>
    <xf numFmtId="164" fontId="2" fillId="5" borderId="50" xfId="21" applyFont="1" applyFill="1" applyBorder="1" applyAlignment="1" applyProtection="1">
      <alignment horizontal="center" vertical="center" wrapText="1"/>
      <protection/>
    </xf>
    <xf numFmtId="164" fontId="36" fillId="2" borderId="10" xfId="21" applyFont="1" applyFill="1" applyBorder="1" applyAlignment="1" applyProtection="1">
      <alignment horizontal="left" vertical="center" wrapText="1"/>
      <protection/>
    </xf>
    <xf numFmtId="164" fontId="36" fillId="2" borderId="26" xfId="21" applyFont="1" applyFill="1" applyBorder="1" applyAlignment="1" applyProtection="1">
      <alignment horizontal="left" vertical="center" wrapText="1"/>
      <protection/>
    </xf>
    <xf numFmtId="164" fontId="36" fillId="2" borderId="0" xfId="21" applyFont="1" applyFill="1" applyBorder="1" applyAlignment="1" applyProtection="1">
      <alignment horizontal="left" vertical="center" wrapText="1"/>
      <protection/>
    </xf>
    <xf numFmtId="164" fontId="36" fillId="2" borderId="2" xfId="21" applyFont="1" applyFill="1" applyBorder="1" applyAlignment="1" applyProtection="1">
      <alignment horizontal="left" vertical="center" wrapText="1"/>
      <protection/>
    </xf>
    <xf numFmtId="164" fontId="18" fillId="2" borderId="0" xfId="21" applyFont="1" applyFill="1" applyBorder="1" applyAlignment="1">
      <alignment horizontal="left" vertical="center"/>
      <protection/>
    </xf>
    <xf numFmtId="173" fontId="0" fillId="6" borderId="89" xfId="21" applyNumberFormat="1" applyFont="1" applyFill="1" applyBorder="1" applyAlignment="1" applyProtection="1">
      <alignment horizontal="left" vertical="center"/>
      <protection locked="0"/>
    </xf>
    <xf numFmtId="173" fontId="0" fillId="6" borderId="90" xfId="21" applyNumberFormat="1" applyFon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/>
    </xf>
    <xf numFmtId="0" fontId="0" fillId="2" borderId="7" xfId="0" applyFill="1" applyBorder="1" applyAlignment="1" applyProtection="1">
      <alignment horizontal="left" vertical="center" wrapText="1"/>
      <protection/>
    </xf>
    <xf numFmtId="0" fontId="0" fillId="2" borderId="8" xfId="0" applyFill="1" applyBorder="1" applyAlignment="1" applyProtection="1">
      <alignment horizontal="left" vertical="center" wrapText="1"/>
      <protection/>
    </xf>
    <xf numFmtId="0" fontId="20" fillId="2" borderId="1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right" vertical="center"/>
    </xf>
    <xf numFmtId="0" fontId="0" fillId="6" borderId="6" xfId="0" applyFill="1" applyBorder="1" applyAlignment="1" applyProtection="1">
      <alignment horizontal="left" vertical="center" wrapText="1"/>
      <protection locked="0"/>
    </xf>
    <xf numFmtId="0" fontId="0" fillId="6" borderId="7" xfId="0" applyFill="1" applyBorder="1" applyAlignment="1" applyProtection="1">
      <alignment horizontal="left" vertical="center" wrapText="1"/>
      <protection locked="0"/>
    </xf>
    <xf numFmtId="0" fontId="0" fillId="6" borderId="8" xfId="0" applyFill="1" applyBorder="1" applyAlignment="1" applyProtection="1">
      <alignment horizontal="left" vertical="center" wrapText="1"/>
      <protection locked="0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horizontal="right" vertical="center" wrapText="1"/>
    </xf>
    <xf numFmtId="0" fontId="20" fillId="2" borderId="17" xfId="0" applyFont="1" applyFill="1" applyBorder="1" applyAlignment="1">
      <alignment horizontal="right" vertical="center" wrapText="1"/>
    </xf>
    <xf numFmtId="0" fontId="20" fillId="6" borderId="73" xfId="0" applyFont="1" applyFill="1" applyBorder="1" applyAlignment="1" applyProtection="1">
      <alignment horizontal="left" vertical="center"/>
      <protection locked="0"/>
    </xf>
    <xf numFmtId="0" fontId="20" fillId="6" borderId="31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right"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20" fillId="6" borderId="12" xfId="0" applyFont="1" applyFill="1" applyBorder="1" applyAlignment="1" applyProtection="1">
      <alignment horizontal="left" vertical="center"/>
      <protection locked="0"/>
    </xf>
    <xf numFmtId="0" fontId="20" fillId="6" borderId="60" xfId="0" applyFont="1" applyFill="1" applyBorder="1" applyAlignment="1" applyProtection="1">
      <alignment horizontal="left" vertical="center"/>
      <protection locked="0"/>
    </xf>
    <xf numFmtId="0" fontId="20" fillId="6" borderId="76" xfId="0" applyFont="1" applyFill="1" applyBorder="1" applyAlignment="1" applyProtection="1">
      <alignment horizontal="left" vertical="center"/>
      <protection locked="0"/>
    </xf>
    <xf numFmtId="0" fontId="20" fillId="2" borderId="17" xfId="0" applyFont="1" applyFill="1" applyBorder="1" applyAlignment="1">
      <alignment horizontal="right" vertical="center"/>
    </xf>
    <xf numFmtId="0" fontId="0" fillId="2" borderId="6" xfId="0" applyFont="1" applyFill="1" applyBorder="1" applyAlignment="1" applyProtection="1">
      <alignment horizontal="left" vertical="center" wrapText="1"/>
      <protection/>
    </xf>
    <xf numFmtId="0" fontId="0" fillId="2" borderId="7" xfId="0" applyFont="1" applyFill="1" applyBorder="1" applyAlignment="1" applyProtection="1">
      <alignment horizontal="left" vertical="center" wrapText="1"/>
      <protection/>
    </xf>
    <xf numFmtId="0" fontId="0" fillId="2" borderId="8" xfId="0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54" fillId="2" borderId="9" xfId="0" applyFont="1" applyFill="1" applyBorder="1" applyAlignment="1">
      <alignment horizontal="center" vertical="center" wrapText="1"/>
    </xf>
    <xf numFmtId="0" fontId="54" fillId="2" borderId="26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4" fillId="2" borderId="2" xfId="0" applyFont="1" applyFill="1" applyBorder="1" applyAlignment="1">
      <alignment horizontal="center" vertical="center" wrapText="1"/>
    </xf>
    <xf numFmtId="0" fontId="20" fillId="2" borderId="72" xfId="0" applyFont="1" applyFill="1" applyBorder="1" applyAlignment="1">
      <alignment horizontal="left" vertical="center" wrapText="1"/>
    </xf>
    <xf numFmtId="0" fontId="20" fillId="2" borderId="58" xfId="0" applyFont="1" applyFill="1" applyBorder="1" applyAlignment="1">
      <alignment horizontal="left" vertical="center" wrapText="1"/>
    </xf>
    <xf numFmtId="0" fontId="20" fillId="2" borderId="30" xfId="0" applyFont="1" applyFill="1" applyBorder="1" applyAlignment="1">
      <alignment horizontal="left" vertical="center" wrapText="1"/>
    </xf>
    <xf numFmtId="0" fontId="20" fillId="6" borderId="12" xfId="0" applyFont="1" applyFill="1" applyBorder="1" applyAlignment="1" applyProtection="1">
      <alignment horizontal="left" vertical="center" wrapText="1"/>
      <protection locked="0"/>
    </xf>
    <xf numFmtId="0" fontId="20" fillId="6" borderId="60" xfId="0" applyFont="1" applyFill="1" applyBorder="1" applyAlignment="1" applyProtection="1">
      <alignment horizontal="left" vertical="center" wrapText="1"/>
      <protection locked="0"/>
    </xf>
    <xf numFmtId="0" fontId="20" fillId="6" borderId="76" xfId="0" applyFont="1" applyFill="1" applyBorder="1" applyAlignment="1" applyProtection="1">
      <alignment horizontal="left" vertical="center" wrapText="1"/>
      <protection locked="0"/>
    </xf>
    <xf numFmtId="0" fontId="20" fillId="2" borderId="7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2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3" fillId="5" borderId="3" xfId="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76" fontId="20" fillId="2" borderId="72" xfId="21" applyNumberFormat="1" applyFont="1" applyFill="1" applyBorder="1" applyAlignment="1" applyProtection="1">
      <alignment horizontal="left" vertical="center"/>
      <protection/>
    </xf>
    <xf numFmtId="176" fontId="20" fillId="2" borderId="30" xfId="21" applyNumberFormat="1" applyFont="1" applyFill="1" applyBorder="1" applyAlignment="1" applyProtection="1">
      <alignment horizontal="left" vertical="center"/>
      <protection/>
    </xf>
    <xf numFmtId="0" fontId="20" fillId="2" borderId="12" xfId="0" applyFont="1" applyFill="1" applyBorder="1" applyAlignment="1" applyProtection="1">
      <alignment horizontal="left"/>
      <protection/>
    </xf>
    <xf numFmtId="0" fontId="20" fillId="2" borderId="76" xfId="0" applyFont="1" applyFill="1" applyBorder="1" applyAlignment="1" applyProtection="1">
      <alignment horizontal="left"/>
      <protection/>
    </xf>
    <xf numFmtId="0" fontId="20" fillId="2" borderId="72" xfId="0" applyFont="1" applyFill="1" applyBorder="1" applyAlignment="1" applyProtection="1">
      <alignment horizontal="left"/>
      <protection/>
    </xf>
    <xf numFmtId="0" fontId="20" fillId="2" borderId="30" xfId="0" applyFont="1" applyFill="1" applyBorder="1" applyAlignment="1" applyProtection="1">
      <alignment horizontal="left"/>
      <protection/>
    </xf>
    <xf numFmtId="0" fontId="2" fillId="0" borderId="3" xfId="0" applyFont="1" applyFill="1" applyBorder="1" applyAlignment="1" applyProtection="1">
      <alignment horizontal="right" vertical="center"/>
      <protection/>
    </xf>
    <xf numFmtId="0" fontId="2" fillId="0" borderId="4" xfId="0" applyFont="1" applyFill="1" applyBorder="1" applyAlignment="1" applyProtection="1">
      <alignment horizontal="right" vertical="center"/>
      <protection/>
    </xf>
    <xf numFmtId="9" fontId="20" fillId="0" borderId="22" xfId="23" applyFont="1" applyFill="1" applyBorder="1" applyAlignment="1" applyProtection="1">
      <alignment horizontal="center"/>
      <protection/>
    </xf>
    <xf numFmtId="9" fontId="20" fillId="0" borderId="11" xfId="23" applyFont="1" applyFill="1" applyBorder="1" applyAlignment="1" applyProtection="1">
      <alignment horizontal="center"/>
      <protection/>
    </xf>
    <xf numFmtId="9" fontId="20" fillId="0" borderId="38" xfId="23" applyFont="1" applyFill="1" applyBorder="1" applyAlignment="1" applyProtection="1">
      <alignment horizontal="center"/>
      <protection/>
    </xf>
    <xf numFmtId="166" fontId="3" fillId="2" borderId="3" xfId="0" applyNumberFormat="1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20" fillId="6" borderId="43" xfId="0" applyFont="1" applyFill="1" applyBorder="1" applyAlignment="1" applyProtection="1">
      <alignment horizontal="center" vertical="center" wrapText="1"/>
      <protection locked="0"/>
    </xf>
    <xf numFmtId="0" fontId="20" fillId="6" borderId="38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/>
      <protection/>
    </xf>
    <xf numFmtId="0" fontId="3" fillId="5" borderId="7" xfId="0" applyFont="1" applyFill="1" applyBorder="1" applyAlignment="1" applyProtection="1">
      <alignment horizontal="center"/>
      <protection/>
    </xf>
    <xf numFmtId="0" fontId="3" fillId="5" borderId="8" xfId="0" applyFont="1" applyFill="1" applyBorder="1" applyAlignment="1" applyProtection="1">
      <alignment horizontal="center"/>
      <protection/>
    </xf>
    <xf numFmtId="0" fontId="3" fillId="5" borderId="6" xfId="0" applyFont="1" applyFill="1" applyBorder="1" applyAlignment="1" applyProtection="1">
      <alignment horizontal="center"/>
      <protection/>
    </xf>
    <xf numFmtId="0" fontId="3" fillId="5" borderId="7" xfId="0" applyFont="1" applyFill="1" applyBorder="1" applyAlignment="1" applyProtection="1">
      <alignment horizontal="center"/>
      <protection/>
    </xf>
    <xf numFmtId="0" fontId="3" fillId="5" borderId="8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right" vertical="center" wrapText="1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0" fontId="3" fillId="2" borderId="2" xfId="0" applyFont="1" applyFill="1" applyBorder="1" applyAlignment="1" applyProtection="1">
      <alignment horizontal="right" vertical="center" wrapText="1"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13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right" vertical="center" wrapText="1"/>
      <protection/>
    </xf>
    <xf numFmtId="0" fontId="3" fillId="2" borderId="4" xfId="0" applyFont="1" applyFill="1" applyBorder="1" applyAlignment="1" applyProtection="1">
      <alignment horizontal="right" vertical="center" wrapText="1"/>
      <protection/>
    </xf>
    <xf numFmtId="0" fontId="3" fillId="2" borderId="5" xfId="0" applyFont="1" applyFill="1" applyBorder="1" applyAlignment="1" applyProtection="1">
      <alignment horizontal="right" vertical="center" wrapText="1"/>
      <protection/>
    </xf>
    <xf numFmtId="0" fontId="0" fillId="6" borderId="9" xfId="0" applyFill="1" applyBorder="1" applyAlignment="1" applyProtection="1">
      <alignment horizontal="left" vertical="top" wrapText="1"/>
      <protection locked="0"/>
    </xf>
    <xf numFmtId="0" fontId="0" fillId="6" borderId="10" xfId="0" applyFill="1" applyBorder="1" applyAlignment="1" applyProtection="1">
      <alignment horizontal="left" vertical="top" wrapText="1"/>
      <protection locked="0"/>
    </xf>
    <xf numFmtId="0" fontId="0" fillId="6" borderId="26" xfId="0" applyFill="1" applyBorder="1" applyAlignment="1" applyProtection="1">
      <alignment horizontal="left" vertical="top" wrapText="1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3" xfId="0" applyFill="1" applyBorder="1" applyAlignment="1" applyProtection="1">
      <alignment horizontal="left" vertical="top" wrapText="1"/>
      <protection locked="0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4" fillId="2" borderId="1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1" fillId="2" borderId="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2" borderId="2" xfId="0" applyFont="1" applyFill="1" applyBorder="1" applyAlignment="1" applyProtection="1">
      <alignment horizontal="left" vertical="center" wrapText="1"/>
      <protection/>
    </xf>
    <xf numFmtId="0" fontId="20" fillId="0" borderId="91" xfId="0" applyFont="1" applyBorder="1" applyAlignment="1" applyProtection="1">
      <alignment horizontal="left"/>
      <protection/>
    </xf>
    <xf numFmtId="0" fontId="20" fillId="0" borderId="92" xfId="0" applyFont="1" applyBorder="1" applyAlignment="1" applyProtection="1">
      <alignment horizontal="left"/>
      <protection/>
    </xf>
    <xf numFmtId="0" fontId="3" fillId="2" borderId="53" xfId="0" applyFont="1" applyFill="1" applyBorder="1" applyAlignment="1" applyProtection="1">
      <alignment horizontal="right"/>
      <protection/>
    </xf>
    <xf numFmtId="0" fontId="3" fillId="2" borderId="17" xfId="0" applyFont="1" applyFill="1" applyBorder="1" applyAlignment="1" applyProtection="1">
      <alignment horizontal="right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3" fillId="8" borderId="28" xfId="0" applyFont="1" applyFill="1" applyBorder="1" applyAlignment="1" applyProtection="1">
      <alignment horizontal="center" wrapText="1"/>
      <protection/>
    </xf>
    <xf numFmtId="0" fontId="20" fillId="6" borderId="41" xfId="0" applyFont="1" applyFill="1" applyBorder="1" applyAlignment="1" applyProtection="1">
      <alignment horizontal="center" vertical="center" wrapText="1"/>
      <protection locked="0"/>
    </xf>
    <xf numFmtId="0" fontId="20" fillId="6" borderId="22" xfId="0" applyFont="1" applyFill="1" applyBorder="1" applyAlignment="1" applyProtection="1">
      <alignment horizontal="center" vertical="center" wrapText="1"/>
      <protection locked="0"/>
    </xf>
    <xf numFmtId="0" fontId="20" fillId="6" borderId="42" xfId="0" applyFont="1" applyFill="1" applyBorder="1" applyAlignment="1" applyProtection="1">
      <alignment horizontal="center" vertical="center" wrapText="1"/>
      <protection locked="0"/>
    </xf>
    <xf numFmtId="0" fontId="20" fillId="6" borderId="11" xfId="0" applyFont="1" applyFill="1" applyBorder="1" applyAlignment="1" applyProtection="1">
      <alignment horizontal="center" vertical="center" wrapText="1"/>
      <protection locked="0"/>
    </xf>
    <xf numFmtId="0" fontId="47" fillId="2" borderId="9" xfId="0" applyFont="1" applyFill="1" applyBorder="1" applyAlignment="1" applyProtection="1">
      <alignment horizontal="left" vertical="center"/>
      <protection/>
    </xf>
    <xf numFmtId="0" fontId="47" fillId="2" borderId="10" xfId="0" applyFont="1" applyFill="1" applyBorder="1" applyAlignment="1" applyProtection="1">
      <alignment horizontal="left" vertical="center"/>
      <protection/>
    </xf>
    <xf numFmtId="0" fontId="34" fillId="2" borderId="0" xfId="0" applyFont="1" applyFill="1" applyBorder="1" applyAlignment="1" applyProtection="1">
      <alignment horizontal="center" vertical="center" wrapText="1"/>
      <protection/>
    </xf>
    <xf numFmtId="0" fontId="34" fillId="2" borderId="2" xfId="0" applyFont="1" applyFill="1" applyBorder="1" applyAlignment="1" applyProtection="1">
      <alignment horizontal="center" vertical="center" wrapText="1"/>
      <protection/>
    </xf>
    <xf numFmtId="0" fontId="10" fillId="2" borderId="2" xfId="0" applyFont="1" applyFill="1" applyBorder="1" applyAlignment="1" applyProtection="1">
      <alignment horizontal="left" vertical="center" wrapText="1"/>
      <protection/>
    </xf>
    <xf numFmtId="0" fontId="3" fillId="2" borderId="1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horizontal="right" vertical="center"/>
      <protection/>
    </xf>
    <xf numFmtId="0" fontId="2" fillId="2" borderId="1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 applyProtection="1">
      <alignment horizontal="right" vertical="center" wrapText="1"/>
      <protection/>
    </xf>
    <xf numFmtId="0" fontId="2" fillId="2" borderId="2" xfId="0" applyFont="1" applyFill="1" applyBorder="1" applyAlignment="1" applyProtection="1">
      <alignment horizontal="right" vertical="center" wrapText="1"/>
      <protection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1" fontId="34" fillId="2" borderId="1" xfId="0" applyNumberFormat="1" applyFont="1" applyFill="1" applyBorder="1" applyAlignment="1">
      <alignment horizontal="center" vertical="center" wrapText="1"/>
    </xf>
    <xf numFmtId="1" fontId="34" fillId="2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41" fillId="2" borderId="1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164" fontId="8" fillId="3" borderId="9" xfId="21" applyFont="1" applyFill="1" applyBorder="1" applyAlignment="1">
      <alignment horizontal="center"/>
      <protection/>
    </xf>
    <xf numFmtId="164" fontId="8" fillId="3" borderId="10" xfId="21" applyFont="1" applyFill="1" applyBorder="1" applyAlignment="1">
      <alignment horizontal="center"/>
      <protection/>
    </xf>
    <xf numFmtId="164" fontId="8" fillId="3" borderId="26" xfId="21" applyFont="1" applyFill="1" applyBorder="1" applyAlignment="1">
      <alignment horizontal="center"/>
      <protection/>
    </xf>
    <xf numFmtId="164" fontId="20" fillId="2" borderId="72" xfId="21" applyFont="1" applyFill="1" applyBorder="1" applyAlignment="1">
      <alignment horizontal="left" vertical="center"/>
      <protection/>
    </xf>
    <xf numFmtId="164" fontId="20" fillId="2" borderId="30" xfId="21" applyFont="1" applyFill="1" applyBorder="1" applyAlignment="1">
      <alignment horizontal="left" vertical="center"/>
      <protection/>
    </xf>
    <xf numFmtId="0" fontId="20" fillId="2" borderId="91" xfId="0" applyFont="1" applyFill="1" applyBorder="1" applyAlignment="1" applyProtection="1">
      <alignment horizontal="left"/>
      <protection/>
    </xf>
    <xf numFmtId="0" fontId="20" fillId="2" borderId="92" xfId="0" applyFont="1" applyFill="1" applyBorder="1" applyAlignment="1" applyProtection="1">
      <alignment horizontal="left"/>
      <protection/>
    </xf>
    <xf numFmtId="0" fontId="20" fillId="2" borderId="72" xfId="0" applyFont="1" applyFill="1" applyBorder="1" applyAlignment="1">
      <alignment horizontal="left"/>
    </xf>
    <xf numFmtId="0" fontId="20" fillId="2" borderId="30" xfId="0" applyFont="1" applyFill="1" applyBorder="1" applyAlignment="1">
      <alignment horizontal="left"/>
    </xf>
    <xf numFmtId="0" fontId="20" fillId="0" borderId="91" xfId="0" applyFont="1" applyBorder="1" applyAlignment="1">
      <alignment horizontal="left"/>
    </xf>
    <xf numFmtId="0" fontId="20" fillId="0" borderId="92" xfId="0" applyFont="1" applyBorder="1" applyAlignment="1">
      <alignment horizontal="left"/>
    </xf>
    <xf numFmtId="0" fontId="20" fillId="2" borderId="91" xfId="0" applyFont="1" applyFill="1" applyBorder="1" applyAlignment="1">
      <alignment horizontal="left"/>
    </xf>
    <xf numFmtId="0" fontId="20" fillId="2" borderId="92" xfId="0" applyFont="1" applyFill="1" applyBorder="1" applyAlignment="1">
      <alignment horizontal="left"/>
    </xf>
    <xf numFmtId="0" fontId="20" fillId="6" borderId="73" xfId="0" applyFont="1" applyFill="1" applyBorder="1" applyAlignment="1" applyProtection="1">
      <alignment horizontal="center"/>
      <protection locked="0"/>
    </xf>
    <xf numFmtId="0" fontId="20" fillId="6" borderId="56" xfId="0" applyFont="1" applyFill="1" applyBorder="1" applyAlignment="1" applyProtection="1">
      <alignment horizontal="center"/>
      <protection locked="0"/>
    </xf>
    <xf numFmtId="0" fontId="20" fillId="6" borderId="24" xfId="0" applyFont="1" applyFill="1" applyBorder="1" applyAlignment="1" applyProtection="1">
      <alignment horizontal="center"/>
      <protection locked="0"/>
    </xf>
    <xf numFmtId="0" fontId="20" fillId="2" borderId="12" xfId="0" applyFont="1" applyFill="1" applyBorder="1" applyAlignment="1" applyProtection="1">
      <alignment/>
      <protection/>
    </xf>
    <xf numFmtId="0" fontId="20" fillId="2" borderId="60" xfId="0" applyFont="1" applyFill="1" applyBorder="1" applyAlignment="1" applyProtection="1">
      <alignment/>
      <protection/>
    </xf>
    <xf numFmtId="0" fontId="20" fillId="2" borderId="76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6" xfId="0" applyFont="1" applyFill="1" applyBorder="1" applyAlignment="1" applyProtection="1">
      <alignment horizontal="right" vertical="center" wrapText="1"/>
      <protection/>
    </xf>
    <xf numFmtId="0" fontId="2" fillId="2" borderId="7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4" fillId="2" borderId="1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2" borderId="9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3" fillId="2" borderId="10" xfId="0" applyFont="1" applyFill="1" applyBorder="1" applyAlignment="1" applyProtection="1">
      <alignment horizontal="right" vertical="center" wrapText="1"/>
      <protection/>
    </xf>
    <xf numFmtId="0" fontId="3" fillId="2" borderId="26" xfId="0" applyFont="1" applyFill="1" applyBorder="1" applyAlignment="1" applyProtection="1">
      <alignment horizontal="right" vertical="center" wrapText="1"/>
      <protection/>
    </xf>
    <xf numFmtId="0" fontId="34" fillId="2" borderId="0" xfId="0" applyFont="1" applyFill="1" applyBorder="1" applyAlignment="1" applyProtection="1">
      <alignment horizontal="center" vertical="top" wrapText="1"/>
      <protection/>
    </xf>
    <xf numFmtId="0" fontId="34" fillId="2" borderId="2" xfId="0" applyFont="1" applyFill="1" applyBorder="1" applyAlignment="1" applyProtection="1">
      <alignment horizontal="center" vertical="top" wrapText="1"/>
      <protection/>
    </xf>
    <xf numFmtId="0" fontId="0" fillId="5" borderId="7" xfId="0" applyFont="1" applyFill="1" applyBorder="1" applyAlignment="1" applyProtection="1">
      <alignment horizontal="left" wrapText="1"/>
      <protection/>
    </xf>
    <xf numFmtId="0" fontId="0" fillId="5" borderId="8" xfId="0" applyFont="1" applyFill="1" applyBorder="1" applyAlignment="1" applyProtection="1">
      <alignment horizontal="left" wrapText="1"/>
      <protection/>
    </xf>
    <xf numFmtId="0" fontId="2" fillId="5" borderId="6" xfId="0" applyFont="1" applyFill="1" applyBorder="1" applyAlignment="1" applyProtection="1">
      <alignment horizontal="right" vertical="center"/>
      <protection/>
    </xf>
    <xf numFmtId="0" fontId="2" fillId="5" borderId="7" xfId="0" applyFont="1" applyFill="1" applyBorder="1" applyAlignment="1" applyProtection="1">
      <alignment horizontal="right" vertical="center"/>
      <protection/>
    </xf>
    <xf numFmtId="0" fontId="2" fillId="2" borderId="1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right"/>
      <protection/>
    </xf>
    <xf numFmtId="0" fontId="2" fillId="2" borderId="2" xfId="0" applyFont="1" applyFill="1" applyBorder="1" applyAlignment="1" applyProtection="1">
      <alignment horizontal="right"/>
      <protection/>
    </xf>
    <xf numFmtId="2" fontId="24" fillId="5" borderId="19" xfId="22" applyNumberFormat="1" applyFont="1" applyFill="1" applyBorder="1" applyAlignment="1">
      <alignment horizontal="center"/>
      <protection/>
    </xf>
    <xf numFmtId="0" fontId="58" fillId="0" borderId="19" xfId="0" applyFont="1" applyBorder="1" applyAlignment="1">
      <alignment wrapText="1"/>
    </xf>
    <xf numFmtId="2" fontId="58" fillId="0" borderId="19" xfId="0" applyNumberFormat="1" applyFont="1" applyBorder="1" applyAlignment="1">
      <alignment wrapText="1"/>
    </xf>
    <xf numFmtId="2" fontId="58" fillId="0" borderId="19" xfId="0" applyNumberFormat="1" applyFont="1" applyFill="1" applyBorder="1" applyAlignment="1" applyProtection="1">
      <alignment wrapText="1"/>
      <protection/>
    </xf>
    <xf numFmtId="0" fontId="0" fillId="0" borderId="0" xfId="23" applyNumberFormat="1" applyFill="1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icesep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38100</xdr:rowOff>
    </xdr:from>
    <xdr:to>
      <xdr:col>7</xdr:col>
      <xdr:colOff>619125</xdr:colOff>
      <xdr:row>67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81125" y="12030075"/>
          <a:ext cx="4029075" cy="1257300"/>
        </a:xfrm>
        <a:prstGeom prst="trapezoid">
          <a:avLst>
            <a:gd name="adj" fmla="val -21708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61</xdr:row>
      <xdr:rowOff>28575</xdr:rowOff>
    </xdr:from>
    <xdr:to>
      <xdr:col>7</xdr:col>
      <xdr:colOff>466725</xdr:colOff>
      <xdr:row>61</xdr:row>
      <xdr:rowOff>28575</xdr:rowOff>
    </xdr:to>
    <xdr:sp>
      <xdr:nvSpPr>
        <xdr:cNvPr id="2" name="Line 3"/>
        <xdr:cNvSpPr>
          <a:spLocks/>
        </xdr:cNvSpPr>
      </xdr:nvSpPr>
      <xdr:spPr>
        <a:xfrm>
          <a:off x="1543050" y="1220152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62</xdr:row>
      <xdr:rowOff>0</xdr:rowOff>
    </xdr:from>
    <xdr:to>
      <xdr:col>7</xdr:col>
      <xdr:colOff>342900</xdr:colOff>
      <xdr:row>62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1657350" y="12334875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63</xdr:row>
      <xdr:rowOff>47625</xdr:rowOff>
    </xdr:from>
    <xdr:to>
      <xdr:col>7</xdr:col>
      <xdr:colOff>161925</xdr:colOff>
      <xdr:row>63</xdr:row>
      <xdr:rowOff>47625</xdr:rowOff>
    </xdr:to>
    <xdr:sp>
      <xdr:nvSpPr>
        <xdr:cNvPr id="4" name="Line 17"/>
        <xdr:cNvSpPr>
          <a:spLocks/>
        </xdr:cNvSpPr>
      </xdr:nvSpPr>
      <xdr:spPr>
        <a:xfrm>
          <a:off x="1847850" y="12544425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59</xdr:row>
      <xdr:rowOff>104775</xdr:rowOff>
    </xdr:from>
    <xdr:to>
      <xdr:col>3</xdr:col>
      <xdr:colOff>66675</xdr:colOff>
      <xdr:row>61</xdr:row>
      <xdr:rowOff>19050</xdr:rowOff>
    </xdr:to>
    <xdr:sp>
      <xdr:nvSpPr>
        <xdr:cNvPr id="5" name="AutoShape 33"/>
        <xdr:cNvSpPr>
          <a:spLocks/>
        </xdr:cNvSpPr>
      </xdr:nvSpPr>
      <xdr:spPr>
        <a:xfrm>
          <a:off x="2133600" y="11906250"/>
          <a:ext cx="47625" cy="285750"/>
        </a:xfrm>
        <a:prstGeom prst="down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228600</xdr:colOff>
      <xdr:row>61</xdr:row>
      <xdr:rowOff>19050</xdr:rowOff>
    </xdr:from>
    <xdr:ext cx="2219325" cy="190500"/>
    <xdr:sp>
      <xdr:nvSpPr>
        <xdr:cNvPr id="6" name="TextBox 35"/>
        <xdr:cNvSpPr txBox="1">
          <a:spLocks noChangeArrowheads="1"/>
        </xdr:cNvSpPr>
      </xdr:nvSpPr>
      <xdr:spPr>
        <a:xfrm>
          <a:off x="1609725" y="12192000"/>
          <a:ext cx="2219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Top of Required Storage (POND Volume)</a:t>
          </a:r>
        </a:p>
      </xdr:txBody>
    </xdr:sp>
    <xdr:clientData/>
  </xdr:oneCellAnchor>
  <xdr:oneCellAnchor>
    <xdr:from>
      <xdr:col>3</xdr:col>
      <xdr:colOff>304800</xdr:colOff>
      <xdr:row>62</xdr:row>
      <xdr:rowOff>19050</xdr:rowOff>
    </xdr:from>
    <xdr:ext cx="876300" cy="190500"/>
    <xdr:sp>
      <xdr:nvSpPr>
        <xdr:cNvPr id="7" name="TextBox 38"/>
        <xdr:cNvSpPr txBox="1">
          <a:spLocks noChangeArrowheads="1"/>
        </xdr:cNvSpPr>
      </xdr:nvSpPr>
      <xdr:spPr>
        <a:xfrm>
          <a:off x="2419350" y="12353925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Pond Full Level</a:t>
          </a:r>
        </a:p>
      </xdr:txBody>
    </xdr:sp>
    <xdr:clientData/>
  </xdr:oneCellAnchor>
  <xdr:twoCellAnchor>
    <xdr:from>
      <xdr:col>4</xdr:col>
      <xdr:colOff>523875</xdr:colOff>
      <xdr:row>62</xdr:row>
      <xdr:rowOff>47625</xdr:rowOff>
    </xdr:from>
    <xdr:to>
      <xdr:col>4</xdr:col>
      <xdr:colOff>561975</xdr:colOff>
      <xdr:row>63</xdr:row>
      <xdr:rowOff>38100</xdr:rowOff>
    </xdr:to>
    <xdr:sp>
      <xdr:nvSpPr>
        <xdr:cNvPr id="8" name="AutoShape 39"/>
        <xdr:cNvSpPr>
          <a:spLocks/>
        </xdr:cNvSpPr>
      </xdr:nvSpPr>
      <xdr:spPr>
        <a:xfrm>
          <a:off x="3295650" y="12382500"/>
          <a:ext cx="38100" cy="152400"/>
        </a:xfrm>
        <a:prstGeom prst="down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63</xdr:row>
      <xdr:rowOff>47625</xdr:rowOff>
    </xdr:from>
    <xdr:to>
      <xdr:col>2</xdr:col>
      <xdr:colOff>447675</xdr:colOff>
      <xdr:row>63</xdr:row>
      <xdr:rowOff>95250</xdr:rowOff>
    </xdr:to>
    <xdr:sp>
      <xdr:nvSpPr>
        <xdr:cNvPr id="9" name="AutoShape 59"/>
        <xdr:cNvSpPr>
          <a:spLocks/>
        </xdr:cNvSpPr>
      </xdr:nvSpPr>
      <xdr:spPr>
        <a:xfrm rot="20493903">
          <a:off x="1581150" y="12544425"/>
          <a:ext cx="247650" cy="476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771525</xdr:colOff>
      <xdr:row>62</xdr:row>
      <xdr:rowOff>57150</xdr:rowOff>
    </xdr:from>
    <xdr:to>
      <xdr:col>7</xdr:col>
      <xdr:colOff>304800</xdr:colOff>
      <xdr:row>62</xdr:row>
      <xdr:rowOff>114300</xdr:rowOff>
    </xdr:to>
    <xdr:sp>
      <xdr:nvSpPr>
        <xdr:cNvPr id="10" name="AutoShape 60"/>
        <xdr:cNvSpPr>
          <a:spLocks/>
        </xdr:cNvSpPr>
      </xdr:nvSpPr>
      <xdr:spPr>
        <a:xfrm>
          <a:off x="4752975" y="12392025"/>
          <a:ext cx="342900" cy="571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62</xdr:row>
      <xdr:rowOff>9525</xdr:rowOff>
    </xdr:from>
    <xdr:to>
      <xdr:col>6</xdr:col>
      <xdr:colOff>619125</xdr:colOff>
      <xdr:row>63</xdr:row>
      <xdr:rowOff>38100</xdr:rowOff>
    </xdr:to>
    <xdr:sp>
      <xdr:nvSpPr>
        <xdr:cNvPr id="11" name="AutoShape 65"/>
        <xdr:cNvSpPr>
          <a:spLocks/>
        </xdr:cNvSpPr>
      </xdr:nvSpPr>
      <xdr:spPr>
        <a:xfrm>
          <a:off x="4552950" y="12344400"/>
          <a:ext cx="47625" cy="190500"/>
        </a:xfrm>
        <a:prstGeom prst="upDown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60</xdr:row>
      <xdr:rowOff>171450</xdr:rowOff>
    </xdr:from>
    <xdr:to>
      <xdr:col>5</xdr:col>
      <xdr:colOff>323850</xdr:colOff>
      <xdr:row>62</xdr:row>
      <xdr:rowOff>0</xdr:rowOff>
    </xdr:to>
    <xdr:sp>
      <xdr:nvSpPr>
        <xdr:cNvPr id="12" name="AutoShape 67"/>
        <xdr:cNvSpPr>
          <a:spLocks/>
        </xdr:cNvSpPr>
      </xdr:nvSpPr>
      <xdr:spPr>
        <a:xfrm>
          <a:off x="3829050" y="12163425"/>
          <a:ext cx="38100" cy="171450"/>
        </a:xfrm>
        <a:prstGeom prst="down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59</xdr:row>
      <xdr:rowOff>85725</xdr:rowOff>
    </xdr:from>
    <xdr:to>
      <xdr:col>6</xdr:col>
      <xdr:colOff>161925</xdr:colOff>
      <xdr:row>67</xdr:row>
      <xdr:rowOff>142875</xdr:rowOff>
    </xdr:to>
    <xdr:grpSp>
      <xdr:nvGrpSpPr>
        <xdr:cNvPr id="13" name="Group 92"/>
        <xdr:cNvGrpSpPr>
          <a:grpSpLocks/>
        </xdr:cNvGrpSpPr>
      </xdr:nvGrpSpPr>
      <xdr:grpSpPr>
        <a:xfrm>
          <a:off x="4038600" y="11887200"/>
          <a:ext cx="104775" cy="1400175"/>
          <a:chOff x="456" y="844"/>
          <a:chExt cx="22" cy="173"/>
        </a:xfrm>
        <a:solidFill>
          <a:srgbClr val="FFFFFF"/>
        </a:solidFill>
      </xdr:grpSpPr>
      <xdr:sp>
        <xdr:nvSpPr>
          <xdr:cNvPr id="14" name="Rectangle 68"/>
          <xdr:cNvSpPr>
            <a:spLocks/>
          </xdr:cNvSpPr>
        </xdr:nvSpPr>
        <xdr:spPr>
          <a:xfrm>
            <a:off x="456" y="844"/>
            <a:ext cx="22" cy="173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70"/>
          <xdr:cNvSpPr>
            <a:spLocks/>
          </xdr:cNvSpPr>
        </xdr:nvSpPr>
        <xdr:spPr>
          <a:xfrm>
            <a:off x="456" y="867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81"/>
          <xdr:cNvSpPr>
            <a:spLocks/>
          </xdr:cNvSpPr>
        </xdr:nvSpPr>
        <xdr:spPr>
          <a:xfrm>
            <a:off x="456" y="851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83"/>
          <xdr:cNvSpPr>
            <a:spLocks/>
          </xdr:cNvSpPr>
        </xdr:nvSpPr>
        <xdr:spPr>
          <a:xfrm>
            <a:off x="456" y="883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84"/>
          <xdr:cNvSpPr>
            <a:spLocks/>
          </xdr:cNvSpPr>
        </xdr:nvSpPr>
        <xdr:spPr>
          <a:xfrm>
            <a:off x="456" y="899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85"/>
          <xdr:cNvSpPr>
            <a:spLocks/>
          </xdr:cNvSpPr>
        </xdr:nvSpPr>
        <xdr:spPr>
          <a:xfrm>
            <a:off x="456" y="915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86"/>
          <xdr:cNvSpPr>
            <a:spLocks/>
          </xdr:cNvSpPr>
        </xdr:nvSpPr>
        <xdr:spPr>
          <a:xfrm>
            <a:off x="456" y="931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87"/>
          <xdr:cNvSpPr>
            <a:spLocks/>
          </xdr:cNvSpPr>
        </xdr:nvSpPr>
        <xdr:spPr>
          <a:xfrm>
            <a:off x="456" y="947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88"/>
          <xdr:cNvSpPr>
            <a:spLocks/>
          </xdr:cNvSpPr>
        </xdr:nvSpPr>
        <xdr:spPr>
          <a:xfrm>
            <a:off x="456" y="963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89"/>
          <xdr:cNvSpPr>
            <a:spLocks/>
          </xdr:cNvSpPr>
        </xdr:nvSpPr>
        <xdr:spPr>
          <a:xfrm>
            <a:off x="456" y="979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90"/>
          <xdr:cNvSpPr>
            <a:spLocks/>
          </xdr:cNvSpPr>
        </xdr:nvSpPr>
        <xdr:spPr>
          <a:xfrm>
            <a:off x="456" y="995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91"/>
          <xdr:cNvSpPr>
            <a:spLocks/>
          </xdr:cNvSpPr>
        </xdr:nvSpPr>
        <xdr:spPr>
          <a:xfrm>
            <a:off x="456" y="1011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238125</xdr:colOff>
      <xdr:row>66</xdr:row>
      <xdr:rowOff>114300</xdr:rowOff>
    </xdr:from>
    <xdr:to>
      <xdr:col>6</xdr:col>
      <xdr:colOff>447675</xdr:colOff>
      <xdr:row>66</xdr:row>
      <xdr:rowOff>114300</xdr:rowOff>
    </xdr:to>
    <xdr:sp>
      <xdr:nvSpPr>
        <xdr:cNvPr id="26" name="Line 117"/>
        <xdr:cNvSpPr>
          <a:spLocks/>
        </xdr:cNvSpPr>
      </xdr:nvSpPr>
      <xdr:spPr>
        <a:xfrm>
          <a:off x="2352675" y="13096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19050</xdr:colOff>
      <xdr:row>67</xdr:row>
      <xdr:rowOff>0</xdr:rowOff>
    </xdr:from>
    <xdr:ext cx="885825" cy="190500"/>
    <xdr:sp>
      <xdr:nvSpPr>
        <xdr:cNvPr id="27" name="TextBox 118"/>
        <xdr:cNvSpPr txBox="1">
          <a:spLocks noChangeArrowheads="1"/>
        </xdr:cNvSpPr>
      </xdr:nvSpPr>
      <xdr:spPr>
        <a:xfrm>
          <a:off x="2790825" y="131445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Sludge Storage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23</xdr:row>
      <xdr:rowOff>0</xdr:rowOff>
    </xdr:from>
    <xdr:to>
      <xdr:col>7</xdr:col>
      <xdr:colOff>257175</xdr:colOff>
      <xdr:row>27</xdr:row>
      <xdr:rowOff>142875</xdr:rowOff>
    </xdr:to>
    <xdr:sp>
      <xdr:nvSpPr>
        <xdr:cNvPr id="1" name="AutoShape 21"/>
        <xdr:cNvSpPr>
          <a:spLocks/>
        </xdr:cNvSpPr>
      </xdr:nvSpPr>
      <xdr:spPr>
        <a:xfrm>
          <a:off x="1352550" y="4448175"/>
          <a:ext cx="3562350" cy="809625"/>
        </a:xfrm>
        <a:prstGeom prst="trapezoid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19050</xdr:rowOff>
    </xdr:from>
    <xdr:to>
      <xdr:col>8</xdr:col>
      <xdr:colOff>247650</xdr:colOff>
      <xdr:row>40</xdr:row>
      <xdr:rowOff>19050</xdr:rowOff>
    </xdr:to>
    <xdr:sp>
      <xdr:nvSpPr>
        <xdr:cNvPr id="2" name="AutoShape 22"/>
        <xdr:cNvSpPr>
          <a:spLocks/>
        </xdr:cNvSpPr>
      </xdr:nvSpPr>
      <xdr:spPr>
        <a:xfrm>
          <a:off x="685800" y="6296025"/>
          <a:ext cx="4981575" cy="971550"/>
        </a:xfrm>
        <a:prstGeom prst="trapezoid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23</xdr:row>
      <xdr:rowOff>161925</xdr:rowOff>
    </xdr:from>
    <xdr:to>
      <xdr:col>7</xdr:col>
      <xdr:colOff>66675</xdr:colOff>
      <xdr:row>23</xdr:row>
      <xdr:rowOff>161925</xdr:rowOff>
    </xdr:to>
    <xdr:sp>
      <xdr:nvSpPr>
        <xdr:cNvPr id="3" name="Line 23"/>
        <xdr:cNvSpPr>
          <a:spLocks/>
        </xdr:cNvSpPr>
      </xdr:nvSpPr>
      <xdr:spPr>
        <a:xfrm>
          <a:off x="1524000" y="461010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66675</xdr:rowOff>
    </xdr:from>
    <xdr:to>
      <xdr:col>4</xdr:col>
      <xdr:colOff>57150</xdr:colOff>
      <xdr:row>23</xdr:row>
      <xdr:rowOff>161925</xdr:rowOff>
    </xdr:to>
    <xdr:sp>
      <xdr:nvSpPr>
        <xdr:cNvPr id="4" name="AutoShape 24"/>
        <xdr:cNvSpPr>
          <a:spLocks/>
        </xdr:cNvSpPr>
      </xdr:nvSpPr>
      <xdr:spPr>
        <a:xfrm>
          <a:off x="2743200" y="4324350"/>
          <a:ext cx="57150" cy="285750"/>
        </a:xfrm>
        <a:prstGeom prst="down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</xdr:row>
      <xdr:rowOff>19050</xdr:rowOff>
    </xdr:from>
    <xdr:to>
      <xdr:col>8</xdr:col>
      <xdr:colOff>38100</xdr:colOff>
      <xdr:row>35</xdr:row>
      <xdr:rowOff>19050</xdr:rowOff>
    </xdr:to>
    <xdr:sp>
      <xdr:nvSpPr>
        <xdr:cNvPr id="5" name="Line 25"/>
        <xdr:cNvSpPr>
          <a:spLocks/>
        </xdr:cNvSpPr>
      </xdr:nvSpPr>
      <xdr:spPr>
        <a:xfrm>
          <a:off x="885825" y="64579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33</xdr:row>
      <xdr:rowOff>57150</xdr:rowOff>
    </xdr:from>
    <xdr:to>
      <xdr:col>3</xdr:col>
      <xdr:colOff>85725</xdr:colOff>
      <xdr:row>35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2124075" y="6172200"/>
          <a:ext cx="66675" cy="266700"/>
        </a:xfrm>
        <a:prstGeom prst="down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54</xdr:row>
      <xdr:rowOff>180975</xdr:rowOff>
    </xdr:from>
    <xdr:to>
      <xdr:col>7</xdr:col>
      <xdr:colOff>714375</xdr:colOff>
      <xdr:row>61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419225" y="11468100"/>
          <a:ext cx="4114800" cy="1143000"/>
        </a:xfrm>
        <a:prstGeom prst="trapezoid">
          <a:avLst>
            <a:gd name="adj" fmla="val -19787"/>
          </a:avLst>
        </a:prstGeom>
        <a:solidFill>
          <a:srgbClr val="3366FF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55</xdr:row>
      <xdr:rowOff>152400</xdr:rowOff>
    </xdr:from>
    <xdr:to>
      <xdr:col>7</xdr:col>
      <xdr:colOff>533400</xdr:colOff>
      <xdr:row>55</xdr:row>
      <xdr:rowOff>152400</xdr:rowOff>
    </xdr:to>
    <xdr:sp>
      <xdr:nvSpPr>
        <xdr:cNvPr id="2" name="Line 3"/>
        <xdr:cNvSpPr>
          <a:spLocks/>
        </xdr:cNvSpPr>
      </xdr:nvSpPr>
      <xdr:spPr>
        <a:xfrm>
          <a:off x="1590675" y="11630025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61</xdr:row>
      <xdr:rowOff>0</xdr:rowOff>
    </xdr:from>
    <xdr:to>
      <xdr:col>6</xdr:col>
      <xdr:colOff>428625</xdr:colOff>
      <xdr:row>61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505075" y="12468225"/>
          <a:ext cx="197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57</xdr:row>
      <xdr:rowOff>0</xdr:rowOff>
    </xdr:from>
    <xdr:to>
      <xdr:col>7</xdr:col>
      <xdr:colOff>323850</xdr:colOff>
      <xdr:row>57</xdr:row>
      <xdr:rowOff>0</xdr:rowOff>
    </xdr:to>
    <xdr:sp>
      <xdr:nvSpPr>
        <xdr:cNvPr id="4" name="Line 21"/>
        <xdr:cNvSpPr>
          <a:spLocks/>
        </xdr:cNvSpPr>
      </xdr:nvSpPr>
      <xdr:spPr>
        <a:xfrm>
          <a:off x="1800225" y="11820525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54</xdr:row>
      <xdr:rowOff>57150</xdr:rowOff>
    </xdr:from>
    <xdr:to>
      <xdr:col>6</xdr:col>
      <xdr:colOff>133350</xdr:colOff>
      <xdr:row>61</xdr:row>
      <xdr:rowOff>142875</xdr:rowOff>
    </xdr:to>
    <xdr:grpSp>
      <xdr:nvGrpSpPr>
        <xdr:cNvPr id="5" name="Group 5"/>
        <xdr:cNvGrpSpPr>
          <a:grpSpLocks/>
        </xdr:cNvGrpSpPr>
      </xdr:nvGrpSpPr>
      <xdr:grpSpPr>
        <a:xfrm>
          <a:off x="4076700" y="11344275"/>
          <a:ext cx="104775" cy="1266825"/>
          <a:chOff x="456" y="844"/>
          <a:chExt cx="22" cy="173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456" y="844"/>
            <a:ext cx="22" cy="173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56" y="867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56" y="851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56" y="883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456" y="899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456" y="915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56" y="931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56" y="947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456" y="963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56" y="979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456" y="995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56" y="1011"/>
            <a:ext cx="8" cy="0"/>
          </a:xfrm>
          <a:prstGeom prst="line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12</xdr:col>
      <xdr:colOff>504825</xdr:colOff>
      <xdr:row>60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800975" cy="971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64"/>
  <sheetViews>
    <sheetView workbookViewId="0" topLeftCell="A1">
      <selection activeCell="G17" sqref="G17"/>
    </sheetView>
  </sheetViews>
  <sheetFormatPr defaultColWidth="9.140625" defaultRowHeight="12.75"/>
  <cols>
    <col min="1" max="1" width="6.7109375" style="0" customWidth="1"/>
    <col min="2" max="2" width="6.8515625" style="0" customWidth="1"/>
    <col min="3" max="3" width="10.140625" style="0" bestFit="1" customWidth="1"/>
    <col min="5" max="5" width="8.8515625" style="0" customWidth="1"/>
    <col min="7" max="7" width="8.28125" style="0" customWidth="1"/>
    <col min="8" max="8" width="12.140625" style="0" customWidth="1"/>
    <col min="9" max="9" width="10.57421875" style="0" customWidth="1"/>
    <col min="10" max="10" width="9.8515625" style="0" customWidth="1"/>
    <col min="11" max="11" width="10.00390625" style="0" customWidth="1"/>
    <col min="14" max="14" width="11.28125" style="0" customWidth="1"/>
  </cols>
  <sheetData>
    <row r="1" spans="1:12" ht="15.75">
      <c r="A1" s="722" t="s">
        <v>117</v>
      </c>
      <c r="B1" s="717"/>
      <c r="C1" s="717"/>
      <c r="D1" s="717"/>
      <c r="E1" s="717"/>
      <c r="F1" s="717"/>
      <c r="G1" s="717"/>
      <c r="H1" s="717"/>
      <c r="I1" s="717"/>
      <c r="J1" s="717"/>
      <c r="K1" s="718"/>
      <c r="L1" s="48" t="s">
        <v>110</v>
      </c>
    </row>
    <row r="2" spans="1:12" ht="12.75">
      <c r="A2" s="12" t="s">
        <v>51</v>
      </c>
      <c r="B2" s="13"/>
      <c r="C2" s="13"/>
      <c r="D2" s="13"/>
      <c r="E2" s="13"/>
      <c r="F2" s="13" t="s">
        <v>819</v>
      </c>
      <c r="G2" s="13"/>
      <c r="H2" s="13"/>
      <c r="I2" s="13"/>
      <c r="J2" s="14"/>
      <c r="K2" s="212"/>
      <c r="L2" s="48" t="s">
        <v>111</v>
      </c>
    </row>
    <row r="3" spans="1:11" ht="16.5" customHeight="1">
      <c r="A3" s="18"/>
      <c r="B3" s="22" t="s">
        <v>47</v>
      </c>
      <c r="C3" s="738" t="s">
        <v>823</v>
      </c>
      <c r="D3" s="739"/>
      <c r="E3" s="19"/>
      <c r="F3" s="22" t="s">
        <v>50</v>
      </c>
      <c r="G3" s="742" t="s">
        <v>824</v>
      </c>
      <c r="H3" s="743"/>
      <c r="I3" s="6"/>
      <c r="J3" s="7" t="s">
        <v>109</v>
      </c>
      <c r="K3" s="113" t="s">
        <v>111</v>
      </c>
    </row>
    <row r="4" spans="1:11" ht="16.5" customHeight="1">
      <c r="A4" s="20"/>
      <c r="B4" s="25" t="s">
        <v>52</v>
      </c>
      <c r="C4" s="740" t="s">
        <v>825</v>
      </c>
      <c r="D4" s="741"/>
      <c r="E4" s="21"/>
      <c r="F4" s="25" t="s">
        <v>49</v>
      </c>
      <c r="G4" s="730" t="s">
        <v>826</v>
      </c>
      <c r="H4" s="731"/>
      <c r="I4" s="21"/>
      <c r="J4" s="398" t="s">
        <v>48</v>
      </c>
      <c r="K4" s="399" t="s">
        <v>827</v>
      </c>
    </row>
    <row r="5" spans="1:11" ht="15">
      <c r="A5" s="15" t="s">
        <v>81</v>
      </c>
      <c r="B5" s="16"/>
      <c r="C5" s="16"/>
      <c r="D5" s="16"/>
      <c r="E5" s="16"/>
      <c r="F5" s="16"/>
      <c r="G5" s="26"/>
      <c r="H5" s="16"/>
      <c r="I5" s="16"/>
      <c r="J5" s="16"/>
      <c r="K5" s="17"/>
    </row>
    <row r="6" spans="1:11" ht="13.5" customHeight="1">
      <c r="A6" s="66"/>
      <c r="B6" s="67"/>
      <c r="D6" s="68" t="s">
        <v>770</v>
      </c>
      <c r="E6" s="114">
        <v>2000</v>
      </c>
      <c r="F6" s="644" t="s">
        <v>768</v>
      </c>
      <c r="G6" s="645">
        <v>100</v>
      </c>
      <c r="H6" s="1"/>
      <c r="I6" s="753" t="s">
        <v>769</v>
      </c>
      <c r="J6" s="754"/>
      <c r="K6" s="755"/>
    </row>
    <row r="7" spans="1:11" ht="12.75">
      <c r="A7" s="66"/>
      <c r="B7" s="67"/>
      <c r="C7" s="67"/>
      <c r="D7" s="68" t="s">
        <v>54</v>
      </c>
      <c r="E7" s="115">
        <v>1400</v>
      </c>
      <c r="F7" s="3" t="s">
        <v>55</v>
      </c>
      <c r="G7" s="716" t="s">
        <v>815</v>
      </c>
      <c r="H7" s="715">
        <v>100</v>
      </c>
      <c r="I7" s="750">
        <f>E6*E7/1000</f>
        <v>2800</v>
      </c>
      <c r="J7" s="751"/>
      <c r="K7" s="752"/>
    </row>
    <row r="8" spans="1:11" ht="12.75" customHeight="1">
      <c r="A8" s="66"/>
      <c r="B8" s="67"/>
      <c r="C8" s="67"/>
      <c r="D8" s="143" t="s">
        <v>352</v>
      </c>
      <c r="E8" s="116">
        <v>0.15</v>
      </c>
      <c r="F8" s="3" t="s">
        <v>353</v>
      </c>
      <c r="G8" s="3"/>
      <c r="H8" s="3"/>
      <c r="I8" s="1"/>
      <c r="J8" s="1"/>
      <c r="K8" s="4"/>
    </row>
    <row r="9" spans="1:11" ht="15">
      <c r="A9" s="66"/>
      <c r="B9" s="69"/>
      <c r="C9" s="69"/>
      <c r="D9" s="68" t="s">
        <v>56</v>
      </c>
      <c r="E9" s="115">
        <v>50</v>
      </c>
      <c r="F9" s="3" t="s">
        <v>57</v>
      </c>
      <c r="G9" s="3"/>
      <c r="H9" s="3"/>
      <c r="I9" s="744" t="str">
        <f>IF((E6+G6)&lt;200,"This may be a small CAFO.",IF((E6+G6)&gt;700,"This dairy is a large CAFO.","This may be a medium CAFO."))</f>
        <v>This dairy is a large CAFO.</v>
      </c>
      <c r="J9" s="744"/>
      <c r="K9" s="745"/>
    </row>
    <row r="10" spans="1:11" ht="12.75" customHeight="1">
      <c r="A10" s="746" t="s">
        <v>541</v>
      </c>
      <c r="B10" s="747"/>
      <c r="C10" s="747"/>
      <c r="D10" s="747"/>
      <c r="E10" s="115">
        <v>2</v>
      </c>
      <c r="F10" s="748" t="s">
        <v>92</v>
      </c>
      <c r="G10" s="749"/>
      <c r="H10" s="749"/>
      <c r="I10" s="744"/>
      <c r="J10" s="744"/>
      <c r="K10" s="745"/>
    </row>
    <row r="11" spans="1:11" ht="12.75" customHeight="1">
      <c r="A11" s="746" t="s">
        <v>85</v>
      </c>
      <c r="B11" s="756"/>
      <c r="C11" s="756"/>
      <c r="D11" s="757"/>
      <c r="E11" s="115">
        <v>0</v>
      </c>
      <c r="F11" s="3" t="s">
        <v>354</v>
      </c>
      <c r="G11" s="3"/>
      <c r="H11" s="3"/>
      <c r="I11" s="642"/>
      <c r="J11" s="642"/>
      <c r="K11" s="643"/>
    </row>
    <row r="12" spans="1:11" ht="26.25" customHeight="1">
      <c r="A12" s="71"/>
      <c r="B12" s="72" t="s">
        <v>58</v>
      </c>
      <c r="C12" s="758" t="s">
        <v>816</v>
      </c>
      <c r="D12" s="758"/>
      <c r="E12" s="758"/>
      <c r="F12" s="728" t="s">
        <v>76</v>
      </c>
      <c r="G12" s="728"/>
      <c r="H12" s="728"/>
      <c r="I12" s="764" t="s">
        <v>821</v>
      </c>
      <c r="J12" s="764"/>
      <c r="K12" s="765"/>
    </row>
    <row r="13" spans="1:11" ht="12.75">
      <c r="A13" s="2"/>
      <c r="B13" s="3"/>
      <c r="C13" s="759" t="s">
        <v>75</v>
      </c>
      <c r="D13" s="759"/>
      <c r="E13" s="759"/>
      <c r="F13" s="760" t="s">
        <v>59</v>
      </c>
      <c r="G13" s="760"/>
      <c r="H13" s="760"/>
      <c r="I13" s="169" t="s">
        <v>822</v>
      </c>
      <c r="J13" s="9"/>
      <c r="K13" s="10"/>
    </row>
    <row r="14" spans="1:11" ht="15">
      <c r="A14" s="28" t="s">
        <v>63</v>
      </c>
      <c r="B14" s="26"/>
      <c r="C14" s="26"/>
      <c r="D14" s="26"/>
      <c r="E14" s="26"/>
      <c r="F14" s="26"/>
      <c r="G14" s="26"/>
      <c r="H14" s="26"/>
      <c r="I14" s="54"/>
      <c r="J14" s="54"/>
      <c r="K14" s="55"/>
    </row>
    <row r="15" spans="1:15" ht="24.75" customHeight="1">
      <c r="A15" s="41"/>
      <c r="B15" s="768" t="s">
        <v>67</v>
      </c>
      <c r="C15" s="768"/>
      <c r="D15" s="769"/>
      <c r="E15" s="766" t="s">
        <v>447</v>
      </c>
      <c r="F15" s="56" t="s">
        <v>83</v>
      </c>
      <c r="G15" s="732" t="s">
        <v>82</v>
      </c>
      <c r="H15" s="38" t="s">
        <v>87</v>
      </c>
      <c r="I15" s="39" t="s">
        <v>69</v>
      </c>
      <c r="J15" s="38" t="s">
        <v>349</v>
      </c>
      <c r="K15" s="73"/>
      <c r="N15" s="714" t="s">
        <v>817</v>
      </c>
      <c r="O15" s="714" t="s">
        <v>818</v>
      </c>
    </row>
    <row r="16" spans="1:15" s="27" customFormat="1" ht="16.5" customHeight="1">
      <c r="A16" s="42"/>
      <c r="B16" s="770"/>
      <c r="C16" s="770"/>
      <c r="D16" s="771"/>
      <c r="E16" s="767"/>
      <c r="F16" s="40" t="s">
        <v>71</v>
      </c>
      <c r="G16" s="729"/>
      <c r="H16" s="40" t="s">
        <v>70</v>
      </c>
      <c r="I16" s="40" t="s">
        <v>72</v>
      </c>
      <c r="J16" s="40" t="s">
        <v>68</v>
      </c>
      <c r="K16" s="4"/>
      <c r="N16" s="27">
        <v>0</v>
      </c>
      <c r="O16" s="27">
        <v>96</v>
      </c>
    </row>
    <row r="17" spans="1:15" ht="12.75">
      <c r="A17" s="2"/>
      <c r="B17" s="3"/>
      <c r="C17" s="3"/>
      <c r="D17" s="5" t="s">
        <v>53</v>
      </c>
      <c r="E17" s="58">
        <f>E6</f>
        <v>2000</v>
      </c>
      <c r="F17" s="58">
        <f>IF(K3="No",0,E7)</f>
        <v>0</v>
      </c>
      <c r="G17" s="117"/>
      <c r="H17" s="35">
        <f>VLOOKUP(H7,N16:O20,2)</f>
        <v>118.94</v>
      </c>
      <c r="I17" s="36">
        <f>E17*F17/1000</f>
        <v>0</v>
      </c>
      <c r="J17" s="37">
        <f>H17*I17*G17</f>
        <v>0</v>
      </c>
      <c r="K17" s="70"/>
      <c r="N17" s="27">
        <v>50</v>
      </c>
      <c r="O17" s="27">
        <v>96.51</v>
      </c>
    </row>
    <row r="18" spans="1:15" ht="12.75">
      <c r="A18" s="2"/>
      <c r="B18" s="3"/>
      <c r="C18" s="3"/>
      <c r="D18" s="5" t="s">
        <v>64</v>
      </c>
      <c r="E18" s="646">
        <f>G6</f>
        <v>100</v>
      </c>
      <c r="F18" s="30">
        <f>IF(K3="No",0,E7)</f>
        <v>0</v>
      </c>
      <c r="G18" s="116"/>
      <c r="H18" s="29">
        <v>56.74</v>
      </c>
      <c r="I18" s="32">
        <f>E18*F18/1000</f>
        <v>0</v>
      </c>
      <c r="J18" s="37">
        <f>H18*I18*G18</f>
        <v>0</v>
      </c>
      <c r="K18" s="70"/>
      <c r="N18">
        <v>75</v>
      </c>
      <c r="O18">
        <v>107.67</v>
      </c>
    </row>
    <row r="19" spans="1:15" ht="12.75">
      <c r="A19" s="2"/>
      <c r="B19" s="3"/>
      <c r="C19" s="3"/>
      <c r="D19" s="5" t="s">
        <v>65</v>
      </c>
      <c r="E19" s="115">
        <v>1250</v>
      </c>
      <c r="F19" s="115">
        <v>700</v>
      </c>
      <c r="G19" s="116"/>
      <c r="H19" s="29">
        <v>55.69</v>
      </c>
      <c r="I19" s="32">
        <f>E19*F19/1000</f>
        <v>875</v>
      </c>
      <c r="J19" s="37">
        <f>H19*I19*G19</f>
        <v>0</v>
      </c>
      <c r="K19" s="70"/>
      <c r="N19">
        <v>100</v>
      </c>
      <c r="O19">
        <v>118.94</v>
      </c>
    </row>
    <row r="20" spans="1:15" ht="12.75">
      <c r="A20" s="2"/>
      <c r="B20" s="3"/>
      <c r="C20" s="3"/>
      <c r="D20" s="5" t="s">
        <v>66</v>
      </c>
      <c r="E20" s="115">
        <v>350</v>
      </c>
      <c r="F20" s="115">
        <v>160</v>
      </c>
      <c r="G20" s="116"/>
      <c r="H20" s="29">
        <v>85</v>
      </c>
      <c r="I20" s="32">
        <f>E20*F20/1000</f>
        <v>56</v>
      </c>
      <c r="J20" s="37">
        <f>H20*I20*G20</f>
        <v>0</v>
      </c>
      <c r="K20" s="70"/>
      <c r="N20">
        <v>125</v>
      </c>
      <c r="O20">
        <v>130.1</v>
      </c>
    </row>
    <row r="21" spans="1:11" ht="12.75">
      <c r="A21" s="2"/>
      <c r="B21" s="3"/>
      <c r="C21" s="3"/>
      <c r="D21" s="74" t="s">
        <v>73</v>
      </c>
      <c r="E21" s="30">
        <f>SUM(E17:E20)</f>
        <v>3700</v>
      </c>
      <c r="F21" s="57" t="s">
        <v>84</v>
      </c>
      <c r="G21" s="3"/>
      <c r="H21" s="31"/>
      <c r="I21" s="75" t="s">
        <v>73</v>
      </c>
      <c r="J21" s="33">
        <f>IF(K3="No",0,SUM(J17:J20))</f>
        <v>0</v>
      </c>
      <c r="K21" s="34" t="s">
        <v>68</v>
      </c>
    </row>
    <row r="22" spans="1:11" ht="12.75">
      <c r="A22" s="2"/>
      <c r="B22" s="3"/>
      <c r="C22" s="3"/>
      <c r="D22" s="5" t="s">
        <v>60</v>
      </c>
      <c r="E22" s="584">
        <f>IF(K3="No",0,E11/E21)</f>
        <v>0</v>
      </c>
      <c r="F22" s="735" t="s">
        <v>86</v>
      </c>
      <c r="G22" s="736"/>
      <c r="H22" s="736"/>
      <c r="I22" s="736"/>
      <c r="J22" s="736"/>
      <c r="K22" s="737"/>
    </row>
    <row r="23" spans="1:11" ht="14.25">
      <c r="A23" s="76" t="s">
        <v>820</v>
      </c>
      <c r="B23" s="3"/>
      <c r="C23" s="3"/>
      <c r="D23" s="3"/>
      <c r="E23" s="3"/>
      <c r="F23" s="59"/>
      <c r="G23" s="59"/>
      <c r="H23" s="59"/>
      <c r="I23" s="3"/>
      <c r="J23" s="3"/>
      <c r="K23" s="4"/>
    </row>
    <row r="24" spans="1:11" ht="15">
      <c r="A24" s="761" t="s">
        <v>325</v>
      </c>
      <c r="B24" s="762"/>
      <c r="C24" s="762"/>
      <c r="D24" s="762"/>
      <c r="E24" s="762"/>
      <c r="F24" s="762"/>
      <c r="G24" s="762"/>
      <c r="H24" s="762"/>
      <c r="I24" s="762"/>
      <c r="J24" s="762"/>
      <c r="K24" s="763"/>
    </row>
    <row r="25" spans="1:11" ht="12.75">
      <c r="A25" s="43" t="s">
        <v>344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</row>
    <row r="26" spans="1:11" ht="12.75">
      <c r="A26" s="723" t="s">
        <v>332</v>
      </c>
      <c r="B26" s="719"/>
      <c r="C26" s="719"/>
      <c r="D26" s="719"/>
      <c r="E26" s="719"/>
      <c r="F26" s="719"/>
      <c r="G26" s="719"/>
      <c r="H26" s="719"/>
      <c r="I26" s="719"/>
      <c r="J26" s="719"/>
      <c r="K26" s="720"/>
    </row>
    <row r="27" spans="1:11" ht="12.75">
      <c r="A27" s="77" t="s">
        <v>23</v>
      </c>
      <c r="B27" s="63">
        <f>E9</f>
        <v>50</v>
      </c>
      <c r="C27" s="3" t="s">
        <v>61</v>
      </c>
      <c r="D27" s="3"/>
      <c r="E27" s="53">
        <f>E6</f>
        <v>2000</v>
      </c>
      <c r="F27" s="3" t="s">
        <v>93</v>
      </c>
      <c r="G27" s="53">
        <v>30</v>
      </c>
      <c r="H27" s="3" t="s">
        <v>74</v>
      </c>
      <c r="I27" s="24">
        <f>B27*E27*G27</f>
        <v>3000000</v>
      </c>
      <c r="J27" s="52" t="s">
        <v>348</v>
      </c>
      <c r="K27" s="23"/>
    </row>
    <row r="28" spans="1:11" ht="12.75">
      <c r="A28" s="2"/>
      <c r="B28" s="3"/>
      <c r="C28" s="3"/>
      <c r="D28" s="3"/>
      <c r="E28" s="3"/>
      <c r="F28" s="3"/>
      <c r="G28" s="3"/>
      <c r="H28" s="7" t="s">
        <v>345</v>
      </c>
      <c r="I28" s="46">
        <f>I27/27150</f>
        <v>110.49723756906077</v>
      </c>
      <c r="J28" s="52" t="s">
        <v>24</v>
      </c>
      <c r="K28" s="23"/>
    </row>
    <row r="29" spans="1:11" ht="12.75">
      <c r="A29" s="43" t="s">
        <v>335</v>
      </c>
      <c r="B29" s="44"/>
      <c r="C29" s="44"/>
      <c r="D29" s="44"/>
      <c r="E29" s="44"/>
      <c r="F29" s="44"/>
      <c r="G29" s="44"/>
      <c r="H29" s="44"/>
      <c r="I29" s="44"/>
      <c r="J29" s="44"/>
      <c r="K29" s="45"/>
    </row>
    <row r="30" spans="1:11" ht="12.75">
      <c r="A30" s="78" t="s">
        <v>331</v>
      </c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2.75">
      <c r="A31" s="77" t="s">
        <v>77</v>
      </c>
      <c r="B31" s="79">
        <f>I7</f>
        <v>2800</v>
      </c>
      <c r="C31" s="80" t="s">
        <v>91</v>
      </c>
      <c r="D31" s="81">
        <f>H17</f>
        <v>118.94</v>
      </c>
      <c r="E31" s="53" t="s">
        <v>90</v>
      </c>
      <c r="F31" s="64">
        <v>0.88</v>
      </c>
      <c r="G31" s="53" t="s">
        <v>78</v>
      </c>
      <c r="H31" s="64">
        <f>E8</f>
        <v>0.15</v>
      </c>
      <c r="I31" s="65" t="s">
        <v>118</v>
      </c>
      <c r="J31" s="49">
        <f>B31*D31*F31*H31*30</f>
        <v>1318806.7199999997</v>
      </c>
      <c r="K31" s="82" t="s">
        <v>351</v>
      </c>
    </row>
    <row r="32" spans="1:11" ht="12.75">
      <c r="A32" s="725" t="s">
        <v>346</v>
      </c>
      <c r="B32" s="726"/>
      <c r="C32" s="726"/>
      <c r="D32" s="726"/>
      <c r="E32" s="726"/>
      <c r="F32" s="726"/>
      <c r="G32" s="726"/>
      <c r="H32" s="726"/>
      <c r="I32" s="726"/>
      <c r="J32" s="726"/>
      <c r="K32" s="727"/>
    </row>
    <row r="33" spans="1:11" ht="12.75">
      <c r="A33" s="2"/>
      <c r="B33" s="3"/>
      <c r="C33" s="3"/>
      <c r="D33" s="3"/>
      <c r="E33" s="79">
        <f>J31</f>
        <v>1318806.7199999997</v>
      </c>
      <c r="F33" s="83" t="s">
        <v>336</v>
      </c>
      <c r="G33" s="53"/>
      <c r="H33" s="7"/>
      <c r="I33" s="24">
        <f>E33/8.33</f>
        <v>158320.13445378147</v>
      </c>
      <c r="J33" s="52" t="s">
        <v>347</v>
      </c>
      <c r="K33" s="23"/>
    </row>
    <row r="34" spans="1:11" ht="12.75">
      <c r="A34" s="2"/>
      <c r="B34" s="3"/>
      <c r="C34" s="3"/>
      <c r="D34" s="3"/>
      <c r="E34" s="3"/>
      <c r="F34" s="3"/>
      <c r="G34" s="3"/>
      <c r="H34" s="7" t="s">
        <v>345</v>
      </c>
      <c r="I34" s="46">
        <f>I33/27150</f>
        <v>5.831312502901712</v>
      </c>
      <c r="J34" s="52" t="s">
        <v>337</v>
      </c>
      <c r="K34" s="23"/>
    </row>
    <row r="35" spans="1:11" ht="12.75">
      <c r="A35" s="43" t="s">
        <v>338</v>
      </c>
      <c r="B35" s="44"/>
      <c r="C35" s="44"/>
      <c r="D35" s="44"/>
      <c r="E35" s="44"/>
      <c r="F35" s="44"/>
      <c r="G35" s="44"/>
      <c r="H35" s="44"/>
      <c r="I35" s="44"/>
      <c r="J35" s="44"/>
      <c r="K35" s="45"/>
    </row>
    <row r="36" spans="1:11" ht="12.75">
      <c r="A36" s="78" t="s">
        <v>330</v>
      </c>
      <c r="B36" s="3"/>
      <c r="C36" s="3"/>
      <c r="D36" s="3"/>
      <c r="E36" s="3"/>
      <c r="F36" s="3"/>
      <c r="G36" s="3"/>
      <c r="H36" s="7"/>
      <c r="I36" s="60"/>
      <c r="J36" s="52"/>
      <c r="K36" s="23"/>
    </row>
    <row r="37" spans="1:11" ht="12.75">
      <c r="A37" s="84" t="s">
        <v>94</v>
      </c>
      <c r="B37" s="53">
        <f>I7</f>
        <v>2800</v>
      </c>
      <c r="C37" s="3" t="s">
        <v>89</v>
      </c>
      <c r="D37" s="63">
        <f>H17</f>
        <v>118.94</v>
      </c>
      <c r="E37" s="3" t="s">
        <v>88</v>
      </c>
      <c r="F37" s="64">
        <v>0.12</v>
      </c>
      <c r="G37" s="65" t="s">
        <v>119</v>
      </c>
      <c r="H37" s="64">
        <f>E8</f>
        <v>0.15</v>
      </c>
      <c r="I37" s="24">
        <f>B37*D37*F37*H37*30</f>
        <v>179837.27999999997</v>
      </c>
      <c r="J37" s="52" t="s">
        <v>350</v>
      </c>
      <c r="K37" s="23"/>
    </row>
    <row r="38" spans="1:11" ht="12.75">
      <c r="A38" s="2"/>
      <c r="B38" s="3"/>
      <c r="C38" s="7" t="s">
        <v>95</v>
      </c>
      <c r="D38" s="46">
        <f>I37/2000</f>
        <v>89.91863999999998</v>
      </c>
      <c r="E38" s="47" t="s">
        <v>98</v>
      </c>
      <c r="F38" s="3"/>
      <c r="G38" s="3"/>
      <c r="H38" s="7" t="s">
        <v>96</v>
      </c>
      <c r="I38" s="61">
        <f>D39/27</f>
        <v>114.89603999999999</v>
      </c>
      <c r="J38" s="52" t="s">
        <v>339</v>
      </c>
      <c r="K38" s="23"/>
    </row>
    <row r="39" spans="1:11" ht="12.75">
      <c r="A39" s="2"/>
      <c r="B39" s="3"/>
      <c r="C39" s="7" t="s">
        <v>340</v>
      </c>
      <c r="D39" s="61">
        <f>D38*34.5</f>
        <v>3102.1930799999996</v>
      </c>
      <c r="E39" s="47" t="s">
        <v>99</v>
      </c>
      <c r="F39" s="3"/>
      <c r="G39" s="3"/>
      <c r="H39" s="7" t="s">
        <v>97</v>
      </c>
      <c r="I39" s="62">
        <f>I38/134.5</f>
        <v>0.8542456505576207</v>
      </c>
      <c r="J39" s="52" t="s">
        <v>337</v>
      </c>
      <c r="K39" s="23"/>
    </row>
    <row r="40" spans="1:11" ht="12.75">
      <c r="A40" s="43" t="s">
        <v>341</v>
      </c>
      <c r="B40" s="44"/>
      <c r="C40" s="44"/>
      <c r="D40" s="44"/>
      <c r="E40" s="44"/>
      <c r="F40" s="44"/>
      <c r="G40" s="44"/>
      <c r="H40" s="44"/>
      <c r="I40" s="44"/>
      <c r="J40" s="44"/>
      <c r="K40" s="45"/>
    </row>
    <row r="41" spans="1:11" ht="12.75">
      <c r="A41" s="78" t="s">
        <v>333</v>
      </c>
      <c r="B41" s="3"/>
      <c r="C41" s="3"/>
      <c r="D41" s="3"/>
      <c r="E41" s="3"/>
      <c r="F41" s="3"/>
      <c r="G41" s="3"/>
      <c r="H41" s="3"/>
      <c r="I41" s="3"/>
      <c r="J41" s="3"/>
      <c r="K41" s="4"/>
    </row>
    <row r="42" spans="1:11" ht="12.75">
      <c r="A42" s="2"/>
      <c r="B42" s="3" t="s">
        <v>77</v>
      </c>
      <c r="C42" s="79">
        <f>J21</f>
        <v>0</v>
      </c>
      <c r="D42" s="3" t="s">
        <v>100</v>
      </c>
      <c r="E42" s="85">
        <v>0.88</v>
      </c>
      <c r="F42" s="53" t="s">
        <v>78</v>
      </c>
      <c r="G42" s="53">
        <v>30</v>
      </c>
      <c r="H42" s="3" t="s">
        <v>80</v>
      </c>
      <c r="I42" s="49">
        <f>C42*E42*G42</f>
        <v>0</v>
      </c>
      <c r="J42" s="50" t="s">
        <v>350</v>
      </c>
      <c r="K42" s="82"/>
    </row>
    <row r="43" spans="1:11" ht="12.75">
      <c r="A43" s="725" t="s">
        <v>112</v>
      </c>
      <c r="B43" s="726"/>
      <c r="C43" s="726"/>
      <c r="D43" s="726"/>
      <c r="E43" s="726"/>
      <c r="F43" s="726"/>
      <c r="G43" s="726"/>
      <c r="H43" s="726"/>
      <c r="I43" s="726"/>
      <c r="J43" s="726"/>
      <c r="K43" s="727"/>
    </row>
    <row r="44" spans="1:11" ht="12.75">
      <c r="A44" s="724">
        <f>I42</f>
        <v>0</v>
      </c>
      <c r="B44" s="733"/>
      <c r="C44" s="734" t="s">
        <v>113</v>
      </c>
      <c r="D44" s="734"/>
      <c r="E44" s="7" t="s">
        <v>120</v>
      </c>
      <c r="F44" s="79">
        <f>E11</f>
        <v>0</v>
      </c>
      <c r="G44" s="734" t="s">
        <v>121</v>
      </c>
      <c r="H44" s="721"/>
      <c r="I44" s="51">
        <f>IF(K3="No",0,(A44/8.33)+(F44*30))</f>
        <v>0</v>
      </c>
      <c r="J44" s="52" t="s">
        <v>347</v>
      </c>
      <c r="K44" s="47"/>
    </row>
    <row r="45" spans="1:11" ht="12.75">
      <c r="A45" s="2"/>
      <c r="B45" s="3"/>
      <c r="C45" s="3"/>
      <c r="D45" s="3"/>
      <c r="E45" s="3"/>
      <c r="F45" s="3"/>
      <c r="G45" s="3"/>
      <c r="H45" s="7" t="s">
        <v>62</v>
      </c>
      <c r="I45" s="46">
        <f>I44/27150</f>
        <v>0</v>
      </c>
      <c r="J45" s="52" t="s">
        <v>337</v>
      </c>
      <c r="K45" s="23"/>
    </row>
    <row r="46" spans="1:11" ht="12.75">
      <c r="A46" s="43" t="s">
        <v>342</v>
      </c>
      <c r="B46" s="44"/>
      <c r="C46" s="44"/>
      <c r="D46" s="44"/>
      <c r="E46" s="44"/>
      <c r="F46" s="44"/>
      <c r="G46" s="44"/>
      <c r="H46" s="44"/>
      <c r="I46" s="44"/>
      <c r="J46" s="44"/>
      <c r="K46" s="45"/>
    </row>
    <row r="47" spans="1:11" ht="12.75">
      <c r="A47" s="78" t="s">
        <v>334</v>
      </c>
      <c r="B47" s="3"/>
      <c r="C47" s="3"/>
      <c r="D47" s="3"/>
      <c r="E47" s="3"/>
      <c r="F47" s="3"/>
      <c r="G47" s="3"/>
      <c r="H47" s="3"/>
      <c r="I47" s="3"/>
      <c r="J47" s="3"/>
      <c r="K47" s="4"/>
    </row>
    <row r="48" spans="1:11" ht="12.75">
      <c r="A48" s="2"/>
      <c r="B48" s="3" t="s">
        <v>77</v>
      </c>
      <c r="C48" s="79">
        <f>J21</f>
        <v>0</v>
      </c>
      <c r="D48" s="3" t="s">
        <v>100</v>
      </c>
      <c r="E48" s="85">
        <v>0.12</v>
      </c>
      <c r="F48" s="53" t="s">
        <v>78</v>
      </c>
      <c r="G48" s="53">
        <v>30</v>
      </c>
      <c r="H48" s="3" t="s">
        <v>80</v>
      </c>
      <c r="I48" s="49">
        <f>C48*E48*G48</f>
        <v>0</v>
      </c>
      <c r="J48" s="50" t="s">
        <v>350</v>
      </c>
      <c r="K48" s="82"/>
    </row>
    <row r="49" spans="1:11" ht="12.75">
      <c r="A49" s="725" t="s">
        <v>101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7"/>
    </row>
    <row r="50" spans="1:11" ht="12.75">
      <c r="A50" s="2"/>
      <c r="B50" s="3"/>
      <c r="C50" s="6"/>
      <c r="D50" s="733">
        <f>I48</f>
        <v>0</v>
      </c>
      <c r="E50" s="733"/>
      <c r="F50" s="734" t="s">
        <v>343</v>
      </c>
      <c r="G50" s="734"/>
      <c r="H50" s="53" t="s">
        <v>79</v>
      </c>
      <c r="I50" s="51">
        <f>IF(K3="No",0,D50/8.33)</f>
        <v>0</v>
      </c>
      <c r="J50" s="52" t="s">
        <v>347</v>
      </c>
      <c r="K50" s="47"/>
    </row>
    <row r="51" spans="1:11" ht="12.75">
      <c r="A51" s="2"/>
      <c r="B51" s="3"/>
      <c r="C51" s="7" t="s">
        <v>95</v>
      </c>
      <c r="D51" s="46">
        <f>I48/2000</f>
        <v>0</v>
      </c>
      <c r="E51" s="47" t="s">
        <v>98</v>
      </c>
      <c r="F51" s="3"/>
      <c r="G51" s="3"/>
      <c r="H51" s="7" t="s">
        <v>96</v>
      </c>
      <c r="I51" s="61">
        <f>D52/27</f>
        <v>0</v>
      </c>
      <c r="J51" s="52" t="s">
        <v>339</v>
      </c>
      <c r="K51" s="23"/>
    </row>
    <row r="52" spans="1:11" ht="12.75">
      <c r="A52" s="8"/>
      <c r="B52" s="9"/>
      <c r="C52" s="86" t="s">
        <v>122</v>
      </c>
      <c r="D52" s="61">
        <f>D51*34.5</f>
        <v>0</v>
      </c>
      <c r="E52" s="47" t="s">
        <v>99</v>
      </c>
      <c r="F52" s="9"/>
      <c r="G52" s="9"/>
      <c r="H52" s="86" t="s">
        <v>97</v>
      </c>
      <c r="I52" s="62">
        <f>I51/134.5</f>
        <v>0</v>
      </c>
      <c r="J52" s="52" t="s">
        <v>337</v>
      </c>
      <c r="K52" s="23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1"/>
      <c r="I56" s="1"/>
      <c r="J56" s="1"/>
      <c r="K56" s="1"/>
    </row>
    <row r="57" spans="1:11" ht="12.75">
      <c r="A57" s="1"/>
      <c r="B57" s="1"/>
      <c r="C57" s="1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sheetProtection password="CCF6" sheet="1" objects="1" scenarios="1"/>
  <mergeCells count="31">
    <mergeCell ref="A24:K24"/>
    <mergeCell ref="I12:K12"/>
    <mergeCell ref="E15:E16"/>
    <mergeCell ref="B15:D16"/>
    <mergeCell ref="A11:D11"/>
    <mergeCell ref="C12:E12"/>
    <mergeCell ref="C13:E13"/>
    <mergeCell ref="F13:H13"/>
    <mergeCell ref="A1:K1"/>
    <mergeCell ref="I10:K10"/>
    <mergeCell ref="A10:D10"/>
    <mergeCell ref="F10:H10"/>
    <mergeCell ref="I9:K9"/>
    <mergeCell ref="I7:K7"/>
    <mergeCell ref="I6:K6"/>
    <mergeCell ref="A49:K49"/>
    <mergeCell ref="C44:D44"/>
    <mergeCell ref="A44:B44"/>
    <mergeCell ref="A26:K26"/>
    <mergeCell ref="A43:K43"/>
    <mergeCell ref="G44:H44"/>
    <mergeCell ref="D50:E50"/>
    <mergeCell ref="F50:G50"/>
    <mergeCell ref="F22:K22"/>
    <mergeCell ref="C3:D3"/>
    <mergeCell ref="C4:D4"/>
    <mergeCell ref="G3:H3"/>
    <mergeCell ref="G4:H4"/>
    <mergeCell ref="G15:G16"/>
    <mergeCell ref="A32:K32"/>
    <mergeCell ref="F12:H12"/>
  </mergeCells>
  <dataValidations count="1">
    <dataValidation type="list" allowBlank="1" showInputMessage="1" showErrorMessage="1" sqref="K3">
      <formula1>$L$1:$L$2</formula1>
    </dataValidation>
  </dataValidations>
  <printOptions horizontalCentered="1" verticalCentered="1"/>
  <pageMargins left="0.34" right="0.26" top="0.53" bottom="0.39" header="0.5" footer="0.3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68"/>
  <sheetViews>
    <sheetView tabSelected="1" workbookViewId="0" topLeftCell="A4">
      <selection activeCell="A16" sqref="A16"/>
    </sheetView>
  </sheetViews>
  <sheetFormatPr defaultColWidth="9.140625" defaultRowHeight="12.75"/>
  <cols>
    <col min="1" max="1" width="7.7109375" style="139" customWidth="1"/>
    <col min="2" max="3" width="9.140625" style="139" customWidth="1"/>
    <col min="4" max="4" width="9.8515625" style="139" customWidth="1"/>
    <col min="5" max="5" width="17.8515625" style="139" customWidth="1"/>
    <col min="6" max="6" width="6.421875" style="139" customWidth="1"/>
    <col min="7" max="7" width="19.7109375" style="139" customWidth="1"/>
    <col min="8" max="8" width="12.8515625" style="139" customWidth="1"/>
    <col min="9" max="9" width="9.140625" style="139" customWidth="1"/>
    <col min="10" max="10" width="10.28125" style="139" customWidth="1"/>
    <col min="11" max="11" width="9.57421875" style="139" bestFit="1" customWidth="1"/>
    <col min="12" max="13" width="9.140625" style="139" customWidth="1"/>
    <col min="14" max="14" width="62.57421875" style="469" customWidth="1"/>
    <col min="15" max="15" width="9.140625" style="241" customWidth="1"/>
    <col min="16" max="17" width="9.140625" style="139" customWidth="1"/>
    <col min="18" max="18" width="75.57421875" style="139" customWidth="1"/>
    <col min="19" max="16384" width="9.140625" style="139" customWidth="1"/>
  </cols>
  <sheetData>
    <row r="1" spans="1:19" ht="15">
      <c r="A1" s="158" t="s">
        <v>40</v>
      </c>
      <c r="B1" s="159"/>
      <c r="C1" s="159"/>
      <c r="D1" s="159"/>
      <c r="E1" s="159"/>
      <c r="F1" s="159"/>
      <c r="G1" s="159"/>
      <c r="H1" s="159"/>
      <c r="I1" s="159"/>
      <c r="J1" s="466" t="s">
        <v>645</v>
      </c>
      <c r="N1" s="455" t="s">
        <v>600</v>
      </c>
      <c r="O1" s="467"/>
      <c r="R1" s="468"/>
      <c r="S1" s="468"/>
    </row>
    <row r="2" spans="1:19" ht="15">
      <c r="A2" s="160" t="s">
        <v>43</v>
      </c>
      <c r="B2" s="161"/>
      <c r="C2" s="161"/>
      <c r="D2" s="161"/>
      <c r="E2" s="161"/>
      <c r="F2" s="161"/>
      <c r="G2" s="161"/>
      <c r="H2" s="161" t="str">
        <f>'Planning Data'!$F$2</f>
        <v>Version 2.7  (2/22/08)</v>
      </c>
      <c r="I2" s="161"/>
      <c r="J2" s="162"/>
      <c r="N2" s="456" t="s">
        <v>601</v>
      </c>
      <c r="O2" s="453" t="s">
        <v>564</v>
      </c>
      <c r="R2" s="371"/>
      <c r="S2" s="371"/>
    </row>
    <row r="3" spans="1:19" ht="20.25" customHeight="1">
      <c r="A3" s="798" t="s">
        <v>641</v>
      </c>
      <c r="B3" s="799"/>
      <c r="C3" s="799"/>
      <c r="D3" s="799"/>
      <c r="E3" s="799"/>
      <c r="F3" s="799"/>
      <c r="G3" s="799"/>
      <c r="H3" s="799"/>
      <c r="I3" s="799"/>
      <c r="J3" s="800"/>
      <c r="N3" s="469" t="s">
        <v>624</v>
      </c>
      <c r="O3" s="241">
        <v>63</v>
      </c>
      <c r="R3" s="468"/>
      <c r="S3" s="468"/>
    </row>
    <row r="4" spans="1:19" ht="14.25" customHeight="1">
      <c r="A4" s="785" t="s">
        <v>558</v>
      </c>
      <c r="B4" s="786"/>
      <c r="C4" s="786"/>
      <c r="D4" s="786"/>
      <c r="E4" s="786"/>
      <c r="F4" s="786"/>
      <c r="G4" s="786"/>
      <c r="H4" s="786"/>
      <c r="I4" s="786"/>
      <c r="J4" s="787"/>
      <c r="N4" s="469" t="s">
        <v>625</v>
      </c>
      <c r="O4" s="241">
        <v>77</v>
      </c>
      <c r="R4" s="468"/>
      <c r="S4" s="468"/>
    </row>
    <row r="5" spans="1:19" ht="17.25" customHeight="1">
      <c r="A5" s="811" t="s">
        <v>672</v>
      </c>
      <c r="B5" s="812"/>
      <c r="C5" s="812"/>
      <c r="D5" s="812"/>
      <c r="E5" s="812"/>
      <c r="F5" s="812"/>
      <c r="G5" s="812"/>
      <c r="H5" s="812"/>
      <c r="I5" s="812"/>
      <c r="J5" s="813"/>
      <c r="N5" s="469" t="s">
        <v>626</v>
      </c>
      <c r="O5" s="241">
        <v>85</v>
      </c>
      <c r="R5" s="468"/>
      <c r="S5" s="468"/>
    </row>
    <row r="6" spans="1:19" ht="15.75" customHeight="1">
      <c r="A6" s="171"/>
      <c r="B6" s="172" t="s">
        <v>47</v>
      </c>
      <c r="C6" s="781" t="str">
        <f>'Planning Data'!C3:D3</f>
        <v>Super Cow Dairy</v>
      </c>
      <c r="D6" s="781"/>
      <c r="E6" s="173"/>
      <c r="F6" s="173"/>
      <c r="G6" s="172" t="s">
        <v>52</v>
      </c>
      <c r="H6" s="781" t="str">
        <f>'Planning Data'!C4</f>
        <v>Artesia, NM</v>
      </c>
      <c r="I6" s="781"/>
      <c r="J6" s="174"/>
      <c r="N6" s="469" t="s">
        <v>627</v>
      </c>
      <c r="O6" s="241">
        <v>88</v>
      </c>
      <c r="R6" s="468"/>
      <c r="S6" s="468"/>
    </row>
    <row r="7" spans="1:15" ht="15.75" customHeight="1">
      <c r="A7" s="135"/>
      <c r="B7" s="136" t="s">
        <v>50</v>
      </c>
      <c r="C7" s="788" t="str">
        <f>'Planning Data'!G3</f>
        <v>Joe Holstein</v>
      </c>
      <c r="D7" s="788"/>
      <c r="E7" s="153"/>
      <c r="F7" s="175"/>
      <c r="G7" s="136" t="s">
        <v>321</v>
      </c>
      <c r="H7" s="465" t="s">
        <v>523</v>
      </c>
      <c r="I7" s="153"/>
      <c r="J7" s="177"/>
      <c r="N7" s="469" t="s">
        <v>632</v>
      </c>
      <c r="O7" s="241">
        <v>49</v>
      </c>
    </row>
    <row r="8" spans="1:15" ht="15.75" customHeight="1">
      <c r="A8" s="135"/>
      <c r="B8" s="136" t="s">
        <v>448</v>
      </c>
      <c r="C8" s="789" t="s">
        <v>829</v>
      </c>
      <c r="D8" s="790"/>
      <c r="E8" s="153"/>
      <c r="F8" s="176"/>
      <c r="G8" s="136" t="s">
        <v>45</v>
      </c>
      <c r="H8" s="791" t="str">
        <f>'Planning Data'!K4</f>
        <v>9/25/08</v>
      </c>
      <c r="I8" s="792"/>
      <c r="J8" s="177"/>
      <c r="N8" s="469" t="s">
        <v>633</v>
      </c>
      <c r="O8" s="241">
        <v>68</v>
      </c>
    </row>
    <row r="9" spans="1:15" ht="15.75" customHeight="1">
      <c r="A9" s="135"/>
      <c r="B9" s="136" t="s">
        <v>49</v>
      </c>
      <c r="C9" s="784" t="str">
        <f>'Planning Data'!G4</f>
        <v>R White</v>
      </c>
      <c r="D9" s="784"/>
      <c r="E9" s="153"/>
      <c r="F9" s="153"/>
      <c r="G9" s="136" t="s">
        <v>44</v>
      </c>
      <c r="H9" s="782"/>
      <c r="I9" s="783"/>
      <c r="J9" s="177"/>
      <c r="N9" s="469" t="s">
        <v>634</v>
      </c>
      <c r="O9" s="241">
        <v>79</v>
      </c>
    </row>
    <row r="10" spans="1:15" ht="15.75" customHeight="1">
      <c r="A10" s="135"/>
      <c r="B10" s="153"/>
      <c r="C10" s="153"/>
      <c r="D10" s="462" t="s">
        <v>322</v>
      </c>
      <c r="E10" s="774" t="s">
        <v>831</v>
      </c>
      <c r="F10" s="775"/>
      <c r="G10" s="776"/>
      <c r="H10" s="470"/>
      <c r="I10" s="470"/>
      <c r="J10" s="177"/>
      <c r="N10" s="469" t="s">
        <v>631</v>
      </c>
      <c r="O10" s="241">
        <v>84</v>
      </c>
    </row>
    <row r="11" spans="1:15" ht="9" customHeight="1">
      <c r="A11" s="147"/>
      <c r="B11" s="148"/>
      <c r="C11" s="460"/>
      <c r="D11" s="153"/>
      <c r="E11" s="134"/>
      <c r="F11" s="131"/>
      <c r="G11" s="134"/>
      <c r="H11" s="148"/>
      <c r="I11" s="148"/>
      <c r="J11" s="149"/>
      <c r="N11" s="469" t="s">
        <v>628</v>
      </c>
      <c r="O11" s="241">
        <v>55</v>
      </c>
    </row>
    <row r="12" spans="1:15" ht="15">
      <c r="A12" s="806" t="s">
        <v>643</v>
      </c>
      <c r="B12" s="807"/>
      <c r="C12" s="807"/>
      <c r="D12" s="807"/>
      <c r="E12" s="807"/>
      <c r="F12" s="807"/>
      <c r="G12" s="807"/>
      <c r="H12" s="807"/>
      <c r="I12" s="807"/>
      <c r="J12" s="808"/>
      <c r="N12" s="469" t="s">
        <v>629</v>
      </c>
      <c r="O12" s="241">
        <v>72</v>
      </c>
    </row>
    <row r="13" spans="1:15" ht="24" customHeight="1">
      <c r="A13" s="461" t="s">
        <v>560</v>
      </c>
      <c r="B13" s="461" t="s">
        <v>561</v>
      </c>
      <c r="C13" s="777" t="s">
        <v>562</v>
      </c>
      <c r="D13" s="778"/>
      <c r="E13" s="777" t="s">
        <v>640</v>
      </c>
      <c r="F13" s="779"/>
      <c r="G13" s="779"/>
      <c r="H13" s="778"/>
      <c r="I13" s="461" t="s">
        <v>644</v>
      </c>
      <c r="J13" s="461" t="s">
        <v>563</v>
      </c>
      <c r="N13" s="469" t="s">
        <v>630</v>
      </c>
      <c r="O13" s="241">
        <v>81</v>
      </c>
    </row>
    <row r="14" spans="1:15" ht="13.5" customHeight="1">
      <c r="A14" s="493">
        <v>28</v>
      </c>
      <c r="B14" s="454" t="s">
        <v>649</v>
      </c>
      <c r="C14" s="772" t="s">
        <v>649</v>
      </c>
      <c r="D14" s="772"/>
      <c r="E14" s="780" t="s">
        <v>651</v>
      </c>
      <c r="F14" s="780"/>
      <c r="G14" s="780"/>
      <c r="H14" s="780"/>
      <c r="I14" s="454">
        <v>90</v>
      </c>
      <c r="J14" s="457">
        <f>A14*I14</f>
        <v>2520</v>
      </c>
      <c r="N14" s="469" t="s">
        <v>623</v>
      </c>
      <c r="O14" s="241">
        <v>86</v>
      </c>
    </row>
    <row r="15" spans="1:15" ht="13.5" customHeight="1">
      <c r="A15" s="493">
        <v>0</v>
      </c>
      <c r="B15" s="454" t="s">
        <v>649</v>
      </c>
      <c r="C15" s="772" t="s">
        <v>649</v>
      </c>
      <c r="D15" s="772"/>
      <c r="E15" s="773" t="s">
        <v>673</v>
      </c>
      <c r="F15" s="773"/>
      <c r="G15" s="773"/>
      <c r="H15" s="773"/>
      <c r="I15" s="454">
        <v>95</v>
      </c>
      <c r="J15" s="457">
        <f>A15*I15</f>
        <v>0</v>
      </c>
      <c r="N15" s="469" t="s">
        <v>569</v>
      </c>
      <c r="O15" s="241">
        <v>74</v>
      </c>
    </row>
    <row r="16" spans="1:15" ht="13.5" customHeight="1">
      <c r="A16" s="493"/>
      <c r="B16" s="473"/>
      <c r="C16" s="797" t="s">
        <v>828</v>
      </c>
      <c r="D16" s="797"/>
      <c r="E16" s="793" t="s">
        <v>585</v>
      </c>
      <c r="F16" s="793"/>
      <c r="G16" s="793"/>
      <c r="H16" s="793"/>
      <c r="I16" s="454">
        <f aca="true" t="shared" si="0" ref="I16:I21">IF(E16="","",VLOOKUP(E16,$N$3:$O$101,2))</f>
        <v>59</v>
      </c>
      <c r="J16" s="457">
        <f aca="true" t="shared" si="1" ref="J16:J21">IF(E16="","",A16*I16)</f>
        <v>0</v>
      </c>
      <c r="N16" s="469" t="s">
        <v>571</v>
      </c>
      <c r="O16" s="241">
        <v>83</v>
      </c>
    </row>
    <row r="17" spans="1:15" ht="13.5" customHeight="1">
      <c r="A17" s="493"/>
      <c r="B17" s="473"/>
      <c r="C17" s="797"/>
      <c r="D17" s="797"/>
      <c r="E17" s="793"/>
      <c r="F17" s="793"/>
      <c r="G17" s="793"/>
      <c r="H17" s="793"/>
      <c r="I17" s="454">
        <f t="shared" si="0"/>
      </c>
      <c r="J17" s="457">
        <f t="shared" si="1"/>
      </c>
      <c r="N17" s="469" t="s">
        <v>573</v>
      </c>
      <c r="O17" s="241">
        <v>88</v>
      </c>
    </row>
    <row r="18" spans="1:15" ht="13.5" customHeight="1">
      <c r="A18" s="493"/>
      <c r="B18" s="473"/>
      <c r="C18" s="797"/>
      <c r="D18" s="797"/>
      <c r="E18" s="793"/>
      <c r="F18" s="793"/>
      <c r="G18" s="793"/>
      <c r="H18" s="793"/>
      <c r="I18" s="454">
        <f t="shared" si="0"/>
      </c>
      <c r="J18" s="457">
        <f t="shared" si="1"/>
      </c>
      <c r="N18" s="469" t="s">
        <v>575</v>
      </c>
      <c r="O18" s="241">
        <v>91</v>
      </c>
    </row>
    <row r="19" spans="1:15" ht="13.5" customHeight="1">
      <c r="A19" s="493"/>
      <c r="B19" s="473"/>
      <c r="C19" s="797"/>
      <c r="D19" s="797"/>
      <c r="E19" s="793"/>
      <c r="F19" s="793"/>
      <c r="G19" s="793"/>
      <c r="H19" s="793"/>
      <c r="I19" s="454">
        <f t="shared" si="0"/>
      </c>
      <c r="J19" s="457">
        <f t="shared" si="1"/>
      </c>
      <c r="N19" s="469" t="s">
        <v>568</v>
      </c>
      <c r="O19" s="241">
        <v>76</v>
      </c>
    </row>
    <row r="20" spans="1:15" ht="13.5" customHeight="1">
      <c r="A20" s="493"/>
      <c r="B20" s="473"/>
      <c r="C20" s="797"/>
      <c r="D20" s="797"/>
      <c r="E20" s="793"/>
      <c r="F20" s="793"/>
      <c r="G20" s="793"/>
      <c r="H20" s="793"/>
      <c r="I20" s="454">
        <f t="shared" si="0"/>
      </c>
      <c r="J20" s="457">
        <f t="shared" si="1"/>
      </c>
      <c r="N20" s="469" t="s">
        <v>570</v>
      </c>
      <c r="O20" s="241">
        <v>85</v>
      </c>
    </row>
    <row r="21" spans="1:15" ht="13.5" customHeight="1">
      <c r="A21" s="494"/>
      <c r="B21" s="474"/>
      <c r="C21" s="809"/>
      <c r="D21" s="809"/>
      <c r="E21" s="810"/>
      <c r="F21" s="810"/>
      <c r="G21" s="810"/>
      <c r="H21" s="810"/>
      <c r="I21" s="458">
        <f t="shared" si="0"/>
      </c>
      <c r="J21" s="459">
        <f t="shared" si="1"/>
      </c>
      <c r="N21" s="469" t="s">
        <v>572</v>
      </c>
      <c r="O21" s="241">
        <v>90</v>
      </c>
    </row>
    <row r="22" spans="1:10" ht="15.75" customHeight="1">
      <c r="A22" s="147"/>
      <c r="B22" s="131"/>
      <c r="C22" s="491" t="s">
        <v>671</v>
      </c>
      <c r="D22" s="492">
        <f>SUM(A14:A21)</f>
        <v>28</v>
      </c>
      <c r="E22" s="460" t="s">
        <v>41</v>
      </c>
      <c r="F22" s="131"/>
      <c r="G22" s="148"/>
      <c r="H22" s="148"/>
      <c r="I22" s="133" t="s">
        <v>648</v>
      </c>
      <c r="J22" s="471">
        <f>IF(A14="","",SUM(J14:J21)/D22)</f>
        <v>90</v>
      </c>
    </row>
    <row r="23" spans="1:15" ht="8.25" customHeight="1">
      <c r="A23" s="147"/>
      <c r="B23" s="134"/>
      <c r="C23" s="136"/>
      <c r="D23" s="488"/>
      <c r="E23" s="460"/>
      <c r="F23" s="134"/>
      <c r="G23" s="148"/>
      <c r="H23" s="148"/>
      <c r="I23" s="133"/>
      <c r="J23" s="489"/>
      <c r="N23" s="469" t="s">
        <v>574</v>
      </c>
      <c r="O23" s="241">
        <v>93</v>
      </c>
    </row>
    <row r="24" spans="1:15" ht="15.75" customHeight="1">
      <c r="A24" s="130"/>
      <c r="B24" s="131"/>
      <c r="C24" s="476"/>
      <c r="D24" s="477"/>
      <c r="E24" s="483" t="s">
        <v>668</v>
      </c>
      <c r="F24" s="479">
        <v>1</v>
      </c>
      <c r="G24" s="478" t="s">
        <v>323</v>
      </c>
      <c r="H24" s="131"/>
      <c r="I24" s="131"/>
      <c r="J24" s="132"/>
      <c r="N24" s="469" t="s">
        <v>642</v>
      </c>
      <c r="O24" s="241">
        <v>77</v>
      </c>
    </row>
    <row r="25" spans="1:15" ht="15.75" customHeight="1">
      <c r="A25" s="490"/>
      <c r="B25" s="486"/>
      <c r="C25" s="484"/>
      <c r="D25" s="485"/>
      <c r="E25" s="487" t="s">
        <v>650</v>
      </c>
      <c r="F25" s="480">
        <f>VLOOKUP(E10,Climate!A2:D134,4)</f>
        <v>4.26</v>
      </c>
      <c r="G25" s="140" t="s">
        <v>42</v>
      </c>
      <c r="H25" s="801"/>
      <c r="I25" s="801"/>
      <c r="J25" s="802"/>
      <c r="N25" s="469" t="s">
        <v>565</v>
      </c>
      <c r="O25" s="241">
        <v>86</v>
      </c>
    </row>
    <row r="26" spans="1:15" ht="15.75" customHeight="1">
      <c r="A26" s="490"/>
      <c r="B26" s="486"/>
      <c r="C26" s="484"/>
      <c r="D26" s="485"/>
      <c r="E26" s="487" t="s">
        <v>669</v>
      </c>
      <c r="F26" s="481">
        <f>IF(A14="",0,(($F$25-(200/$J$22)+2)^2)/(($F$25+(800/$J$22)-8)))</f>
        <v>3.1664403203376006</v>
      </c>
      <c r="G26" s="140" t="s">
        <v>42</v>
      </c>
      <c r="H26" s="452"/>
      <c r="I26" s="131"/>
      <c r="J26" s="132"/>
      <c r="N26" s="469" t="s">
        <v>566</v>
      </c>
      <c r="O26" s="241">
        <v>91</v>
      </c>
    </row>
    <row r="27" spans="1:15" ht="15.75" customHeight="1">
      <c r="A27" s="490"/>
      <c r="B27" s="486"/>
      <c r="C27" s="484"/>
      <c r="D27" s="485"/>
      <c r="E27" s="487" t="s">
        <v>670</v>
      </c>
      <c r="F27" s="480">
        <f>F26*F24</f>
        <v>3.1664403203376006</v>
      </c>
      <c r="G27" s="140" t="s">
        <v>42</v>
      </c>
      <c r="H27" s="452"/>
      <c r="I27" s="131"/>
      <c r="J27" s="132"/>
      <c r="N27" s="469" t="s">
        <v>567</v>
      </c>
      <c r="O27" s="241">
        <v>94</v>
      </c>
    </row>
    <row r="28" spans="1:15" ht="15.75" customHeight="1">
      <c r="A28" s="247"/>
      <c r="B28" s="133"/>
      <c r="C28" s="450"/>
      <c r="D28" s="451"/>
      <c r="E28" s="451" t="s">
        <v>559</v>
      </c>
      <c r="F28" s="482">
        <f>F27*D22/12</f>
        <v>7.388360747454402</v>
      </c>
      <c r="G28" s="141" t="s">
        <v>46</v>
      </c>
      <c r="H28" s="282"/>
      <c r="I28" s="282"/>
      <c r="J28" s="132"/>
      <c r="N28" s="469" t="s">
        <v>585</v>
      </c>
      <c r="O28" s="241">
        <v>59</v>
      </c>
    </row>
    <row r="29" spans="1:15" ht="28.5" customHeight="1">
      <c r="A29" s="803" t="s">
        <v>674</v>
      </c>
      <c r="B29" s="804"/>
      <c r="C29" s="804"/>
      <c r="D29" s="804"/>
      <c r="E29" s="804"/>
      <c r="F29" s="804"/>
      <c r="G29" s="804"/>
      <c r="H29" s="804"/>
      <c r="I29" s="804"/>
      <c r="J29" s="805"/>
      <c r="N29" s="469" t="s">
        <v>586</v>
      </c>
      <c r="O29" s="241">
        <v>74</v>
      </c>
    </row>
    <row r="30" spans="1:15" ht="12" customHeight="1">
      <c r="A30" s="475" t="s">
        <v>652</v>
      </c>
      <c r="B30" s="463"/>
      <c r="C30" s="463"/>
      <c r="D30" s="463"/>
      <c r="E30" s="463"/>
      <c r="F30" s="463"/>
      <c r="G30" s="463"/>
      <c r="H30" s="463"/>
      <c r="I30" s="463"/>
      <c r="J30" s="464"/>
      <c r="N30" s="469" t="s">
        <v>584</v>
      </c>
      <c r="O30" s="241">
        <v>82</v>
      </c>
    </row>
    <row r="31" spans="1:15" ht="62.25" customHeight="1">
      <c r="A31" s="794"/>
      <c r="B31" s="795"/>
      <c r="C31" s="795"/>
      <c r="D31" s="795"/>
      <c r="E31" s="795"/>
      <c r="F31" s="795"/>
      <c r="G31" s="795"/>
      <c r="H31" s="795"/>
      <c r="I31" s="795"/>
      <c r="J31" s="796"/>
      <c r="N31" s="469" t="s">
        <v>587</v>
      </c>
      <c r="O31" s="241">
        <v>86</v>
      </c>
    </row>
    <row r="32" spans="14:15" ht="12.75">
      <c r="N32" s="472" t="s">
        <v>651</v>
      </c>
      <c r="O32" s="241">
        <v>90</v>
      </c>
    </row>
    <row r="33" spans="14:15" ht="12.75">
      <c r="N33" s="469" t="s">
        <v>636</v>
      </c>
      <c r="O33" s="241">
        <v>58</v>
      </c>
    </row>
    <row r="34" spans="14:15" ht="12.75">
      <c r="N34" s="469" t="s">
        <v>637</v>
      </c>
      <c r="O34" s="241">
        <v>72</v>
      </c>
    </row>
    <row r="35" spans="1:15" ht="12.75">
      <c r="A35" s="142" t="s">
        <v>320</v>
      </c>
      <c r="B35" s="142"/>
      <c r="C35" s="142"/>
      <c r="D35" s="142"/>
      <c r="E35" s="142"/>
      <c r="N35" s="469" t="s">
        <v>638</v>
      </c>
      <c r="O35" s="241">
        <v>81</v>
      </c>
    </row>
    <row r="36" spans="1:15" ht="12.75">
      <c r="A36" s="139" t="str">
        <f>Climate!A2</f>
        <v>Bernalillo, ALBUQUERQUE AIRPORT</v>
      </c>
      <c r="N36" s="469" t="s">
        <v>639</v>
      </c>
      <c r="O36" s="241">
        <v>85</v>
      </c>
    </row>
    <row r="37" spans="1:15" ht="12.75">
      <c r="A37" s="139" t="str">
        <f>Climate!A3</f>
        <v>Bernalillo, SANDIA PARK  NM8015</v>
      </c>
      <c r="N37" s="469" t="s">
        <v>618</v>
      </c>
      <c r="O37" s="241">
        <v>80</v>
      </c>
    </row>
    <row r="38" spans="1:15" ht="12.75">
      <c r="A38" s="139" t="str">
        <f>Climate!A4</f>
        <v>Catron, ABBOTT 1 SE  NM0022</v>
      </c>
      <c r="N38" s="469" t="s">
        <v>614</v>
      </c>
      <c r="O38" s="241">
        <v>87</v>
      </c>
    </row>
    <row r="39" spans="1:15" ht="12.75">
      <c r="A39" s="139" t="str">
        <f>Climate!A5</f>
        <v>Catron, BEAVERHEAD R S  NM0818</v>
      </c>
      <c r="N39" s="469" t="s">
        <v>615</v>
      </c>
      <c r="O39" s="241">
        <v>93</v>
      </c>
    </row>
    <row r="40" spans="1:15" ht="12.75">
      <c r="A40" s="139" t="str">
        <f>Climate!A6</f>
        <v>Catron, HICKMAN  NM3969</v>
      </c>
      <c r="N40" s="469" t="s">
        <v>621</v>
      </c>
      <c r="O40" s="241">
        <v>62</v>
      </c>
    </row>
    <row r="41" spans="1:15" ht="12.75">
      <c r="A41" s="139" t="str">
        <f>Climate!A7</f>
        <v>Catron, HOOD RANGER STN  NM7386</v>
      </c>
      <c r="N41" s="469" t="s">
        <v>622</v>
      </c>
      <c r="O41" s="241">
        <v>74</v>
      </c>
    </row>
    <row r="42" spans="1:15" ht="12.75">
      <c r="A42" s="139" t="str">
        <f>Climate!A8</f>
        <v>Catron, LUNA RANGER STN  NM5273</v>
      </c>
      <c r="N42" s="469" t="s">
        <v>620</v>
      </c>
      <c r="O42" s="241">
        <v>85</v>
      </c>
    </row>
    <row r="43" spans="1:15" ht="12.75">
      <c r="A43" s="139" t="str">
        <f>Climate!A9</f>
        <v>Catron, QUEMADO  NM7180</v>
      </c>
      <c r="N43" s="469" t="s">
        <v>619</v>
      </c>
      <c r="O43" s="241">
        <v>71</v>
      </c>
    </row>
    <row r="44" spans="1:15" ht="12.75">
      <c r="A44" s="139" t="str">
        <f>Climate!A10</f>
        <v>Chaves, BITTER LAKES WL REFUGE  NM0992</v>
      </c>
      <c r="N44" s="469" t="s">
        <v>616</v>
      </c>
      <c r="O44" s="241">
        <v>81</v>
      </c>
    </row>
    <row r="45" spans="1:15" ht="12.75">
      <c r="A45" s="139" t="str">
        <f>Climate!A11</f>
        <v>Chaves, ELK 2 E  NM2865</v>
      </c>
      <c r="N45" s="469" t="s">
        <v>617</v>
      </c>
      <c r="O45" s="241">
        <v>89</v>
      </c>
    </row>
    <row r="46" spans="1:15" ht="12.75">
      <c r="A46" s="139" t="str">
        <f>Climate!A12</f>
        <v>Cibola, EL MORRO NATL MONUMENT  NM2785</v>
      </c>
      <c r="N46" s="472" t="s">
        <v>673</v>
      </c>
      <c r="O46" s="241">
        <v>95</v>
      </c>
    </row>
    <row r="47" spans="1:15" ht="12.75">
      <c r="A47" s="139" t="str">
        <f>Climate!A13</f>
        <v>Cibola, FENCE LAKE 1 N  NM3180</v>
      </c>
      <c r="N47" s="469" t="s">
        <v>660</v>
      </c>
      <c r="O47" s="241">
        <v>77</v>
      </c>
    </row>
    <row r="48" spans="1:15" ht="12.75">
      <c r="A48" s="139" t="str">
        <f>Climate!A14</f>
        <v>Cibola, GRANTS AIRPORT  NM3682</v>
      </c>
      <c r="N48" s="469" t="s">
        <v>661</v>
      </c>
      <c r="O48" s="241">
        <v>86</v>
      </c>
    </row>
    <row r="49" spans="1:15" ht="12.75">
      <c r="A49" s="139" t="str">
        <f>Climate!A15</f>
        <v>Cibola, LAGUNA  NM4719</v>
      </c>
      <c r="N49" s="469" t="s">
        <v>662</v>
      </c>
      <c r="O49" s="241">
        <v>91</v>
      </c>
    </row>
    <row r="50" spans="1:15" ht="12.75">
      <c r="A50" s="139" t="str">
        <f>Climate!A16</f>
        <v>Cibola, SAN MATEO  NM7918</v>
      </c>
      <c r="N50" s="469" t="s">
        <v>663</v>
      </c>
      <c r="O50" s="241">
        <v>94</v>
      </c>
    </row>
    <row r="51" spans="1:15" ht="12.75">
      <c r="A51" s="139" t="str">
        <f>Climate!A17</f>
        <v>Colfax, CIMARRON 4 SW  NM1813</v>
      </c>
      <c r="N51" s="469" t="s">
        <v>588</v>
      </c>
      <c r="O51" s="241">
        <v>68</v>
      </c>
    </row>
    <row r="52" spans="1:15" ht="12.75">
      <c r="A52" s="139" t="str">
        <f>Climate!A18</f>
        <v>Colfax, EAGLE NEST  NM2700</v>
      </c>
      <c r="N52" s="469" t="s">
        <v>589</v>
      </c>
      <c r="O52" s="241">
        <v>79</v>
      </c>
    </row>
    <row r="53" spans="1:15" ht="12.75">
      <c r="A53" s="139" t="str">
        <f>Climate!A19</f>
        <v>Colfax, LAKE MALOYA  NM4742</v>
      </c>
      <c r="N53" s="469" t="s">
        <v>590</v>
      </c>
      <c r="O53" s="241">
        <v>86</v>
      </c>
    </row>
    <row r="54" spans="1:15" ht="12.75">
      <c r="A54" s="139" t="str">
        <f>Climate!A20</f>
        <v>Colfax, MAXWELL  NM5490</v>
      </c>
      <c r="N54" s="469" t="s">
        <v>591</v>
      </c>
      <c r="O54" s="241">
        <v>89</v>
      </c>
    </row>
    <row r="55" spans="1:15" ht="12.75">
      <c r="A55" s="139" t="str">
        <f>Climate!A21</f>
        <v>Colfax, RATON FILTER PLANT  NM7279</v>
      </c>
      <c r="N55" s="469" t="s">
        <v>596</v>
      </c>
      <c r="O55" s="241">
        <v>39</v>
      </c>
    </row>
    <row r="56" spans="1:15" ht="12.75">
      <c r="A56" s="139" t="str">
        <f>Climate!A22</f>
        <v>Colfax, SPRINGER  NM8501</v>
      </c>
      <c r="N56" s="469" t="s">
        <v>597</v>
      </c>
      <c r="O56" s="241">
        <v>61</v>
      </c>
    </row>
    <row r="57" spans="1:15" ht="12.75">
      <c r="A57" s="139" t="str">
        <f>Climate!A23</f>
        <v>Curry, CLOVIS  NM1939</v>
      </c>
      <c r="N57" s="469" t="s">
        <v>598</v>
      </c>
      <c r="O57" s="241">
        <v>74</v>
      </c>
    </row>
    <row r="58" spans="1:15" ht="12.75">
      <c r="A58" s="139" t="str">
        <f>Climate!A24</f>
        <v>Curry, CLOVIS 13 N  NM1963</v>
      </c>
      <c r="N58" s="469" t="s">
        <v>599</v>
      </c>
      <c r="O58" s="241">
        <v>80</v>
      </c>
    </row>
    <row r="59" spans="1:15" ht="12.75">
      <c r="A59" s="139" t="str">
        <f>Climate!A25</f>
        <v>Curry, MELROSE  NM5617</v>
      </c>
      <c r="N59" s="469" t="s">
        <v>593</v>
      </c>
      <c r="O59" s="241">
        <v>49</v>
      </c>
    </row>
    <row r="60" spans="1:15" ht="12.75">
      <c r="A60" s="139" t="str">
        <f>Climate!A26</f>
        <v>De Baca, FORT SUMNER  NM3294</v>
      </c>
      <c r="N60" s="469" t="s">
        <v>594</v>
      </c>
      <c r="O60" s="241">
        <v>69</v>
      </c>
    </row>
    <row r="61" spans="1:15" ht="12.75">
      <c r="A61" s="139" t="str">
        <f>Climate!A27</f>
        <v>De Baca, YESO  NM9851</v>
      </c>
      <c r="N61" s="469" t="s">
        <v>592</v>
      </c>
      <c r="O61" s="241">
        <v>79</v>
      </c>
    </row>
    <row r="62" spans="1:15" ht="12.75">
      <c r="A62" s="139" t="str">
        <f>Climate!A28</f>
        <v>Dona Ana, HATCH 2 W  NM3855</v>
      </c>
      <c r="N62" s="469" t="s">
        <v>595</v>
      </c>
      <c r="O62" s="241">
        <v>84</v>
      </c>
    </row>
    <row r="63" spans="1:15" ht="12.75">
      <c r="A63" s="139" t="str">
        <f>Climate!A29</f>
        <v>Dona Ana, JORNADA EXP RANGE  NM4426</v>
      </c>
      <c r="N63" s="469" t="s">
        <v>664</v>
      </c>
      <c r="O63" s="241">
        <v>49</v>
      </c>
    </row>
    <row r="64" spans="1:15" ht="12.75">
      <c r="A64" s="139" t="str">
        <f>Climate!A30</f>
        <v>Dona Ana, STATE UNIV.  NM8535</v>
      </c>
      <c r="N64" s="469" t="s">
        <v>665</v>
      </c>
      <c r="O64" s="241">
        <v>69</v>
      </c>
    </row>
    <row r="65" spans="1:15" ht="12.75">
      <c r="A65" s="139" t="str">
        <f>Climate!A31</f>
        <v>Dona Ana, STATE UNIV.  NM8535 (Anthony)</v>
      </c>
      <c r="N65" s="469" t="s">
        <v>666</v>
      </c>
      <c r="O65" s="241">
        <v>79</v>
      </c>
    </row>
    <row r="66" spans="1:15" ht="12.75">
      <c r="A66" s="139" t="str">
        <f>Climate!A32</f>
        <v>Eddy, ARTESIA 6 S  NM0600</v>
      </c>
      <c r="N66" s="469" t="s">
        <v>667</v>
      </c>
      <c r="O66" s="241">
        <v>84</v>
      </c>
    </row>
    <row r="67" spans="1:15" ht="12.75">
      <c r="A67" s="139" t="str">
        <f>Climate!A33</f>
        <v>Eddy, CARLSBAD  NM1469</v>
      </c>
      <c r="N67" s="469" t="s">
        <v>646</v>
      </c>
      <c r="O67" s="241">
        <v>75</v>
      </c>
    </row>
    <row r="68" spans="1:15" ht="12.75">
      <c r="A68" s="139" t="str">
        <f>Climate!A34</f>
        <v>Eddy, CARLSBAD CAVERNS  NM1480</v>
      </c>
      <c r="N68" s="469" t="s">
        <v>647</v>
      </c>
      <c r="O68" s="241">
        <v>85</v>
      </c>
    </row>
    <row r="69" spans="1:15" ht="12.75">
      <c r="A69" s="139" t="str">
        <f>Climate!A35</f>
        <v>Eddy, CARLSBAD FAA AIRPORT  NM1475</v>
      </c>
      <c r="N69" s="469" t="s">
        <v>653</v>
      </c>
      <c r="O69" s="241">
        <v>89</v>
      </c>
    </row>
    <row r="70" spans="1:15" ht="12.75">
      <c r="A70" s="139" t="str">
        <f>Climate!A36</f>
        <v>Grant, CLIFF 11 SE  NM1910</v>
      </c>
      <c r="N70" s="469" t="s">
        <v>654</v>
      </c>
      <c r="O70" s="241">
        <v>41</v>
      </c>
    </row>
    <row r="71" spans="1:15" ht="12.75">
      <c r="A71" s="139" t="str">
        <f>Climate!A37</f>
        <v>Grant, FAYWOOD  NM3157</v>
      </c>
      <c r="N71" s="469" t="s">
        <v>655</v>
      </c>
      <c r="O71" s="241">
        <v>61</v>
      </c>
    </row>
    <row r="72" spans="1:15" ht="12.75">
      <c r="A72" s="139" t="str">
        <f>Climate!A38</f>
        <v>Grant, FORT BAYARD  NM3265</v>
      </c>
      <c r="N72" s="469" t="s">
        <v>656</v>
      </c>
      <c r="O72" s="241">
        <v>71</v>
      </c>
    </row>
    <row r="73" spans="1:15" ht="12.75">
      <c r="A73" s="139" t="str">
        <f>Climate!A39</f>
        <v>Grant, GILA HOT SPRINGS  NM3530</v>
      </c>
      <c r="N73" s="469" t="s">
        <v>657</v>
      </c>
      <c r="O73" s="241">
        <v>58</v>
      </c>
    </row>
    <row r="74" spans="1:15" ht="12.75">
      <c r="A74" s="139" t="str">
        <f>Climate!A40</f>
        <v>Grant, HACHITA  NM3775</v>
      </c>
      <c r="N74" s="469" t="s">
        <v>658</v>
      </c>
      <c r="O74" s="241">
        <v>73</v>
      </c>
    </row>
    <row r="75" spans="1:15" ht="12.75">
      <c r="A75" s="139" t="str">
        <f>Climate!A41</f>
        <v>Grant, MIMBRES RANGER STN  NM5754</v>
      </c>
      <c r="N75" s="469" t="s">
        <v>659</v>
      </c>
      <c r="O75" s="241">
        <v>80</v>
      </c>
    </row>
    <row r="76" spans="1:15" ht="12.75">
      <c r="A76" s="139" t="str">
        <f>Climate!A42</f>
        <v>Grant, REDROCK  NM7340</v>
      </c>
      <c r="N76" s="469" t="s">
        <v>610</v>
      </c>
      <c r="O76" s="241">
        <v>72</v>
      </c>
    </row>
    <row r="77" spans="1:15" ht="12.75">
      <c r="A77" s="139" t="str">
        <f>Climate!A43</f>
        <v>Grant, WHITE SIGNAL  NM9691</v>
      </c>
      <c r="N77" s="469" t="s">
        <v>611</v>
      </c>
      <c r="O77" s="241">
        <v>82</v>
      </c>
    </row>
    <row r="78" spans="1:15" ht="12.75">
      <c r="A78" s="139" t="str">
        <f>Climate!A44</f>
        <v>Guadalupe, DILIA 1 SSE  NM2510</v>
      </c>
      <c r="N78" s="469" t="s">
        <v>612</v>
      </c>
      <c r="O78" s="241">
        <v>87</v>
      </c>
    </row>
    <row r="79" spans="1:15" ht="12.75">
      <c r="A79" s="139" t="str">
        <f>Climate!A45</f>
        <v>Guadalupe, NEWKIRK  NM6115</v>
      </c>
      <c r="N79" s="469" t="s">
        <v>613</v>
      </c>
      <c r="O79" s="241">
        <v>89</v>
      </c>
    </row>
    <row r="80" spans="1:15" ht="12.75">
      <c r="A80" s="139" t="str">
        <f>Climate!A46</f>
        <v>Guadalupe, SANTA ROSA  NM8107</v>
      </c>
      <c r="N80" s="469" t="s">
        <v>606</v>
      </c>
      <c r="O80" s="241">
        <v>76</v>
      </c>
    </row>
    <row r="81" spans="1:15" ht="12.75">
      <c r="A81" s="139" t="str">
        <f>Climate!A47</f>
        <v>Harding, MOSQUERO  NM5937</v>
      </c>
      <c r="N81" s="469" t="s">
        <v>607</v>
      </c>
      <c r="O81" s="241">
        <v>85</v>
      </c>
    </row>
    <row r="82" spans="1:15" ht="12.75">
      <c r="A82" s="139" t="str">
        <f>Climate!A48</f>
        <v>Harding, ROY  NM7638</v>
      </c>
      <c r="N82" s="469" t="s">
        <v>608</v>
      </c>
      <c r="O82" s="241">
        <v>89</v>
      </c>
    </row>
    <row r="83" spans="1:15" ht="12.75">
      <c r="A83" s="139" t="str">
        <f>Climate!A49</f>
        <v>Hidalgo, ANIMAS  NM0417</v>
      </c>
      <c r="N83" s="469" t="s">
        <v>609</v>
      </c>
      <c r="O83" s="241">
        <v>91</v>
      </c>
    </row>
    <row r="84" spans="1:15" ht="12.75">
      <c r="A84" s="139" t="str">
        <f>Climate!A50</f>
        <v>Hidalgo, LORDSBURG 4 SE  NM5079</v>
      </c>
      <c r="N84" s="469" t="s">
        <v>576</v>
      </c>
      <c r="O84" s="241">
        <v>72</v>
      </c>
    </row>
    <row r="85" spans="1:15" ht="12.75">
      <c r="A85" s="139" t="str">
        <f>Climate!A51</f>
        <v>Lea, CROSSROADS #2  NM2207</v>
      </c>
      <c r="N85" s="469" t="s">
        <v>577</v>
      </c>
      <c r="O85" s="241">
        <v>81</v>
      </c>
    </row>
    <row r="86" spans="1:15" ht="12.75">
      <c r="A86" s="139" t="str">
        <f>Climate!A52</f>
        <v>Lea, HOBBS  NM4026</v>
      </c>
      <c r="N86" s="469" t="s">
        <v>578</v>
      </c>
      <c r="O86" s="241">
        <v>88</v>
      </c>
    </row>
    <row r="87" spans="1:15" ht="12.75">
      <c r="A87" s="139" t="str">
        <f>Climate!A53</f>
        <v>Lea, JAL  NM4346</v>
      </c>
      <c r="N87" s="469" t="s">
        <v>579</v>
      </c>
      <c r="O87" s="241">
        <v>91</v>
      </c>
    </row>
    <row r="88" spans="1:15" ht="12.75">
      <c r="A88" s="139" t="str">
        <f>Climate!A54</f>
        <v>Lea, MALJAMAR 4 SE  NM5370</v>
      </c>
      <c r="N88" s="469" t="s">
        <v>580</v>
      </c>
      <c r="O88" s="241">
        <v>65</v>
      </c>
    </row>
    <row r="89" spans="1:15" ht="12.75">
      <c r="A89" s="139" t="str">
        <f>Climate!A55</f>
        <v>Lea, PEARL  NM6659</v>
      </c>
      <c r="N89" s="469" t="s">
        <v>581</v>
      </c>
      <c r="O89" s="241">
        <v>76</v>
      </c>
    </row>
    <row r="90" spans="1:15" ht="12.75">
      <c r="A90" s="139" t="str">
        <f>Climate!A56</f>
        <v>Lea, TATUM  NM8713</v>
      </c>
      <c r="N90" s="469" t="s">
        <v>582</v>
      </c>
      <c r="O90" s="241">
        <v>84</v>
      </c>
    </row>
    <row r="91" spans="1:15" ht="12.75">
      <c r="A91" s="139" t="str">
        <f>Climate!A57</f>
        <v>Lincoln, CARRIZOZO  NM1515</v>
      </c>
      <c r="N91" s="469" t="s">
        <v>583</v>
      </c>
      <c r="O91" s="241">
        <v>88</v>
      </c>
    </row>
    <row r="92" spans="1:15" ht="12.75">
      <c r="A92" s="139" t="str">
        <f>Climate!A58</f>
        <v>Lincoln, RAMON 8 SW  NM7254</v>
      </c>
      <c r="N92" s="469" t="s">
        <v>605</v>
      </c>
      <c r="O92" s="241">
        <v>96</v>
      </c>
    </row>
    <row r="93" spans="1:15" ht="12.75">
      <c r="A93" s="139" t="str">
        <f>Climate!A59</f>
        <v>Lincoln, RUIDOSO 2 NNE  NM7649</v>
      </c>
      <c r="N93" s="469" t="s">
        <v>602</v>
      </c>
      <c r="O93" s="241">
        <v>63</v>
      </c>
    </row>
    <row r="94" spans="1:15" ht="12.75">
      <c r="A94" s="139" t="str">
        <f>Climate!A60</f>
        <v>Los Alamos, LOS ALAMOS  NM5084</v>
      </c>
      <c r="N94" s="469" t="s">
        <v>603</v>
      </c>
      <c r="O94" s="241">
        <v>77</v>
      </c>
    </row>
    <row r="95" spans="1:15" ht="12.75">
      <c r="A95" s="139" t="str">
        <f>Climate!A61</f>
        <v>Luna, COLUMBUS  NM2024</v>
      </c>
      <c r="N95" s="469" t="s">
        <v>604</v>
      </c>
      <c r="O95" s="241">
        <v>85</v>
      </c>
    </row>
    <row r="96" spans="1:15" ht="12.75">
      <c r="A96" s="139" t="str">
        <f>Climate!A62</f>
        <v>Luna, DEMING  NM2436</v>
      </c>
      <c r="N96" s="469" t="s">
        <v>635</v>
      </c>
      <c r="O96" s="241">
        <v>88</v>
      </c>
    </row>
    <row r="97" ht="12.75">
      <c r="A97" s="139" t="str">
        <f>Climate!A63</f>
        <v>Luna, FLORIDA  NM3225</v>
      </c>
    </row>
    <row r="98" ht="12.75">
      <c r="A98" s="139" t="str">
        <f>Climate!A64</f>
        <v>Luna, GAGE 4 ESE  NM3368</v>
      </c>
    </row>
    <row r="99" ht="12.75">
      <c r="A99" s="139" t="str">
        <f>Climate!A65</f>
        <v>McKinley, MC GAFFEY 5 SE  NM5560</v>
      </c>
    </row>
    <row r="100" ht="12.75">
      <c r="A100" s="139" t="str">
        <f>Climate!A66</f>
        <v>McKinley, STAR LAKE  NM8524</v>
      </c>
    </row>
    <row r="101" ht="12.75">
      <c r="A101" s="139" t="str">
        <f>Climate!A67</f>
        <v>McKinley, THOREAU 5 ENE  NM8830</v>
      </c>
    </row>
    <row r="102" ht="12.75">
      <c r="A102" s="139" t="str">
        <f>Climate!A68</f>
        <v>McKinley, ZUNI  NM9897</v>
      </c>
    </row>
    <row r="103" ht="12.75">
      <c r="A103" s="139" t="str">
        <f>Climate!A69</f>
        <v>Mora, GASCON  NM3488</v>
      </c>
    </row>
    <row r="104" ht="12.75">
      <c r="A104" s="139" t="str">
        <f>Climate!A70</f>
        <v>Mora, OCATE 1 N  NM6275</v>
      </c>
    </row>
    <row r="105" ht="12.75">
      <c r="A105" s="139" t="str">
        <f>Climate!A71</f>
        <v>Mora, VALMORA  NM9330</v>
      </c>
    </row>
    <row r="106" ht="12.75">
      <c r="A106" s="139" t="str">
        <f>Climate!A72</f>
        <v>Otero, ALAMOGORDO  NM0199</v>
      </c>
    </row>
    <row r="107" ht="12.75">
      <c r="A107" s="139" t="str">
        <f>Climate!A73</f>
        <v>Otero, CLOUDCROFT  NM1927</v>
      </c>
    </row>
    <row r="108" ht="12.75">
      <c r="A108" s="139" t="str">
        <f>Climate!A74</f>
        <v>Otero, MOUNTAIN PARK  NM5960</v>
      </c>
    </row>
    <row r="109" ht="12.75">
      <c r="A109" s="139" t="str">
        <f>Climate!A75</f>
        <v>Otero, OROGRANDE 1 N  NM6435</v>
      </c>
    </row>
    <row r="110" ht="12.75">
      <c r="A110" s="139" t="str">
        <f>Climate!A76</f>
        <v>Otero, TULAROSA  NM9165</v>
      </c>
    </row>
    <row r="111" ht="12.75">
      <c r="A111" s="139" t="str">
        <f>Climate!A77</f>
        <v>Otero, WHITE SANDS NATL MON  NM9686</v>
      </c>
    </row>
    <row r="112" ht="12.75">
      <c r="A112" s="139" t="str">
        <f>Climate!A78</f>
        <v>Quay ,CAMERON  NM1332</v>
      </c>
    </row>
    <row r="113" ht="12.75">
      <c r="A113" s="139" t="str">
        <f>Climate!A79</f>
        <v>Quay ,RAGLAND 3 SSW  NM7226</v>
      </c>
    </row>
    <row r="114" ht="12.75">
      <c r="A114" s="139" t="str">
        <f>Climate!A80</f>
        <v>Quay ,SAN JON  NM7867</v>
      </c>
    </row>
    <row r="115" ht="12.75">
      <c r="A115" s="139" t="str">
        <f>Climate!A81</f>
        <v>Quay ,TUCUMCARI 4 NE  NM9156</v>
      </c>
    </row>
    <row r="116" ht="12.75">
      <c r="A116" s="139" t="str">
        <f>Climate!A82</f>
        <v>Rio Arriba, ABIQUIU DAM  NM0041</v>
      </c>
    </row>
    <row r="117" ht="12.75">
      <c r="A117" s="139" t="str">
        <f>Climate!A83</f>
        <v>Rio Arriba, ALCALDE  NM0245</v>
      </c>
    </row>
    <row r="118" ht="12.75">
      <c r="A118" s="139" t="str">
        <f>Climate!A84</f>
        <v>Rio Arriba, CHAMA  NM1664</v>
      </c>
    </row>
    <row r="119" ht="12.75">
      <c r="A119" s="139" t="str">
        <f>Climate!A85</f>
        <v>Rio Arriba, DULCE  NM2608</v>
      </c>
    </row>
    <row r="120" ht="12.75">
      <c r="A120" s="139" t="str">
        <f>Climate!A86</f>
        <v>Rio Arriba, EL RITO  NM2820</v>
      </c>
    </row>
    <row r="121" ht="12.75">
      <c r="A121" s="139" t="str">
        <f>Climate!A87</f>
        <v>Rio Arriba, EL VADO DAM  NM2837</v>
      </c>
    </row>
    <row r="122" ht="12.75">
      <c r="A122" s="139" t="str">
        <f>Climate!A88</f>
        <v>Rio Arriba, ESPANOLA  NM3031</v>
      </c>
    </row>
    <row r="123" ht="12.75">
      <c r="A123" s="139" t="str">
        <f>Climate!A89</f>
        <v>Rio Arriba, LYBROOK  NM5290</v>
      </c>
    </row>
    <row r="124" ht="12.75">
      <c r="A124" s="139" t="str">
        <f>Climate!A90</f>
        <v>Rio Arriba, TIERRA AMARILLA 4 N  NM8845</v>
      </c>
    </row>
    <row r="125" ht="12.75">
      <c r="A125" s="139" t="str">
        <f>Climate!A91</f>
        <v>Rio Arriba, TRES PIEDRAS  NM9085</v>
      </c>
    </row>
    <row r="126" ht="12.75">
      <c r="A126" s="139" t="str">
        <f>Climate!A92</f>
        <v>Roosevelt, ELIDA  NM2854</v>
      </c>
    </row>
    <row r="127" ht="12.75">
      <c r="A127" s="139" t="str">
        <f>Climate!A93</f>
        <v>Roosevelt, PORTALES  NM7008</v>
      </c>
    </row>
    <row r="128" ht="12.75">
      <c r="A128" s="139" t="str">
        <f>Climate!A94</f>
        <v>San Juan, AZTEC RUINS NATL MONUME  NM0692</v>
      </c>
    </row>
    <row r="129" ht="12.75">
      <c r="A129" s="139" t="str">
        <f>Climate!A95</f>
        <v>San Juan, BLOOMFIELD 3 SE  NM1063</v>
      </c>
    </row>
    <row r="130" ht="12.75">
      <c r="A130" s="139" t="str">
        <f>Climate!A96</f>
        <v>San Juan, CHACO CANYON NATL MON  NM1647</v>
      </c>
    </row>
    <row r="131" ht="12.75">
      <c r="A131" s="139" t="str">
        <f>Climate!A97</f>
        <v>San Juan, FRUITLAND 2 E  NM3340</v>
      </c>
    </row>
    <row r="132" ht="12.75">
      <c r="A132" s="139" t="str">
        <f>Climate!A98</f>
        <v>San Juan, NAVAJO DAM  NM6061</v>
      </c>
    </row>
    <row r="133" ht="12.75">
      <c r="A133" s="139" t="str">
        <f>Climate!A99</f>
        <v>San Juan, OTIS  NM6465</v>
      </c>
    </row>
    <row r="134" ht="12.75">
      <c r="A134" s="139" t="str">
        <f>Climate!A100</f>
        <v>San Juan, SHIPROCK  NM8284</v>
      </c>
    </row>
    <row r="135" ht="12.75">
      <c r="A135" s="139" t="str">
        <f>Climate!A101</f>
        <v>San Miguel, BELL RANCH  NM0858</v>
      </c>
    </row>
    <row r="136" ht="12.75">
      <c r="A136" s="139" t="str">
        <f>Climate!A102</f>
        <v>San Miguel, CONCHAS DAM  NM2030</v>
      </c>
    </row>
    <row r="137" ht="12.75">
      <c r="A137" s="139" t="str">
        <f>Climate!A103</f>
        <v>San Miguel, LAS VEGAS FAA AIRPORT  NM4856</v>
      </c>
    </row>
    <row r="138" ht="12.75">
      <c r="A138" s="139" t="str">
        <f>Climate!A104</f>
        <v>San Miguel, PECOS RANGER STN  NM6676</v>
      </c>
    </row>
    <row r="139" ht="12.75">
      <c r="A139" s="139" t="str">
        <f>Climate!A105</f>
        <v>Sandoval, CUBA  NM2241</v>
      </c>
    </row>
    <row r="140" ht="12.75">
      <c r="A140" s="139" t="str">
        <f>Climate!A106</f>
        <v>Sandoval, JEMEZ SPRINGS  NM4369</v>
      </c>
    </row>
    <row r="141" ht="12.75">
      <c r="A141" s="139" t="str">
        <f>Climate!A107</f>
        <v>Sandoval, TORREON NAVAJO MISSION  NM9031</v>
      </c>
    </row>
    <row r="142" ht="12.75">
      <c r="A142" s="139" t="str">
        <f>Climate!A108</f>
        <v>Sandoval, WOLF CANYON  NM9820</v>
      </c>
    </row>
    <row r="143" ht="12.75">
      <c r="A143" s="139" t="str">
        <f>Climate!A109</f>
        <v>Santa Fe, STANLEY 1 NNE  NM8518</v>
      </c>
    </row>
    <row r="144" ht="12.75">
      <c r="A144" s="139" t="str">
        <f>Climate!A110</f>
        <v>Sierra, ALEMAN RANCH  NM0268</v>
      </c>
    </row>
    <row r="145" ht="12.75">
      <c r="A145" s="139" t="str">
        <f>Climate!A111</f>
        <v>Sierra, CABALLO DAM  NM1286</v>
      </c>
    </row>
    <row r="146" ht="12.75">
      <c r="A146" s="139" t="str">
        <f>Climate!A112</f>
        <v>Sierra, CHLORIDE RANGER STN  NM9806</v>
      </c>
    </row>
    <row r="147" ht="12.75">
      <c r="A147" s="139" t="str">
        <f>Climate!A113</f>
        <v>Sierra, ELEPHANT BUTTE DAM  NM2848</v>
      </c>
    </row>
    <row r="148" ht="12.75">
      <c r="A148" s="139" t="str">
        <f>Climate!A114</f>
        <v>Sierra, HILLSBORO  NM4009</v>
      </c>
    </row>
    <row r="149" ht="12.75">
      <c r="A149" s="139" t="str">
        <f>Climate!A115</f>
        <v>Socorro, AUGUSTINE 2 E  NM0640</v>
      </c>
    </row>
    <row r="150" ht="12.75">
      <c r="A150" s="139" t="str">
        <f>Climate!A116</f>
        <v>Socorro, BERNARDO  NM0915</v>
      </c>
    </row>
    <row r="151" ht="12.75">
      <c r="A151" s="139" t="str">
        <f>Climate!A117</f>
        <v>Socorro, BINGHAM 2 NE  NM0983</v>
      </c>
    </row>
    <row r="152" ht="12.75">
      <c r="A152" s="139" t="str">
        <f>Climate!A118</f>
        <v>Socorro, BOSQUE DEL APACHE  NM1138</v>
      </c>
    </row>
    <row r="153" ht="12.75">
      <c r="A153" s="139" t="str">
        <f>Climate!A119</f>
        <v>Socorro, MAGDALENA  NM5353</v>
      </c>
    </row>
    <row r="154" ht="12.75">
      <c r="A154" s="139" t="str">
        <f>Climate!A120</f>
        <v>Socorro, SOCORRO  NM8387</v>
      </c>
    </row>
    <row r="155" ht="12.75">
      <c r="A155" s="139" t="str">
        <f>Climate!A121</f>
        <v>Taos, CERRO  NM1630</v>
      </c>
    </row>
    <row r="156" ht="12.75">
      <c r="A156" s="139" t="str">
        <f>Climate!A122</f>
        <v>Taos, RED RIVER  NM7323</v>
      </c>
    </row>
    <row r="157" ht="12.75">
      <c r="A157" s="139" t="str">
        <f>Climate!A123</f>
        <v>Taos, TAOS  NM8668</v>
      </c>
    </row>
    <row r="158" ht="12.75">
      <c r="A158" s="139" t="str">
        <f>Climate!A124</f>
        <v>Torrance, CLINES CORNERS 7 SE  NM1918</v>
      </c>
    </row>
    <row r="159" ht="12.75">
      <c r="A159" s="139" t="str">
        <f>Climate!A125</f>
        <v>Torrance, ESTANCIA  NM3060</v>
      </c>
    </row>
    <row r="160" ht="12.75">
      <c r="A160" s="139" t="str">
        <f>Climate!A126</f>
        <v>Torrance, GRAN QUIVIRA NATL MON  NM3649</v>
      </c>
    </row>
    <row r="161" ht="12.75">
      <c r="A161" s="139" t="str">
        <f>Climate!A127</f>
        <v>Torrance, MOUNTAINAIR  NM5965</v>
      </c>
    </row>
    <row r="162" ht="12.75">
      <c r="A162" s="139" t="str">
        <f>Climate!A128</f>
        <v>Torrance, PEDERNAL 4 E  NM6687</v>
      </c>
    </row>
    <row r="163" ht="12.75">
      <c r="A163" s="139" t="str">
        <f>Climate!A129</f>
        <v>Union, AMISTAD 3 ESE  NM0377</v>
      </c>
    </row>
    <row r="164" ht="12.75">
      <c r="A164" s="139" t="str">
        <f>Climate!A130</f>
        <v>Union, CLAYTON WSO AIRPORT  NM1887</v>
      </c>
    </row>
    <row r="165" ht="12.75">
      <c r="A165" s="139" t="str">
        <f>Climate!A131</f>
        <v>Union, DES MOINES  NM2453</v>
      </c>
    </row>
    <row r="166" ht="12.75">
      <c r="A166" s="139" t="str">
        <f>Climate!A132</f>
        <v>Union, GRENVILLE  NM3706</v>
      </c>
    </row>
    <row r="167" ht="12.75">
      <c r="A167" s="139" t="str">
        <f>Climate!A133</f>
        <v>Union, PASAMONTE  NM6619</v>
      </c>
    </row>
    <row r="168" ht="12.75">
      <c r="A168" s="139" t="str">
        <f>Climate!A134</f>
        <v>Valencia, LOS LUNAS 3 SSW  NM5150</v>
      </c>
    </row>
  </sheetData>
  <sheetProtection password="CCF6" sheet="1" objects="1" scenarios="1"/>
  <mergeCells count="33">
    <mergeCell ref="A3:J3"/>
    <mergeCell ref="H25:J25"/>
    <mergeCell ref="A29:J29"/>
    <mergeCell ref="A12:J12"/>
    <mergeCell ref="C19:D19"/>
    <mergeCell ref="E19:H19"/>
    <mergeCell ref="E20:H20"/>
    <mergeCell ref="C21:D21"/>
    <mergeCell ref="E21:H21"/>
    <mergeCell ref="A5:J5"/>
    <mergeCell ref="E16:H16"/>
    <mergeCell ref="E17:H17"/>
    <mergeCell ref="E18:H18"/>
    <mergeCell ref="A31:J31"/>
    <mergeCell ref="C20:D20"/>
    <mergeCell ref="C16:D16"/>
    <mergeCell ref="C17:D17"/>
    <mergeCell ref="C18:D18"/>
    <mergeCell ref="H6:I6"/>
    <mergeCell ref="H9:I9"/>
    <mergeCell ref="C9:D9"/>
    <mergeCell ref="A4:J4"/>
    <mergeCell ref="C7:D7"/>
    <mergeCell ref="C6:D6"/>
    <mergeCell ref="C8:D8"/>
    <mergeCell ref="H8:I8"/>
    <mergeCell ref="C14:D14"/>
    <mergeCell ref="E15:H15"/>
    <mergeCell ref="E10:G10"/>
    <mergeCell ref="C13:D13"/>
    <mergeCell ref="E13:H13"/>
    <mergeCell ref="E14:H14"/>
    <mergeCell ref="C15:D15"/>
  </mergeCells>
  <dataValidations count="2">
    <dataValidation type="list" allowBlank="1" showInputMessage="1" showErrorMessage="1" sqref="E16:H21">
      <formula1>$N$3:$N$96</formula1>
    </dataValidation>
    <dataValidation type="list" allowBlank="1" showInputMessage="1" showErrorMessage="1" sqref="E10:G10">
      <formula1>$A$36:$A$168</formula1>
    </dataValidation>
  </dataValidations>
  <printOptions horizontalCentered="1"/>
  <pageMargins left="0.75" right="0.75" top="0.56" bottom="0.63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 transitionEvaluation="1"/>
  <dimension ref="A1:W39"/>
  <sheetViews>
    <sheetView workbookViewId="0" topLeftCell="A1">
      <selection activeCell="B28" sqref="B28"/>
    </sheetView>
  </sheetViews>
  <sheetFormatPr defaultColWidth="19.57421875" defaultRowHeight="12.75"/>
  <cols>
    <col min="1" max="1" width="10.140625" style="87" customWidth="1"/>
    <col min="2" max="2" width="10.57421875" style="87" customWidth="1"/>
    <col min="3" max="3" width="10.140625" style="87" bestFit="1" customWidth="1"/>
    <col min="4" max="4" width="11.140625" style="87" customWidth="1"/>
    <col min="5" max="5" width="11.28125" style="87" bestFit="1" customWidth="1"/>
    <col min="6" max="6" width="9.8515625" style="87" bestFit="1" customWidth="1"/>
    <col min="7" max="7" width="9.7109375" style="87" bestFit="1" customWidth="1"/>
    <col min="8" max="8" width="10.421875" style="87" bestFit="1" customWidth="1"/>
    <col min="9" max="9" width="12.140625" style="87" customWidth="1"/>
    <col min="10" max="10" width="7.7109375" style="87" customWidth="1"/>
    <col min="11" max="11" width="13.8515625" style="87" customWidth="1"/>
    <col min="12" max="12" width="8.7109375" style="87" customWidth="1"/>
    <col min="13" max="13" width="8.57421875" style="87" bestFit="1" customWidth="1"/>
    <col min="14" max="14" width="8.28125" style="87" bestFit="1" customWidth="1"/>
    <col min="15" max="15" width="12.7109375" style="87" customWidth="1"/>
    <col min="16" max="16" width="10.28125" style="87" customWidth="1"/>
    <col min="17" max="17" width="10.8515625" style="87" customWidth="1"/>
    <col min="18" max="18" width="9.8515625" style="87" customWidth="1"/>
    <col min="19" max="16384" width="14.7109375" style="87" customWidth="1"/>
  </cols>
  <sheetData>
    <row r="1" spans="1:12" ht="15.75">
      <c r="A1" s="846" t="s">
        <v>359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8"/>
    </row>
    <row r="2" spans="1:12" ht="15.75">
      <c r="A2" s="118" t="s">
        <v>102</v>
      </c>
      <c r="B2" s="119"/>
      <c r="C2" s="119"/>
      <c r="D2" s="119"/>
      <c r="E2" s="119"/>
      <c r="F2" s="119" t="str">
        <f>'Planning Data'!F2</f>
        <v>Version 2.7  (2/22/08)</v>
      </c>
      <c r="G2" s="119"/>
      <c r="H2" s="119"/>
      <c r="I2" s="119"/>
      <c r="J2" s="120"/>
      <c r="K2" s="120" t="s">
        <v>48</v>
      </c>
      <c r="L2" s="400" t="str">
        <f>'Planning Data'!K4</f>
        <v>9/25/08</v>
      </c>
    </row>
    <row r="3" spans="1:12" ht="21.75" customHeight="1">
      <c r="A3" s="849" t="s">
        <v>47</v>
      </c>
      <c r="B3" s="850"/>
      <c r="C3" s="851" t="str">
        <f>IF('Planning Data'!C3="","",'Planning Data'!C3)</f>
        <v>Super Cow Dairy</v>
      </c>
      <c r="D3" s="851"/>
      <c r="E3" s="122"/>
      <c r="F3" s="123" t="s">
        <v>50</v>
      </c>
      <c r="G3" s="851" t="str">
        <f>IF('Planning Data'!G3="","",'Planning Data'!G3)</f>
        <v>Joe Holstein</v>
      </c>
      <c r="H3" s="851"/>
      <c r="I3" s="857" t="s">
        <v>450</v>
      </c>
      <c r="J3" s="857"/>
      <c r="K3" s="857"/>
      <c r="L3" s="858"/>
    </row>
    <row r="4" spans="1:12" ht="21" customHeight="1">
      <c r="A4" s="124"/>
      <c r="B4" s="123" t="s">
        <v>448</v>
      </c>
      <c r="C4" s="851" t="str">
        <f>IF('Lot Runoff'!C8="","",'Lot Runoff'!C8)</f>
        <v>Runoff Pond 1</v>
      </c>
      <c r="D4" s="851"/>
      <c r="E4" s="851"/>
      <c r="F4" s="123" t="s">
        <v>49</v>
      </c>
      <c r="G4" s="851" t="str">
        <f>IF('Planning Data'!G4="","",'Planning Data'!G4)</f>
        <v>R White</v>
      </c>
      <c r="H4" s="851"/>
      <c r="I4" s="859"/>
      <c r="J4" s="859"/>
      <c r="K4" s="859"/>
      <c r="L4" s="860"/>
    </row>
    <row r="5" spans="1:12" ht="15" customHeight="1">
      <c r="A5" s="156"/>
      <c r="B5" s="123"/>
      <c r="C5" s="121" t="s">
        <v>305</v>
      </c>
      <c r="D5" s="861" t="str">
        <f>'Lot Runoff'!E10</f>
        <v>Chaves, BITTER LAKES WL REFUGE  NM0992</v>
      </c>
      <c r="E5" s="861"/>
      <c r="F5" s="861"/>
      <c r="G5" s="861"/>
      <c r="H5" s="861"/>
      <c r="I5" s="852" t="s">
        <v>318</v>
      </c>
      <c r="J5" s="852"/>
      <c r="K5" s="852"/>
      <c r="L5" s="163">
        <v>80</v>
      </c>
    </row>
    <row r="6" spans="1:12" ht="17.25" customHeight="1">
      <c r="A6" s="126"/>
      <c r="B6" s="127"/>
      <c r="C6" s="178" t="s">
        <v>375</v>
      </c>
      <c r="D6" s="862" t="s">
        <v>374</v>
      </c>
      <c r="E6" s="863"/>
      <c r="G6" s="127"/>
      <c r="H6" s="152" t="s">
        <v>376</v>
      </c>
      <c r="I6" s="179">
        <v>3</v>
      </c>
      <c r="J6" s="128" t="s">
        <v>22</v>
      </c>
      <c r="K6" s="151"/>
      <c r="L6" s="157" t="s">
        <v>326</v>
      </c>
    </row>
    <row r="7" spans="1:12" ht="12.75" customHeight="1">
      <c r="A7" s="841" t="s">
        <v>26</v>
      </c>
      <c r="B7" s="843" t="s">
        <v>103</v>
      </c>
      <c r="C7" s="843" t="s">
        <v>327</v>
      </c>
      <c r="D7" s="843" t="s">
        <v>486</v>
      </c>
      <c r="E7" s="843" t="s">
        <v>104</v>
      </c>
      <c r="F7" s="843" t="s">
        <v>105</v>
      </c>
      <c r="G7" s="843" t="s">
        <v>106</v>
      </c>
      <c r="H7" s="843" t="s">
        <v>107</v>
      </c>
      <c r="I7" s="843" t="s">
        <v>108</v>
      </c>
      <c r="J7" s="853">
        <f>IF(D$6="Evaporative Pond","Adjust Evaporation Surface Area for 6 mo. Dry (6 zeros)","")</f>
      </c>
      <c r="K7" s="854"/>
      <c r="L7" s="843" t="s">
        <v>25</v>
      </c>
    </row>
    <row r="8" spans="1:23" ht="12" customHeight="1">
      <c r="A8" s="842"/>
      <c r="B8" s="844"/>
      <c r="C8" s="845"/>
      <c r="D8" s="844"/>
      <c r="E8" s="844"/>
      <c r="F8" s="844"/>
      <c r="G8" s="844"/>
      <c r="H8" s="844"/>
      <c r="I8" s="844"/>
      <c r="J8" s="855"/>
      <c r="K8" s="856"/>
      <c r="L8" s="844"/>
      <c r="N8" s="403" t="s">
        <v>372</v>
      </c>
      <c r="O8" s="404"/>
      <c r="P8" s="404"/>
      <c r="Q8" s="404"/>
      <c r="R8" s="404"/>
      <c r="S8" s="405"/>
      <c r="T8" s="833" t="s">
        <v>545</v>
      </c>
      <c r="U8" s="834"/>
      <c r="V8" s="839" t="s">
        <v>544</v>
      </c>
      <c r="W8" s="840"/>
    </row>
    <row r="9" spans="1:23" ht="15.75" customHeight="1">
      <c r="A9" s="842"/>
      <c r="B9" s="844"/>
      <c r="C9" s="845"/>
      <c r="D9" s="844"/>
      <c r="E9" s="844"/>
      <c r="F9" s="844"/>
      <c r="G9" s="844"/>
      <c r="H9" s="844"/>
      <c r="I9" s="844"/>
      <c r="J9" s="855"/>
      <c r="K9" s="856"/>
      <c r="L9" s="844"/>
      <c r="N9" s="406"/>
      <c r="O9" s="413"/>
      <c r="P9" s="413"/>
      <c r="Q9" s="413"/>
      <c r="R9" s="413"/>
      <c r="S9" s="407"/>
      <c r="T9" s="835" t="s">
        <v>546</v>
      </c>
      <c r="U9" s="836"/>
      <c r="V9" s="837" t="s">
        <v>547</v>
      </c>
      <c r="W9" s="838"/>
    </row>
    <row r="10" spans="1:23" ht="15.75">
      <c r="A10" s="842"/>
      <c r="B10" s="310" t="s">
        <v>329</v>
      </c>
      <c r="C10" s="310" t="s">
        <v>328</v>
      </c>
      <c r="D10" s="310" t="s">
        <v>27</v>
      </c>
      <c r="E10" s="651" t="s">
        <v>487</v>
      </c>
      <c r="F10" s="310" t="s">
        <v>328</v>
      </c>
      <c r="G10" s="310" t="s">
        <v>429</v>
      </c>
      <c r="H10" s="310" t="s">
        <v>488</v>
      </c>
      <c r="I10" s="311" t="s">
        <v>329</v>
      </c>
      <c r="J10" s="818">
        <f>IF(D$6="Evaporative Pond","3rd yr in. depth","")</f>
      </c>
      <c r="K10" s="819"/>
      <c r="L10" s="434" t="s">
        <v>328</v>
      </c>
      <c r="N10" s="422" t="s">
        <v>369</v>
      </c>
      <c r="O10" s="423" t="s">
        <v>370</v>
      </c>
      <c r="P10" s="424" t="s">
        <v>371</v>
      </c>
      <c r="Q10" s="413"/>
      <c r="R10" s="413"/>
      <c r="S10" s="407"/>
      <c r="T10" s="837" t="s">
        <v>549</v>
      </c>
      <c r="U10" s="838"/>
      <c r="V10" s="837" t="s">
        <v>549</v>
      </c>
      <c r="W10" s="838"/>
    </row>
    <row r="11" spans="1:23" ht="15.75">
      <c r="A11" s="312" t="s">
        <v>28</v>
      </c>
      <c r="B11" s="313">
        <f>'Planning Data'!I28</f>
        <v>110.49723756906077</v>
      </c>
      <c r="C11" s="313">
        <f>IF('Planning Data'!K3="Yes",'Planning Data'!I34+'Planning Data'!I45,'Planning Data'!I34)</f>
        <v>5.831312502901712</v>
      </c>
      <c r="D11" s="314">
        <f>VLOOKUP('Lot Runoff'!$E$10,Climate!$A$2:$AC$134,5)</f>
        <v>0.58</v>
      </c>
      <c r="E11" s="650">
        <f>D11*$I$6</f>
        <v>1.7399999999999998</v>
      </c>
      <c r="F11" s="313">
        <f>B11+C11+E11</f>
        <v>118.06855007196248</v>
      </c>
      <c r="G11" s="313">
        <f>VLOOKUP('Lot Runoff'!$E$10,Climate!$A$2:$AC$134,18)*$L$5</f>
        <v>2.4</v>
      </c>
      <c r="H11" s="313">
        <f aca="true" t="shared" si="0" ref="H11:H22">G11*$I$6</f>
        <v>7.199999999999999</v>
      </c>
      <c r="I11" s="313">
        <f aca="true" t="shared" si="1" ref="I11:I22">F11-H11</f>
        <v>110.86855007196247</v>
      </c>
      <c r="J11" s="820">
        <f aca="true" t="shared" si="2" ref="J11:J22">IF(D$6="Evaporative Pond",P11/I$6,"")</f>
      </c>
      <c r="K11" s="821"/>
      <c r="L11" s="387">
        <f>IF('Planning Data'!K3="Yes",'Planning Data'!I39+'Planning Data'!I52,'Planning Data'!I39)</f>
        <v>0.8542456505576207</v>
      </c>
      <c r="N11" s="414">
        <f>I11</f>
        <v>110.86855007196247</v>
      </c>
      <c r="O11" s="415">
        <f>N22+I11</f>
        <v>1302.0011509355124</v>
      </c>
      <c r="P11" s="416">
        <f>O22+I11</f>
        <v>2493.1337517990623</v>
      </c>
      <c r="Q11" s="413"/>
      <c r="R11" s="413"/>
      <c r="S11" s="407"/>
      <c r="T11" s="406"/>
      <c r="U11" s="407"/>
      <c r="V11" s="406"/>
      <c r="W11" s="407"/>
    </row>
    <row r="12" spans="1:23" ht="15.75">
      <c r="A12" s="315" t="s">
        <v>29</v>
      </c>
      <c r="B12" s="316">
        <f aca="true" t="shared" si="3" ref="B12:B22">B11</f>
        <v>110.49723756906077</v>
      </c>
      <c r="C12" s="316">
        <f aca="true" t="shared" si="4" ref="C12:C22">C11</f>
        <v>5.831312502901712</v>
      </c>
      <c r="D12" s="317">
        <f>VLOOKUP('Lot Runoff'!$E$10,Climate!$A$2:$AC$134,6)</f>
        <v>0.42</v>
      </c>
      <c r="E12" s="317">
        <f aca="true" t="shared" si="5" ref="E12:E22">D12*$I$6</f>
        <v>1.26</v>
      </c>
      <c r="F12" s="316">
        <f aca="true" t="shared" si="6" ref="F12:F22">B12+C12+E12</f>
        <v>117.58855007196249</v>
      </c>
      <c r="G12" s="316">
        <f>VLOOKUP('Lot Runoff'!$E$10,Climate!$A$2:$AC$134,19)*$L$5</f>
        <v>3.2</v>
      </c>
      <c r="H12" s="316">
        <f t="shared" si="0"/>
        <v>9.600000000000001</v>
      </c>
      <c r="I12" s="316">
        <f t="shared" si="1"/>
        <v>107.98855007196249</v>
      </c>
      <c r="J12" s="816">
        <f t="shared" si="2"/>
      </c>
      <c r="K12" s="817"/>
      <c r="L12" s="388">
        <f aca="true" t="shared" si="7" ref="L12:L22">L11</f>
        <v>0.8542456505576207</v>
      </c>
      <c r="N12" s="414">
        <f aca="true" t="shared" si="8" ref="N12:N22">IF(N11+I12&gt;0,N11+I12,0)</f>
        <v>218.85710014392498</v>
      </c>
      <c r="O12" s="415">
        <f aca="true" t="shared" si="9" ref="O12:O22">IF(O11+I12&gt;0,O11+I12,0)</f>
        <v>1409.9897010074749</v>
      </c>
      <c r="P12" s="416">
        <f aca="true" t="shared" si="10" ref="P12:P22">IF(P11+I12&gt;0,P11+I12,0)</f>
        <v>2601.122301871025</v>
      </c>
      <c r="Q12" s="417">
        <f aca="true" t="shared" si="11" ref="Q12:Q22">J11+J12</f>
        <v>0</v>
      </c>
      <c r="R12" s="417">
        <f aca="true" t="shared" si="12" ref="R12:R22">(J11+J12)/12</f>
        <v>0</v>
      </c>
      <c r="S12" s="410">
        <f aca="true" t="shared" si="13" ref="S12:S22">P11+P12</f>
        <v>5094.256053670088</v>
      </c>
      <c r="T12" s="408">
        <f aca="true" t="shared" si="14" ref="T12:T22">I11+I12</f>
        <v>218.85710014392498</v>
      </c>
      <c r="U12" s="407"/>
      <c r="V12" s="406"/>
      <c r="W12" s="407"/>
    </row>
    <row r="13" spans="1:23" ht="15.75">
      <c r="A13" s="315" t="s">
        <v>30</v>
      </c>
      <c r="B13" s="316">
        <f t="shared" si="3"/>
        <v>110.49723756906077</v>
      </c>
      <c r="C13" s="316">
        <f t="shared" si="4"/>
        <v>5.831312502901712</v>
      </c>
      <c r="D13" s="317">
        <f>VLOOKUP('Lot Runoff'!$E$10,Climate!$A$2:$AC$134,7)</f>
        <v>0.51</v>
      </c>
      <c r="E13" s="317">
        <f t="shared" si="5"/>
        <v>1.53</v>
      </c>
      <c r="F13" s="316">
        <f t="shared" si="6"/>
        <v>117.85855007196248</v>
      </c>
      <c r="G13" s="316">
        <f>VLOOKUP('Lot Runoff'!$E$10,Climate!$A$2:$AC$134,20)*$L$5</f>
        <v>6.4</v>
      </c>
      <c r="H13" s="316">
        <f t="shared" si="0"/>
        <v>19.200000000000003</v>
      </c>
      <c r="I13" s="316">
        <f t="shared" si="1"/>
        <v>98.65855007196248</v>
      </c>
      <c r="J13" s="816">
        <f t="shared" si="2"/>
      </c>
      <c r="K13" s="817"/>
      <c r="L13" s="388">
        <f t="shared" si="7"/>
        <v>0.8542456505576207</v>
      </c>
      <c r="N13" s="414">
        <f t="shared" si="8"/>
        <v>317.5156502158875</v>
      </c>
      <c r="O13" s="415">
        <f t="shared" si="9"/>
        <v>1508.6482510794374</v>
      </c>
      <c r="P13" s="416">
        <f t="shared" si="10"/>
        <v>2699.7808519429873</v>
      </c>
      <c r="Q13" s="417">
        <f t="shared" si="11"/>
        <v>0</v>
      </c>
      <c r="R13" s="417">
        <f t="shared" si="12"/>
        <v>0</v>
      </c>
      <c r="S13" s="410">
        <f t="shared" si="13"/>
        <v>5300.903153814012</v>
      </c>
      <c r="T13" s="408">
        <f t="shared" si="14"/>
        <v>206.64710014392497</v>
      </c>
      <c r="U13" s="407"/>
      <c r="V13" s="425"/>
      <c r="W13" s="407"/>
    </row>
    <row r="14" spans="1:23" ht="15.75">
      <c r="A14" s="315" t="s">
        <v>31</v>
      </c>
      <c r="B14" s="316">
        <f t="shared" si="3"/>
        <v>110.49723756906077</v>
      </c>
      <c r="C14" s="316">
        <f t="shared" si="4"/>
        <v>5.831312502901712</v>
      </c>
      <c r="D14" s="317">
        <f>VLOOKUP('Lot Runoff'!$E$10,Climate!$A$2:$AC$134,8)</f>
        <v>0.73</v>
      </c>
      <c r="E14" s="317">
        <f t="shared" si="5"/>
        <v>2.19</v>
      </c>
      <c r="F14" s="316">
        <f t="shared" si="6"/>
        <v>118.51855007196248</v>
      </c>
      <c r="G14" s="316">
        <f>VLOOKUP('Lot Runoff'!$E$10,Climate!$A$2:$AC$134,21)*$L$5</f>
        <v>8.8</v>
      </c>
      <c r="H14" s="316">
        <f t="shared" si="0"/>
        <v>26.400000000000002</v>
      </c>
      <c r="I14" s="316">
        <f t="shared" si="1"/>
        <v>92.11855007196247</v>
      </c>
      <c r="J14" s="816">
        <f t="shared" si="2"/>
      </c>
      <c r="K14" s="817"/>
      <c r="L14" s="388">
        <f t="shared" si="7"/>
        <v>0.8542456505576207</v>
      </c>
      <c r="N14" s="414">
        <f t="shared" si="8"/>
        <v>409.63420028785</v>
      </c>
      <c r="O14" s="415">
        <f t="shared" si="9"/>
        <v>1600.7668011514</v>
      </c>
      <c r="P14" s="416">
        <f t="shared" si="10"/>
        <v>2791.89940201495</v>
      </c>
      <c r="Q14" s="417">
        <f t="shared" si="11"/>
        <v>0</v>
      </c>
      <c r="R14" s="417">
        <f t="shared" si="12"/>
        <v>0</v>
      </c>
      <c r="S14" s="410">
        <f t="shared" si="13"/>
        <v>5491.680253957937</v>
      </c>
      <c r="T14" s="408">
        <f t="shared" si="14"/>
        <v>190.77710014392494</v>
      </c>
      <c r="U14" s="407"/>
      <c r="V14" s="426">
        <f>SUM(I11:I14)</f>
        <v>409.63420028785</v>
      </c>
      <c r="W14" s="407"/>
    </row>
    <row r="15" spans="1:23" ht="15.75">
      <c r="A15" s="315" t="s">
        <v>32</v>
      </c>
      <c r="B15" s="316">
        <f t="shared" si="3"/>
        <v>110.49723756906077</v>
      </c>
      <c r="C15" s="316">
        <f t="shared" si="4"/>
        <v>5.831312502901712</v>
      </c>
      <c r="D15" s="317">
        <f>VLOOKUP('Lot Runoff'!$E$10,Climate!$A$2:$AC$134,9)</f>
        <v>1.28</v>
      </c>
      <c r="E15" s="317">
        <f t="shared" si="5"/>
        <v>3.84</v>
      </c>
      <c r="F15" s="316">
        <f t="shared" si="6"/>
        <v>120.16855007196249</v>
      </c>
      <c r="G15" s="316">
        <f>VLOOKUP('Lot Runoff'!$E$10,Climate!$A$2:$AC$134,22)*$L$5</f>
        <v>10.4</v>
      </c>
      <c r="H15" s="316">
        <f t="shared" si="0"/>
        <v>31.200000000000003</v>
      </c>
      <c r="I15" s="316">
        <f t="shared" si="1"/>
        <v>88.96855007196248</v>
      </c>
      <c r="J15" s="816">
        <f t="shared" si="2"/>
      </c>
      <c r="K15" s="817"/>
      <c r="L15" s="388">
        <f t="shared" si="7"/>
        <v>0.8542456505576207</v>
      </c>
      <c r="N15" s="414">
        <f t="shared" si="8"/>
        <v>498.6027503598125</v>
      </c>
      <c r="O15" s="415">
        <f t="shared" si="9"/>
        <v>1689.7353512233624</v>
      </c>
      <c r="P15" s="416">
        <f t="shared" si="10"/>
        <v>2880.8679520869123</v>
      </c>
      <c r="Q15" s="417">
        <f t="shared" si="11"/>
        <v>0</v>
      </c>
      <c r="R15" s="417">
        <f t="shared" si="12"/>
        <v>0</v>
      </c>
      <c r="S15" s="410">
        <f t="shared" si="13"/>
        <v>5672.767354101862</v>
      </c>
      <c r="T15" s="408">
        <f t="shared" si="14"/>
        <v>181.08710014392494</v>
      </c>
      <c r="U15" s="407"/>
      <c r="V15" s="426">
        <f aca="true" t="shared" si="15" ref="V15:V22">SUM(I12:I15)</f>
        <v>387.73420028784994</v>
      </c>
      <c r="W15" s="407"/>
    </row>
    <row r="16" spans="1:23" ht="15.75">
      <c r="A16" s="315" t="s">
        <v>33</v>
      </c>
      <c r="B16" s="316">
        <f t="shared" si="3"/>
        <v>110.49723756906077</v>
      </c>
      <c r="C16" s="316">
        <f t="shared" si="4"/>
        <v>5.831312502901712</v>
      </c>
      <c r="D16" s="317">
        <f>VLOOKUP('Lot Runoff'!$E$10,Climate!$A$2:$AC$134,10)</f>
        <v>1.05</v>
      </c>
      <c r="E16" s="317">
        <f t="shared" si="5"/>
        <v>3.1500000000000004</v>
      </c>
      <c r="F16" s="316">
        <f t="shared" si="6"/>
        <v>119.47855007196249</v>
      </c>
      <c r="G16" s="316">
        <f>VLOOKUP('Lot Runoff'!$E$10,Climate!$A$2:$AC$134,23)*$L$5</f>
        <v>11.200000000000001</v>
      </c>
      <c r="H16" s="316">
        <f t="shared" si="0"/>
        <v>33.6</v>
      </c>
      <c r="I16" s="316">
        <f t="shared" si="1"/>
        <v>85.87855007196248</v>
      </c>
      <c r="J16" s="816">
        <f t="shared" si="2"/>
      </c>
      <c r="K16" s="817"/>
      <c r="L16" s="388">
        <f t="shared" si="7"/>
        <v>0.8542456505576207</v>
      </c>
      <c r="N16" s="414">
        <f t="shared" si="8"/>
        <v>584.481300431775</v>
      </c>
      <c r="O16" s="415">
        <f t="shared" si="9"/>
        <v>1775.613901295325</v>
      </c>
      <c r="P16" s="416">
        <f t="shared" si="10"/>
        <v>2966.7465021588746</v>
      </c>
      <c r="Q16" s="417">
        <f t="shared" si="11"/>
        <v>0</v>
      </c>
      <c r="R16" s="417">
        <f t="shared" si="12"/>
        <v>0</v>
      </c>
      <c r="S16" s="410">
        <f t="shared" si="13"/>
        <v>5847.614454245787</v>
      </c>
      <c r="T16" s="408">
        <f t="shared" si="14"/>
        <v>174.84710014392496</v>
      </c>
      <c r="U16" s="407"/>
      <c r="V16" s="426">
        <f t="shared" si="15"/>
        <v>365.6242002878499</v>
      </c>
      <c r="W16" s="407"/>
    </row>
    <row r="17" spans="1:23" ht="15.75">
      <c r="A17" s="315" t="s">
        <v>34</v>
      </c>
      <c r="B17" s="316">
        <f t="shared" si="3"/>
        <v>110.49723756906077</v>
      </c>
      <c r="C17" s="316">
        <f t="shared" si="4"/>
        <v>5.831312502901712</v>
      </c>
      <c r="D17" s="317">
        <f>VLOOKUP('Lot Runoff'!$E$10,Climate!$A$2:$AC$134,11)</f>
        <v>1.77</v>
      </c>
      <c r="E17" s="317">
        <f t="shared" si="5"/>
        <v>5.3100000000000005</v>
      </c>
      <c r="F17" s="316">
        <f t="shared" si="6"/>
        <v>121.63855007196248</v>
      </c>
      <c r="G17" s="316">
        <f>VLOOKUP('Lot Runoff'!$E$10,Climate!$A$2:$AC$134,24)*$L$5</f>
        <v>10.4</v>
      </c>
      <c r="H17" s="316">
        <f t="shared" si="0"/>
        <v>31.200000000000003</v>
      </c>
      <c r="I17" s="316">
        <f>F17-H17</f>
        <v>90.43855007196248</v>
      </c>
      <c r="J17" s="816">
        <f t="shared" si="2"/>
      </c>
      <c r="K17" s="817"/>
      <c r="L17" s="388">
        <f t="shared" si="7"/>
        <v>0.8542456505576207</v>
      </c>
      <c r="N17" s="414">
        <f t="shared" si="8"/>
        <v>674.9198505037375</v>
      </c>
      <c r="O17" s="415">
        <f t="shared" si="9"/>
        <v>1866.0524513672874</v>
      </c>
      <c r="P17" s="416">
        <f t="shared" si="10"/>
        <v>3057.185052230837</v>
      </c>
      <c r="Q17" s="417">
        <f t="shared" si="11"/>
        <v>0</v>
      </c>
      <c r="R17" s="417">
        <f t="shared" si="12"/>
        <v>0</v>
      </c>
      <c r="S17" s="410">
        <f t="shared" si="13"/>
        <v>6023.931554389712</v>
      </c>
      <c r="T17" s="408">
        <f t="shared" si="14"/>
        <v>176.31710014392496</v>
      </c>
      <c r="U17" s="407"/>
      <c r="V17" s="426">
        <f t="shared" si="15"/>
        <v>357.4042002878499</v>
      </c>
      <c r="W17" s="407"/>
    </row>
    <row r="18" spans="1:23" ht="15.75">
      <c r="A18" s="315" t="s">
        <v>35</v>
      </c>
      <c r="B18" s="316">
        <f t="shared" si="3"/>
        <v>110.49723756906077</v>
      </c>
      <c r="C18" s="316">
        <f t="shared" si="4"/>
        <v>5.831312502901712</v>
      </c>
      <c r="D18" s="317">
        <f>VLOOKUP('Lot Runoff'!$E$10,Climate!$A$2:$AC$134,12)</f>
        <v>1.62</v>
      </c>
      <c r="E18" s="317">
        <f t="shared" si="5"/>
        <v>4.86</v>
      </c>
      <c r="F18" s="316">
        <f t="shared" si="6"/>
        <v>121.18855007196248</v>
      </c>
      <c r="G18" s="316">
        <f>VLOOKUP('Lot Runoff'!$E$10,Climate!$A$2:$AC$134,25)*$L$5</f>
        <v>8.8</v>
      </c>
      <c r="H18" s="316">
        <f t="shared" si="0"/>
        <v>26.400000000000002</v>
      </c>
      <c r="I18" s="316">
        <f t="shared" si="1"/>
        <v>94.78855007196248</v>
      </c>
      <c r="J18" s="816">
        <f t="shared" si="2"/>
      </c>
      <c r="K18" s="817"/>
      <c r="L18" s="388">
        <f t="shared" si="7"/>
        <v>0.8542456505576207</v>
      </c>
      <c r="N18" s="414">
        <f t="shared" si="8"/>
        <v>769.7084005757</v>
      </c>
      <c r="O18" s="415">
        <f t="shared" si="9"/>
        <v>1960.8410014392498</v>
      </c>
      <c r="P18" s="416">
        <f t="shared" si="10"/>
        <v>3151.9736023027995</v>
      </c>
      <c r="Q18" s="417">
        <f t="shared" si="11"/>
        <v>0</v>
      </c>
      <c r="R18" s="417">
        <f t="shared" si="12"/>
        <v>0</v>
      </c>
      <c r="S18" s="410">
        <f t="shared" si="13"/>
        <v>6209.158654533636</v>
      </c>
      <c r="T18" s="408">
        <f t="shared" si="14"/>
        <v>185.22710014392496</v>
      </c>
      <c r="U18" s="407"/>
      <c r="V18" s="426">
        <f t="shared" si="15"/>
        <v>360.07420028785</v>
      </c>
      <c r="W18" s="407"/>
    </row>
    <row r="19" spans="1:23" ht="15.75">
      <c r="A19" s="315" t="s">
        <v>36</v>
      </c>
      <c r="B19" s="316">
        <f t="shared" si="3"/>
        <v>110.49723756906077</v>
      </c>
      <c r="C19" s="316">
        <f t="shared" si="4"/>
        <v>5.831312502901712</v>
      </c>
      <c r="D19" s="317">
        <f>VLOOKUP('Lot Runoff'!$E$10,Climate!$A$2:$AC$134,13)</f>
        <v>1.82</v>
      </c>
      <c r="E19" s="317">
        <f t="shared" si="5"/>
        <v>5.46</v>
      </c>
      <c r="F19" s="316">
        <f t="shared" si="6"/>
        <v>121.78855007196248</v>
      </c>
      <c r="G19" s="316">
        <f>VLOOKUP('Lot Runoff'!$E$10,Climate!$A$2:$AC$134,26)*$L$5</f>
        <v>7.199999999999999</v>
      </c>
      <c r="H19" s="316">
        <f t="shared" si="0"/>
        <v>21.599999999999998</v>
      </c>
      <c r="I19" s="316">
        <f t="shared" si="1"/>
        <v>100.18855007196248</v>
      </c>
      <c r="J19" s="816">
        <f t="shared" si="2"/>
      </c>
      <c r="K19" s="817"/>
      <c r="L19" s="388">
        <f t="shared" si="7"/>
        <v>0.8542456505576207</v>
      </c>
      <c r="N19" s="414">
        <f t="shared" si="8"/>
        <v>869.8969506476625</v>
      </c>
      <c r="O19" s="415">
        <f t="shared" si="9"/>
        <v>2061.029551511212</v>
      </c>
      <c r="P19" s="416">
        <f t="shared" si="10"/>
        <v>3252.1621523747617</v>
      </c>
      <c r="Q19" s="417">
        <f t="shared" si="11"/>
        <v>0</v>
      </c>
      <c r="R19" s="417">
        <f t="shared" si="12"/>
        <v>0</v>
      </c>
      <c r="S19" s="410">
        <f t="shared" si="13"/>
        <v>6404.135754677562</v>
      </c>
      <c r="T19" s="408">
        <f t="shared" si="14"/>
        <v>194.97710014392496</v>
      </c>
      <c r="U19" s="407"/>
      <c r="V19" s="426">
        <f t="shared" si="15"/>
        <v>371.2942002878499</v>
      </c>
      <c r="W19" s="407"/>
    </row>
    <row r="20" spans="1:23" ht="15.75">
      <c r="A20" s="315" t="s">
        <v>37</v>
      </c>
      <c r="B20" s="316">
        <f t="shared" si="3"/>
        <v>110.49723756906077</v>
      </c>
      <c r="C20" s="316">
        <f t="shared" si="4"/>
        <v>5.831312502901712</v>
      </c>
      <c r="D20" s="317">
        <f>VLOOKUP('Lot Runoff'!$E$10,Climate!$A$2:$AC$134,14)</f>
        <v>1.07</v>
      </c>
      <c r="E20" s="317">
        <f t="shared" si="5"/>
        <v>3.21</v>
      </c>
      <c r="F20" s="316">
        <f t="shared" si="6"/>
        <v>119.53855007196248</v>
      </c>
      <c r="G20" s="316">
        <f>VLOOKUP('Lot Runoff'!$E$10,Climate!$A$2:$AC$134,27)*$L$5</f>
        <v>5.6000000000000005</v>
      </c>
      <c r="H20" s="316">
        <f t="shared" si="0"/>
        <v>16.8</v>
      </c>
      <c r="I20" s="316">
        <f t="shared" si="1"/>
        <v>102.73855007196248</v>
      </c>
      <c r="J20" s="816">
        <f t="shared" si="2"/>
      </c>
      <c r="K20" s="817"/>
      <c r="L20" s="388">
        <f t="shared" si="7"/>
        <v>0.8542456505576207</v>
      </c>
      <c r="N20" s="414">
        <f t="shared" si="8"/>
        <v>972.6355007196249</v>
      </c>
      <c r="O20" s="415">
        <f t="shared" si="9"/>
        <v>2163.7681015831745</v>
      </c>
      <c r="P20" s="416">
        <f t="shared" si="10"/>
        <v>3354.900702446724</v>
      </c>
      <c r="Q20" s="417">
        <f t="shared" si="11"/>
        <v>0</v>
      </c>
      <c r="R20" s="417">
        <f t="shared" si="12"/>
        <v>0</v>
      </c>
      <c r="S20" s="410">
        <f t="shared" si="13"/>
        <v>6607.062854821486</v>
      </c>
      <c r="T20" s="408">
        <f t="shared" si="14"/>
        <v>202.92710014392497</v>
      </c>
      <c r="U20" s="407"/>
      <c r="V20" s="426">
        <f t="shared" si="15"/>
        <v>388.15420028784996</v>
      </c>
      <c r="W20" s="407"/>
    </row>
    <row r="21" spans="1:23" ht="15.75">
      <c r="A21" s="315" t="s">
        <v>38</v>
      </c>
      <c r="B21" s="316">
        <f t="shared" si="3"/>
        <v>110.49723756906077</v>
      </c>
      <c r="C21" s="316">
        <f t="shared" si="4"/>
        <v>5.831312502901712</v>
      </c>
      <c r="D21" s="317">
        <f>VLOOKUP('Lot Runoff'!$E$10,Climate!$A$2:$AC$134,15)</f>
        <v>0.34</v>
      </c>
      <c r="E21" s="317">
        <f t="shared" si="5"/>
        <v>1.02</v>
      </c>
      <c r="F21" s="316">
        <f t="shared" si="6"/>
        <v>117.34855007196248</v>
      </c>
      <c r="G21" s="316">
        <f>VLOOKUP('Lot Runoff'!$E$10,Climate!$A$2:$AC$134,28)*$L$5</f>
        <v>3.2</v>
      </c>
      <c r="H21" s="316">
        <f t="shared" si="0"/>
        <v>9.600000000000001</v>
      </c>
      <c r="I21" s="316">
        <f t="shared" si="1"/>
        <v>107.74855007196248</v>
      </c>
      <c r="J21" s="816">
        <f t="shared" si="2"/>
      </c>
      <c r="K21" s="817"/>
      <c r="L21" s="388">
        <f t="shared" si="7"/>
        <v>0.8542456505576207</v>
      </c>
      <c r="N21" s="414">
        <f t="shared" si="8"/>
        <v>1080.3840507915875</v>
      </c>
      <c r="O21" s="415">
        <f t="shared" si="9"/>
        <v>2271.516651655137</v>
      </c>
      <c r="P21" s="416">
        <f t="shared" si="10"/>
        <v>3462.649252518687</v>
      </c>
      <c r="Q21" s="417">
        <f t="shared" si="11"/>
        <v>0</v>
      </c>
      <c r="R21" s="417">
        <f t="shared" si="12"/>
        <v>0</v>
      </c>
      <c r="S21" s="410">
        <f t="shared" si="13"/>
        <v>6817.5499549654105</v>
      </c>
      <c r="T21" s="408">
        <f t="shared" si="14"/>
        <v>210.48710014392498</v>
      </c>
      <c r="U21" s="407"/>
      <c r="V21" s="426">
        <f t="shared" si="15"/>
        <v>405.4642002878499</v>
      </c>
      <c r="W21" s="407"/>
    </row>
    <row r="22" spans="1:23" ht="15.75">
      <c r="A22" s="393" t="s">
        <v>39</v>
      </c>
      <c r="B22" s="394">
        <f t="shared" si="3"/>
        <v>110.49723756906077</v>
      </c>
      <c r="C22" s="394">
        <f t="shared" si="4"/>
        <v>5.831312502901712</v>
      </c>
      <c r="D22" s="495">
        <f>VLOOKUP('Lot Runoff'!$E$10,Climate!$A$2:$AC$134,16)</f>
        <v>0.54</v>
      </c>
      <c r="E22" s="317">
        <f t="shared" si="5"/>
        <v>1.62</v>
      </c>
      <c r="F22" s="433">
        <f t="shared" si="6"/>
        <v>117.94855007196249</v>
      </c>
      <c r="G22" s="433">
        <f>VLOOKUP('Lot Runoff'!$E$10,Climate!$A$2:$AC$134,29)*$L$5</f>
        <v>2.4</v>
      </c>
      <c r="H22" s="394">
        <f t="shared" si="0"/>
        <v>7.199999999999999</v>
      </c>
      <c r="I22" s="394">
        <f t="shared" si="1"/>
        <v>110.74855007196248</v>
      </c>
      <c r="J22" s="814">
        <f t="shared" si="2"/>
      </c>
      <c r="K22" s="815"/>
      <c r="L22" s="395">
        <f t="shared" si="7"/>
        <v>0.8542456505576207</v>
      </c>
      <c r="N22" s="414">
        <f t="shared" si="8"/>
        <v>1191.13260086355</v>
      </c>
      <c r="O22" s="415">
        <f t="shared" si="9"/>
        <v>2382.2652017271</v>
      </c>
      <c r="P22" s="416">
        <f t="shared" si="10"/>
        <v>3573.3978025906495</v>
      </c>
      <c r="Q22" s="417">
        <f t="shared" si="11"/>
        <v>0</v>
      </c>
      <c r="R22" s="417">
        <f t="shared" si="12"/>
        <v>0</v>
      </c>
      <c r="S22" s="410">
        <f t="shared" si="13"/>
        <v>7036.047055109337</v>
      </c>
      <c r="T22" s="408">
        <f t="shared" si="14"/>
        <v>218.49710014392497</v>
      </c>
      <c r="U22" s="407"/>
      <c r="V22" s="426">
        <f t="shared" si="15"/>
        <v>421.42420028784994</v>
      </c>
      <c r="W22" s="407"/>
    </row>
    <row r="23" spans="1:23" ht="15.75">
      <c r="A23" s="389" t="s">
        <v>530</v>
      </c>
      <c r="B23" s="396"/>
      <c r="C23" s="392" t="s">
        <v>531</v>
      </c>
      <c r="D23" s="391">
        <f>SUM(D11:D22)</f>
        <v>11.73</v>
      </c>
      <c r="E23" s="396"/>
      <c r="F23" s="396"/>
      <c r="G23" s="396"/>
      <c r="H23" s="392" t="s">
        <v>532</v>
      </c>
      <c r="I23" s="391">
        <f>IF(D6="Evaporative Pond","Evap",SUM(I11:I22))</f>
        <v>1191.13260086355</v>
      </c>
      <c r="J23" s="396"/>
      <c r="K23" s="679" t="s">
        <v>795</v>
      </c>
      <c r="L23" s="390">
        <f>SUM(L11:L22)</f>
        <v>10.250947806691448</v>
      </c>
      <c r="N23" s="406"/>
      <c r="O23" s="413"/>
      <c r="P23" s="413"/>
      <c r="Q23" s="295">
        <f>J22+J11</f>
        <v>0</v>
      </c>
      <c r="R23" s="295">
        <f>(J22+J11)/12</f>
        <v>0</v>
      </c>
      <c r="S23" s="418">
        <f>P22+P11</f>
        <v>6066.531554389712</v>
      </c>
      <c r="T23" s="409">
        <f>I22+I11</f>
        <v>221.61710014392497</v>
      </c>
      <c r="U23" s="407"/>
      <c r="V23" s="426">
        <f>SUM(I20:I22)+I11</f>
        <v>432.10420028784995</v>
      </c>
      <c r="W23" s="407"/>
    </row>
    <row r="24" spans="1:23" ht="17.25">
      <c r="A24" s="431" t="s">
        <v>550</v>
      </c>
      <c r="B24" s="318"/>
      <c r="C24" s="318"/>
      <c r="D24" s="318"/>
      <c r="E24" s="318"/>
      <c r="F24" s="318"/>
      <c r="G24" s="318"/>
      <c r="H24" s="152" t="s">
        <v>695</v>
      </c>
      <c r="I24" s="678">
        <f>IF(D6="Evaporative Pond","Evap",I23+L23)</f>
        <v>1201.3835486702415</v>
      </c>
      <c r="J24" s="542" t="s">
        <v>796</v>
      </c>
      <c r="K24" s="683">
        <f>IF(D6="Evaporative Pond","Evap",I24*27154.25)</f>
        <v>32622669.226478904</v>
      </c>
      <c r="L24" s="543" t="s">
        <v>696</v>
      </c>
      <c r="N24" s="406"/>
      <c r="O24" s="413"/>
      <c r="P24" s="419" t="s">
        <v>466</v>
      </c>
      <c r="Q24" s="417">
        <f>MAX(Q12:Q23)</f>
        <v>0</v>
      </c>
      <c r="R24" s="417">
        <f>MAX(R12:R23)</f>
        <v>0</v>
      </c>
      <c r="S24" s="410">
        <f>MAX(S12:S23)</f>
        <v>7036.047055109337</v>
      </c>
      <c r="T24" s="406">
        <f>MAX(T12:T23)</f>
        <v>221.61710014392497</v>
      </c>
      <c r="U24" s="407" t="s">
        <v>24</v>
      </c>
      <c r="V24" s="426">
        <f>SUM(I21:I22)+SUM(I11:I12)</f>
        <v>437.35420028784995</v>
      </c>
      <c r="W24" s="407"/>
    </row>
    <row r="25" spans="1:23" ht="15.75" customHeight="1">
      <c r="A25" s="822" t="s">
        <v>500</v>
      </c>
      <c r="B25" s="822"/>
      <c r="C25" s="823"/>
      <c r="D25" s="429">
        <f>IF(D6="60-day Storage",T25,"")</f>
        <v>18.468091678660414</v>
      </c>
      <c r="E25" s="323" t="str">
        <f>IF(D6="60-day Storage","ac ft    Required 60 day storage.","")</f>
        <v>ac ft    Required 60 day storage.</v>
      </c>
      <c r="F25" s="319"/>
      <c r="G25" s="319"/>
      <c r="H25" s="319"/>
      <c r="I25" s="320"/>
      <c r="J25" s="830" t="s">
        <v>551</v>
      </c>
      <c r="K25" s="831"/>
      <c r="L25" s="832"/>
      <c r="N25" s="411"/>
      <c r="O25" s="420"/>
      <c r="P25" s="421" t="s">
        <v>466</v>
      </c>
      <c r="Q25" s="420">
        <f>Q24/12*I6</f>
        <v>0</v>
      </c>
      <c r="R25" s="420">
        <f>R24*I6</f>
        <v>0</v>
      </c>
      <c r="S25" s="412">
        <f>S24/12</f>
        <v>586.3372545924448</v>
      </c>
      <c r="T25" s="411">
        <f>T24/12</f>
        <v>18.468091678660414</v>
      </c>
      <c r="U25" s="412" t="s">
        <v>467</v>
      </c>
      <c r="V25" s="426">
        <f>I22+SUM(I11:I13)</f>
        <v>428.26420028785</v>
      </c>
      <c r="W25" s="407"/>
    </row>
    <row r="26" spans="1:23" ht="16.5" customHeight="1">
      <c r="A26" s="824"/>
      <c r="B26" s="824"/>
      <c r="C26" s="825"/>
      <c r="D26" s="430">
        <f>IF(D6="Evaporative Pond",SPAW!D48,"")</f>
      </c>
      <c r="E26" s="318">
        <f>IF(D6="Evaporative Pond","ac ft    Require storage for Evaporative Pond.","")</f>
      </c>
      <c r="F26" s="318"/>
      <c r="G26" s="318"/>
      <c r="H26" s="318"/>
      <c r="I26" s="428"/>
      <c r="J26" s="826" t="s">
        <v>799</v>
      </c>
      <c r="K26" s="827"/>
      <c r="L26" s="432">
        <f>IF(D6="60-day Storage",T24/12/$I$6,"NA")</f>
        <v>6.1560305595534714</v>
      </c>
      <c r="V26" s="425">
        <f>MAX(V14:V25)</f>
        <v>437.35420028784995</v>
      </c>
      <c r="W26" s="407" t="s">
        <v>548</v>
      </c>
    </row>
    <row r="27" spans="1:23" ht="15.75">
      <c r="A27" s="824"/>
      <c r="B27" s="824"/>
      <c r="C27" s="825"/>
      <c r="D27" s="439">
        <f>IF(D6="120-day Storage",V27,"")</f>
      </c>
      <c r="E27" s="321">
        <f>IF(D6="120-day Storage","ac ft  Storage for 120-days","")</f>
      </c>
      <c r="F27" s="321"/>
      <c r="G27" s="321"/>
      <c r="H27" s="321"/>
      <c r="I27" s="322"/>
      <c r="J27" s="828" t="s">
        <v>800</v>
      </c>
      <c r="K27" s="829"/>
      <c r="L27" s="401" t="str">
        <f>IF(D6="120-day Storage",V26/12/$I$6,"NA")</f>
        <v>NA</v>
      </c>
      <c r="V27" s="427">
        <f>V26/12</f>
        <v>36.44618335732083</v>
      </c>
      <c r="W27" s="412" t="s">
        <v>361</v>
      </c>
    </row>
    <row r="28" spans="1:21" ht="15.75">
      <c r="A28"/>
      <c r="B28"/>
      <c r="C28"/>
      <c r="D28"/>
      <c r="E28" s="125"/>
      <c r="F28" s="125"/>
      <c r="G28" s="125"/>
      <c r="H28" s="125"/>
      <c r="I28" s="125"/>
      <c r="J28" s="125"/>
      <c r="K28" s="125"/>
      <c r="L28"/>
      <c r="M28"/>
      <c r="N28"/>
      <c r="O28"/>
      <c r="P28"/>
      <c r="Q28"/>
      <c r="R28"/>
      <c r="S28"/>
      <c r="T28"/>
      <c r="U28"/>
    </row>
    <row r="29" spans="1:21" ht="15.75">
      <c r="A29"/>
      <c r="B29"/>
      <c r="C29"/>
      <c r="D29"/>
      <c r="E29" s="125"/>
      <c r="F29" s="125"/>
      <c r="G29" s="125"/>
      <c r="H29" s="129"/>
      <c r="I29" s="125"/>
      <c r="J29" s="125"/>
      <c r="K29" s="125"/>
      <c r="L29"/>
      <c r="M29"/>
      <c r="N29"/>
      <c r="O29"/>
      <c r="P29"/>
      <c r="Q29"/>
      <c r="R29"/>
      <c r="S29"/>
      <c r="T29"/>
      <c r="U29"/>
    </row>
    <row r="30" spans="1:21" ht="15.75">
      <c r="A30" s="129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/>
      <c r="M30"/>
      <c r="N30"/>
      <c r="O30"/>
      <c r="P30"/>
      <c r="Q30"/>
      <c r="R30"/>
      <c r="S30"/>
      <c r="T30"/>
      <c r="U30"/>
    </row>
    <row r="31" spans="1:21" ht="15.75">
      <c r="A31" s="125" t="s">
        <v>373</v>
      </c>
      <c r="B31" s="125"/>
      <c r="C31" s="125"/>
      <c r="D31" s="125"/>
      <c r="E31" s="125"/>
      <c r="I31" s="125"/>
      <c r="J31" s="125"/>
      <c r="K31" s="125"/>
      <c r="L31"/>
      <c r="M31"/>
      <c r="N31"/>
      <c r="O31"/>
      <c r="P31"/>
      <c r="Q31"/>
      <c r="R31"/>
      <c r="S31"/>
      <c r="T31"/>
      <c r="U31"/>
    </row>
    <row r="32" spans="1:21" ht="15.75">
      <c r="A32" s="129" t="s">
        <v>543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/>
      <c r="M32"/>
      <c r="N32"/>
      <c r="O32"/>
      <c r="P32"/>
      <c r="Q32"/>
      <c r="R32"/>
      <c r="S32"/>
      <c r="T32"/>
      <c r="U32"/>
    </row>
    <row r="33" spans="1:21" ht="15.75">
      <c r="A33" s="129" t="s">
        <v>374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/>
      <c r="M33"/>
      <c r="N33"/>
      <c r="O33"/>
      <c r="P33"/>
      <c r="Q33"/>
      <c r="R33"/>
      <c r="S33"/>
      <c r="T33"/>
      <c r="U33"/>
    </row>
    <row r="34" spans="1:21" ht="15.75">
      <c r="A34" s="129" t="s">
        <v>794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.75">
      <c r="A35" s="129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5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5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5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</sheetData>
  <sheetProtection password="CCF6" sheet="1" objects="1" scenarios="1"/>
  <mergeCells count="44">
    <mergeCell ref="I5:K5"/>
    <mergeCell ref="J7:K9"/>
    <mergeCell ref="G4:H4"/>
    <mergeCell ref="G7:G9"/>
    <mergeCell ref="I3:L4"/>
    <mergeCell ref="D5:H5"/>
    <mergeCell ref="D6:E6"/>
    <mergeCell ref="C4:E4"/>
    <mergeCell ref="L7:L9"/>
    <mergeCell ref="A1:L1"/>
    <mergeCell ref="A3:B3"/>
    <mergeCell ref="C3:D3"/>
    <mergeCell ref="G3:H3"/>
    <mergeCell ref="A7:A10"/>
    <mergeCell ref="H7:H9"/>
    <mergeCell ref="I7:I9"/>
    <mergeCell ref="B7:B9"/>
    <mergeCell ref="D7:D9"/>
    <mergeCell ref="E7:E9"/>
    <mergeCell ref="F7:F9"/>
    <mergeCell ref="C7:C9"/>
    <mergeCell ref="T8:U8"/>
    <mergeCell ref="T9:U9"/>
    <mergeCell ref="T10:U10"/>
    <mergeCell ref="V9:W9"/>
    <mergeCell ref="V10:W10"/>
    <mergeCell ref="V8:W8"/>
    <mergeCell ref="A25:C27"/>
    <mergeCell ref="J26:K26"/>
    <mergeCell ref="J27:K27"/>
    <mergeCell ref="J25:L25"/>
    <mergeCell ref="J10:K10"/>
    <mergeCell ref="J11:K11"/>
    <mergeCell ref="J12:K12"/>
    <mergeCell ref="J13:K13"/>
    <mergeCell ref="J14:K14"/>
    <mergeCell ref="J15:K15"/>
    <mergeCell ref="J16:K16"/>
    <mergeCell ref="J17:K17"/>
    <mergeCell ref="J22:K22"/>
    <mergeCell ref="J18:K18"/>
    <mergeCell ref="J19:K19"/>
    <mergeCell ref="J20:K20"/>
    <mergeCell ref="J21:K21"/>
  </mergeCells>
  <dataValidations count="1">
    <dataValidation type="list" allowBlank="1" showInputMessage="1" showErrorMessage="1" sqref="D6:E6">
      <formula1>$A$32:$A$35</formula1>
    </dataValidation>
  </dataValidations>
  <printOptions horizontalCentered="1"/>
  <pageMargins left="0.5" right="0.5" top="1.19" bottom="0.483" header="0.24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9"/>
  <sheetViews>
    <sheetView workbookViewId="0" topLeftCell="A37">
      <selection activeCell="A49" sqref="A49:G49"/>
    </sheetView>
  </sheetViews>
  <sheetFormatPr defaultColWidth="9.140625" defaultRowHeight="12.75"/>
  <cols>
    <col min="1" max="1" width="13.8515625" style="0" customWidth="1"/>
    <col min="2" max="2" width="13.00390625" style="0" customWidth="1"/>
    <col min="3" max="3" width="12.7109375" style="0" bestFit="1" customWidth="1"/>
    <col min="4" max="4" width="14.421875" style="0" customWidth="1"/>
    <col min="5" max="5" width="11.7109375" style="0" customWidth="1"/>
    <col min="6" max="6" width="12.00390625" style="0" customWidth="1"/>
    <col min="7" max="7" width="11.57421875" style="0" customWidth="1"/>
  </cols>
  <sheetData>
    <row r="1" spans="1:7" ht="18">
      <c r="A1" s="559" t="s">
        <v>706</v>
      </c>
      <c r="B1" s="560"/>
      <c r="C1" s="560"/>
      <c r="D1" s="560"/>
      <c r="E1" s="560"/>
      <c r="F1" s="560"/>
      <c r="G1" s="561"/>
    </row>
    <row r="2" spans="1:7" ht="18">
      <c r="A2" s="562" t="s">
        <v>102</v>
      </c>
      <c r="B2" s="563"/>
      <c r="C2" s="563"/>
      <c r="D2" s="563"/>
      <c r="E2" s="563"/>
      <c r="F2" s="564" t="str">
        <f>'Planning Data'!F2</f>
        <v>Version 2.7  (2/22/08)</v>
      </c>
      <c r="G2" s="565"/>
    </row>
    <row r="3" spans="1:7" ht="14.25">
      <c r="A3" s="586" t="s">
        <v>47</v>
      </c>
      <c r="B3" s="875" t="str">
        <f>'Planning Data'!C3</f>
        <v>Super Cow Dairy</v>
      </c>
      <c r="C3" s="875"/>
      <c r="D3" s="587" t="s">
        <v>713</v>
      </c>
      <c r="E3" s="875" t="str">
        <f>'Planning Data'!G4</f>
        <v>R White</v>
      </c>
      <c r="F3" s="875"/>
      <c r="G3" s="588" t="str">
        <f>'Planning Data'!K4</f>
        <v>9/25/08</v>
      </c>
    </row>
    <row r="4" spans="1:9" ht="14.25">
      <c r="A4" s="589" t="s">
        <v>728</v>
      </c>
      <c r="B4" s="879"/>
      <c r="C4" s="880"/>
      <c r="D4" s="590" t="s">
        <v>727</v>
      </c>
      <c r="E4" s="879"/>
      <c r="F4" s="880"/>
      <c r="G4" s="591"/>
      <c r="I4" s="635"/>
    </row>
    <row r="5" spans="1:9" ht="15">
      <c r="A5" s="566" t="s">
        <v>761</v>
      </c>
      <c r="B5" s="567"/>
      <c r="C5" s="567"/>
      <c r="D5" s="567"/>
      <c r="E5" s="567"/>
      <c r="F5" s="567"/>
      <c r="G5" s="568"/>
      <c r="I5" s="635"/>
    </row>
    <row r="6" spans="1:9" ht="14.25">
      <c r="A6" s="881" t="s">
        <v>762</v>
      </c>
      <c r="B6" s="882"/>
      <c r="C6" s="641">
        <f>'Pond Vol'!I6</f>
        <v>3</v>
      </c>
      <c r="D6" s="637" t="s">
        <v>763</v>
      </c>
      <c r="E6" s="638"/>
      <c r="F6" s="638"/>
      <c r="G6" s="591"/>
      <c r="I6" s="635"/>
    </row>
    <row r="7" spans="1:7" ht="15">
      <c r="A7" s="566" t="s">
        <v>726</v>
      </c>
      <c r="B7" s="567"/>
      <c r="C7" s="567"/>
      <c r="D7" s="567"/>
      <c r="E7" s="567"/>
      <c r="F7" s="567"/>
      <c r="G7" s="568"/>
    </row>
    <row r="8" spans="1:7" ht="14.25">
      <c r="A8" s="876" t="s">
        <v>718</v>
      </c>
      <c r="B8" s="877"/>
      <c r="C8" s="877"/>
      <c r="D8" s="708">
        <f>'Planning Data'!I27/30/24/60</f>
        <v>69.44444444444444</v>
      </c>
      <c r="E8" s="578" t="s">
        <v>705</v>
      </c>
      <c r="F8" s="909" t="str">
        <f>IF('Pond Vol'!D6="Evaporative Pond","","Do not use this sheet for storate ponds!")</f>
        <v>Do not use this sheet for storate ponds!</v>
      </c>
      <c r="G8" s="910"/>
    </row>
    <row r="9" spans="1:7" ht="14.25">
      <c r="A9" s="876" t="s">
        <v>719</v>
      </c>
      <c r="B9" s="877"/>
      <c r="C9" s="877"/>
      <c r="D9" s="709">
        <f>'Planning Data'!I33/30/24/60</f>
        <v>3.6648179271708674</v>
      </c>
      <c r="E9" s="578" t="s">
        <v>705</v>
      </c>
      <c r="F9" s="744"/>
      <c r="G9" s="745"/>
    </row>
    <row r="10" spans="1:7" ht="14.25">
      <c r="A10" s="876" t="s">
        <v>720</v>
      </c>
      <c r="B10" s="877"/>
      <c r="C10" s="878"/>
      <c r="D10" s="710">
        <f>'Planning Data'!E11/24/60</f>
        <v>0</v>
      </c>
      <c r="E10" s="578" t="s">
        <v>705</v>
      </c>
      <c r="F10" s="744"/>
      <c r="G10" s="745"/>
    </row>
    <row r="11" spans="1:7" ht="14.25">
      <c r="A11" s="876" t="s">
        <v>722</v>
      </c>
      <c r="B11" s="877"/>
      <c r="C11" s="877"/>
      <c r="D11" s="710">
        <f>'Planning Data'!I44/30/24/60</f>
        <v>0</v>
      </c>
      <c r="E11" s="578" t="s">
        <v>705</v>
      </c>
      <c r="F11" s="744"/>
      <c r="G11" s="745"/>
    </row>
    <row r="12" spans="1:7" ht="15">
      <c r="A12" s="580"/>
      <c r="B12" s="581"/>
      <c r="C12" s="582" t="s">
        <v>73</v>
      </c>
      <c r="D12" s="711">
        <f>SUM(D8:D11)</f>
        <v>73.10926237161532</v>
      </c>
      <c r="E12" s="907" t="s">
        <v>721</v>
      </c>
      <c r="F12" s="908"/>
      <c r="G12" s="583"/>
    </row>
    <row r="13" spans="1:7" ht="15">
      <c r="A13" s="566" t="s">
        <v>729</v>
      </c>
      <c r="B13" s="567"/>
      <c r="C13" s="567"/>
      <c r="D13" s="567"/>
      <c r="E13" s="567"/>
      <c r="F13" s="567"/>
      <c r="G13" s="568"/>
    </row>
    <row r="14" spans="1:7" ht="16.5" customHeight="1">
      <c r="A14" s="895" t="s">
        <v>731</v>
      </c>
      <c r="B14" s="896"/>
      <c r="C14" s="901" t="str">
        <f>'Lot Runoff'!E10</f>
        <v>Chaves, BITTER LAKES WL REFUGE  NM0992</v>
      </c>
      <c r="D14" s="902"/>
      <c r="E14" s="903"/>
      <c r="F14" s="640"/>
      <c r="G14" s="639"/>
    </row>
    <row r="15" spans="1:7" ht="18" customHeight="1">
      <c r="A15" s="895" t="s">
        <v>764</v>
      </c>
      <c r="B15" s="896"/>
      <c r="C15" s="598">
        <f>'Lot Runoff'!F25</f>
        <v>4.26</v>
      </c>
      <c r="D15" s="911" t="s">
        <v>765</v>
      </c>
      <c r="E15" s="911"/>
      <c r="G15" s="579"/>
    </row>
    <row r="16" spans="1:7" ht="14.25">
      <c r="A16" s="895" t="s">
        <v>747</v>
      </c>
      <c r="B16" s="896"/>
      <c r="C16" s="904" t="s">
        <v>814</v>
      </c>
      <c r="D16" s="905"/>
      <c r="E16" s="905"/>
      <c r="F16" s="906"/>
      <c r="G16" s="705"/>
    </row>
    <row r="17" spans="1:7" ht="15">
      <c r="A17" s="592" t="s">
        <v>732</v>
      </c>
      <c r="B17" s="592" t="s">
        <v>733</v>
      </c>
      <c r="C17" s="592" t="s">
        <v>732</v>
      </c>
      <c r="D17" s="636" t="s">
        <v>733</v>
      </c>
      <c r="E17" s="592" t="s">
        <v>732</v>
      </c>
      <c r="F17" s="592" t="s">
        <v>733</v>
      </c>
      <c r="G17" s="579"/>
    </row>
    <row r="18" spans="1:7" ht="14.25">
      <c r="A18" s="593" t="s">
        <v>734</v>
      </c>
      <c r="B18" s="602">
        <f>VLOOKUP($C$16,Climate!$A$2:$AC$134,18)</f>
        <v>0.03</v>
      </c>
      <c r="C18" s="594" t="s">
        <v>738</v>
      </c>
      <c r="D18" s="602">
        <f>VLOOKUP($C$16,Climate!$A$2:$AC$134,22)</f>
        <v>0.13</v>
      </c>
      <c r="E18" s="595" t="s">
        <v>742</v>
      </c>
      <c r="F18" s="602">
        <f>VLOOKUP($C$16,Climate!$A$2:$AC$134,26)</f>
        <v>0.09</v>
      </c>
      <c r="G18" s="579"/>
    </row>
    <row r="19" spans="1:7" ht="14.25">
      <c r="A19" s="596" t="s">
        <v>735</v>
      </c>
      <c r="B19" s="603">
        <f>VLOOKUP($C$16,Climate!$A$2:$AC$134,19)</f>
        <v>0.04</v>
      </c>
      <c r="C19" s="597" t="s">
        <v>739</v>
      </c>
      <c r="D19" s="603">
        <f>VLOOKUP($C$16,Climate!$A$2:$AC$134,23)</f>
        <v>0.14</v>
      </c>
      <c r="E19" s="598" t="s">
        <v>743</v>
      </c>
      <c r="F19" s="603">
        <f>VLOOKUP($C$16,Climate!$A$2:$AC$134,27)</f>
        <v>0.07</v>
      </c>
      <c r="G19" s="579"/>
    </row>
    <row r="20" spans="1:7" ht="14.25">
      <c r="A20" s="596" t="s">
        <v>736</v>
      </c>
      <c r="B20" s="603">
        <f>VLOOKUP($C$16,Climate!$A$2:$AC$134,20)</f>
        <v>0.08</v>
      </c>
      <c r="C20" s="597" t="s">
        <v>740</v>
      </c>
      <c r="D20" s="603">
        <f>VLOOKUP($C$16,Climate!$A$2:$AC$134,24)</f>
        <v>0.13</v>
      </c>
      <c r="E20" s="598" t="s">
        <v>744</v>
      </c>
      <c r="F20" s="603">
        <f>VLOOKUP($C$16,Climate!$A$2:$AC$134,28)</f>
        <v>0.04</v>
      </c>
      <c r="G20" s="579"/>
    </row>
    <row r="21" spans="1:7" ht="14.25">
      <c r="A21" s="599" t="s">
        <v>737</v>
      </c>
      <c r="B21" s="604">
        <f>VLOOKUP($C$16,Climate!$A$2:$AC$134,21)</f>
        <v>0.11</v>
      </c>
      <c r="C21" s="600" t="s">
        <v>741</v>
      </c>
      <c r="D21" s="604">
        <f>VLOOKUP($C$16,Climate!$A$2:$AC$134,25)</f>
        <v>0.11</v>
      </c>
      <c r="E21" s="601" t="s">
        <v>745</v>
      </c>
      <c r="F21" s="604">
        <f>VLOOKUP($C$16,Climate!$A$2:$AC$134,29)</f>
        <v>0.03</v>
      </c>
      <c r="G21" s="579"/>
    </row>
    <row r="22" spans="1:7" ht="15">
      <c r="A22" s="885" t="s">
        <v>709</v>
      </c>
      <c r="B22" s="886"/>
      <c r="C22" s="886"/>
      <c r="D22" s="886"/>
      <c r="E22" s="886"/>
      <c r="F22" s="886"/>
      <c r="G22" s="887"/>
    </row>
    <row r="23" spans="1:7" ht="14.25">
      <c r="A23" s="867" t="s">
        <v>715</v>
      </c>
      <c r="B23" s="868"/>
      <c r="C23" s="868"/>
      <c r="D23" s="888"/>
      <c r="E23" s="889"/>
      <c r="F23" s="890"/>
      <c r="G23" s="572"/>
    </row>
    <row r="24" spans="1:7" ht="14.25">
      <c r="A24" s="573"/>
      <c r="B24" s="574"/>
      <c r="C24" s="569" t="s">
        <v>707</v>
      </c>
      <c r="D24" s="585">
        <v>3</v>
      </c>
      <c r="E24" s="570" t="s">
        <v>760</v>
      </c>
      <c r="F24" s="570"/>
      <c r="G24" s="571"/>
    </row>
    <row r="25" spans="1:7" ht="14.25">
      <c r="A25" s="867" t="s">
        <v>714</v>
      </c>
      <c r="B25" s="868"/>
      <c r="C25" s="891"/>
      <c r="D25" s="575">
        <f>'Lot Runoff'!J22</f>
        <v>90</v>
      </c>
      <c r="E25" s="576" t="s">
        <v>716</v>
      </c>
      <c r="F25" s="576"/>
      <c r="G25" s="571"/>
    </row>
    <row r="26" spans="1:7" ht="14.25">
      <c r="A26" s="867" t="s">
        <v>708</v>
      </c>
      <c r="B26" s="868"/>
      <c r="C26" s="868"/>
      <c r="D26" s="577">
        <f>'Lot Runoff'!D22</f>
        <v>28</v>
      </c>
      <c r="E26" s="570" t="s">
        <v>717</v>
      </c>
      <c r="F26" s="570"/>
      <c r="G26" s="571"/>
    </row>
    <row r="27" spans="1:7" ht="15" customHeight="1">
      <c r="A27" s="872" t="s">
        <v>704</v>
      </c>
      <c r="B27" s="873"/>
      <c r="C27" s="873"/>
      <c r="D27" s="873"/>
      <c r="E27" s="873"/>
      <c r="F27" s="873"/>
      <c r="G27" s="874"/>
    </row>
    <row r="28" spans="1:7" ht="34.5" customHeight="1">
      <c r="A28" s="605"/>
      <c r="B28" s="592" t="s">
        <v>710</v>
      </c>
      <c r="C28" s="607" t="s">
        <v>723</v>
      </c>
      <c r="D28" s="607" t="s">
        <v>724</v>
      </c>
      <c r="E28" s="592" t="s">
        <v>711</v>
      </c>
      <c r="F28" s="897" t="s">
        <v>725</v>
      </c>
      <c r="G28" s="898"/>
    </row>
    <row r="29" spans="1:7" ht="14.25">
      <c r="A29" s="606"/>
      <c r="B29" s="551">
        <v>0</v>
      </c>
      <c r="C29" s="552">
        <f>'Pond Vol'!I6</f>
        <v>3</v>
      </c>
      <c r="D29" s="553">
        <f>C29*43560</f>
        <v>130680</v>
      </c>
      <c r="E29" s="554">
        <f>D29^0.5</f>
        <v>361.4968879534096</v>
      </c>
      <c r="F29" s="899"/>
      <c r="G29" s="900"/>
    </row>
    <row r="30" spans="1:7" ht="14.25">
      <c r="A30" s="606"/>
      <c r="B30" s="555">
        <f>1+B29</f>
        <v>1</v>
      </c>
      <c r="C30" s="556">
        <f>D30/43560</f>
        <v>3.100412365827385</v>
      </c>
      <c r="D30" s="557">
        <f>E30^2</f>
        <v>135053.9626554409</v>
      </c>
      <c r="E30" s="558">
        <f aca="true" t="shared" si="0" ref="E30:E45">E29+(B30-B29)*$D$24*2</f>
        <v>367.4968879534096</v>
      </c>
      <c r="F30" s="899"/>
      <c r="G30" s="900"/>
    </row>
    <row r="31" spans="1:7" ht="14.25">
      <c r="A31" s="606"/>
      <c r="B31" s="555">
        <f aca="true" t="shared" si="1" ref="B31:B45">1+B30</f>
        <v>2</v>
      </c>
      <c r="C31" s="556">
        <f aca="true" t="shared" si="2" ref="C31:C45">D31/43560</f>
        <v>3.2024776242167543</v>
      </c>
      <c r="D31" s="557">
        <f aca="true" t="shared" si="3" ref="D31:D45">E31^2</f>
        <v>139499.9253108818</v>
      </c>
      <c r="E31" s="558">
        <f t="shared" si="0"/>
        <v>373.4968879534096</v>
      </c>
      <c r="F31" s="899"/>
      <c r="G31" s="900"/>
    </row>
    <row r="32" spans="1:7" ht="14.25">
      <c r="A32" s="606"/>
      <c r="B32" s="555">
        <f t="shared" si="1"/>
        <v>3</v>
      </c>
      <c r="C32" s="556">
        <f t="shared" si="2"/>
        <v>3.306195775168107</v>
      </c>
      <c r="D32" s="557">
        <f t="shared" si="3"/>
        <v>144017.88796632274</v>
      </c>
      <c r="E32" s="558">
        <f t="shared" si="0"/>
        <v>379.4968879534096</v>
      </c>
      <c r="F32" s="899"/>
      <c r="G32" s="900"/>
    </row>
    <row r="33" spans="1:7" ht="14.25">
      <c r="A33" s="606"/>
      <c r="B33" s="555">
        <f t="shared" si="1"/>
        <v>4</v>
      </c>
      <c r="C33" s="556">
        <f t="shared" si="2"/>
        <v>3.4115668186814427</v>
      </c>
      <c r="D33" s="557">
        <f t="shared" si="3"/>
        <v>148607.85062176365</v>
      </c>
      <c r="E33" s="558">
        <f t="shared" si="0"/>
        <v>385.4968879534096</v>
      </c>
      <c r="F33" s="899"/>
      <c r="G33" s="900"/>
    </row>
    <row r="34" spans="1:7" ht="14.25">
      <c r="A34" s="606"/>
      <c r="B34" s="555">
        <f t="shared" si="1"/>
        <v>5</v>
      </c>
      <c r="C34" s="556">
        <f t="shared" si="2"/>
        <v>3.518590754756762</v>
      </c>
      <c r="D34" s="557">
        <f t="shared" si="3"/>
        <v>153269.81327720455</v>
      </c>
      <c r="E34" s="558">
        <f t="shared" si="0"/>
        <v>391.4968879534096</v>
      </c>
      <c r="F34" s="899"/>
      <c r="G34" s="900"/>
    </row>
    <row r="35" spans="1:7" ht="14.25">
      <c r="A35" s="606"/>
      <c r="B35" s="555">
        <f t="shared" si="1"/>
        <v>6</v>
      </c>
      <c r="C35" s="556">
        <f t="shared" si="2"/>
        <v>3.6272675833940653</v>
      </c>
      <c r="D35" s="557">
        <f t="shared" si="3"/>
        <v>158003.77593264548</v>
      </c>
      <c r="E35" s="558">
        <f t="shared" si="0"/>
        <v>397.4968879534096</v>
      </c>
      <c r="F35" s="899"/>
      <c r="G35" s="900"/>
    </row>
    <row r="36" spans="1:7" ht="14.25">
      <c r="A36" s="606"/>
      <c r="B36" s="555">
        <f t="shared" si="1"/>
        <v>7</v>
      </c>
      <c r="C36" s="556">
        <f t="shared" si="2"/>
        <v>3.7375973045933515</v>
      </c>
      <c r="D36" s="557">
        <f t="shared" si="3"/>
        <v>162809.7385880864</v>
      </c>
      <c r="E36" s="558">
        <f t="shared" si="0"/>
        <v>403.4968879534096</v>
      </c>
      <c r="F36" s="899"/>
      <c r="G36" s="900"/>
    </row>
    <row r="37" spans="1:7" ht="14.25">
      <c r="A37" s="606"/>
      <c r="B37" s="555">
        <f t="shared" si="1"/>
        <v>8</v>
      </c>
      <c r="C37" s="556">
        <f t="shared" si="2"/>
        <v>3.849579918354621</v>
      </c>
      <c r="D37" s="557">
        <f t="shared" si="3"/>
        <v>167687.7012435273</v>
      </c>
      <c r="E37" s="558">
        <f t="shared" si="0"/>
        <v>409.4968879534096</v>
      </c>
      <c r="F37" s="899"/>
      <c r="G37" s="900"/>
    </row>
    <row r="38" spans="1:7" ht="14.25">
      <c r="A38" s="606"/>
      <c r="B38" s="555">
        <f t="shared" si="1"/>
        <v>9</v>
      </c>
      <c r="C38" s="556">
        <f t="shared" si="2"/>
        <v>3.9632154246778746</v>
      </c>
      <c r="D38" s="557">
        <f t="shared" si="3"/>
        <v>172637.66389896823</v>
      </c>
      <c r="E38" s="558">
        <f t="shared" si="0"/>
        <v>415.4968879534096</v>
      </c>
      <c r="F38" s="899"/>
      <c r="G38" s="900"/>
    </row>
    <row r="39" spans="1:7" ht="14.25">
      <c r="A39" s="606"/>
      <c r="B39" s="555">
        <f t="shared" si="1"/>
        <v>10</v>
      </c>
      <c r="C39" s="556">
        <f t="shared" si="2"/>
        <v>4.0785038235631115</v>
      </c>
      <c r="D39" s="557">
        <f t="shared" si="3"/>
        <v>177659.62655440913</v>
      </c>
      <c r="E39" s="558">
        <f t="shared" si="0"/>
        <v>421.4968879534096</v>
      </c>
      <c r="F39" s="899"/>
      <c r="G39" s="900"/>
    </row>
    <row r="40" spans="1:7" ht="14.25">
      <c r="A40" s="606"/>
      <c r="B40" s="555">
        <f t="shared" si="1"/>
        <v>11</v>
      </c>
      <c r="C40" s="556">
        <f t="shared" si="2"/>
        <v>4.195445115010332</v>
      </c>
      <c r="D40" s="557">
        <f t="shared" si="3"/>
        <v>182753.58920985006</v>
      </c>
      <c r="E40" s="558">
        <f t="shared" si="0"/>
        <v>427.4968879534096</v>
      </c>
      <c r="F40" s="899"/>
      <c r="G40" s="900"/>
    </row>
    <row r="41" spans="1:7" ht="14.25">
      <c r="A41" s="606"/>
      <c r="B41" s="555">
        <f t="shared" si="1"/>
        <v>12</v>
      </c>
      <c r="C41" s="556">
        <f t="shared" si="2"/>
        <v>4.3140392990195355</v>
      </c>
      <c r="D41" s="557">
        <f t="shared" si="3"/>
        <v>187919.55186529097</v>
      </c>
      <c r="E41" s="558">
        <f t="shared" si="0"/>
        <v>433.4968879534096</v>
      </c>
      <c r="F41" s="899"/>
      <c r="G41" s="900"/>
    </row>
    <row r="42" spans="1:7" ht="14.25">
      <c r="A42" s="606"/>
      <c r="B42" s="555">
        <f t="shared" si="1"/>
        <v>13</v>
      </c>
      <c r="C42" s="556">
        <f t="shared" si="2"/>
        <v>4.434286375590722</v>
      </c>
      <c r="D42" s="557">
        <f t="shared" si="3"/>
        <v>193157.51452073187</v>
      </c>
      <c r="E42" s="558">
        <f t="shared" si="0"/>
        <v>439.4968879534096</v>
      </c>
      <c r="F42" s="899"/>
      <c r="G42" s="900"/>
    </row>
    <row r="43" spans="1:7" ht="14.25">
      <c r="A43" s="606"/>
      <c r="B43" s="555">
        <f t="shared" si="1"/>
        <v>14</v>
      </c>
      <c r="C43" s="556">
        <f t="shared" si="2"/>
        <v>4.556186344723893</v>
      </c>
      <c r="D43" s="557">
        <f t="shared" si="3"/>
        <v>198467.4771761728</v>
      </c>
      <c r="E43" s="558">
        <f t="shared" si="0"/>
        <v>445.4968879534096</v>
      </c>
      <c r="F43" s="899"/>
      <c r="G43" s="900"/>
    </row>
    <row r="44" spans="1:7" ht="14.25">
      <c r="A44" s="606"/>
      <c r="B44" s="555">
        <f t="shared" si="1"/>
        <v>15</v>
      </c>
      <c r="C44" s="556">
        <f t="shared" si="2"/>
        <v>4.679739206419048</v>
      </c>
      <c r="D44" s="557">
        <f t="shared" si="3"/>
        <v>203849.4398316137</v>
      </c>
      <c r="E44" s="558">
        <f t="shared" si="0"/>
        <v>451.4968879534096</v>
      </c>
      <c r="F44" s="899"/>
      <c r="G44" s="900"/>
    </row>
    <row r="45" spans="1:7" ht="14.25">
      <c r="A45" s="606"/>
      <c r="B45" s="555">
        <f t="shared" si="1"/>
        <v>16</v>
      </c>
      <c r="C45" s="556">
        <f t="shared" si="2"/>
        <v>4.804944960676186</v>
      </c>
      <c r="D45" s="557">
        <f t="shared" si="3"/>
        <v>209303.40248705464</v>
      </c>
      <c r="E45" s="558">
        <f t="shared" si="0"/>
        <v>457.4968879534096</v>
      </c>
      <c r="F45" s="899"/>
      <c r="G45" s="900"/>
    </row>
    <row r="46" spans="1:7" ht="14.25">
      <c r="A46" s="606"/>
      <c r="B46" s="608">
        <f>1+B45</f>
        <v>17</v>
      </c>
      <c r="C46" s="609">
        <f>D46/43560</f>
        <v>4.931803607495306</v>
      </c>
      <c r="D46" s="610">
        <f>E46^2</f>
        <v>214829.36514249555</v>
      </c>
      <c r="E46" s="611">
        <f>E45+(B46-B45)*$D$24*2</f>
        <v>463.4968879534096</v>
      </c>
      <c r="F46" s="899"/>
      <c r="G46" s="900"/>
    </row>
    <row r="47" spans="1:7" ht="15">
      <c r="A47" s="872" t="s">
        <v>798</v>
      </c>
      <c r="B47" s="873"/>
      <c r="C47" s="873"/>
      <c r="D47" s="873"/>
      <c r="E47" s="873"/>
      <c r="F47" s="873"/>
      <c r="G47" s="874"/>
    </row>
    <row r="48" spans="1:7" ht="21" customHeight="1">
      <c r="A48" s="883" t="s">
        <v>797</v>
      </c>
      <c r="B48" s="884"/>
      <c r="C48" s="884"/>
      <c r="D48" s="704">
        <v>56</v>
      </c>
      <c r="E48" s="680" t="s">
        <v>361</v>
      </c>
      <c r="F48" s="681"/>
      <c r="G48" s="682"/>
    </row>
    <row r="49" spans="1:7" ht="15" customHeight="1">
      <c r="A49" s="872" t="s">
        <v>712</v>
      </c>
      <c r="B49" s="873"/>
      <c r="C49" s="873"/>
      <c r="D49" s="873"/>
      <c r="E49" s="873"/>
      <c r="F49" s="873"/>
      <c r="G49" s="874"/>
    </row>
    <row r="50" spans="1:7" ht="40.5" customHeight="1">
      <c r="A50" s="892" t="s">
        <v>766</v>
      </c>
      <c r="B50" s="893"/>
      <c r="C50" s="893"/>
      <c r="D50" s="893"/>
      <c r="E50" s="893"/>
      <c r="F50" s="893"/>
      <c r="G50" s="894"/>
    </row>
    <row r="51" spans="1:7" ht="38.25" customHeight="1">
      <c r="A51" s="864" t="s">
        <v>767</v>
      </c>
      <c r="B51" s="865"/>
      <c r="C51" s="865"/>
      <c r="D51" s="865"/>
      <c r="E51" s="865"/>
      <c r="F51" s="865"/>
      <c r="G51" s="866"/>
    </row>
    <row r="52" spans="1:7" ht="42.75" customHeight="1">
      <c r="A52" s="864" t="s">
        <v>749</v>
      </c>
      <c r="B52" s="865"/>
      <c r="C52" s="865"/>
      <c r="D52" s="865"/>
      <c r="E52" s="865"/>
      <c r="F52" s="865"/>
      <c r="G52" s="866"/>
    </row>
    <row r="53" spans="1:7" ht="62.25" customHeight="1">
      <c r="A53" s="864" t="s">
        <v>750</v>
      </c>
      <c r="B53" s="865"/>
      <c r="C53" s="865"/>
      <c r="D53" s="865"/>
      <c r="E53" s="865"/>
      <c r="F53" s="865"/>
      <c r="G53" s="866"/>
    </row>
    <row r="54" spans="1:7" ht="29.25" customHeight="1">
      <c r="A54" s="864" t="s">
        <v>757</v>
      </c>
      <c r="B54" s="865"/>
      <c r="C54" s="865"/>
      <c r="D54" s="865"/>
      <c r="E54" s="865"/>
      <c r="F54" s="865"/>
      <c r="G54" s="866"/>
    </row>
    <row r="55" spans="1:7" ht="20.25" customHeight="1">
      <c r="A55" s="864" t="s">
        <v>751</v>
      </c>
      <c r="B55" s="865"/>
      <c r="C55" s="865"/>
      <c r="D55" s="865"/>
      <c r="E55" s="865"/>
      <c r="F55" s="865"/>
      <c r="G55" s="866"/>
    </row>
    <row r="56" spans="1:7" ht="31.5" customHeight="1">
      <c r="A56" s="864" t="s">
        <v>752</v>
      </c>
      <c r="B56" s="865"/>
      <c r="C56" s="865"/>
      <c r="D56" s="865"/>
      <c r="E56" s="865"/>
      <c r="F56" s="865"/>
      <c r="G56" s="866"/>
    </row>
    <row r="57" spans="1:7" ht="57" customHeight="1">
      <c r="A57" s="864" t="s">
        <v>753</v>
      </c>
      <c r="B57" s="865"/>
      <c r="C57" s="865"/>
      <c r="D57" s="865"/>
      <c r="E57" s="865"/>
      <c r="F57" s="865"/>
      <c r="G57" s="866"/>
    </row>
    <row r="58" spans="1:7" ht="27.75" customHeight="1">
      <c r="A58" s="864" t="s">
        <v>758</v>
      </c>
      <c r="B58" s="865"/>
      <c r="C58" s="865"/>
      <c r="D58" s="865"/>
      <c r="E58" s="865"/>
      <c r="F58" s="865"/>
      <c r="G58" s="866"/>
    </row>
    <row r="59" spans="1:7" ht="41.25" customHeight="1">
      <c r="A59" s="864" t="s">
        <v>754</v>
      </c>
      <c r="B59" s="865"/>
      <c r="C59" s="865"/>
      <c r="D59" s="865"/>
      <c r="E59" s="865"/>
      <c r="F59" s="865"/>
      <c r="G59" s="866"/>
    </row>
    <row r="60" spans="1:7" ht="29.25" customHeight="1">
      <c r="A60" s="864" t="s">
        <v>759</v>
      </c>
      <c r="B60" s="865"/>
      <c r="C60" s="865"/>
      <c r="D60" s="865"/>
      <c r="E60" s="865"/>
      <c r="F60" s="865"/>
      <c r="G60" s="866"/>
    </row>
    <row r="61" spans="1:7" ht="27" customHeight="1">
      <c r="A61" s="864" t="s">
        <v>755</v>
      </c>
      <c r="B61" s="865"/>
      <c r="C61" s="865"/>
      <c r="D61" s="865"/>
      <c r="E61" s="865"/>
      <c r="F61" s="865"/>
      <c r="G61" s="866"/>
    </row>
    <row r="62" spans="1:7" ht="27" customHeight="1">
      <c r="A62" s="864" t="s">
        <v>756</v>
      </c>
      <c r="B62" s="865"/>
      <c r="C62" s="865"/>
      <c r="D62" s="865"/>
      <c r="E62" s="865"/>
      <c r="F62" s="865"/>
      <c r="G62" s="866"/>
    </row>
    <row r="63" spans="1:7" ht="15.75" customHeight="1">
      <c r="A63" s="872" t="s">
        <v>746</v>
      </c>
      <c r="B63" s="873"/>
      <c r="C63" s="873"/>
      <c r="D63" s="873"/>
      <c r="E63" s="873"/>
      <c r="F63" s="873"/>
      <c r="G63" s="874"/>
    </row>
    <row r="64" spans="1:7" ht="49.5" customHeight="1">
      <c r="A64" s="869"/>
      <c r="B64" s="870"/>
      <c r="C64" s="870"/>
      <c r="D64" s="870"/>
      <c r="E64" s="870"/>
      <c r="F64" s="870"/>
      <c r="G64" s="871"/>
    </row>
    <row r="66" ht="12.75">
      <c r="A66" t="s">
        <v>730</v>
      </c>
    </row>
    <row r="67" ht="12.75">
      <c r="A67" t="str">
        <f>Climate!A2</f>
        <v>Bernalillo, ALBUQUERQUE AIRPORT</v>
      </c>
    </row>
    <row r="68" ht="12.75">
      <c r="A68" t="str">
        <f>Climate!A3</f>
        <v>Bernalillo, SANDIA PARK  NM8015</v>
      </c>
    </row>
    <row r="69" ht="12.75">
      <c r="A69" t="str">
        <f>Climate!A4</f>
        <v>Catron, ABBOTT 1 SE  NM0022</v>
      </c>
    </row>
    <row r="70" ht="12.75">
      <c r="A70" t="str">
        <f>Climate!A5</f>
        <v>Catron, BEAVERHEAD R S  NM0818</v>
      </c>
    </row>
    <row r="71" ht="12.75">
      <c r="A71" t="str">
        <f>Climate!A6</f>
        <v>Catron, HICKMAN  NM3969</v>
      </c>
    </row>
    <row r="72" ht="12.75">
      <c r="A72" t="str">
        <f>Climate!A7</f>
        <v>Catron, HOOD RANGER STN  NM7386</v>
      </c>
    </row>
    <row r="73" ht="12.75">
      <c r="A73" t="str">
        <f>Climate!A8</f>
        <v>Catron, LUNA RANGER STN  NM5273</v>
      </c>
    </row>
    <row r="74" ht="12.75">
      <c r="A74" t="str">
        <f>Climate!A9</f>
        <v>Catron, QUEMADO  NM7180</v>
      </c>
    </row>
    <row r="75" ht="12.75">
      <c r="A75" t="str">
        <f>Climate!A10</f>
        <v>Chaves, BITTER LAKES WL REFUGE  NM0992</v>
      </c>
    </row>
    <row r="76" ht="12.75">
      <c r="A76" t="str">
        <f>Climate!A11</f>
        <v>Chaves, ELK 2 E  NM2865</v>
      </c>
    </row>
    <row r="77" ht="12.75">
      <c r="A77" t="str">
        <f>Climate!A12</f>
        <v>Cibola, EL MORRO NATL MONUMENT  NM2785</v>
      </c>
    </row>
    <row r="78" ht="12.75">
      <c r="A78" t="str">
        <f>Climate!A13</f>
        <v>Cibola, FENCE LAKE 1 N  NM3180</v>
      </c>
    </row>
    <row r="79" ht="12.75">
      <c r="A79" t="str">
        <f>Climate!A14</f>
        <v>Cibola, GRANTS AIRPORT  NM3682</v>
      </c>
    </row>
    <row r="80" ht="12.75">
      <c r="A80" t="str">
        <f>Climate!A15</f>
        <v>Cibola, LAGUNA  NM4719</v>
      </c>
    </row>
    <row r="81" ht="12.75">
      <c r="A81" t="str">
        <f>Climate!A16</f>
        <v>Cibola, SAN MATEO  NM7918</v>
      </c>
    </row>
    <row r="82" ht="12.75">
      <c r="A82" t="str">
        <f>Climate!A17</f>
        <v>Colfax, CIMARRON 4 SW  NM1813</v>
      </c>
    </row>
    <row r="83" ht="12.75">
      <c r="A83" t="str">
        <f>Climate!A18</f>
        <v>Colfax, EAGLE NEST  NM2700</v>
      </c>
    </row>
    <row r="84" ht="12.75">
      <c r="A84" t="str">
        <f>Climate!A19</f>
        <v>Colfax, LAKE MALOYA  NM4742</v>
      </c>
    </row>
    <row r="85" ht="12.75">
      <c r="A85" t="str">
        <f>Climate!A20</f>
        <v>Colfax, MAXWELL  NM5490</v>
      </c>
    </row>
    <row r="86" ht="12.75">
      <c r="A86" t="str">
        <f>Climate!A21</f>
        <v>Colfax, RATON FILTER PLANT  NM7279</v>
      </c>
    </row>
    <row r="87" ht="12.75">
      <c r="A87" t="str">
        <f>Climate!A22</f>
        <v>Colfax, SPRINGER  NM8501</v>
      </c>
    </row>
    <row r="88" ht="12.75">
      <c r="A88" t="str">
        <f>Climate!A23</f>
        <v>Curry, CLOVIS  NM1939</v>
      </c>
    </row>
    <row r="89" ht="12.75">
      <c r="A89" t="str">
        <f>Climate!A24</f>
        <v>Curry, CLOVIS 13 N  NM1963</v>
      </c>
    </row>
    <row r="90" ht="12.75">
      <c r="A90" t="str">
        <f>Climate!A25</f>
        <v>Curry, MELROSE  NM5617</v>
      </c>
    </row>
    <row r="91" ht="12.75">
      <c r="A91" t="str">
        <f>Climate!A26</f>
        <v>De Baca, FORT SUMNER  NM3294</v>
      </c>
    </row>
    <row r="92" ht="12.75">
      <c r="A92" t="str">
        <f>Climate!A27</f>
        <v>De Baca, YESO  NM9851</v>
      </c>
    </row>
    <row r="93" ht="12.75">
      <c r="A93" t="str">
        <f>Climate!A28</f>
        <v>Dona Ana, HATCH 2 W  NM3855</v>
      </c>
    </row>
    <row r="94" ht="12.75">
      <c r="A94" t="str">
        <f>Climate!A29</f>
        <v>Dona Ana, JORNADA EXP RANGE  NM4426</v>
      </c>
    </row>
    <row r="95" ht="12.75">
      <c r="A95" t="str">
        <f>Climate!A30</f>
        <v>Dona Ana, STATE UNIV.  NM8535</v>
      </c>
    </row>
    <row r="96" ht="12.75">
      <c r="A96" t="str">
        <f>Climate!A31</f>
        <v>Dona Ana, STATE UNIV.  NM8535 (Anthony)</v>
      </c>
    </row>
    <row r="97" ht="12.75">
      <c r="A97" t="str">
        <f>Climate!A32</f>
        <v>Eddy, ARTESIA 6 S  NM0600</v>
      </c>
    </row>
    <row r="98" ht="12.75">
      <c r="A98" t="str">
        <f>Climate!A33</f>
        <v>Eddy, CARLSBAD  NM1469</v>
      </c>
    </row>
    <row r="99" ht="12.75">
      <c r="A99" t="str">
        <f>Climate!A34</f>
        <v>Eddy, CARLSBAD CAVERNS  NM1480</v>
      </c>
    </row>
    <row r="100" ht="12.75">
      <c r="A100" t="str">
        <f>Climate!A35</f>
        <v>Eddy, CARLSBAD FAA AIRPORT  NM1475</v>
      </c>
    </row>
    <row r="101" ht="12.75">
      <c r="A101" t="str">
        <f>Climate!A36</f>
        <v>Grant, CLIFF 11 SE  NM1910</v>
      </c>
    </row>
    <row r="102" ht="12.75">
      <c r="A102" t="str">
        <f>Climate!A37</f>
        <v>Grant, FAYWOOD  NM3157</v>
      </c>
    </row>
    <row r="103" ht="12.75">
      <c r="A103" t="str">
        <f>Climate!A38</f>
        <v>Grant, FORT BAYARD  NM3265</v>
      </c>
    </row>
    <row r="104" ht="12.75">
      <c r="A104" t="str">
        <f>Climate!A39</f>
        <v>Grant, GILA HOT SPRINGS  NM3530</v>
      </c>
    </row>
    <row r="105" ht="12.75">
      <c r="A105" t="str">
        <f>Climate!A40</f>
        <v>Grant, HACHITA  NM3775</v>
      </c>
    </row>
    <row r="106" ht="12.75">
      <c r="A106" t="str">
        <f>Climate!A41</f>
        <v>Grant, MIMBRES RANGER STN  NM5754</v>
      </c>
    </row>
    <row r="107" ht="12.75">
      <c r="A107" t="str">
        <f>Climate!A42</f>
        <v>Grant, REDROCK  NM7340</v>
      </c>
    </row>
    <row r="108" ht="12.75">
      <c r="A108" t="str">
        <f>Climate!A43</f>
        <v>Grant, WHITE SIGNAL  NM9691</v>
      </c>
    </row>
    <row r="109" ht="12.75">
      <c r="A109" t="str">
        <f>Climate!A44</f>
        <v>Guadalupe, DILIA 1 SSE  NM2510</v>
      </c>
    </row>
    <row r="110" ht="12.75">
      <c r="A110" t="str">
        <f>Climate!A45</f>
        <v>Guadalupe, NEWKIRK  NM6115</v>
      </c>
    </row>
    <row r="111" ht="12.75">
      <c r="A111" t="str">
        <f>Climate!A46</f>
        <v>Guadalupe, SANTA ROSA  NM8107</v>
      </c>
    </row>
    <row r="112" ht="12.75">
      <c r="A112" t="str">
        <f>Climate!A47</f>
        <v>Harding, MOSQUERO  NM5937</v>
      </c>
    </row>
    <row r="113" ht="12.75">
      <c r="A113" t="str">
        <f>Climate!A48</f>
        <v>Harding, ROY  NM7638</v>
      </c>
    </row>
    <row r="114" ht="12.75">
      <c r="A114" t="str">
        <f>Climate!A49</f>
        <v>Hidalgo, ANIMAS  NM0417</v>
      </c>
    </row>
    <row r="115" ht="12.75">
      <c r="A115" t="str">
        <f>Climate!A50</f>
        <v>Hidalgo, LORDSBURG 4 SE  NM5079</v>
      </c>
    </row>
    <row r="116" ht="12.75">
      <c r="A116" t="str">
        <f>Climate!A51</f>
        <v>Lea, CROSSROADS #2  NM2207</v>
      </c>
    </row>
    <row r="117" ht="12.75">
      <c r="A117" t="str">
        <f>Climate!A52</f>
        <v>Lea, HOBBS  NM4026</v>
      </c>
    </row>
    <row r="118" ht="12.75">
      <c r="A118" t="str">
        <f>Climate!A53</f>
        <v>Lea, JAL  NM4346</v>
      </c>
    </row>
    <row r="119" ht="12.75">
      <c r="A119" t="str">
        <f>Climate!A54</f>
        <v>Lea, MALJAMAR 4 SE  NM5370</v>
      </c>
    </row>
    <row r="120" ht="12.75">
      <c r="A120" t="str">
        <f>Climate!A55</f>
        <v>Lea, PEARL  NM6659</v>
      </c>
    </row>
    <row r="121" ht="12.75">
      <c r="A121" t="str">
        <f>Climate!A56</f>
        <v>Lea, TATUM  NM8713</v>
      </c>
    </row>
    <row r="122" ht="12.75">
      <c r="A122" t="str">
        <f>Climate!A57</f>
        <v>Lincoln, CARRIZOZO  NM1515</v>
      </c>
    </row>
    <row r="123" ht="12.75">
      <c r="A123" t="str">
        <f>Climate!A58</f>
        <v>Lincoln, RAMON 8 SW  NM7254</v>
      </c>
    </row>
    <row r="124" ht="12.75">
      <c r="A124" t="str">
        <f>Climate!A59</f>
        <v>Lincoln, RUIDOSO 2 NNE  NM7649</v>
      </c>
    </row>
    <row r="125" ht="12.75">
      <c r="A125" t="str">
        <f>Climate!A60</f>
        <v>Los Alamos, LOS ALAMOS  NM5084</v>
      </c>
    </row>
    <row r="126" ht="12.75">
      <c r="A126" t="str">
        <f>Climate!A61</f>
        <v>Luna, COLUMBUS  NM2024</v>
      </c>
    </row>
    <row r="127" ht="12.75">
      <c r="A127" t="str">
        <f>Climate!A62</f>
        <v>Luna, DEMING  NM2436</v>
      </c>
    </row>
    <row r="128" ht="12.75">
      <c r="A128" t="str">
        <f>Climate!A63</f>
        <v>Luna, FLORIDA  NM3225</v>
      </c>
    </row>
    <row r="129" ht="12.75">
      <c r="A129" t="str">
        <f>Climate!A64</f>
        <v>Luna, GAGE 4 ESE  NM3368</v>
      </c>
    </row>
    <row r="130" ht="12.75">
      <c r="A130" t="str">
        <f>Climate!A65</f>
        <v>McKinley, MC GAFFEY 5 SE  NM5560</v>
      </c>
    </row>
    <row r="131" ht="12.75">
      <c r="A131" t="str">
        <f>Climate!A66</f>
        <v>McKinley, STAR LAKE  NM8524</v>
      </c>
    </row>
    <row r="132" ht="12.75">
      <c r="A132" t="str">
        <f>Climate!A67</f>
        <v>McKinley, THOREAU 5 ENE  NM8830</v>
      </c>
    </row>
    <row r="133" ht="12.75">
      <c r="A133" t="str">
        <f>Climate!A68</f>
        <v>McKinley, ZUNI  NM9897</v>
      </c>
    </row>
    <row r="134" ht="12.75">
      <c r="A134" t="str">
        <f>Climate!A69</f>
        <v>Mora, GASCON  NM3488</v>
      </c>
    </row>
    <row r="135" ht="12.75">
      <c r="A135" t="str">
        <f>Climate!A70</f>
        <v>Mora, OCATE 1 N  NM6275</v>
      </c>
    </row>
    <row r="136" ht="12.75">
      <c r="A136" t="str">
        <f>Climate!A71</f>
        <v>Mora, VALMORA  NM9330</v>
      </c>
    </row>
    <row r="137" ht="12.75">
      <c r="A137" t="str">
        <f>Climate!A72</f>
        <v>Otero, ALAMOGORDO  NM0199</v>
      </c>
    </row>
    <row r="138" ht="12.75">
      <c r="A138" t="str">
        <f>Climate!A73</f>
        <v>Otero, CLOUDCROFT  NM1927</v>
      </c>
    </row>
    <row r="139" ht="12.75">
      <c r="A139" t="str">
        <f>Climate!A74</f>
        <v>Otero, MOUNTAIN PARK  NM5960</v>
      </c>
    </row>
    <row r="140" ht="12.75">
      <c r="A140" t="str">
        <f>Climate!A75</f>
        <v>Otero, OROGRANDE 1 N  NM6435</v>
      </c>
    </row>
    <row r="141" ht="12.75">
      <c r="A141" t="str">
        <f>Climate!A76</f>
        <v>Otero, TULAROSA  NM9165</v>
      </c>
    </row>
    <row r="142" ht="12.75">
      <c r="A142" t="str">
        <f>Climate!A77</f>
        <v>Otero, WHITE SANDS NATL MON  NM9686</v>
      </c>
    </row>
    <row r="143" ht="12.75">
      <c r="A143" t="str">
        <f>Climate!A78</f>
        <v>Quay ,CAMERON  NM1332</v>
      </c>
    </row>
    <row r="144" ht="12.75">
      <c r="A144" t="str">
        <f>Climate!A79</f>
        <v>Quay ,RAGLAND 3 SSW  NM7226</v>
      </c>
    </row>
    <row r="145" ht="12.75">
      <c r="A145" t="str">
        <f>Climate!A80</f>
        <v>Quay ,SAN JON  NM7867</v>
      </c>
    </row>
    <row r="146" ht="12.75">
      <c r="A146" t="str">
        <f>Climate!A81</f>
        <v>Quay ,TUCUMCARI 4 NE  NM9156</v>
      </c>
    </row>
    <row r="147" ht="12.75">
      <c r="A147" t="str">
        <f>Climate!A82</f>
        <v>Rio Arriba, ABIQUIU DAM  NM0041</v>
      </c>
    </row>
    <row r="148" ht="12.75">
      <c r="A148" t="str">
        <f>Climate!A83</f>
        <v>Rio Arriba, ALCALDE  NM0245</v>
      </c>
    </row>
    <row r="149" ht="12.75">
      <c r="A149" t="str">
        <f>Climate!A84</f>
        <v>Rio Arriba, CHAMA  NM1664</v>
      </c>
    </row>
    <row r="150" ht="12.75">
      <c r="A150" t="str">
        <f>Climate!A85</f>
        <v>Rio Arriba, DULCE  NM2608</v>
      </c>
    </row>
    <row r="151" ht="12.75">
      <c r="A151" t="str">
        <f>Climate!A86</f>
        <v>Rio Arriba, EL RITO  NM2820</v>
      </c>
    </row>
    <row r="152" ht="12.75">
      <c r="A152" t="str">
        <f>Climate!A87</f>
        <v>Rio Arriba, EL VADO DAM  NM2837</v>
      </c>
    </row>
    <row r="153" ht="12.75">
      <c r="A153" t="str">
        <f>Climate!A88</f>
        <v>Rio Arriba, ESPANOLA  NM3031</v>
      </c>
    </row>
    <row r="154" ht="12.75">
      <c r="A154" t="str">
        <f>Climate!A89</f>
        <v>Rio Arriba, LYBROOK  NM5290</v>
      </c>
    </row>
    <row r="155" ht="12.75">
      <c r="A155" t="str">
        <f>Climate!A90</f>
        <v>Rio Arriba, TIERRA AMARILLA 4 N  NM8845</v>
      </c>
    </row>
    <row r="156" ht="12.75">
      <c r="A156" t="str">
        <f>Climate!A91</f>
        <v>Rio Arriba, TRES PIEDRAS  NM9085</v>
      </c>
    </row>
    <row r="157" ht="12.75">
      <c r="A157" t="str">
        <f>Climate!A92</f>
        <v>Roosevelt, ELIDA  NM2854</v>
      </c>
    </row>
    <row r="158" ht="12.75">
      <c r="A158" t="str">
        <f>Climate!A93</f>
        <v>Roosevelt, PORTALES  NM7008</v>
      </c>
    </row>
    <row r="159" ht="12.75">
      <c r="A159" t="str">
        <f>Climate!A94</f>
        <v>San Juan, AZTEC RUINS NATL MONUME  NM0692</v>
      </c>
    </row>
    <row r="160" ht="12.75">
      <c r="A160" t="str">
        <f>Climate!A95</f>
        <v>San Juan, BLOOMFIELD 3 SE  NM1063</v>
      </c>
    </row>
    <row r="161" ht="12.75">
      <c r="A161" t="str">
        <f>Climate!A96</f>
        <v>San Juan, CHACO CANYON NATL MON  NM1647</v>
      </c>
    </row>
    <row r="162" ht="12.75">
      <c r="A162" t="str">
        <f>Climate!A97</f>
        <v>San Juan, FRUITLAND 2 E  NM3340</v>
      </c>
    </row>
    <row r="163" ht="12.75">
      <c r="A163" t="str">
        <f>Climate!A98</f>
        <v>San Juan, NAVAJO DAM  NM6061</v>
      </c>
    </row>
    <row r="164" ht="12.75">
      <c r="A164" t="str">
        <f>Climate!A99</f>
        <v>San Juan, OTIS  NM6465</v>
      </c>
    </row>
    <row r="165" ht="12.75">
      <c r="A165" t="str">
        <f>Climate!A100</f>
        <v>San Juan, SHIPROCK  NM8284</v>
      </c>
    </row>
    <row r="166" ht="12.75">
      <c r="A166" t="str">
        <f>Climate!A101</f>
        <v>San Miguel, BELL RANCH  NM0858</v>
      </c>
    </row>
    <row r="167" ht="12.75">
      <c r="A167" t="str">
        <f>Climate!A102</f>
        <v>San Miguel, CONCHAS DAM  NM2030</v>
      </c>
    </row>
    <row r="168" ht="12.75">
      <c r="A168" t="str">
        <f>Climate!A103</f>
        <v>San Miguel, LAS VEGAS FAA AIRPORT  NM4856</v>
      </c>
    </row>
    <row r="169" ht="12.75">
      <c r="A169" t="str">
        <f>Climate!A104</f>
        <v>San Miguel, PECOS RANGER STN  NM6676</v>
      </c>
    </row>
    <row r="170" ht="12.75">
      <c r="A170" t="str">
        <f>Climate!A105</f>
        <v>Sandoval, CUBA  NM2241</v>
      </c>
    </row>
    <row r="171" ht="12.75">
      <c r="A171" t="str">
        <f>Climate!A106</f>
        <v>Sandoval, JEMEZ SPRINGS  NM4369</v>
      </c>
    </row>
    <row r="172" ht="12.75">
      <c r="A172" t="str">
        <f>Climate!A107</f>
        <v>Sandoval, TORREON NAVAJO MISSION  NM9031</v>
      </c>
    </row>
    <row r="173" ht="12.75">
      <c r="A173" t="str">
        <f>Climate!A108</f>
        <v>Sandoval, WOLF CANYON  NM9820</v>
      </c>
    </row>
    <row r="174" ht="12.75">
      <c r="A174" t="str">
        <f>Climate!A109</f>
        <v>Santa Fe, STANLEY 1 NNE  NM8518</v>
      </c>
    </row>
    <row r="175" ht="12.75">
      <c r="A175" t="str">
        <f>Climate!A110</f>
        <v>Sierra, ALEMAN RANCH  NM0268</v>
      </c>
    </row>
    <row r="176" ht="12.75">
      <c r="A176" t="str">
        <f>Climate!A111</f>
        <v>Sierra, CABALLO DAM  NM1286</v>
      </c>
    </row>
    <row r="177" ht="12.75">
      <c r="A177" t="str">
        <f>Climate!A112</f>
        <v>Sierra, CHLORIDE RANGER STN  NM9806</v>
      </c>
    </row>
    <row r="178" ht="12.75">
      <c r="A178" t="str">
        <f>Climate!A113</f>
        <v>Sierra, ELEPHANT BUTTE DAM  NM2848</v>
      </c>
    </row>
    <row r="179" ht="12.75">
      <c r="A179" t="str">
        <f>Climate!A114</f>
        <v>Sierra, HILLSBORO  NM4009</v>
      </c>
    </row>
    <row r="180" ht="12.75">
      <c r="A180" t="str">
        <f>Climate!A115</f>
        <v>Socorro, AUGUSTINE 2 E  NM0640</v>
      </c>
    </row>
    <row r="181" ht="12.75">
      <c r="A181" t="str">
        <f>Climate!A116</f>
        <v>Socorro, BERNARDO  NM0915</v>
      </c>
    </row>
    <row r="182" ht="12.75">
      <c r="A182" t="str">
        <f>Climate!A117</f>
        <v>Socorro, BINGHAM 2 NE  NM0983</v>
      </c>
    </row>
    <row r="183" ht="12.75">
      <c r="A183" t="str">
        <f>Climate!A118</f>
        <v>Socorro, BOSQUE DEL APACHE  NM1138</v>
      </c>
    </row>
    <row r="184" ht="12.75">
      <c r="A184" t="str">
        <f>Climate!A119</f>
        <v>Socorro, MAGDALENA  NM5353</v>
      </c>
    </row>
    <row r="185" ht="12.75">
      <c r="A185" t="str">
        <f>Climate!A120</f>
        <v>Socorro, SOCORRO  NM8387</v>
      </c>
    </row>
    <row r="186" ht="12.75">
      <c r="A186" t="str">
        <f>Climate!A121</f>
        <v>Taos, CERRO  NM1630</v>
      </c>
    </row>
    <row r="187" ht="12.75">
      <c r="A187" t="str">
        <f>Climate!A122</f>
        <v>Taos, RED RIVER  NM7323</v>
      </c>
    </row>
    <row r="188" ht="12.75">
      <c r="A188" t="str">
        <f>Climate!A123</f>
        <v>Taos, TAOS  NM8668</v>
      </c>
    </row>
    <row r="189" ht="12.75">
      <c r="A189" t="str">
        <f>Climate!A124</f>
        <v>Torrance, CLINES CORNERS 7 SE  NM1918</v>
      </c>
    </row>
    <row r="190" ht="12.75">
      <c r="A190" t="str">
        <f>Climate!A125</f>
        <v>Torrance, ESTANCIA  NM3060</v>
      </c>
    </row>
    <row r="191" ht="12.75">
      <c r="A191" t="str">
        <f>Climate!A126</f>
        <v>Torrance, GRAN QUIVIRA NATL MON  NM3649</v>
      </c>
    </row>
    <row r="192" ht="12.75">
      <c r="A192" t="str">
        <f>Climate!A127</f>
        <v>Torrance, MOUNTAINAIR  NM5965</v>
      </c>
    </row>
    <row r="193" ht="12.75">
      <c r="A193" t="str">
        <f>Climate!A128</f>
        <v>Torrance, PEDERNAL 4 E  NM6687</v>
      </c>
    </row>
    <row r="194" ht="12.75">
      <c r="A194" t="str">
        <f>Climate!A129</f>
        <v>Union, AMISTAD 3 ESE  NM0377</v>
      </c>
    </row>
    <row r="195" ht="12.75">
      <c r="A195" t="str">
        <f>Climate!A130</f>
        <v>Union, CLAYTON WSO AIRPORT  NM1887</v>
      </c>
    </row>
    <row r="196" ht="12.75">
      <c r="A196" t="str">
        <f>Climate!A131</f>
        <v>Union, DES MOINES  NM2453</v>
      </c>
    </row>
    <row r="197" ht="12.75">
      <c r="A197" t="str">
        <f>Climate!A132</f>
        <v>Union, GRENVILLE  NM3706</v>
      </c>
    </row>
    <row r="198" ht="12.75">
      <c r="A198" t="str">
        <f>Climate!A133</f>
        <v>Union, PASAMONTE  NM6619</v>
      </c>
    </row>
    <row r="199" ht="12.75">
      <c r="A199" t="str">
        <f>Climate!A134</f>
        <v>Valencia, LOS LUNAS 3 SSW  NM5150</v>
      </c>
    </row>
  </sheetData>
  <sheetProtection password="CCF6" sheet="1" objects="1" scenarios="1"/>
  <mergeCells count="42">
    <mergeCell ref="A14:B14"/>
    <mergeCell ref="C14:E14"/>
    <mergeCell ref="C16:F16"/>
    <mergeCell ref="A11:C11"/>
    <mergeCell ref="E12:F12"/>
    <mergeCell ref="F8:G11"/>
    <mergeCell ref="A15:B15"/>
    <mergeCell ref="D15:E15"/>
    <mergeCell ref="A50:G50"/>
    <mergeCell ref="A16:B16"/>
    <mergeCell ref="A59:G59"/>
    <mergeCell ref="A60:G60"/>
    <mergeCell ref="A55:G55"/>
    <mergeCell ref="A56:G56"/>
    <mergeCell ref="A57:G57"/>
    <mergeCell ref="A49:G49"/>
    <mergeCell ref="F28:G46"/>
    <mergeCell ref="A47:G47"/>
    <mergeCell ref="A48:C48"/>
    <mergeCell ref="A27:G27"/>
    <mergeCell ref="A22:G22"/>
    <mergeCell ref="D23:F23"/>
    <mergeCell ref="A26:C26"/>
    <mergeCell ref="A25:C25"/>
    <mergeCell ref="B3:C3"/>
    <mergeCell ref="E3:F3"/>
    <mergeCell ref="A10:C10"/>
    <mergeCell ref="E4:F4"/>
    <mergeCell ref="B4:C4"/>
    <mergeCell ref="A8:C8"/>
    <mergeCell ref="A9:C9"/>
    <mergeCell ref="A6:B6"/>
    <mergeCell ref="A54:G54"/>
    <mergeCell ref="A23:C23"/>
    <mergeCell ref="A64:G64"/>
    <mergeCell ref="A58:G58"/>
    <mergeCell ref="A51:G51"/>
    <mergeCell ref="A52:G52"/>
    <mergeCell ref="A53:G53"/>
    <mergeCell ref="A62:G62"/>
    <mergeCell ref="A63:G63"/>
    <mergeCell ref="A61:G61"/>
  </mergeCells>
  <dataValidations count="1">
    <dataValidation type="list" allowBlank="1" showInputMessage="1" showErrorMessage="1" sqref="C16">
      <formula1>$A$67:$A$199</formula1>
    </dataValidation>
  </dataValidations>
  <printOptions/>
  <pageMargins left="0.74" right="0.75" top="0.55" bottom="0.43" header="0.3" footer="0.2"/>
  <pageSetup horizontalDpi="600" verticalDpi="600" orientation="portrait" r:id="rId1"/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G119"/>
  <sheetViews>
    <sheetView zoomScaleSheetLayoutView="100" workbookViewId="0" topLeftCell="A53">
      <selection activeCell="E56" sqref="E56"/>
    </sheetView>
  </sheetViews>
  <sheetFormatPr defaultColWidth="9.140625" defaultRowHeight="12.75"/>
  <cols>
    <col min="1" max="1" width="9.28125" style="0" bestFit="1" customWidth="1"/>
    <col min="2" max="2" width="11.421875" style="0" customWidth="1"/>
    <col min="3" max="3" width="11.00390625" style="0" customWidth="1"/>
    <col min="4" max="4" width="9.8515625" style="0" bestFit="1" customWidth="1"/>
    <col min="5" max="5" width="11.57421875" style="0" customWidth="1"/>
    <col min="6" max="6" width="6.57421875" style="0" customWidth="1"/>
    <col min="7" max="7" width="12.140625" style="0" customWidth="1"/>
    <col min="8" max="8" width="11.421875" style="0" customWidth="1"/>
    <col min="9" max="9" width="10.140625" style="0" customWidth="1"/>
    <col min="10" max="10" width="12.8515625" style="0" customWidth="1"/>
    <col min="11" max="11" width="11.421875" style="0" customWidth="1"/>
    <col min="12" max="12" width="9.7109375" style="0" bestFit="1" customWidth="1"/>
    <col min="13" max="13" width="11.28125" style="0" customWidth="1"/>
    <col min="14" max="14" width="33.140625" style="0" customWidth="1"/>
    <col min="15" max="15" width="18.00390625" style="0" customWidth="1"/>
    <col min="16" max="16" width="12.57421875" style="0" customWidth="1"/>
    <col min="17" max="17" width="11.57421875" style="0" bestFit="1" customWidth="1"/>
    <col min="22" max="22" width="7.7109375" style="0" customWidth="1"/>
    <col min="23" max="23" width="7.421875" style="0" customWidth="1"/>
    <col min="26" max="26" width="11.7109375" style="0" customWidth="1"/>
  </cols>
  <sheetData>
    <row r="1" spans="1:33" ht="15.75">
      <c r="A1" s="846" t="s">
        <v>809</v>
      </c>
      <c r="B1" s="847"/>
      <c r="C1" s="847"/>
      <c r="D1" s="847"/>
      <c r="E1" s="847"/>
      <c r="F1" s="847"/>
      <c r="G1" s="847"/>
      <c r="H1" s="847"/>
      <c r="I1" s="848"/>
      <c r="J1" s="230"/>
      <c r="K1" s="230"/>
      <c r="L1" s="230"/>
      <c r="M1" s="139"/>
      <c r="N1" s="441" t="s">
        <v>533</v>
      </c>
      <c r="O1" s="442" t="s">
        <v>473</v>
      </c>
      <c r="P1" s="302" t="s">
        <v>476</v>
      </c>
      <c r="S1" s="916"/>
      <c r="T1" s="916"/>
      <c r="U1" s="916"/>
      <c r="V1" s="916"/>
      <c r="W1" s="916"/>
      <c r="X1" s="916"/>
      <c r="Y1" s="916"/>
      <c r="Z1" s="916"/>
      <c r="AC1" s="916"/>
      <c r="AD1" s="916"/>
      <c r="AE1" s="916"/>
      <c r="AF1" s="916"/>
      <c r="AG1" s="916"/>
    </row>
    <row r="2" spans="1:28" ht="15.75" thickBot="1">
      <c r="A2" s="118" t="s">
        <v>102</v>
      </c>
      <c r="B2" s="119"/>
      <c r="C2" s="119"/>
      <c r="D2" s="119"/>
      <c r="E2" s="119"/>
      <c r="F2" s="231" t="str">
        <f>'Planning Data'!F2</f>
        <v>Version 2.7  (2/22/08)</v>
      </c>
      <c r="G2" s="119"/>
      <c r="H2" s="120" t="s">
        <v>48</v>
      </c>
      <c r="I2" s="232" t="str">
        <f>'Planning Data'!K4</f>
        <v>9/25/08</v>
      </c>
      <c r="J2" s="233"/>
      <c r="K2" s="139"/>
      <c r="L2" s="139"/>
      <c r="M2" s="139"/>
      <c r="N2" s="443" t="s">
        <v>482</v>
      </c>
      <c r="O2" s="444">
        <v>0.53</v>
      </c>
      <c r="P2" s="303">
        <v>-0.25</v>
      </c>
      <c r="Q2" s="304">
        <f>O$2*P2+O$2</f>
        <v>0.3975</v>
      </c>
      <c r="S2" s="496"/>
      <c r="T2" s="496"/>
      <c r="U2" s="496"/>
      <c r="V2" s="496"/>
      <c r="W2" s="496"/>
      <c r="X2" s="496"/>
      <c r="Y2" s="496"/>
      <c r="Z2" s="917"/>
      <c r="AA2" s="917"/>
      <c r="AB2" s="139"/>
    </row>
    <row r="3" spans="1:33" ht="15.75" thickBot="1">
      <c r="A3" s="234"/>
      <c r="B3" s="235" t="s">
        <v>47</v>
      </c>
      <c r="C3" s="919" t="str">
        <f>'Planning Data'!C3</f>
        <v>Super Cow Dairy</v>
      </c>
      <c r="D3" s="920"/>
      <c r="E3" s="435"/>
      <c r="F3" s="436" t="s">
        <v>50</v>
      </c>
      <c r="G3" s="923" t="str">
        <f>'Planning Data'!G3</f>
        <v>Joe Holstein</v>
      </c>
      <c r="H3" s="924"/>
      <c r="I3" s="236"/>
      <c r="J3" s="139"/>
      <c r="L3" s="139"/>
      <c r="M3" s="139"/>
      <c r="N3" s="445" t="s">
        <v>552</v>
      </c>
      <c r="O3" s="446">
        <v>0.33</v>
      </c>
      <c r="P3" s="303">
        <v>-0.2</v>
      </c>
      <c r="Q3" s="304">
        <f aca="true" t="shared" si="0" ref="Q3:Q12">O$2*P3+O$2</f>
        <v>0.42400000000000004</v>
      </c>
      <c r="S3" s="497"/>
      <c r="T3" s="497"/>
      <c r="U3" s="497"/>
      <c r="V3" s="497"/>
      <c r="W3" s="497"/>
      <c r="X3" s="497"/>
      <c r="Y3" s="497"/>
      <c r="Z3" s="498"/>
      <c r="AA3" s="499"/>
      <c r="AC3" s="500"/>
      <c r="AD3" s="500"/>
      <c r="AE3" s="500"/>
      <c r="AF3" s="500"/>
      <c r="AG3" s="501"/>
    </row>
    <row r="4" spans="1:33" ht="15.75">
      <c r="A4" s="237"/>
      <c r="B4" s="238" t="s">
        <v>52</v>
      </c>
      <c r="C4" s="972" t="str">
        <f>'Planning Data'!C4</f>
        <v>Artesia, NM</v>
      </c>
      <c r="D4" s="973"/>
      <c r="E4" s="437"/>
      <c r="F4" s="239" t="s">
        <v>49</v>
      </c>
      <c r="G4" s="921" t="str">
        <f>'Planning Data'!G4</f>
        <v>R White</v>
      </c>
      <c r="H4" s="922"/>
      <c r="I4" s="240"/>
      <c r="J4" s="139"/>
      <c r="K4" s="139"/>
      <c r="L4" s="139"/>
      <c r="M4" s="139"/>
      <c r="N4" s="445" t="s">
        <v>528</v>
      </c>
      <c r="O4" s="446">
        <v>0.38</v>
      </c>
      <c r="P4" s="303">
        <v>-0.15</v>
      </c>
      <c r="Q4" s="304">
        <f t="shared" si="0"/>
        <v>0.4505</v>
      </c>
      <c r="T4" s="502"/>
      <c r="U4" s="502"/>
      <c r="V4" s="48"/>
      <c r="W4" s="48"/>
      <c r="X4" s="48"/>
      <c r="Y4" s="48"/>
      <c r="Z4" s="503"/>
      <c r="AA4" s="504"/>
      <c r="AC4" s="918"/>
      <c r="AD4" s="918"/>
      <c r="AE4" s="918"/>
      <c r="AF4" s="918"/>
      <c r="AG4" s="918"/>
    </row>
    <row r="5" spans="1:33" ht="14.25" customHeight="1">
      <c r="A5" s="237"/>
      <c r="B5" s="238" t="s">
        <v>448</v>
      </c>
      <c r="C5" s="921" t="str">
        <f>'Lot Runoff'!C8:D8</f>
        <v>Runoff Pond 1</v>
      </c>
      <c r="D5" s="922"/>
      <c r="E5" s="974" t="s">
        <v>375</v>
      </c>
      <c r="F5" s="975"/>
      <c r="G5" s="921" t="str">
        <f>'Pond Vol'!D6</f>
        <v>60-day Storage</v>
      </c>
      <c r="H5" s="922"/>
      <c r="I5" s="240"/>
      <c r="J5" s="241"/>
      <c r="K5" s="241"/>
      <c r="L5" s="241"/>
      <c r="M5" s="139"/>
      <c r="N5" s="445" t="s">
        <v>553</v>
      </c>
      <c r="O5" s="446">
        <v>0.74</v>
      </c>
      <c r="P5" s="303">
        <v>-0.1</v>
      </c>
      <c r="Q5" s="304">
        <f t="shared" si="0"/>
        <v>0.47700000000000004</v>
      </c>
      <c r="T5" s="502"/>
      <c r="U5" s="502"/>
      <c r="V5" s="48"/>
      <c r="W5" s="48"/>
      <c r="X5" s="48"/>
      <c r="Y5" s="48"/>
      <c r="Z5" s="503"/>
      <c r="AA5" s="504"/>
      <c r="AC5" s="503"/>
      <c r="AD5" s="503"/>
      <c r="AE5" s="505"/>
      <c r="AF5" s="505"/>
      <c r="AG5" s="506"/>
    </row>
    <row r="6" spans="1:33" ht="14.25" customHeight="1">
      <c r="A6" s="71"/>
      <c r="B6" s="238"/>
      <c r="C6" s="307"/>
      <c r="D6" s="307"/>
      <c r="E6" s="308"/>
      <c r="F6" s="309" t="s">
        <v>484</v>
      </c>
      <c r="G6" s="438">
        <v>5</v>
      </c>
      <c r="H6" s="307" t="s">
        <v>485</v>
      </c>
      <c r="I6" s="240"/>
      <c r="J6" s="297"/>
      <c r="K6" s="297"/>
      <c r="L6" s="297"/>
      <c r="M6" s="139"/>
      <c r="N6" s="445" t="s">
        <v>554</v>
      </c>
      <c r="O6" s="446">
        <v>0.2</v>
      </c>
      <c r="P6" s="303">
        <v>-0.05</v>
      </c>
      <c r="Q6" s="304">
        <f t="shared" si="0"/>
        <v>0.5035000000000001</v>
      </c>
      <c r="S6" s="48"/>
      <c r="T6" s="508"/>
      <c r="U6" s="508"/>
      <c r="V6" s="48"/>
      <c r="W6" s="48"/>
      <c r="X6" s="48"/>
      <c r="Y6" s="48"/>
      <c r="Z6" s="506"/>
      <c r="AA6" s="507"/>
      <c r="AC6" s="503"/>
      <c r="AD6" s="503"/>
      <c r="AE6" s="505"/>
      <c r="AF6" s="505"/>
      <c r="AG6" s="506"/>
    </row>
    <row r="7" spans="1:33" ht="15.75" customHeight="1">
      <c r="A7" s="912" t="s">
        <v>124</v>
      </c>
      <c r="B7" s="913"/>
      <c r="C7" s="674"/>
      <c r="D7" s="301"/>
      <c r="E7" s="671"/>
      <c r="F7" s="301"/>
      <c r="G7" s="674"/>
      <c r="H7" s="301" t="s">
        <v>792</v>
      </c>
      <c r="I7" s="675"/>
      <c r="J7" s="297" t="b">
        <v>1</v>
      </c>
      <c r="K7" s="297"/>
      <c r="L7" s="139"/>
      <c r="M7" s="139"/>
      <c r="N7" s="447" t="s">
        <v>481</v>
      </c>
      <c r="O7" s="446">
        <v>0</v>
      </c>
      <c r="P7" s="303">
        <v>0</v>
      </c>
      <c r="Q7" s="304">
        <f t="shared" si="0"/>
        <v>0.53</v>
      </c>
      <c r="S7" s="48"/>
      <c r="T7" s="48"/>
      <c r="U7" s="48"/>
      <c r="V7" s="48"/>
      <c r="W7" s="48"/>
      <c r="X7" s="48"/>
      <c r="Y7" s="48"/>
      <c r="Z7" s="506"/>
      <c r="AA7" s="507"/>
      <c r="AC7" s="503"/>
      <c r="AD7" s="503"/>
      <c r="AE7" s="505"/>
      <c r="AF7" s="505"/>
      <c r="AG7" s="506"/>
    </row>
    <row r="8" spans="1:33" ht="15.75" customHeight="1">
      <c r="A8" s="914"/>
      <c r="B8" s="915"/>
      <c r="C8" s="676"/>
      <c r="D8" s="672"/>
      <c r="E8" s="673"/>
      <c r="F8" s="672"/>
      <c r="G8" s="676"/>
      <c r="H8" s="672" t="s">
        <v>801</v>
      </c>
      <c r="I8" s="677"/>
      <c r="J8" s="297" t="b">
        <v>1</v>
      </c>
      <c r="K8" s="139"/>
      <c r="L8" s="139"/>
      <c r="M8" s="139"/>
      <c r="N8" s="445" t="s">
        <v>555</v>
      </c>
      <c r="O8" s="446">
        <v>0.3</v>
      </c>
      <c r="P8" s="303">
        <v>0.05</v>
      </c>
      <c r="Q8" s="304">
        <f t="shared" si="0"/>
        <v>0.5565</v>
      </c>
      <c r="S8" s="48"/>
      <c r="T8" s="48"/>
      <c r="U8" s="48"/>
      <c r="V8" s="48"/>
      <c r="W8" s="48"/>
      <c r="X8" s="48"/>
      <c r="Y8" s="48"/>
      <c r="Z8" s="506"/>
      <c r="AA8" s="507"/>
      <c r="AC8" s="503"/>
      <c r="AD8" s="503"/>
      <c r="AE8" s="505"/>
      <c r="AF8" s="505"/>
      <c r="AG8" s="506"/>
    </row>
    <row r="9" spans="1:33" ht="15.75" customHeight="1">
      <c r="A9" s="976" t="s">
        <v>483</v>
      </c>
      <c r="B9" s="977"/>
      <c r="C9" s="977"/>
      <c r="D9" s="977"/>
      <c r="E9" s="977"/>
      <c r="F9" s="977"/>
      <c r="G9" s="977"/>
      <c r="H9" s="977"/>
      <c r="I9" s="978"/>
      <c r="J9" s="341"/>
      <c r="K9" s="248"/>
      <c r="L9" s="139"/>
      <c r="M9" s="139"/>
      <c r="N9" s="443" t="s">
        <v>475</v>
      </c>
      <c r="O9" s="444">
        <v>0.3</v>
      </c>
      <c r="P9" s="303">
        <v>0.1</v>
      </c>
      <c r="Q9" s="304">
        <f t="shared" si="0"/>
        <v>0.5830000000000001</v>
      </c>
      <c r="S9" s="48"/>
      <c r="T9" s="48"/>
      <c r="U9" s="48"/>
      <c r="V9" s="48"/>
      <c r="W9" s="48"/>
      <c r="X9" s="48"/>
      <c r="Y9" s="48"/>
      <c r="Z9" s="506"/>
      <c r="AA9" s="507"/>
      <c r="AC9" s="503"/>
      <c r="AD9" s="503"/>
      <c r="AE9" s="505"/>
      <c r="AF9" s="505"/>
      <c r="AG9" s="506"/>
    </row>
    <row r="10" spans="1:33" ht="18.75" customHeight="1">
      <c r="A10" s="366"/>
      <c r="B10" s="324"/>
      <c r="C10" s="324"/>
      <c r="D10" s="325"/>
      <c r="E10" s="326"/>
      <c r="F10" s="327"/>
      <c r="G10" s="328"/>
      <c r="H10" s="329" t="s">
        <v>474</v>
      </c>
      <c r="I10" s="330">
        <f>'Pond Vol'!L23</f>
        <v>10.250947806691448</v>
      </c>
      <c r="J10" s="339"/>
      <c r="K10" s="338"/>
      <c r="L10" s="338"/>
      <c r="M10" s="139"/>
      <c r="N10" s="445" t="s">
        <v>527</v>
      </c>
      <c r="O10" s="446">
        <v>0.4</v>
      </c>
      <c r="P10" s="303">
        <v>0.15</v>
      </c>
      <c r="Q10" s="304">
        <f t="shared" si="0"/>
        <v>0.6095</v>
      </c>
      <c r="S10" s="48"/>
      <c r="T10" s="48"/>
      <c r="U10" s="48"/>
      <c r="V10" s="48"/>
      <c r="W10" s="48"/>
      <c r="X10" s="48"/>
      <c r="Y10" s="48"/>
      <c r="Z10" s="506"/>
      <c r="AA10" s="507"/>
      <c r="AC10" s="503"/>
      <c r="AD10" s="503"/>
      <c r="AE10" s="505"/>
      <c r="AF10" s="505"/>
      <c r="AG10" s="506"/>
    </row>
    <row r="11" spans="1:33" ht="39">
      <c r="A11" s="979" t="s">
        <v>522</v>
      </c>
      <c r="B11" s="979"/>
      <c r="C11" s="979"/>
      <c r="D11" s="979"/>
      <c r="E11" s="979" t="s">
        <v>479</v>
      </c>
      <c r="F11" s="979"/>
      <c r="G11" s="331" t="s">
        <v>477</v>
      </c>
      <c r="H11" s="305" t="s">
        <v>480</v>
      </c>
      <c r="I11" s="306" t="s">
        <v>478</v>
      </c>
      <c r="J11" s="249"/>
      <c r="K11" s="339"/>
      <c r="L11" s="340"/>
      <c r="M11" s="139"/>
      <c r="N11" s="445" t="s">
        <v>525</v>
      </c>
      <c r="O11" s="446">
        <v>0.15</v>
      </c>
      <c r="P11" s="303">
        <v>0.2</v>
      </c>
      <c r="Q11" s="304">
        <f t="shared" si="0"/>
        <v>0.636</v>
      </c>
      <c r="S11" s="48"/>
      <c r="T11" s="48"/>
      <c r="U11" s="48"/>
      <c r="V11" s="48"/>
      <c r="W11" s="48"/>
      <c r="X11" s="48"/>
      <c r="Y11" s="48"/>
      <c r="Z11" s="506"/>
      <c r="AA11" s="507"/>
      <c r="AC11" s="503"/>
      <c r="AD11" s="503"/>
      <c r="AE11" s="505"/>
      <c r="AF11" s="505"/>
      <c r="AG11" s="506"/>
    </row>
    <row r="12" spans="1:33" ht="15.75">
      <c r="A12" s="980" t="s">
        <v>526</v>
      </c>
      <c r="B12" s="981"/>
      <c r="C12" s="981"/>
      <c r="D12" s="981"/>
      <c r="E12" s="927">
        <f>IF(A12="","",VLOOKUP(A12,$N$2:$O$17,2))</f>
        <v>0.15</v>
      </c>
      <c r="F12" s="927"/>
      <c r="G12" s="382">
        <v>0.25</v>
      </c>
      <c r="H12" s="332">
        <f>IF(A12="","",E12*G12+E12)</f>
        <v>0.1875</v>
      </c>
      <c r="I12" s="333">
        <f>IF(A12="",I10,IF(A12="None",I10,I10*(1-H12)))</f>
        <v>8.3288950929368</v>
      </c>
      <c r="J12" s="249"/>
      <c r="K12" s="139"/>
      <c r="L12" s="139"/>
      <c r="M12" s="139"/>
      <c r="N12" s="445" t="s">
        <v>526</v>
      </c>
      <c r="O12" s="446">
        <v>0.15</v>
      </c>
      <c r="P12" s="303">
        <v>0.25</v>
      </c>
      <c r="Q12" s="304">
        <f t="shared" si="0"/>
        <v>0.6625000000000001</v>
      </c>
      <c r="S12" s="48"/>
      <c r="T12" s="48"/>
      <c r="U12" s="48"/>
      <c r="V12" s="48"/>
      <c r="W12" s="48"/>
      <c r="X12" s="48"/>
      <c r="Y12" s="48"/>
      <c r="Z12" s="506"/>
      <c r="AA12" s="507"/>
      <c r="AC12" s="503"/>
      <c r="AD12" s="503"/>
      <c r="AE12" s="505"/>
      <c r="AF12" s="505"/>
      <c r="AG12" s="506"/>
    </row>
    <row r="13" spans="1:33" ht="15.75">
      <c r="A13" s="982"/>
      <c r="B13" s="983"/>
      <c r="C13" s="983"/>
      <c r="D13" s="983"/>
      <c r="E13" s="928">
        <f>IF(A13="","",VLOOKUP(A13,$N$2:$O$17,2))</f>
      </c>
      <c r="F13" s="928"/>
      <c r="G13" s="383"/>
      <c r="H13" s="334">
        <f>IF(A13="","",E13*G13+E13)</f>
      </c>
      <c r="I13" s="335">
        <f>IF(A13="","",I12*(1-H13))</f>
      </c>
      <c r="J13" s="249"/>
      <c r="K13" s="139"/>
      <c r="L13" s="139"/>
      <c r="M13" s="139"/>
      <c r="N13" s="445" t="s">
        <v>529</v>
      </c>
      <c r="O13" s="446">
        <v>0.15</v>
      </c>
      <c r="P13" s="303"/>
      <c r="S13" s="48"/>
      <c r="T13" s="48"/>
      <c r="U13" s="48"/>
      <c r="V13" s="48"/>
      <c r="W13" s="48"/>
      <c r="X13" s="48"/>
      <c r="Y13" s="48"/>
      <c r="Z13" s="506"/>
      <c r="AA13" s="507"/>
      <c r="AC13" s="503"/>
      <c r="AD13" s="503"/>
      <c r="AE13" s="505"/>
      <c r="AF13" s="505"/>
      <c r="AG13" s="506"/>
    </row>
    <row r="14" spans="1:33" ht="15.75">
      <c r="A14" s="932"/>
      <c r="B14" s="933"/>
      <c r="C14" s="933"/>
      <c r="D14" s="933"/>
      <c r="E14" s="929">
        <f>IF(A14="","",VLOOKUP(A14,$N$2:$O$17,2))</f>
      </c>
      <c r="F14" s="929"/>
      <c r="G14" s="384"/>
      <c r="H14" s="344">
        <f>IF(A14="","",E14*G14+E14)</f>
      </c>
      <c r="I14" s="345">
        <f>IF(A14="","",I13*(1-H14))</f>
      </c>
      <c r="J14" s="165"/>
      <c r="N14" s="445" t="s">
        <v>534</v>
      </c>
      <c r="O14" s="446">
        <v>0.23</v>
      </c>
      <c r="P14" s="303"/>
      <c r="S14" s="48"/>
      <c r="T14" s="48"/>
      <c r="U14" s="48"/>
      <c r="V14" s="48"/>
      <c r="W14" s="48"/>
      <c r="X14" s="48"/>
      <c r="Y14" s="48"/>
      <c r="Z14" s="506"/>
      <c r="AA14" s="507"/>
      <c r="AC14" s="503"/>
      <c r="AD14" s="503"/>
      <c r="AE14" s="505"/>
      <c r="AF14" s="505"/>
      <c r="AG14" s="506"/>
    </row>
    <row r="15" spans="1:33" ht="19.5" customHeight="1">
      <c r="A15" s="925" t="s">
        <v>491</v>
      </c>
      <c r="B15" s="926"/>
      <c r="C15" s="926"/>
      <c r="D15" s="926"/>
      <c r="E15" s="930">
        <f>IF(A12="",I10,IF(A12="None",I10,MIN(I12:I14)))</f>
        <v>8.3288950929368</v>
      </c>
      <c r="F15" s="931"/>
      <c r="G15" s="342" t="s">
        <v>490</v>
      </c>
      <c r="H15" s="402">
        <f>E15/12</f>
        <v>0.6940745910780667</v>
      </c>
      <c r="I15" s="343" t="s">
        <v>489</v>
      </c>
      <c r="N15" s="445" t="s">
        <v>535</v>
      </c>
      <c r="O15" s="446">
        <v>0.23</v>
      </c>
      <c r="P15" s="303"/>
      <c r="S15" s="48"/>
      <c r="T15" s="48"/>
      <c r="U15" s="48"/>
      <c r="V15" s="48"/>
      <c r="W15" s="48"/>
      <c r="X15" s="48"/>
      <c r="Y15" s="48"/>
      <c r="Z15" s="506"/>
      <c r="AA15" s="507"/>
      <c r="AC15" s="503"/>
      <c r="AD15" s="503"/>
      <c r="AE15" s="505"/>
      <c r="AF15" s="505"/>
      <c r="AG15" s="506"/>
    </row>
    <row r="16" spans="1:33" ht="15.75">
      <c r="A16" s="976" t="s">
        <v>449</v>
      </c>
      <c r="B16" s="977"/>
      <c r="C16" s="977"/>
      <c r="D16" s="977"/>
      <c r="E16" s="977"/>
      <c r="F16" s="977"/>
      <c r="G16" s="977"/>
      <c r="H16" s="977"/>
      <c r="I16" s="978"/>
      <c r="N16" s="445" t="s">
        <v>536</v>
      </c>
      <c r="O16" s="446">
        <v>0.23</v>
      </c>
      <c r="P16" s="303"/>
      <c r="S16" s="48"/>
      <c r="T16" s="48"/>
      <c r="U16" s="48"/>
      <c r="V16" s="48"/>
      <c r="W16" s="48"/>
      <c r="X16" s="48"/>
      <c r="Y16" s="48"/>
      <c r="Z16" s="506"/>
      <c r="AA16" s="507"/>
      <c r="AC16" s="503"/>
      <c r="AD16" s="503"/>
      <c r="AE16" s="505"/>
      <c r="AF16" s="505"/>
      <c r="AG16" s="506"/>
    </row>
    <row r="17" spans="1:33" ht="16.5" customHeight="1">
      <c r="A17" s="984">
        <f>IF('Pond Vol'!D6="Evaporative Pond","Do not use this sheet for evaporative ponds!","")</f>
      </c>
      <c r="B17" s="985"/>
      <c r="C17" s="985"/>
      <c r="D17" s="985"/>
      <c r="E17" s="133"/>
      <c r="F17" s="133"/>
      <c r="G17" s="133" t="s">
        <v>811</v>
      </c>
      <c r="H17" s="245">
        <f>'Pond Vol'!I6</f>
        <v>3</v>
      </c>
      <c r="I17" s="246" t="s">
        <v>377</v>
      </c>
      <c r="N17" s="445" t="s">
        <v>537</v>
      </c>
      <c r="O17" s="446">
        <v>0.23</v>
      </c>
      <c r="S17" s="48"/>
      <c r="T17" s="48"/>
      <c r="U17" s="48"/>
      <c r="V17" s="48"/>
      <c r="W17" s="48"/>
      <c r="X17" s="48"/>
      <c r="Y17" s="48"/>
      <c r="Z17" s="506"/>
      <c r="AA17" s="507"/>
      <c r="AC17" s="503"/>
      <c r="AD17" s="503"/>
      <c r="AE17" s="505"/>
      <c r="AF17" s="505"/>
      <c r="AG17" s="506"/>
    </row>
    <row r="18" spans="1:33" ht="16.5" customHeight="1">
      <c r="A18" s="991" t="s">
        <v>802</v>
      </c>
      <c r="B18" s="992"/>
      <c r="C18" s="992"/>
      <c r="D18" s="992"/>
      <c r="E18" s="992"/>
      <c r="F18" s="992"/>
      <c r="G18" s="993"/>
      <c r="H18" s="706">
        <f>IF(G5="Evaporative Pond","NA",IF(G5="120-day Storage",'Pond Vol'!D27+(H15*4/12),'Pond Vol'!D25+(H15*2/12)))</f>
        <v>18.583770777173424</v>
      </c>
      <c r="I18" s="440" t="s">
        <v>363</v>
      </c>
      <c r="N18" s="448" t="s">
        <v>556</v>
      </c>
      <c r="O18" s="449"/>
      <c r="S18" s="48"/>
      <c r="T18" s="48"/>
      <c r="U18" s="48"/>
      <c r="V18" s="48"/>
      <c r="W18" s="48"/>
      <c r="X18" s="48"/>
      <c r="Y18" s="48"/>
      <c r="Z18" s="506"/>
      <c r="AA18" s="507"/>
      <c r="AC18" s="503"/>
      <c r="AD18" s="503"/>
      <c r="AE18" s="505"/>
      <c r="AF18" s="505"/>
      <c r="AG18" s="506"/>
    </row>
    <row r="19" spans="1:33" ht="13.5" customHeight="1">
      <c r="A19" s="247"/>
      <c r="B19" s="133"/>
      <c r="C19" s="133"/>
      <c r="D19" s="133"/>
      <c r="E19" s="133"/>
      <c r="F19" s="133"/>
      <c r="G19" s="133" t="s">
        <v>424</v>
      </c>
      <c r="H19" s="245">
        <f>'Lot Runoff'!F25/12*E49</f>
        <v>1.317000495781919</v>
      </c>
      <c r="I19" s="246" t="s">
        <v>363</v>
      </c>
      <c r="S19" s="48"/>
      <c r="T19" s="48"/>
      <c r="U19" s="48"/>
      <c r="V19" s="48"/>
      <c r="W19" s="48"/>
      <c r="X19" s="48"/>
      <c r="Y19" s="48"/>
      <c r="Z19" s="506"/>
      <c r="AA19" s="507"/>
      <c r="AC19" s="503"/>
      <c r="AD19" s="503"/>
      <c r="AE19" s="505"/>
      <c r="AF19" s="505"/>
      <c r="AG19" s="506"/>
    </row>
    <row r="20" spans="1:33" ht="15" customHeight="1">
      <c r="A20" s="247"/>
      <c r="B20" s="133"/>
      <c r="C20" s="133"/>
      <c r="D20" s="133"/>
      <c r="E20" s="133"/>
      <c r="F20" s="133"/>
      <c r="G20" s="133" t="s">
        <v>425</v>
      </c>
      <c r="H20" s="245">
        <f>IF(J8&lt;&gt;TRUE,"0",'Lot Runoff'!F28)</f>
        <v>7.388360747454402</v>
      </c>
      <c r="I20" s="246" t="s">
        <v>363</v>
      </c>
      <c r="S20" s="48"/>
      <c r="T20" s="48"/>
      <c r="U20" s="48"/>
      <c r="V20" s="48"/>
      <c r="W20" s="48"/>
      <c r="X20" s="48"/>
      <c r="Y20" s="48"/>
      <c r="Z20" s="506"/>
      <c r="AA20" s="507"/>
      <c r="AC20" s="503"/>
      <c r="AD20" s="503"/>
      <c r="AE20" s="505"/>
      <c r="AF20" s="505"/>
      <c r="AG20" s="506"/>
    </row>
    <row r="21" spans="1:33" ht="15.75">
      <c r="A21" s="247"/>
      <c r="B21" s="133"/>
      <c r="C21" s="133"/>
      <c r="D21" s="133"/>
      <c r="E21" s="133"/>
      <c r="F21" s="133"/>
      <c r="G21" s="133" t="s">
        <v>492</v>
      </c>
      <c r="H21" s="210">
        <f>H15*G6</f>
        <v>3.4703729553903333</v>
      </c>
      <c r="I21" s="246" t="s">
        <v>363</v>
      </c>
      <c r="S21" s="48"/>
      <c r="T21" s="48"/>
      <c r="U21" s="48"/>
      <c r="V21" s="48"/>
      <c r="W21" s="48"/>
      <c r="X21" s="48"/>
      <c r="Y21" s="48"/>
      <c r="Z21" s="506"/>
      <c r="AA21" s="507"/>
      <c r="AC21" s="503"/>
      <c r="AD21" s="503"/>
      <c r="AE21" s="505"/>
      <c r="AF21" s="505"/>
      <c r="AG21" s="506"/>
    </row>
    <row r="22" spans="1:33" ht="15.75">
      <c r="A22" s="247"/>
      <c r="B22" s="133"/>
      <c r="C22" s="133"/>
      <c r="D22" s="133"/>
      <c r="E22" s="133"/>
      <c r="F22" s="133"/>
      <c r="G22" s="133" t="s">
        <v>390</v>
      </c>
      <c r="H22" s="245">
        <f>SUM(H18:H21)</f>
        <v>30.759504975800077</v>
      </c>
      <c r="I22" s="246" t="s">
        <v>363</v>
      </c>
      <c r="S22" s="48"/>
      <c r="T22" s="48"/>
      <c r="U22" s="48"/>
      <c r="V22" s="48"/>
      <c r="W22" s="48"/>
      <c r="X22" s="48"/>
      <c r="Y22" s="48"/>
      <c r="Z22" s="506"/>
      <c r="AA22" s="507"/>
      <c r="AC22" s="503"/>
      <c r="AD22" s="503"/>
      <c r="AE22" s="505"/>
      <c r="AF22" s="505"/>
      <c r="AG22" s="506"/>
    </row>
    <row r="23" spans="1:33" ht="15.75">
      <c r="A23" s="250"/>
      <c r="B23" s="251"/>
      <c r="C23" s="251"/>
      <c r="D23" s="251"/>
      <c r="E23" s="252" t="s">
        <v>422</v>
      </c>
      <c r="F23" s="251"/>
      <c r="G23" s="251"/>
      <c r="H23" s="251"/>
      <c r="I23" s="253"/>
      <c r="S23" s="48"/>
      <c r="T23" s="48"/>
      <c r="U23" s="48"/>
      <c r="V23" s="48"/>
      <c r="W23" s="48"/>
      <c r="X23" s="48"/>
      <c r="Y23" s="48"/>
      <c r="Z23" s="506"/>
      <c r="AA23" s="507"/>
      <c r="AC23" s="503"/>
      <c r="AD23" s="503"/>
      <c r="AE23" s="505"/>
      <c r="AF23" s="505"/>
      <c r="AG23" s="506"/>
    </row>
    <row r="24" spans="1:33" ht="15.75">
      <c r="A24" s="940" t="s">
        <v>398</v>
      </c>
      <c r="B24" s="941"/>
      <c r="C24" s="941"/>
      <c r="D24" s="941"/>
      <c r="E24" s="256">
        <v>2</v>
      </c>
      <c r="F24" s="257"/>
      <c r="G24" s="257"/>
      <c r="H24" s="257"/>
      <c r="I24" s="132"/>
      <c r="J24" s="258" t="s">
        <v>382</v>
      </c>
      <c r="K24" s="259">
        <f>E28</f>
        <v>6.1</v>
      </c>
      <c r="L24" s="139" t="s">
        <v>384</v>
      </c>
      <c r="M24" s="139"/>
      <c r="N24" s="139"/>
      <c r="S24" s="48"/>
      <c r="T24" s="48"/>
      <c r="U24" s="48"/>
      <c r="V24" s="48"/>
      <c r="W24" s="48"/>
      <c r="X24" s="48"/>
      <c r="Y24" s="48"/>
      <c r="Z24" s="506"/>
      <c r="AA24" s="507"/>
      <c r="AC24" s="503"/>
      <c r="AD24" s="503"/>
      <c r="AE24" s="505"/>
      <c r="AF24" s="505"/>
      <c r="AG24" s="506"/>
    </row>
    <row r="25" spans="1:33" ht="15.75">
      <c r="A25" s="940" t="s">
        <v>378</v>
      </c>
      <c r="B25" s="941"/>
      <c r="C25" s="941"/>
      <c r="D25" s="941"/>
      <c r="E25" s="198">
        <v>361</v>
      </c>
      <c r="F25" s="260">
        <f>SQRT('Pond Vol'!I6*43560)</f>
        <v>361.4968879534096</v>
      </c>
      <c r="G25" s="261" t="s">
        <v>416</v>
      </c>
      <c r="H25" s="261"/>
      <c r="I25" s="132"/>
      <c r="J25" s="258" t="s">
        <v>452</v>
      </c>
      <c r="K25" s="249">
        <f>E25-2*E26*K24/2</f>
        <v>342.7</v>
      </c>
      <c r="L25" s="139" t="s">
        <v>384</v>
      </c>
      <c r="M25" s="139"/>
      <c r="N25" s="139"/>
      <c r="S25" s="48"/>
      <c r="T25" s="48"/>
      <c r="U25" s="48"/>
      <c r="V25" s="48"/>
      <c r="W25" s="48"/>
      <c r="X25" s="48"/>
      <c r="Y25" s="48"/>
      <c r="Z25" s="506"/>
      <c r="AA25" s="507"/>
      <c r="AC25" s="503"/>
      <c r="AD25" s="503"/>
      <c r="AE25" s="505"/>
      <c r="AF25" s="505"/>
      <c r="AG25" s="506"/>
    </row>
    <row r="26" spans="1:14" ht="15" customHeight="1">
      <c r="A26" s="989" t="s">
        <v>358</v>
      </c>
      <c r="B26" s="990"/>
      <c r="C26" s="990"/>
      <c r="D26" s="990"/>
      <c r="E26" s="180">
        <v>3</v>
      </c>
      <c r="F26" s="262" t="s">
        <v>21</v>
      </c>
      <c r="G26" s="261" t="s">
        <v>423</v>
      </c>
      <c r="H26" s="261"/>
      <c r="I26" s="132"/>
      <c r="J26" s="258" t="s">
        <v>453</v>
      </c>
      <c r="K26" s="249">
        <f>E27-2*E26*K24/2</f>
        <v>343.694459833795</v>
      </c>
      <c r="L26" s="139" t="s">
        <v>384</v>
      </c>
      <c r="M26" s="139"/>
      <c r="N26" s="139"/>
    </row>
    <row r="27" spans="1:14" ht="15" customHeight="1">
      <c r="A27" s="940" t="s">
        <v>379</v>
      </c>
      <c r="B27" s="941"/>
      <c r="C27" s="941"/>
      <c r="D27" s="941"/>
      <c r="E27" s="263">
        <f>H17*43560/E25</f>
        <v>361.994459833795</v>
      </c>
      <c r="F27" s="200">
        <f>F25</f>
        <v>361.4968879534096</v>
      </c>
      <c r="G27" s="264" t="s">
        <v>417</v>
      </c>
      <c r="H27" s="261"/>
      <c r="I27" s="132"/>
      <c r="J27" s="258" t="s">
        <v>380</v>
      </c>
      <c r="K27" s="294">
        <f>K25*K26</f>
        <v>117784.09138504154</v>
      </c>
      <c r="L27" s="139" t="s">
        <v>385</v>
      </c>
      <c r="M27" s="249">
        <f>K27/43560</f>
        <v>2.7039506745877304</v>
      </c>
      <c r="N27" s="139" t="s">
        <v>377</v>
      </c>
    </row>
    <row r="28" spans="1:14" ht="15" customHeight="1">
      <c r="A28" s="940" t="s">
        <v>391</v>
      </c>
      <c r="B28" s="941"/>
      <c r="C28" s="941"/>
      <c r="D28" s="941"/>
      <c r="E28" s="181">
        <v>6.1</v>
      </c>
      <c r="F28" s="265" t="s">
        <v>446</v>
      </c>
      <c r="G28" s="265"/>
      <c r="H28" s="265"/>
      <c r="I28" s="132"/>
      <c r="J28" s="258" t="s">
        <v>381</v>
      </c>
      <c r="K28" s="294">
        <f>(E25+2*E26*K24/2)*(E27+2*E26*K24/2)</f>
        <v>144245.68861495846</v>
      </c>
      <c r="L28" s="139" t="s">
        <v>385</v>
      </c>
      <c r="M28" s="249">
        <f>K28/43560</f>
        <v>3.311425358470121</v>
      </c>
      <c r="N28" s="139" t="s">
        <v>377</v>
      </c>
    </row>
    <row r="29" spans="1:12" ht="15">
      <c r="A29" s="940" t="s">
        <v>401</v>
      </c>
      <c r="B29" s="941"/>
      <c r="C29" s="941"/>
      <c r="D29" s="942"/>
      <c r="E29" s="550">
        <f>K30</f>
        <v>18.315632240973027</v>
      </c>
      <c r="F29" s="707">
        <f>H18</f>
        <v>18.583770777173424</v>
      </c>
      <c r="G29" s="957" t="s">
        <v>793</v>
      </c>
      <c r="H29" s="957"/>
      <c r="I29" s="988"/>
      <c r="J29" s="258" t="s">
        <v>383</v>
      </c>
      <c r="K29" s="294">
        <f>K24/3*(K27+K28+(K27*K28)^0.5)</f>
        <v>797828.9404167851</v>
      </c>
      <c r="L29" s="139" t="s">
        <v>386</v>
      </c>
    </row>
    <row r="30" spans="1:14" ht="15" customHeight="1">
      <c r="A30" s="254"/>
      <c r="B30" s="255"/>
      <c r="C30" s="255"/>
      <c r="D30" s="255"/>
      <c r="E30" s="300"/>
      <c r="F30" s="986" t="str">
        <f>IF(E29&lt;H18,"  Increase POND Depth!"," The POND Vol. is OK or depth may be decreased.")</f>
        <v>  Increase POND Depth!</v>
      </c>
      <c r="G30" s="986"/>
      <c r="H30" s="986"/>
      <c r="I30" s="987"/>
      <c r="J30" s="258" t="s">
        <v>383</v>
      </c>
      <c r="K30" s="249">
        <f>K29/43560</f>
        <v>18.315632240973027</v>
      </c>
      <c r="L30" s="139" t="s">
        <v>400</v>
      </c>
      <c r="M30" s="139"/>
      <c r="N30" s="139"/>
    </row>
    <row r="31" spans="1:14" ht="12.75" customHeight="1">
      <c r="A31" s="298" t="s">
        <v>471</v>
      </c>
      <c r="B31" s="265"/>
      <c r="C31" s="265"/>
      <c r="D31" s="265"/>
      <c r="E31" s="265"/>
      <c r="F31" s="265"/>
      <c r="G31" s="265"/>
      <c r="H31" s="265"/>
      <c r="I31" s="299"/>
      <c r="M31" s="139"/>
      <c r="N31" s="139"/>
    </row>
    <row r="32" spans="1:14" ht="12.75">
      <c r="A32" s="298" t="s">
        <v>472</v>
      </c>
      <c r="B32" s="265"/>
      <c r="C32" s="265"/>
      <c r="D32" s="265"/>
      <c r="E32" s="265"/>
      <c r="F32" s="265"/>
      <c r="G32" s="265"/>
      <c r="H32" s="265"/>
      <c r="I32" s="299"/>
      <c r="M32" s="139"/>
      <c r="N32" s="139"/>
    </row>
    <row r="33" spans="1:14" ht="15" customHeight="1">
      <c r="A33" s="250"/>
      <c r="B33" s="268"/>
      <c r="C33" s="268"/>
      <c r="D33" s="268"/>
      <c r="E33" s="252" t="s">
        <v>410</v>
      </c>
      <c r="F33" s="269"/>
      <c r="G33" s="270"/>
      <c r="H33" s="270"/>
      <c r="I33" s="253"/>
      <c r="J33" s="258"/>
      <c r="K33" s="249"/>
      <c r="L33" s="139"/>
      <c r="M33" s="139"/>
      <c r="N33" s="139"/>
    </row>
    <row r="34" spans="1:14" ht="15" customHeight="1">
      <c r="A34" s="940" t="s">
        <v>392</v>
      </c>
      <c r="B34" s="941"/>
      <c r="C34" s="941"/>
      <c r="D34" s="941"/>
      <c r="E34" s="256">
        <f>M28</f>
        <v>3.311425358470121</v>
      </c>
      <c r="F34" s="148"/>
      <c r="G34" s="148"/>
      <c r="H34" s="148"/>
      <c r="I34" s="132"/>
      <c r="J34" s="139"/>
      <c r="K34" s="139"/>
      <c r="L34" s="139"/>
      <c r="M34" s="139"/>
      <c r="N34" s="139"/>
    </row>
    <row r="35" spans="1:14" ht="15" customHeight="1">
      <c r="A35" s="940" t="s">
        <v>419</v>
      </c>
      <c r="B35" s="941"/>
      <c r="C35" s="941"/>
      <c r="D35" s="941"/>
      <c r="E35" s="263">
        <f>E25+2*E26*E28/2</f>
        <v>379.3</v>
      </c>
      <c r="F35" s="271"/>
      <c r="G35" s="131"/>
      <c r="H35" s="131"/>
      <c r="I35" s="132"/>
      <c r="J35" s="258" t="s">
        <v>404</v>
      </c>
      <c r="K35" s="259">
        <f>E37</f>
        <v>1.7</v>
      </c>
      <c r="L35" s="139" t="s">
        <v>384</v>
      </c>
      <c r="M35" s="346">
        <f>E35*E36/43560</f>
        <v>3.311425358470121</v>
      </c>
      <c r="N35" s="139" t="s">
        <v>41</v>
      </c>
    </row>
    <row r="36" spans="1:14" ht="15" customHeight="1">
      <c r="A36" s="940" t="s">
        <v>420</v>
      </c>
      <c r="B36" s="941"/>
      <c r="C36" s="941"/>
      <c r="D36" s="941"/>
      <c r="E36" s="263">
        <f>E27+2*E26*E28/2</f>
        <v>380.29445983379503</v>
      </c>
      <c r="F36" s="272">
        <f>IF(H20="0",H19,H19+H20)</f>
        <v>8.705361243236322</v>
      </c>
      <c r="G36" s="265" t="s">
        <v>402</v>
      </c>
      <c r="H36" s="148"/>
      <c r="I36" s="149"/>
      <c r="J36" s="258" t="s">
        <v>403</v>
      </c>
      <c r="K36" s="294">
        <f>(E35+2*K35*E26)*(E36+2*K35*E26)</f>
        <v>152097.59210526315</v>
      </c>
      <c r="L36" s="139" t="s">
        <v>385</v>
      </c>
      <c r="M36" s="139"/>
      <c r="N36" s="139"/>
    </row>
    <row r="37" spans="1:14" ht="14.25" customHeight="1">
      <c r="A37" s="940" t="s">
        <v>418</v>
      </c>
      <c r="B37" s="941"/>
      <c r="C37" s="941"/>
      <c r="D37" s="941"/>
      <c r="E37" s="181">
        <v>1.7</v>
      </c>
      <c r="F37" s="960" t="str">
        <f>IF(E38&lt;F36,"    Increase STORM Vol. Depth!","    The STORM Vol. is OK or depth can be decreased.")</f>
        <v>    Increase STORM Vol. Depth!</v>
      </c>
      <c r="G37" s="966"/>
      <c r="H37" s="966"/>
      <c r="I37" s="967"/>
      <c r="J37" s="258" t="s">
        <v>393</v>
      </c>
      <c r="K37" s="294">
        <f>K35/3*(K28+K36+(K28*K36)^0.5)</f>
        <v>251862.3105629844</v>
      </c>
      <c r="L37" s="139" t="s">
        <v>386</v>
      </c>
      <c r="M37" s="139"/>
      <c r="N37" s="139"/>
    </row>
    <row r="38" spans="1:15" ht="15">
      <c r="A38" s="940" t="s">
        <v>421</v>
      </c>
      <c r="B38" s="941"/>
      <c r="C38" s="941"/>
      <c r="D38" s="942"/>
      <c r="E38" s="266">
        <f>K38</f>
        <v>5.78196305241011</v>
      </c>
      <c r="F38" s="968"/>
      <c r="G38" s="966"/>
      <c r="H38" s="966"/>
      <c r="I38" s="967"/>
      <c r="J38" s="258" t="s">
        <v>393</v>
      </c>
      <c r="K38" s="249">
        <f>K37/43560</f>
        <v>5.78196305241011</v>
      </c>
      <c r="L38" s="139" t="s">
        <v>400</v>
      </c>
      <c r="M38" s="139"/>
      <c r="N38" s="139"/>
      <c r="O38" s="6"/>
    </row>
    <row r="39" spans="1:15" ht="15.75">
      <c r="A39" s="250"/>
      <c r="B39" s="268"/>
      <c r="C39" s="268"/>
      <c r="D39" s="268"/>
      <c r="E39" s="252" t="s">
        <v>493</v>
      </c>
      <c r="F39" s="269"/>
      <c r="G39" s="270"/>
      <c r="H39" s="270"/>
      <c r="I39" s="253"/>
      <c r="J39" s="134"/>
      <c r="K39" s="258"/>
      <c r="L39" s="139"/>
      <c r="M39" s="139"/>
      <c r="N39" s="134"/>
      <c r="O39" s="6"/>
    </row>
    <row r="40" spans="1:15" ht="15" customHeight="1">
      <c r="A40" s="940" t="s">
        <v>508</v>
      </c>
      <c r="B40" s="941"/>
      <c r="C40" s="941"/>
      <c r="D40" s="941"/>
      <c r="E40" s="359">
        <f>K27/43560</f>
        <v>2.7039506745877304</v>
      </c>
      <c r="F40" s="336"/>
      <c r="G40" s="336"/>
      <c r="H40" s="336"/>
      <c r="I40" s="337"/>
      <c r="J40" s="360" t="s">
        <v>504</v>
      </c>
      <c r="K40" s="362">
        <f>K27</f>
        <v>117784.09138504154</v>
      </c>
      <c r="L40" s="139" t="s">
        <v>385</v>
      </c>
      <c r="M40" s="139"/>
      <c r="N40" s="134"/>
      <c r="O40" s="6"/>
    </row>
    <row r="41" spans="1:15" ht="15" customHeight="1">
      <c r="A41" s="940" t="s">
        <v>501</v>
      </c>
      <c r="B41" s="941"/>
      <c r="C41" s="941"/>
      <c r="D41" s="941"/>
      <c r="E41" s="359">
        <f>K25</f>
        <v>342.7</v>
      </c>
      <c r="F41" s="336"/>
      <c r="G41" s="336"/>
      <c r="H41" s="336"/>
      <c r="I41" s="337"/>
      <c r="J41" s="361" t="s">
        <v>506</v>
      </c>
      <c r="K41" s="363">
        <f>E25-2*(E28/2+E43)*E26</f>
        <v>334.3</v>
      </c>
      <c r="L41" s="139" t="s">
        <v>384</v>
      </c>
      <c r="M41" s="139"/>
      <c r="N41" s="134"/>
      <c r="O41" s="6"/>
    </row>
    <row r="42" spans="1:15" ht="15" customHeight="1">
      <c r="A42" s="940" t="s">
        <v>502</v>
      </c>
      <c r="B42" s="941"/>
      <c r="C42" s="941"/>
      <c r="D42" s="941"/>
      <c r="E42" s="359">
        <f>K26</f>
        <v>343.694459833795</v>
      </c>
      <c r="F42" s="348">
        <f>H21</f>
        <v>3.4703729553903333</v>
      </c>
      <c r="G42" s="957" t="s">
        <v>494</v>
      </c>
      <c r="H42" s="958"/>
      <c r="I42" s="959"/>
      <c r="J42" s="361" t="s">
        <v>507</v>
      </c>
      <c r="K42" s="363">
        <f>E27-2*(E28/2+E43)*E26</f>
        <v>335.29445983379503</v>
      </c>
      <c r="L42" s="139" t="s">
        <v>384</v>
      </c>
      <c r="M42" s="139"/>
      <c r="N42" s="134"/>
      <c r="O42" s="6"/>
    </row>
    <row r="43" spans="1:15" ht="15" customHeight="1">
      <c r="A43" s="940" t="s">
        <v>503</v>
      </c>
      <c r="B43" s="941"/>
      <c r="C43" s="941"/>
      <c r="D43" s="941"/>
      <c r="E43" s="181">
        <v>1.4</v>
      </c>
      <c r="F43" s="960" t="str">
        <f>IF(E44&lt;F42,"  Increase SLUDGE Vol. Depth!"," The SLUDGE Vol. is OK or depth can be decreased.")</f>
        <v> The SLUDGE Vol. is OK or depth can be decreased.</v>
      </c>
      <c r="G43" s="961"/>
      <c r="H43" s="961"/>
      <c r="I43" s="962"/>
      <c r="J43" s="361" t="s">
        <v>505</v>
      </c>
      <c r="K43" s="362">
        <f>K41*K42</f>
        <v>112088.93792243769</v>
      </c>
      <c r="L43" s="139" t="s">
        <v>385</v>
      </c>
      <c r="M43" s="249">
        <f>K43/43560</f>
        <v>2.5732079412864484</v>
      </c>
      <c r="N43" s="139" t="s">
        <v>377</v>
      </c>
      <c r="O43" s="6"/>
    </row>
    <row r="44" spans="1:15" ht="15" customHeight="1">
      <c r="A44" s="945" t="s">
        <v>509</v>
      </c>
      <c r="B44" s="946"/>
      <c r="C44" s="946"/>
      <c r="D44" s="946"/>
      <c r="E44" s="359">
        <f>K44/43560</f>
        <v>3.693633068866143</v>
      </c>
      <c r="F44" s="963"/>
      <c r="G44" s="964"/>
      <c r="H44" s="964"/>
      <c r="I44" s="965"/>
      <c r="J44" s="361" t="s">
        <v>510</v>
      </c>
      <c r="K44" s="155">
        <f>E43/3*(K40+K43+(K40*K43)^0.5)</f>
        <v>160894.6564798092</v>
      </c>
      <c r="L44" s="139" t="s">
        <v>386</v>
      </c>
      <c r="N44" s="134"/>
      <c r="O44" s="6"/>
    </row>
    <row r="45" spans="1:15" ht="15.75">
      <c r="A45" s="250"/>
      <c r="B45" s="273"/>
      <c r="C45" s="273"/>
      <c r="D45" s="273"/>
      <c r="E45" s="252" t="s">
        <v>411</v>
      </c>
      <c r="F45" s="273"/>
      <c r="G45" s="273"/>
      <c r="H45" s="274"/>
      <c r="I45" s="275"/>
      <c r="J45" s="134"/>
      <c r="N45" s="134"/>
      <c r="O45" s="6"/>
    </row>
    <row r="46" spans="1:15" ht="15">
      <c r="A46" s="940" t="s">
        <v>394</v>
      </c>
      <c r="B46" s="941"/>
      <c r="C46" s="941"/>
      <c r="D46" s="941"/>
      <c r="E46" s="256">
        <f>E28+E37+E24+E43</f>
        <v>11.200000000000001</v>
      </c>
      <c r="F46" s="265" t="s">
        <v>538</v>
      </c>
      <c r="G46" s="148"/>
      <c r="H46" s="148"/>
      <c r="I46" s="149"/>
      <c r="J46" s="134"/>
      <c r="N46" s="134"/>
      <c r="O46" s="6"/>
    </row>
    <row r="47" spans="1:15" ht="15" customHeight="1">
      <c r="A47" s="940" t="s">
        <v>395</v>
      </c>
      <c r="B47" s="941"/>
      <c r="C47" s="941"/>
      <c r="D47" s="941"/>
      <c r="E47" s="276">
        <f>E25+2*E26*(E28/2+E37+E24)</f>
        <v>401.5</v>
      </c>
      <c r="F47" s="265"/>
      <c r="G47" s="148"/>
      <c r="H47" s="148"/>
      <c r="I47" s="149"/>
      <c r="J47" s="134"/>
      <c r="N47" s="134"/>
      <c r="O47" s="6"/>
    </row>
    <row r="48" spans="1:15" ht="15">
      <c r="A48" s="940" t="s">
        <v>396</v>
      </c>
      <c r="B48" s="941"/>
      <c r="C48" s="941"/>
      <c r="D48" s="941"/>
      <c r="E48" s="276">
        <f>E27+2*E26*(E28/2+E37+E24)</f>
        <v>402.494459833795</v>
      </c>
      <c r="F48" s="265"/>
      <c r="G48" s="970" t="s">
        <v>499</v>
      </c>
      <c r="H48" s="970"/>
      <c r="I48" s="971"/>
      <c r="J48" s="134"/>
      <c r="N48" s="134"/>
      <c r="O48" s="6"/>
    </row>
    <row r="49" spans="1:15" ht="15" customHeight="1">
      <c r="A49" s="940" t="s">
        <v>397</v>
      </c>
      <c r="B49" s="941"/>
      <c r="C49" s="941"/>
      <c r="D49" s="942"/>
      <c r="E49" s="349">
        <f>(E47*E48)/43560</f>
        <v>3.7098605514983634</v>
      </c>
      <c r="F49" s="265"/>
      <c r="G49" s="970"/>
      <c r="H49" s="970"/>
      <c r="I49" s="971"/>
      <c r="J49" s="134"/>
      <c r="N49" s="134"/>
      <c r="O49" s="6"/>
    </row>
    <row r="50" spans="1:15" ht="15" customHeight="1">
      <c r="A50" s="940" t="s">
        <v>512</v>
      </c>
      <c r="B50" s="941"/>
      <c r="C50" s="941"/>
      <c r="D50" s="942"/>
      <c r="E50" s="351">
        <f>E46/3*(M43+E49+(M43*E49)^0.5)</f>
        <v>34.991666950661056</v>
      </c>
      <c r="F50" s="350" t="s">
        <v>495</v>
      </c>
      <c r="G50" s="354">
        <f>IF(E50=0,"",E50*12)</f>
        <v>419.9000034079327</v>
      </c>
      <c r="H50" s="277" t="s">
        <v>497</v>
      </c>
      <c r="I50" s="356"/>
      <c r="J50" s="134"/>
      <c r="N50" s="134"/>
      <c r="O50" s="6"/>
    </row>
    <row r="51" spans="1:15" ht="18" customHeight="1">
      <c r="A51" s="940"/>
      <c r="B51" s="941"/>
      <c r="C51" s="941"/>
      <c r="D51" s="942"/>
      <c r="E51" s="352">
        <f>G50*27154</f>
        <v>11401964.692539005</v>
      </c>
      <c r="F51" s="350" t="s">
        <v>496</v>
      </c>
      <c r="G51" s="355">
        <f>E51*0.1337</f>
        <v>1524442.6793924652</v>
      </c>
      <c r="H51" s="347" t="s">
        <v>498</v>
      </c>
      <c r="I51" s="356"/>
      <c r="J51" s="134"/>
      <c r="N51" s="134"/>
      <c r="O51" s="6"/>
    </row>
    <row r="52" spans="1:14" ht="15">
      <c r="A52" s="945"/>
      <c r="B52" s="946"/>
      <c r="C52" s="946"/>
      <c r="D52" s="947"/>
      <c r="E52" s="353">
        <f>G51/27</f>
        <v>56460.83997749871</v>
      </c>
      <c r="F52" s="277" t="s">
        <v>511</v>
      </c>
      <c r="G52" s="278"/>
      <c r="H52" s="278"/>
      <c r="I52" s="236"/>
      <c r="J52" s="139"/>
      <c r="K52" s="258" t="s">
        <v>406</v>
      </c>
      <c r="L52" s="139">
        <f>IF('Pond Vol'!D6="Milkhouse Evapo. Pond",30,IF('Pond Vol'!D6="60-day Storage",60,120))</f>
        <v>60</v>
      </c>
      <c r="N52" s="139"/>
    </row>
    <row r="53" spans="1:14" ht="15.75">
      <c r="A53" s="279"/>
      <c r="B53" s="280"/>
      <c r="C53" s="280"/>
      <c r="D53" s="280"/>
      <c r="E53" s="252" t="s">
        <v>557</v>
      </c>
      <c r="F53" s="280"/>
      <c r="G53" s="280"/>
      <c r="H53" s="280"/>
      <c r="I53" s="281"/>
      <c r="J53" s="139"/>
      <c r="K53" s="258" t="s">
        <v>405</v>
      </c>
      <c r="L53" s="249">
        <f>IF('Pond Vol'!D6="Evaporative Pond","",H18*21/L52)</f>
        <v>6.504319772010699</v>
      </c>
      <c r="M53" s="139" t="s">
        <v>46</v>
      </c>
      <c r="N53" s="139"/>
    </row>
    <row r="54" spans="1:14" ht="15">
      <c r="A54" s="940" t="s">
        <v>412</v>
      </c>
      <c r="B54" s="941"/>
      <c r="C54" s="941"/>
      <c r="D54" s="941"/>
      <c r="E54" s="256">
        <f>L53</f>
        <v>6.504319772010699</v>
      </c>
      <c r="F54" s="278"/>
      <c r="G54" s="278"/>
      <c r="H54" s="278"/>
      <c r="I54" s="236"/>
      <c r="J54" s="139"/>
      <c r="K54" s="258" t="s">
        <v>407</v>
      </c>
      <c r="L54" s="259">
        <f>E55</f>
        <v>2</v>
      </c>
      <c r="M54" s="139" t="s">
        <v>356</v>
      </c>
      <c r="N54" s="139"/>
    </row>
    <row r="55" spans="1:14" ht="15">
      <c r="A55" s="940" t="s">
        <v>413</v>
      </c>
      <c r="B55" s="941"/>
      <c r="C55" s="941"/>
      <c r="D55" s="941"/>
      <c r="E55" s="181">
        <v>2</v>
      </c>
      <c r="F55" s="265" t="s">
        <v>414</v>
      </c>
      <c r="G55" s="278"/>
      <c r="H55" s="278"/>
      <c r="I55" s="236"/>
      <c r="J55" s="139"/>
      <c r="K55" s="258" t="s">
        <v>409</v>
      </c>
      <c r="L55" s="294">
        <f>(E35-2*L54*E26)*(E36-2*L54*E26)</f>
        <v>135274.5550969529</v>
      </c>
      <c r="M55" s="139" t="s">
        <v>385</v>
      </c>
      <c r="N55" s="139"/>
    </row>
    <row r="56" spans="1:14" ht="15">
      <c r="A56" s="940" t="s">
        <v>415</v>
      </c>
      <c r="B56" s="941"/>
      <c r="C56" s="941"/>
      <c r="D56" s="941"/>
      <c r="E56" s="256">
        <f>L57</f>
        <v>6.4157998996087</v>
      </c>
      <c r="F56" s="267" t="str">
        <f>IF(E56&lt;E54,"    Increase 21-day depth!","    Depth is OK, or depth may be decreased.")</f>
        <v>    Increase 21-day depth!</v>
      </c>
      <c r="G56" s="278"/>
      <c r="H56" s="278"/>
      <c r="I56" s="236"/>
      <c r="J56" s="139"/>
      <c r="K56" s="258" t="s">
        <v>408</v>
      </c>
      <c r="L56" s="139">
        <f>L54/3*(K28+L55+(K28*L55)^0.5)</f>
        <v>279472.24362695497</v>
      </c>
      <c r="M56" s="139" t="s">
        <v>386</v>
      </c>
      <c r="N56" s="139"/>
    </row>
    <row r="57" spans="1:14" ht="15">
      <c r="A57" s="940"/>
      <c r="B57" s="941"/>
      <c r="C57" s="941"/>
      <c r="D57" s="941"/>
      <c r="E57" s="265"/>
      <c r="F57" s="282"/>
      <c r="G57" s="278"/>
      <c r="H57" s="278"/>
      <c r="I57" s="236"/>
      <c r="J57" s="139"/>
      <c r="K57" s="258" t="s">
        <v>408</v>
      </c>
      <c r="L57" s="249">
        <f>L56/43560</f>
        <v>6.4157998996087</v>
      </c>
      <c r="M57" s="139" t="s">
        <v>46</v>
      </c>
      <c r="N57" s="139"/>
    </row>
    <row r="58" spans="1:14" ht="15">
      <c r="A58" s="937" t="s">
        <v>16</v>
      </c>
      <c r="B58" s="938"/>
      <c r="C58" s="938"/>
      <c r="D58" s="938"/>
      <c r="E58" s="938"/>
      <c r="F58" s="938"/>
      <c r="G58" s="938"/>
      <c r="H58" s="938"/>
      <c r="I58" s="939"/>
      <c r="J58" s="139"/>
      <c r="K58" s="139"/>
      <c r="L58" s="139"/>
      <c r="M58" s="139"/>
      <c r="N58" s="139"/>
    </row>
    <row r="59" spans="1:14" ht="15">
      <c r="A59" s="283"/>
      <c r="B59" s="284"/>
      <c r="C59" s="284"/>
      <c r="D59" s="368">
        <f>E47</f>
        <v>401.5</v>
      </c>
      <c r="E59" s="282" t="s">
        <v>125</v>
      </c>
      <c r="F59" s="131"/>
      <c r="G59" s="284"/>
      <c r="H59" s="284"/>
      <c r="I59" s="236"/>
      <c r="J59" s="139"/>
      <c r="K59" s="139"/>
      <c r="L59" s="139"/>
      <c r="M59" s="139"/>
      <c r="N59" s="139"/>
    </row>
    <row r="60" spans="1:14" ht="15">
      <c r="A60" s="130"/>
      <c r="B60" s="131"/>
      <c r="C60" s="627" t="s">
        <v>17</v>
      </c>
      <c r="D60" s="368">
        <f>E48</f>
        <v>402.494459833795</v>
      </c>
      <c r="E60" s="282" t="s">
        <v>115</v>
      </c>
      <c r="F60" s="6"/>
      <c r="G60" s="133"/>
      <c r="H60" s="284"/>
      <c r="I60" s="236"/>
      <c r="J60" s="139"/>
      <c r="K60" s="249">
        <f>D70+2*A69*SQRT(G66^2+1)</f>
        <v>406.12947942156677</v>
      </c>
      <c r="L60" s="139"/>
      <c r="M60" s="139"/>
      <c r="N60" s="139"/>
    </row>
    <row r="61" spans="1:14" ht="14.25">
      <c r="A61" s="628">
        <f>E24</f>
        <v>2</v>
      </c>
      <c r="B61" s="286" t="s">
        <v>427</v>
      </c>
      <c r="C61" s="265"/>
      <c r="D61" s="287"/>
      <c r="E61" s="287"/>
      <c r="F61" s="287"/>
      <c r="G61" s="287"/>
      <c r="H61" s="287"/>
      <c r="I61" s="236"/>
      <c r="J61" s="139"/>
      <c r="K61" s="139"/>
      <c r="L61" s="139"/>
      <c r="M61" s="139"/>
      <c r="N61" s="139"/>
    </row>
    <row r="62" spans="1:14" ht="12.75">
      <c r="A62" s="628">
        <f>E37</f>
        <v>1.7</v>
      </c>
      <c r="B62" s="286" t="s">
        <v>428</v>
      </c>
      <c r="C62" s="265"/>
      <c r="D62" s="131"/>
      <c r="E62" s="131"/>
      <c r="F62" s="131"/>
      <c r="G62" s="131"/>
      <c r="H62" s="131"/>
      <c r="I62" s="132"/>
      <c r="J62" s="139"/>
      <c r="K62" s="139"/>
      <c r="L62" s="139"/>
      <c r="M62" s="139"/>
      <c r="N62" s="139"/>
    </row>
    <row r="63" spans="1:14" ht="12.75">
      <c r="A63" s="628">
        <f>E28</f>
        <v>6.1</v>
      </c>
      <c r="B63" s="286" t="s">
        <v>399</v>
      </c>
      <c r="C63" s="265"/>
      <c r="D63" s="131"/>
      <c r="E63" s="131"/>
      <c r="F63" s="131"/>
      <c r="G63" s="131"/>
      <c r="H63" s="943" t="s">
        <v>469</v>
      </c>
      <c r="I63" s="944"/>
      <c r="J63" s="139"/>
      <c r="K63" s="139"/>
      <c r="L63" s="139"/>
      <c r="M63" s="139"/>
      <c r="N63" s="139"/>
    </row>
    <row r="64" spans="1:14" ht="12.75">
      <c r="A64" s="629"/>
      <c r="B64" s="289" t="s">
        <v>470</v>
      </c>
      <c r="C64" s="630">
        <f>A63-E55</f>
        <v>4.1</v>
      </c>
      <c r="D64" s="131"/>
      <c r="E64" s="131"/>
      <c r="F64" s="131"/>
      <c r="G64" s="282"/>
      <c r="H64" s="6"/>
      <c r="I64" s="132"/>
      <c r="J64" s="139"/>
      <c r="K64" s="139"/>
      <c r="L64" s="139"/>
      <c r="M64" s="139"/>
      <c r="N64" s="139"/>
    </row>
    <row r="65" spans="1:14" ht="12.75">
      <c r="A65" s="358"/>
      <c r="B65" s="3"/>
      <c r="C65" s="131"/>
      <c r="D65" s="131"/>
      <c r="E65" s="131"/>
      <c r="F65" s="131"/>
      <c r="G65" s="6"/>
      <c r="H65" s="133"/>
      <c r="I65" s="132"/>
      <c r="J65" s="139"/>
      <c r="K65" s="249">
        <f>D69+2*A69*SQRT(G66^2+1)</f>
        <v>405.1350195877717</v>
      </c>
      <c r="L65" s="139"/>
      <c r="M65" s="139"/>
      <c r="N65" s="139"/>
    </row>
    <row r="66" spans="1:17" ht="12.75">
      <c r="A66" s="357"/>
      <c r="B66" s="175"/>
      <c r="C66" s="131"/>
      <c r="D66" s="131"/>
      <c r="E66" s="131"/>
      <c r="F66" s="131"/>
      <c r="G66" s="365">
        <f>E26</f>
        <v>3</v>
      </c>
      <c r="H66" s="282" t="s">
        <v>114</v>
      </c>
      <c r="I66" s="290"/>
      <c r="J66" s="545"/>
      <c r="K66" s="545" t="s">
        <v>699</v>
      </c>
      <c r="L66" s="545" t="s">
        <v>700</v>
      </c>
      <c r="M66" s="545" t="s">
        <v>701</v>
      </c>
      <c r="N66" s="546" t="s">
        <v>521</v>
      </c>
      <c r="O66" s="546" t="s">
        <v>698</v>
      </c>
      <c r="P66" s="548" t="s">
        <v>697</v>
      </c>
      <c r="Q66" s="547"/>
    </row>
    <row r="67" spans="1:16" ht="12.75">
      <c r="A67" s="357"/>
      <c r="B67" s="153"/>
      <c r="C67" s="134"/>
      <c r="D67" s="131"/>
      <c r="E67" s="131"/>
      <c r="F67" s="131"/>
      <c r="G67" s="134"/>
      <c r="H67" s="133"/>
      <c r="I67" s="290"/>
      <c r="J67" s="346">
        <f>P67</f>
        <v>0</v>
      </c>
      <c r="K67" s="249">
        <v>0</v>
      </c>
      <c r="L67" s="249">
        <f>D69</f>
        <v>334.3</v>
      </c>
      <c r="M67" s="249">
        <f>D70</f>
        <v>335.29445983379503</v>
      </c>
      <c r="N67" s="339">
        <f>L67*M67/43560</f>
        <v>2.5732079412864484</v>
      </c>
      <c r="O67" s="544"/>
      <c r="P67">
        <v>0</v>
      </c>
    </row>
    <row r="68" spans="1:16" ht="12.75">
      <c r="A68" s="631">
        <f>G6</f>
        <v>5</v>
      </c>
      <c r="B68" s="286" t="s">
        <v>18</v>
      </c>
      <c r="C68" s="265"/>
      <c r="D68" s="632">
        <f>E43</f>
        <v>1.4</v>
      </c>
      <c r="E68" s="131"/>
      <c r="F68" s="131"/>
      <c r="G68" s="131"/>
      <c r="H68" s="133"/>
      <c r="I68" s="370" t="s">
        <v>515</v>
      </c>
      <c r="J68" s="346">
        <f aca="true" t="shared" si="1" ref="J68:J91">P68</f>
        <v>1.29816723609859</v>
      </c>
      <c r="K68" s="249">
        <v>0.5</v>
      </c>
      <c r="L68" s="249">
        <f>L67+2*0.5*$E$26</f>
        <v>337.3</v>
      </c>
      <c r="M68" s="249">
        <f>M67+2*0.5*$E$26</f>
        <v>338.29445983379503</v>
      </c>
      <c r="N68" s="339">
        <f aca="true" t="shared" si="2" ref="N68:N91">L68*M68/43560</f>
        <v>2.6195298737818886</v>
      </c>
      <c r="O68" s="544">
        <f>(K68-K67)/3*(N68+N67+(N68*N67)^0.5)</f>
        <v>1.29816723609859</v>
      </c>
      <c r="P68" s="364">
        <f>O68</f>
        <v>1.29816723609859</v>
      </c>
    </row>
    <row r="69" spans="1:16" ht="12.75">
      <c r="A69" s="633">
        <f>E46</f>
        <v>11.200000000000001</v>
      </c>
      <c r="B69" s="969" t="s">
        <v>355</v>
      </c>
      <c r="C69" s="969"/>
      <c r="D69" s="368">
        <f>K41</f>
        <v>334.3</v>
      </c>
      <c r="E69" s="282" t="s">
        <v>126</v>
      </c>
      <c r="F69" s="282"/>
      <c r="G69" s="6"/>
      <c r="H69" s="133" t="s">
        <v>513</v>
      </c>
      <c r="I69" s="369">
        <f>K65</f>
        <v>405.1350195877717</v>
      </c>
      <c r="J69" s="346">
        <f t="shared" si="1"/>
        <v>2.6195987442306867</v>
      </c>
      <c r="K69" s="249">
        <v>1</v>
      </c>
      <c r="L69" s="249">
        <f aca="true" t="shared" si="3" ref="L69:L91">L68+2*0.5*$E$26</f>
        <v>340.3</v>
      </c>
      <c r="M69" s="249">
        <f aca="true" t="shared" si="4" ref="M69:M91">M68+2*0.5*$E$26</f>
        <v>341.29445983379503</v>
      </c>
      <c r="N69" s="339">
        <f t="shared" si="2"/>
        <v>2.6662650294178247</v>
      </c>
      <c r="O69" s="544">
        <f>(K69-K68)/3*(N69+N68+(N69*N68)^0.5)</f>
        <v>1.3214315081320969</v>
      </c>
      <c r="P69" s="364">
        <f>P68+O69</f>
        <v>2.6195987442306867</v>
      </c>
    </row>
    <row r="70" spans="1:16" ht="12.75">
      <c r="A70" s="137"/>
      <c r="B70" s="138"/>
      <c r="C70" s="138"/>
      <c r="D70" s="367">
        <f>K42</f>
        <v>335.29445983379503</v>
      </c>
      <c r="E70" s="282" t="s">
        <v>116</v>
      </c>
      <c r="F70" s="620"/>
      <c r="G70" s="138"/>
      <c r="H70" s="539" t="s">
        <v>514</v>
      </c>
      <c r="I70" s="369">
        <f>K60</f>
        <v>406.12947942156677</v>
      </c>
      <c r="J70" s="346">
        <f t="shared" si="1"/>
        <v>3.964501135966521</v>
      </c>
      <c r="K70" s="249">
        <v>1.5</v>
      </c>
      <c r="L70" s="249">
        <f t="shared" si="3"/>
        <v>343.3</v>
      </c>
      <c r="M70" s="249">
        <f t="shared" si="4"/>
        <v>344.29445983379503</v>
      </c>
      <c r="N70" s="339">
        <f t="shared" si="2"/>
        <v>2.713413408194257</v>
      </c>
      <c r="O70" s="544">
        <f aca="true" t="shared" si="5" ref="O70:O91">(K70-K69)/3*(N70+N69+(N70*N69)^0.5)</f>
        <v>1.3449023917358343</v>
      </c>
      <c r="P70" s="364">
        <f aca="true" t="shared" si="6" ref="P70:P91">P69+O70</f>
        <v>3.964501135966521</v>
      </c>
    </row>
    <row r="71" spans="1:16" ht="15">
      <c r="A71" s="934" t="s">
        <v>516</v>
      </c>
      <c r="B71" s="935"/>
      <c r="C71" s="935"/>
      <c r="D71" s="935"/>
      <c r="E71" s="935"/>
      <c r="F71" s="935"/>
      <c r="G71" s="935"/>
      <c r="H71" s="935"/>
      <c r="I71" s="936"/>
      <c r="J71" s="346">
        <f t="shared" si="1"/>
        <v>5.333081022876324</v>
      </c>
      <c r="K71" s="249">
        <v>2</v>
      </c>
      <c r="L71" s="249">
        <f t="shared" si="3"/>
        <v>346.3</v>
      </c>
      <c r="M71" s="249">
        <f t="shared" si="4"/>
        <v>347.29445983379503</v>
      </c>
      <c r="N71" s="339">
        <f t="shared" si="2"/>
        <v>2.760975010111185</v>
      </c>
      <c r="O71" s="544">
        <f t="shared" si="5"/>
        <v>1.368579886909803</v>
      </c>
      <c r="P71" s="364">
        <f t="shared" si="6"/>
        <v>5.333081022876324</v>
      </c>
    </row>
    <row r="72" spans="1:16" ht="12.75">
      <c r="A72" s="376" t="s">
        <v>517</v>
      </c>
      <c r="B72" s="376" t="s">
        <v>518</v>
      </c>
      <c r="C72" s="376" t="s">
        <v>519</v>
      </c>
      <c r="D72" s="376" t="s">
        <v>520</v>
      </c>
      <c r="E72" s="376" t="s">
        <v>517</v>
      </c>
      <c r="F72" s="376" t="s">
        <v>518</v>
      </c>
      <c r="G72" s="376" t="s">
        <v>519</v>
      </c>
      <c r="H72" s="376" t="s">
        <v>520</v>
      </c>
      <c r="I72" s="290"/>
      <c r="J72" s="346">
        <f t="shared" si="1"/>
        <v>6.725545016530328</v>
      </c>
      <c r="K72" s="249">
        <v>2.5</v>
      </c>
      <c r="L72" s="249">
        <f t="shared" si="3"/>
        <v>349.3</v>
      </c>
      <c r="M72" s="249">
        <f t="shared" si="4"/>
        <v>350.29445983379503</v>
      </c>
      <c r="N72" s="339">
        <f t="shared" si="2"/>
        <v>2.808949835168609</v>
      </c>
      <c r="O72" s="544">
        <f t="shared" si="5"/>
        <v>1.3924639936540033</v>
      </c>
      <c r="P72" s="364">
        <f t="shared" si="6"/>
        <v>6.725545016530328</v>
      </c>
    </row>
    <row r="73" spans="1:16" ht="12.75">
      <c r="A73" s="377">
        <f>IF($A$69&lt;6,"",6)</f>
        <v>6</v>
      </c>
      <c r="B73" s="372">
        <f>IF($A$69&lt;6,"",J79)</f>
        <v>17.15890333284554</v>
      </c>
      <c r="C73" s="372">
        <f>IF(A73="","",B73*12)</f>
        <v>205.90683999414648</v>
      </c>
      <c r="D73" s="373">
        <f>IF(A73="","",C73*27154)</f>
        <v>5591194.333201054</v>
      </c>
      <c r="E73" s="377">
        <f>IF($A$69&lt;12,"",12)</f>
      </c>
      <c r="F73" s="372">
        <f>IF($A$69&lt;12,"",J91)</f>
      </c>
      <c r="G73" s="372">
        <f>IF(E73="","",F73*12)</f>
      </c>
      <c r="H73" s="373">
        <f>IF(E73="","",G73*27154)</f>
      </c>
      <c r="I73" s="290"/>
      <c r="J73" s="346">
        <f t="shared" si="1"/>
        <v>8.142099728498764</v>
      </c>
      <c r="K73" s="249">
        <v>3</v>
      </c>
      <c r="L73" s="249">
        <f t="shared" si="3"/>
        <v>352.3</v>
      </c>
      <c r="M73" s="249">
        <f t="shared" si="4"/>
        <v>353.29445983379503</v>
      </c>
      <c r="N73" s="339">
        <f t="shared" si="2"/>
        <v>2.8573378833665286</v>
      </c>
      <c r="O73" s="544">
        <f t="shared" si="5"/>
        <v>1.416554711968436</v>
      </c>
      <c r="P73" s="364">
        <f t="shared" si="6"/>
        <v>8.142099728498764</v>
      </c>
    </row>
    <row r="74" spans="1:16" ht="12.75" customHeight="1">
      <c r="A74" s="379">
        <f>IF($A$69&lt;5.5,"",5.5)</f>
        <v>5.5</v>
      </c>
      <c r="B74" s="374">
        <f>IF($A$69&lt;5.5,"",J78)</f>
        <v>15.593465468015602</v>
      </c>
      <c r="C74" s="374">
        <f aca="true" t="shared" si="7" ref="C74:C84">IF(A74="","",B74*12)</f>
        <v>187.12158561618722</v>
      </c>
      <c r="D74" s="378">
        <f aca="true" t="shared" si="8" ref="D74:D84">IF(A74="","",C74*27154)</f>
        <v>5081099.535821947</v>
      </c>
      <c r="E74" s="379">
        <f>IF($A$69&lt;11.5,"",11.5)</f>
      </c>
      <c r="F74" s="374">
        <f>IF($A$69&lt;11.5,"",J90)</f>
      </c>
      <c r="G74" s="374">
        <f aca="true" t="shared" si="9" ref="G74:G84">IF(E74="","",F74*12)</f>
      </c>
      <c r="H74" s="378">
        <f aca="true" t="shared" si="10" ref="H74:H84">IF(E74="","",G74*27154)</f>
      </c>
      <c r="I74" s="290"/>
      <c r="J74" s="346">
        <f t="shared" si="1"/>
        <v>9.582951770351865</v>
      </c>
      <c r="K74" s="249">
        <v>3.5</v>
      </c>
      <c r="L74" s="249">
        <f t="shared" si="3"/>
        <v>355.3</v>
      </c>
      <c r="M74" s="249">
        <f t="shared" si="4"/>
        <v>356.29445983379503</v>
      </c>
      <c r="N74" s="339">
        <f t="shared" si="2"/>
        <v>2.9061391547049444</v>
      </c>
      <c r="O74" s="544">
        <f t="shared" si="5"/>
        <v>1.4408520418531015</v>
      </c>
      <c r="P74" s="364">
        <f t="shared" si="6"/>
        <v>9.582951770351865</v>
      </c>
    </row>
    <row r="75" spans="1:16" ht="12.75">
      <c r="A75" s="379">
        <f>IF($A$69&lt;5,"",5)</f>
        <v>5</v>
      </c>
      <c r="B75" s="374">
        <f>IF($A$69&lt;5,"",J77)</f>
        <v>14.0533579909215</v>
      </c>
      <c r="C75" s="374">
        <f t="shared" si="7"/>
        <v>168.640295891058</v>
      </c>
      <c r="D75" s="378">
        <f t="shared" si="8"/>
        <v>4579258.594625789</v>
      </c>
      <c r="E75" s="379">
        <f>IF($A$69&lt;11,"",11)</f>
        <v>11</v>
      </c>
      <c r="F75" s="374">
        <f>IF($A$69&lt;11,"",J89)</f>
        <v>34.25190785206797</v>
      </c>
      <c r="G75" s="374">
        <f t="shared" si="9"/>
        <v>411.0228942248157</v>
      </c>
      <c r="H75" s="378">
        <f t="shared" si="10"/>
        <v>11160915.669780646</v>
      </c>
      <c r="I75" s="290"/>
      <c r="J75" s="346">
        <f t="shared" si="1"/>
        <v>11.048307753659866</v>
      </c>
      <c r="K75" s="249">
        <v>4</v>
      </c>
      <c r="L75" s="249">
        <f t="shared" si="3"/>
        <v>358.3</v>
      </c>
      <c r="M75" s="249">
        <f t="shared" si="4"/>
        <v>359.29445983379503</v>
      </c>
      <c r="N75" s="339">
        <f t="shared" si="2"/>
        <v>2.955353649183856</v>
      </c>
      <c r="O75" s="544">
        <f t="shared" si="5"/>
        <v>1.4653559833080005</v>
      </c>
      <c r="P75" s="364">
        <f t="shared" si="6"/>
        <v>11.048307753659866</v>
      </c>
    </row>
    <row r="76" spans="1:16" ht="12.75">
      <c r="A76" s="379">
        <f>IF($A$69&lt;4.5,"",4.5)</f>
        <v>4.5</v>
      </c>
      <c r="B76" s="374">
        <f>IF($A$69&lt;4.5,"",J76)</f>
        <v>12.538374289993</v>
      </c>
      <c r="C76" s="374">
        <f t="shared" si="7"/>
        <v>150.460491479916</v>
      </c>
      <c r="D76" s="378">
        <f t="shared" si="8"/>
        <v>4085604.1856456385</v>
      </c>
      <c r="E76" s="379">
        <f>IF($A$69&lt;10.5,"",10.5)</f>
        <v>10.5</v>
      </c>
      <c r="F76" s="374">
        <f>IF($A$69&lt;10.5,"",J88)</f>
        <v>32.42180247351665</v>
      </c>
      <c r="G76" s="374">
        <f t="shared" si="9"/>
        <v>389.0616296821998</v>
      </c>
      <c r="H76" s="378">
        <f t="shared" si="10"/>
        <v>10564579.492390454</v>
      </c>
      <c r="I76" s="290"/>
      <c r="J76" s="346">
        <f t="shared" si="1"/>
        <v>12.538374289993</v>
      </c>
      <c r="K76" s="249">
        <v>4.5</v>
      </c>
      <c r="L76" s="249">
        <f t="shared" si="3"/>
        <v>361.3</v>
      </c>
      <c r="M76" s="249">
        <f t="shared" si="4"/>
        <v>362.29445983379503</v>
      </c>
      <c r="N76" s="339">
        <f t="shared" si="2"/>
        <v>3.004981366803263</v>
      </c>
      <c r="O76" s="544">
        <f t="shared" si="5"/>
        <v>1.4900665363331334</v>
      </c>
      <c r="P76" s="364">
        <f t="shared" si="6"/>
        <v>12.538374289993</v>
      </c>
    </row>
    <row r="77" spans="1:16" ht="12.75">
      <c r="A77" s="379">
        <f>IF($A$69&lt;4,"",4)</f>
        <v>4</v>
      </c>
      <c r="B77" s="374">
        <f>IF($A$69&lt;4,"",J75)</f>
        <v>11.048307753659866</v>
      </c>
      <c r="C77" s="374">
        <f t="shared" si="7"/>
        <v>132.57969304391838</v>
      </c>
      <c r="D77" s="378">
        <f t="shared" si="8"/>
        <v>3600068.98491456</v>
      </c>
      <c r="E77" s="379">
        <f>IF($A$69&lt;10,"",10)</f>
        <v>10</v>
      </c>
      <c r="F77" s="374">
        <f>IF($A$69&lt;10,"",J87)</f>
        <v>30.61909359840353</v>
      </c>
      <c r="G77" s="374">
        <f t="shared" si="9"/>
        <v>367.42912318084234</v>
      </c>
      <c r="H77" s="378">
        <f t="shared" si="10"/>
        <v>9977170.410852592</v>
      </c>
      <c r="I77" s="290"/>
      <c r="J77" s="346">
        <f t="shared" si="1"/>
        <v>14.0533579909215</v>
      </c>
      <c r="K77" s="249">
        <v>5</v>
      </c>
      <c r="L77" s="249">
        <f t="shared" si="3"/>
        <v>364.3</v>
      </c>
      <c r="M77" s="249">
        <f t="shared" si="4"/>
        <v>365.29445983379503</v>
      </c>
      <c r="N77" s="339">
        <f t="shared" si="2"/>
        <v>3.0550223075631666</v>
      </c>
      <c r="O77" s="544">
        <f t="shared" si="5"/>
        <v>1.5149837009285</v>
      </c>
      <c r="P77" s="364">
        <f t="shared" si="6"/>
        <v>14.0533579909215</v>
      </c>
    </row>
    <row r="78" spans="1:16" ht="12.75">
      <c r="A78" s="379">
        <f>IF($A$69&lt;3.5,"",3.5)</f>
        <v>3.5</v>
      </c>
      <c r="B78" s="374">
        <f>IF($A$69&lt;3.5,"",J74)</f>
        <v>9.582951770351865</v>
      </c>
      <c r="C78" s="374">
        <f t="shared" si="7"/>
        <v>114.99542124422238</v>
      </c>
      <c r="D78" s="378">
        <f t="shared" si="8"/>
        <v>3122585.668465615</v>
      </c>
      <c r="E78" s="379">
        <f>IF($A$69&lt;9.5,"",9.5)</f>
        <v>9.5</v>
      </c>
      <c r="F78" s="374">
        <f>IF($A$69&lt;9.5,"",J86)</f>
        <v>28.843574615158385</v>
      </c>
      <c r="G78" s="374">
        <f t="shared" si="9"/>
        <v>346.1228953819006</v>
      </c>
      <c r="H78" s="378">
        <f t="shared" si="10"/>
        <v>9398621.10120013</v>
      </c>
      <c r="I78" s="290"/>
      <c r="J78" s="346">
        <f t="shared" si="1"/>
        <v>15.593465468015602</v>
      </c>
      <c r="K78" s="249">
        <v>5.5</v>
      </c>
      <c r="L78" s="249">
        <f t="shared" si="3"/>
        <v>367.3</v>
      </c>
      <c r="M78" s="249">
        <f t="shared" si="4"/>
        <v>368.29445983379503</v>
      </c>
      <c r="N78" s="339">
        <f t="shared" si="2"/>
        <v>3.1054764714635654</v>
      </c>
      <c r="O78" s="544">
        <f t="shared" si="5"/>
        <v>1.540107477094102</v>
      </c>
      <c r="P78" s="364">
        <f t="shared" si="6"/>
        <v>15.593465468015602</v>
      </c>
    </row>
    <row r="79" spans="1:16" ht="12.75">
      <c r="A79" s="379">
        <f>IF($A$69&lt;3,"",3)</f>
        <v>3</v>
      </c>
      <c r="B79" s="374">
        <f>IF($A$69&lt;3,"",J73)</f>
        <v>8.142099728498764</v>
      </c>
      <c r="C79" s="374">
        <f t="shared" si="7"/>
        <v>97.70519674198516</v>
      </c>
      <c r="D79" s="378">
        <f t="shared" si="8"/>
        <v>2653086.912331865</v>
      </c>
      <c r="E79" s="379">
        <f>IF($A$69&lt;9,"",9)</f>
        <v>9</v>
      </c>
      <c r="F79" s="374">
        <f>IF($A$69&lt;9,"",J85)</f>
        <v>27.09503891221097</v>
      </c>
      <c r="G79" s="374">
        <f t="shared" si="9"/>
        <v>325.14046694653166</v>
      </c>
      <c r="H79" s="378">
        <f t="shared" si="10"/>
        <v>8828864.239466121</v>
      </c>
      <c r="I79" s="290"/>
      <c r="J79" s="346">
        <f t="shared" si="1"/>
        <v>17.15890333284554</v>
      </c>
      <c r="K79" s="249">
        <v>6</v>
      </c>
      <c r="L79" s="249">
        <f t="shared" si="3"/>
        <v>370.3</v>
      </c>
      <c r="M79" s="249">
        <f t="shared" si="4"/>
        <v>371.29445983379503</v>
      </c>
      <c r="N79" s="339">
        <f t="shared" si="2"/>
        <v>3.156343858504461</v>
      </c>
      <c r="O79" s="544">
        <f t="shared" si="5"/>
        <v>1.565437864829939</v>
      </c>
      <c r="P79" s="364">
        <f t="shared" si="6"/>
        <v>17.15890333284554</v>
      </c>
    </row>
    <row r="80" spans="1:16" ht="12.75">
      <c r="A80" s="379">
        <f>IF($A$69&lt;2.5,"",2.5)</f>
        <v>2.5</v>
      </c>
      <c r="B80" s="374">
        <f>IF($A$69&lt;2.5,"",J72)</f>
        <v>6.725545016530328</v>
      </c>
      <c r="C80" s="374">
        <f t="shared" si="7"/>
        <v>80.70654019836394</v>
      </c>
      <c r="D80" s="378">
        <f t="shared" si="8"/>
        <v>2191505.3925463744</v>
      </c>
      <c r="E80" s="379">
        <f>IF($A$69&lt;8.5,"",8.5)</f>
        <v>8.5</v>
      </c>
      <c r="F80" s="374">
        <f>IF($A$69&lt;8.5,"",J84)</f>
        <v>25.37327987799105</v>
      </c>
      <c r="G80" s="374">
        <f t="shared" si="9"/>
        <v>304.4793585358926</v>
      </c>
      <c r="H80" s="378">
        <f t="shared" si="10"/>
        <v>8267832.501683627</v>
      </c>
      <c r="I80" s="290"/>
      <c r="J80" s="346">
        <f t="shared" si="1"/>
        <v>18.749878196981552</v>
      </c>
      <c r="K80" s="249">
        <v>6.5</v>
      </c>
      <c r="L80" s="249">
        <f t="shared" si="3"/>
        <v>373.3</v>
      </c>
      <c r="M80" s="249">
        <f t="shared" si="4"/>
        <v>374.29445983379503</v>
      </c>
      <c r="N80" s="339">
        <f t="shared" si="2"/>
        <v>3.2076244686858515</v>
      </c>
      <c r="O80" s="544">
        <f t="shared" si="5"/>
        <v>1.5909748641360113</v>
      </c>
      <c r="P80" s="364">
        <f t="shared" si="6"/>
        <v>18.749878196981552</v>
      </c>
    </row>
    <row r="81" spans="1:16" ht="12.75">
      <c r="A81" s="379">
        <f>IF($A$69&lt;2,"",2)</f>
        <v>2</v>
      </c>
      <c r="B81" s="374">
        <f>IF($A$69&lt;2,"",J71)</f>
        <v>5.333081022876324</v>
      </c>
      <c r="C81" s="374">
        <f t="shared" si="7"/>
        <v>63.99697227451588</v>
      </c>
      <c r="D81" s="378">
        <f t="shared" si="8"/>
        <v>1737773.7851422043</v>
      </c>
      <c r="E81" s="379">
        <f>IF($A$69&lt;8,"",8)</f>
        <v>8</v>
      </c>
      <c r="F81" s="374">
        <f>IF($A$69&lt;8,"",J83)</f>
        <v>23.678090900928385</v>
      </c>
      <c r="G81" s="374">
        <f t="shared" si="9"/>
        <v>284.13709081114064</v>
      </c>
      <c r="H81" s="378">
        <f t="shared" si="10"/>
        <v>7715458.563885713</v>
      </c>
      <c r="I81" s="290"/>
      <c r="J81" s="346">
        <f t="shared" si="1"/>
        <v>20.36659667199387</v>
      </c>
      <c r="K81" s="249">
        <v>7</v>
      </c>
      <c r="L81" s="249">
        <f t="shared" si="3"/>
        <v>376.3</v>
      </c>
      <c r="M81" s="249">
        <f t="shared" si="4"/>
        <v>377.29445983379503</v>
      </c>
      <c r="N81" s="339">
        <f t="shared" si="2"/>
        <v>3.2593183020077383</v>
      </c>
      <c r="O81" s="544">
        <f t="shared" si="5"/>
        <v>1.61671847501232</v>
      </c>
      <c r="P81" s="364">
        <f t="shared" si="6"/>
        <v>20.36659667199387</v>
      </c>
    </row>
    <row r="82" spans="1:16" ht="12.75">
      <c r="A82" s="379">
        <f>IF($A$69&lt;1.5,"",1.5)</f>
        <v>1.5</v>
      </c>
      <c r="B82" s="374">
        <f>IF($A$69&lt;1.5,"",J70)</f>
        <v>3.964501135966521</v>
      </c>
      <c r="C82" s="374">
        <f t="shared" si="7"/>
        <v>47.57401363159825</v>
      </c>
      <c r="D82" s="378">
        <f t="shared" si="8"/>
        <v>1291824.766152419</v>
      </c>
      <c r="E82" s="379">
        <f>IF($A$69&lt;7.5,"",7.5)</f>
        <v>7.5</v>
      </c>
      <c r="F82" s="374">
        <f>IF($A$69&lt;7.5,"",J82)</f>
        <v>22.009265369452738</v>
      </c>
      <c r="G82" s="374">
        <f t="shared" si="9"/>
        <v>264.11118443343287</v>
      </c>
      <c r="H82" s="378">
        <f t="shared" si="10"/>
        <v>7171675.102105436</v>
      </c>
      <c r="I82" s="290"/>
      <c r="J82" s="346">
        <f t="shared" si="1"/>
        <v>22.009265369452738</v>
      </c>
      <c r="K82" s="249">
        <v>7.5</v>
      </c>
      <c r="L82" s="249">
        <f t="shared" si="3"/>
        <v>379.3</v>
      </c>
      <c r="M82" s="249">
        <f t="shared" si="4"/>
        <v>380.29445983379503</v>
      </c>
      <c r="N82" s="339">
        <f t="shared" si="2"/>
        <v>3.311425358470121</v>
      </c>
      <c r="O82" s="544">
        <f t="shared" si="5"/>
        <v>1.6426686974588647</v>
      </c>
      <c r="P82" s="364">
        <f t="shared" si="6"/>
        <v>22.009265369452738</v>
      </c>
    </row>
    <row r="83" spans="1:16" ht="12.75">
      <c r="A83" s="379">
        <f>IF($A$69&lt;1,"",1)</f>
        <v>1</v>
      </c>
      <c r="B83" s="374">
        <f>IF($A$69&lt;1,"",J69)</f>
        <v>2.6195987442306867</v>
      </c>
      <c r="C83" s="374">
        <f t="shared" si="7"/>
        <v>31.43518493076824</v>
      </c>
      <c r="D83" s="378">
        <f t="shared" si="8"/>
        <v>853591.0116100808</v>
      </c>
      <c r="E83" s="379">
        <f>IF($A$69&lt;7,"",7)</f>
        <v>7</v>
      </c>
      <c r="F83" s="374">
        <f>IF($A$69&lt;7,"",J81)</f>
        <v>20.36659667199387</v>
      </c>
      <c r="G83" s="374">
        <f t="shared" si="9"/>
        <v>244.39916006392644</v>
      </c>
      <c r="H83" s="378">
        <f t="shared" si="10"/>
        <v>6636414.792375859</v>
      </c>
      <c r="I83" s="290"/>
      <c r="J83" s="346">
        <f t="shared" si="1"/>
        <v>23.678090900928385</v>
      </c>
      <c r="K83" s="249">
        <v>8</v>
      </c>
      <c r="L83" s="249">
        <f t="shared" si="3"/>
        <v>382.3</v>
      </c>
      <c r="M83" s="249">
        <f t="shared" si="4"/>
        <v>383.29445983379503</v>
      </c>
      <c r="N83" s="339">
        <f t="shared" si="2"/>
        <v>3.363945638072999</v>
      </c>
      <c r="O83" s="544">
        <f t="shared" si="5"/>
        <v>1.6688255314756462</v>
      </c>
      <c r="P83" s="364">
        <f t="shared" si="6"/>
        <v>23.678090900928385</v>
      </c>
    </row>
    <row r="84" spans="1:16" ht="12.75">
      <c r="A84" s="381">
        <f>IF($A$69&lt;0.5,"",0.5)</f>
        <v>0.5</v>
      </c>
      <c r="B84" s="375">
        <f>IF($A$69&lt;0.5,"",J68)</f>
        <v>1.29816723609859</v>
      </c>
      <c r="C84" s="375">
        <f t="shared" si="7"/>
        <v>15.578006833183082</v>
      </c>
      <c r="D84" s="380">
        <f t="shared" si="8"/>
        <v>423005.1975482534</v>
      </c>
      <c r="E84" s="381">
        <f>IF($A$69&lt;6.5,"",6.5)</f>
        <v>6.5</v>
      </c>
      <c r="F84" s="375">
        <f>IF($A$69&lt;6.5,"",J80)</f>
        <v>18.749878196981552</v>
      </c>
      <c r="G84" s="375">
        <f t="shared" si="9"/>
        <v>224.9985383637786</v>
      </c>
      <c r="H84" s="380">
        <f t="shared" si="10"/>
        <v>6109610.310730045</v>
      </c>
      <c r="I84" s="290"/>
      <c r="J84" s="346">
        <f t="shared" si="1"/>
        <v>25.37327987799105</v>
      </c>
      <c r="K84" s="249">
        <v>8.5</v>
      </c>
      <c r="L84" s="249">
        <f t="shared" si="3"/>
        <v>385.3</v>
      </c>
      <c r="M84" s="249">
        <f t="shared" si="4"/>
        <v>386.29445983379503</v>
      </c>
      <c r="N84" s="339">
        <f t="shared" si="2"/>
        <v>3.4168791408163735</v>
      </c>
      <c r="O84" s="544">
        <f t="shared" si="5"/>
        <v>1.6951889770626647</v>
      </c>
      <c r="P84" s="364">
        <f t="shared" si="6"/>
        <v>25.37327987799105</v>
      </c>
    </row>
    <row r="85" spans="1:16" ht="15">
      <c r="A85" s="934" t="s">
        <v>366</v>
      </c>
      <c r="B85" s="935"/>
      <c r="C85" s="935"/>
      <c r="D85" s="935"/>
      <c r="E85" s="935"/>
      <c r="F85" s="935"/>
      <c r="G85" s="935"/>
      <c r="H85" s="935"/>
      <c r="I85" s="936"/>
      <c r="J85" s="346">
        <f t="shared" si="1"/>
        <v>27.09503891221097</v>
      </c>
      <c r="K85" s="249">
        <v>9</v>
      </c>
      <c r="L85" s="249">
        <f t="shared" si="3"/>
        <v>388.3</v>
      </c>
      <c r="M85" s="249">
        <f t="shared" si="4"/>
        <v>389.29445983379503</v>
      </c>
      <c r="N85" s="339">
        <f t="shared" si="2"/>
        <v>3.4702258667002437</v>
      </c>
      <c r="O85" s="544">
        <f t="shared" si="5"/>
        <v>1.7217590342199207</v>
      </c>
      <c r="P85" s="364">
        <f t="shared" si="6"/>
        <v>27.09503891221097</v>
      </c>
    </row>
    <row r="86" spans="1:16" ht="14.25">
      <c r="A86" s="137"/>
      <c r="B86" s="3"/>
      <c r="C86" s="292"/>
      <c r="D86" s="291" t="s">
        <v>367</v>
      </c>
      <c r="E86" s="385">
        <f>M119</f>
        <v>19325.302381659087</v>
      </c>
      <c r="F86" s="293" t="s">
        <v>443</v>
      </c>
      <c r="G86" s="540" t="s">
        <v>693</v>
      </c>
      <c r="H86" s="538">
        <f>E86*9</f>
        <v>173927.7214349318</v>
      </c>
      <c r="I86" s="541" t="s">
        <v>694</v>
      </c>
      <c r="J86" s="346">
        <f t="shared" si="1"/>
        <v>28.843574615158385</v>
      </c>
      <c r="K86" s="249">
        <v>9.5</v>
      </c>
      <c r="L86" s="249">
        <f t="shared" si="3"/>
        <v>391.3</v>
      </c>
      <c r="M86" s="249">
        <f t="shared" si="4"/>
        <v>392.29445983379503</v>
      </c>
      <c r="N86" s="339">
        <f t="shared" si="2"/>
        <v>3.52398581572461</v>
      </c>
      <c r="O86" s="544">
        <f t="shared" si="5"/>
        <v>1.7485357029474144</v>
      </c>
      <c r="P86" s="364">
        <f t="shared" si="6"/>
        <v>28.843574615158385</v>
      </c>
    </row>
    <row r="87" spans="1:16" ht="15">
      <c r="A87" s="934" t="s">
        <v>451</v>
      </c>
      <c r="B87" s="935"/>
      <c r="C87" s="935"/>
      <c r="D87" s="935"/>
      <c r="E87" s="935"/>
      <c r="F87" s="935"/>
      <c r="G87" s="935"/>
      <c r="H87" s="935"/>
      <c r="I87" s="936"/>
      <c r="J87" s="346">
        <f t="shared" si="1"/>
        <v>30.61909359840353</v>
      </c>
      <c r="K87" s="249">
        <v>10</v>
      </c>
      <c r="L87" s="249">
        <f t="shared" si="3"/>
        <v>394.3</v>
      </c>
      <c r="M87" s="249">
        <f t="shared" si="4"/>
        <v>395.29445983379503</v>
      </c>
      <c r="N87" s="339">
        <f t="shared" si="2"/>
        <v>3.5781589878894717</v>
      </c>
      <c r="O87" s="544">
        <f t="shared" si="5"/>
        <v>1.775518983245146</v>
      </c>
      <c r="P87" s="364">
        <f t="shared" si="6"/>
        <v>30.61909359840353</v>
      </c>
    </row>
    <row r="88" spans="1:16" ht="12.75">
      <c r="A88" s="948"/>
      <c r="B88" s="949"/>
      <c r="C88" s="949"/>
      <c r="D88" s="949"/>
      <c r="E88" s="949"/>
      <c r="F88" s="949"/>
      <c r="G88" s="949"/>
      <c r="H88" s="949"/>
      <c r="I88" s="950"/>
      <c r="J88" s="346">
        <f t="shared" si="1"/>
        <v>32.42180247351665</v>
      </c>
      <c r="K88" s="249">
        <v>10.5</v>
      </c>
      <c r="L88" s="249">
        <f t="shared" si="3"/>
        <v>397.3</v>
      </c>
      <c r="M88" s="249">
        <f t="shared" si="4"/>
        <v>398.29445983379503</v>
      </c>
      <c r="N88" s="339">
        <f t="shared" si="2"/>
        <v>3.6327453831948295</v>
      </c>
      <c r="O88" s="544">
        <f t="shared" si="5"/>
        <v>1.8027088751131162</v>
      </c>
      <c r="P88" s="364">
        <f t="shared" si="6"/>
        <v>32.42180247351665</v>
      </c>
    </row>
    <row r="89" spans="1:16" ht="12.75">
      <c r="A89" s="951"/>
      <c r="B89" s="952"/>
      <c r="C89" s="952"/>
      <c r="D89" s="952"/>
      <c r="E89" s="952"/>
      <c r="F89" s="952"/>
      <c r="G89" s="952"/>
      <c r="H89" s="952"/>
      <c r="I89" s="953"/>
      <c r="J89" s="346">
        <f t="shared" si="1"/>
        <v>34.25190785206797</v>
      </c>
      <c r="K89" s="249">
        <v>11</v>
      </c>
      <c r="L89" s="249">
        <f t="shared" si="3"/>
        <v>400.3</v>
      </c>
      <c r="M89" s="249">
        <f t="shared" si="4"/>
        <v>401.29445983379503</v>
      </c>
      <c r="N89" s="339">
        <f t="shared" si="2"/>
        <v>3.687745001640683</v>
      </c>
      <c r="O89" s="544">
        <f t="shared" si="5"/>
        <v>1.8301053785513246</v>
      </c>
      <c r="P89" s="364">
        <f t="shared" si="6"/>
        <v>34.25190785206797</v>
      </c>
    </row>
    <row r="90" spans="1:16" ht="12.75">
      <c r="A90" s="951"/>
      <c r="B90" s="952"/>
      <c r="C90" s="952"/>
      <c r="D90" s="952"/>
      <c r="E90" s="952"/>
      <c r="F90" s="952"/>
      <c r="G90" s="952"/>
      <c r="H90" s="952"/>
      <c r="I90" s="953"/>
      <c r="J90" s="346">
        <f t="shared" si="1"/>
        <v>36.10961634562774</v>
      </c>
      <c r="K90" s="249">
        <v>11.5</v>
      </c>
      <c r="L90" s="249">
        <f t="shared" si="3"/>
        <v>403.3</v>
      </c>
      <c r="M90" s="249">
        <f t="shared" si="4"/>
        <v>404.29445983379503</v>
      </c>
      <c r="N90" s="339">
        <f t="shared" si="2"/>
        <v>3.7431578432270327</v>
      </c>
      <c r="O90" s="544">
        <f t="shared" si="5"/>
        <v>1.8577084935597723</v>
      </c>
      <c r="P90" s="364">
        <f t="shared" si="6"/>
        <v>36.10961634562774</v>
      </c>
    </row>
    <row r="91" spans="1:16" ht="12.75">
      <c r="A91" s="951"/>
      <c r="B91" s="952"/>
      <c r="C91" s="952"/>
      <c r="D91" s="952"/>
      <c r="E91" s="952"/>
      <c r="F91" s="952"/>
      <c r="G91" s="952"/>
      <c r="H91" s="952"/>
      <c r="I91" s="953"/>
      <c r="J91" s="346">
        <f t="shared" si="1"/>
        <v>37.9951345657662</v>
      </c>
      <c r="K91" s="165">
        <v>12</v>
      </c>
      <c r="L91" s="249">
        <f t="shared" si="3"/>
        <v>406.3</v>
      </c>
      <c r="M91" s="249">
        <f t="shared" si="4"/>
        <v>407.29445983379503</v>
      </c>
      <c r="N91" s="339">
        <f t="shared" si="2"/>
        <v>3.798983907953878</v>
      </c>
      <c r="O91" s="544">
        <f t="shared" si="5"/>
        <v>1.8855182201384588</v>
      </c>
      <c r="P91" s="364">
        <f t="shared" si="6"/>
        <v>37.9951345657662</v>
      </c>
    </row>
    <row r="92" spans="1:16" ht="12.75">
      <c r="A92" s="951"/>
      <c r="B92" s="952"/>
      <c r="C92" s="952"/>
      <c r="D92" s="952"/>
      <c r="E92" s="952"/>
      <c r="F92" s="952"/>
      <c r="G92" s="952"/>
      <c r="H92" s="952"/>
      <c r="I92" s="953"/>
      <c r="J92" s="346">
        <f>P92</f>
        <v>39.90866912405359</v>
      </c>
      <c r="K92" s="165">
        <v>12.5</v>
      </c>
      <c r="L92" s="249">
        <f>L91+2*0.5*$E$26</f>
        <v>409.3</v>
      </c>
      <c r="M92" s="249">
        <f>M91+2*0.5*$E$26</f>
        <v>410.29445983379503</v>
      </c>
      <c r="N92" s="339">
        <f>L92*M92/43560</f>
        <v>3.855223195821219</v>
      </c>
      <c r="O92" s="544">
        <f>(K92-K91)/3*(N92+N91+(N92*N91)^0.5)</f>
        <v>1.9135345582873848</v>
      </c>
      <c r="P92" s="364">
        <f>P91+O92</f>
        <v>39.90866912405359</v>
      </c>
    </row>
    <row r="93" spans="1:16" ht="12.75">
      <c r="A93" s="951"/>
      <c r="B93" s="952"/>
      <c r="C93" s="952"/>
      <c r="D93" s="952"/>
      <c r="E93" s="952"/>
      <c r="F93" s="952"/>
      <c r="G93" s="952"/>
      <c r="H93" s="952"/>
      <c r="I93" s="953"/>
      <c r="J93" s="346">
        <f>P93</f>
        <v>41.85042663206014</v>
      </c>
      <c r="K93" s="165">
        <v>13</v>
      </c>
      <c r="L93" s="249">
        <f>L92+2*0.5*$E$26</f>
        <v>412.3</v>
      </c>
      <c r="M93" s="249">
        <f>M92+2*0.5*$E$26</f>
        <v>413.29445983379503</v>
      </c>
      <c r="N93" s="339">
        <f>L93*M93/43560</f>
        <v>3.9118757068290564</v>
      </c>
      <c r="O93" s="544">
        <f>(K93-K92)/3*(N93+N92+(N93*N92)^0.5)</f>
        <v>1.9417575080065506</v>
      </c>
      <c r="P93" s="364">
        <f>P92+O93</f>
        <v>41.85042663206014</v>
      </c>
    </row>
    <row r="94" spans="1:16" ht="12.75">
      <c r="A94" s="954"/>
      <c r="B94" s="955"/>
      <c r="C94" s="955"/>
      <c r="D94" s="955"/>
      <c r="E94" s="955"/>
      <c r="F94" s="955"/>
      <c r="G94" s="955"/>
      <c r="H94" s="955"/>
      <c r="I94" s="956"/>
      <c r="J94" s="346">
        <f aca="true" t="shared" si="11" ref="J94:J100">P94</f>
        <v>43.820613701356095</v>
      </c>
      <c r="K94" s="165">
        <v>13.5</v>
      </c>
      <c r="L94" s="249">
        <f aca="true" t="shared" si="12" ref="L94:L100">L93+2*0.5*$E$26</f>
        <v>415.3</v>
      </c>
      <c r="M94" s="249">
        <f aca="true" t="shared" si="13" ref="M94:M100">M93+2*0.5*$E$26</f>
        <v>416.29445983379503</v>
      </c>
      <c r="N94" s="339">
        <f aca="true" t="shared" si="14" ref="N94:N100">L94*M94/43560</f>
        <v>3.9689414409773893</v>
      </c>
      <c r="O94" s="544">
        <f aca="true" t="shared" si="15" ref="O94:O100">(K94-K93)/3*(N94+N93+(N94*N93)^0.5)</f>
        <v>1.9701870692959562</v>
      </c>
      <c r="P94" s="364">
        <f aca="true" t="shared" si="16" ref="P94:P100">P93+O94</f>
        <v>43.820613701356095</v>
      </c>
    </row>
    <row r="95" spans="10:16" ht="12.75">
      <c r="J95" s="346">
        <f t="shared" si="11"/>
        <v>45.8194369435117</v>
      </c>
      <c r="K95" s="165">
        <v>14</v>
      </c>
      <c r="L95" s="249">
        <f t="shared" si="12"/>
        <v>418.3</v>
      </c>
      <c r="M95" s="249">
        <f t="shared" si="13"/>
        <v>419.29445983379503</v>
      </c>
      <c r="N95" s="339">
        <f t="shared" si="14"/>
        <v>4.026420398266218</v>
      </c>
      <c r="O95" s="544">
        <f t="shared" si="15"/>
        <v>1.998823242155602</v>
      </c>
      <c r="P95" s="364">
        <f t="shared" si="16"/>
        <v>45.8194369435117</v>
      </c>
    </row>
    <row r="96" spans="10:16" ht="12.75">
      <c r="J96" s="346">
        <f t="shared" si="11"/>
        <v>47.84710297009718</v>
      </c>
      <c r="K96" s="165">
        <v>14.5</v>
      </c>
      <c r="L96" s="249">
        <f t="shared" si="12"/>
        <v>421.3</v>
      </c>
      <c r="M96" s="249">
        <f t="shared" si="13"/>
        <v>422.29445983379503</v>
      </c>
      <c r="N96" s="339">
        <f t="shared" si="14"/>
        <v>4.084312578695543</v>
      </c>
      <c r="O96" s="544">
        <f t="shared" si="15"/>
        <v>2.027666026585488</v>
      </c>
      <c r="P96" s="364">
        <f t="shared" si="16"/>
        <v>47.84710297009718</v>
      </c>
    </row>
    <row r="97" spans="10:16" ht="12.75">
      <c r="J97" s="346">
        <f t="shared" si="11"/>
        <v>49.903818392682794</v>
      </c>
      <c r="K97" s="165">
        <v>15</v>
      </c>
      <c r="L97" s="249">
        <f t="shared" si="12"/>
        <v>424.3</v>
      </c>
      <c r="M97" s="249">
        <f t="shared" si="13"/>
        <v>425.29445983379503</v>
      </c>
      <c r="N97" s="339">
        <f t="shared" si="14"/>
        <v>4.142617982265364</v>
      </c>
      <c r="O97" s="544">
        <f t="shared" si="15"/>
        <v>2.056715422585615</v>
      </c>
      <c r="P97" s="364">
        <f t="shared" si="16"/>
        <v>49.903818392682794</v>
      </c>
    </row>
    <row r="98" spans="10:16" ht="12.75">
      <c r="J98" s="346">
        <f t="shared" si="11"/>
        <v>51.98978982283877</v>
      </c>
      <c r="K98" s="165">
        <v>15.5</v>
      </c>
      <c r="L98" s="249">
        <f t="shared" si="12"/>
        <v>427.3</v>
      </c>
      <c r="M98" s="249">
        <f t="shared" si="13"/>
        <v>428.29445983379503</v>
      </c>
      <c r="N98" s="339">
        <f t="shared" si="14"/>
        <v>4.20133660897568</v>
      </c>
      <c r="O98" s="544">
        <f t="shared" si="15"/>
        <v>2.0859714301559826</v>
      </c>
      <c r="P98" s="364">
        <f t="shared" si="16"/>
        <v>51.98978982283877</v>
      </c>
    </row>
    <row r="99" spans="10:16" ht="12.75">
      <c r="J99" s="346">
        <f t="shared" si="11"/>
        <v>54.10522387213536</v>
      </c>
      <c r="K99" s="165">
        <v>16</v>
      </c>
      <c r="L99" s="249">
        <f t="shared" si="12"/>
        <v>430.3</v>
      </c>
      <c r="M99" s="249">
        <f t="shared" si="13"/>
        <v>431.29445983379503</v>
      </c>
      <c r="N99" s="339">
        <f t="shared" si="14"/>
        <v>4.260468458826493</v>
      </c>
      <c r="O99" s="544">
        <f t="shared" si="15"/>
        <v>2.115434049296591</v>
      </c>
      <c r="P99" s="364">
        <f t="shared" si="16"/>
        <v>54.10522387213536</v>
      </c>
    </row>
    <row r="100" spans="10:16" ht="12.75">
      <c r="J100" s="346">
        <f t="shared" si="11"/>
        <v>56.2503271521428</v>
      </c>
      <c r="K100" s="165">
        <v>16.5</v>
      </c>
      <c r="L100" s="249">
        <f t="shared" si="12"/>
        <v>433.3</v>
      </c>
      <c r="M100" s="249">
        <f t="shared" si="13"/>
        <v>434.29445983379503</v>
      </c>
      <c r="N100" s="339">
        <f t="shared" si="14"/>
        <v>4.320013531817801</v>
      </c>
      <c r="O100" s="544">
        <f t="shared" si="15"/>
        <v>2.1451032800074405</v>
      </c>
      <c r="P100" s="364">
        <f t="shared" si="16"/>
        <v>56.2503271521428</v>
      </c>
    </row>
    <row r="101" spans="2:16" ht="15">
      <c r="B101" s="502"/>
      <c r="C101" s="502"/>
      <c r="D101" s="48"/>
      <c r="E101" s="48"/>
      <c r="F101" s="48"/>
      <c r="G101" s="48"/>
      <c r="H101" s="503"/>
      <c r="I101" s="504"/>
      <c r="J101" s="346">
        <f>P101</f>
        <v>58.425306274431335</v>
      </c>
      <c r="K101" s="165">
        <v>17</v>
      </c>
      <c r="L101" s="249">
        <f>L100+2*0.5*$E$26</f>
        <v>436.3</v>
      </c>
      <c r="M101" s="249">
        <f>M100+2*0.5*$E$26</f>
        <v>437.29445983379503</v>
      </c>
      <c r="N101" s="339">
        <f>L101*M101/43560</f>
        <v>4.379971827949604</v>
      </c>
      <c r="O101" s="544">
        <f>(K101-K100)/3*(N101+N100+(N101*N100)^0.5)</f>
        <v>2.1749791222885313</v>
      </c>
      <c r="P101" s="364">
        <f>P100+O101</f>
        <v>58.425306274431335</v>
      </c>
    </row>
    <row r="102" ht="12.75">
      <c r="N102" s="510"/>
    </row>
    <row r="103" ht="12.75">
      <c r="N103" s="510"/>
    </row>
    <row r="104" ht="12.75">
      <c r="N104" s="509"/>
    </row>
    <row r="106" spans="10:13" ht="12.75">
      <c r="J106" s="511"/>
      <c r="K106" s="512" t="s">
        <v>692</v>
      </c>
      <c r="L106" s="512"/>
      <c r="M106" s="512"/>
    </row>
    <row r="107" spans="10:13" ht="12.75">
      <c r="J107" s="513" t="s">
        <v>517</v>
      </c>
      <c r="K107" s="514" t="s">
        <v>678</v>
      </c>
      <c r="L107" s="515" t="s">
        <v>679</v>
      </c>
      <c r="M107" s="516"/>
    </row>
    <row r="108" spans="10:13" ht="12.75">
      <c r="J108" s="517" t="s">
        <v>685</v>
      </c>
      <c r="K108" s="518" t="s">
        <v>685</v>
      </c>
      <c r="L108" s="519" t="s">
        <v>685</v>
      </c>
      <c r="M108" s="516"/>
    </row>
    <row r="109" spans="10:13" ht="12.75">
      <c r="J109" s="520">
        <f>A69</f>
        <v>11.200000000000001</v>
      </c>
      <c r="K109" s="521">
        <f>D59</f>
        <v>401.5</v>
      </c>
      <c r="L109" s="522">
        <f>D60</f>
        <v>402.494459833795</v>
      </c>
      <c r="M109" s="516"/>
    </row>
    <row r="110" spans="10:13" ht="12.75">
      <c r="J110" s="516"/>
      <c r="K110" s="514" t="s">
        <v>680</v>
      </c>
      <c r="L110" s="515" t="s">
        <v>681</v>
      </c>
      <c r="M110" s="1"/>
    </row>
    <row r="111" spans="10:13" ht="12.75">
      <c r="J111" s="516"/>
      <c r="K111" s="518" t="s">
        <v>685</v>
      </c>
      <c r="L111" s="519" t="s">
        <v>685</v>
      </c>
      <c r="M111" s="515" t="s">
        <v>684</v>
      </c>
    </row>
    <row r="112" spans="10:13" ht="12.75">
      <c r="J112" s="516"/>
      <c r="K112" s="523">
        <f>K109-E26*J109</f>
        <v>367.9</v>
      </c>
      <c r="L112" s="524">
        <f>L109-E26*J109</f>
        <v>368.894459833795</v>
      </c>
      <c r="M112" s="525" t="s">
        <v>520</v>
      </c>
    </row>
    <row r="113" spans="10:13" ht="12.75">
      <c r="J113" s="516"/>
      <c r="K113" s="514" t="s">
        <v>682</v>
      </c>
      <c r="L113" s="526" t="s">
        <v>683</v>
      </c>
      <c r="M113" s="527">
        <f>(K109*L109+4*(K112*L112)+K115*L115)/6*J109*7.48</f>
        <v>11401292.968362547</v>
      </c>
    </row>
    <row r="114" spans="10:13" ht="12.75">
      <c r="J114" s="516"/>
      <c r="K114" s="518" t="s">
        <v>685</v>
      </c>
      <c r="L114" s="519" t="s">
        <v>685</v>
      </c>
      <c r="M114" s="517" t="s">
        <v>686</v>
      </c>
    </row>
    <row r="115" spans="10:13" ht="12.75">
      <c r="J115" s="516"/>
      <c r="K115" s="518">
        <f>K109-2*E26*J109</f>
        <v>334.3</v>
      </c>
      <c r="L115" s="528">
        <f>L109-2*E26*J109</f>
        <v>335.29445983379503</v>
      </c>
      <c r="M115" s="529">
        <f>M113/325829</f>
        <v>34.9916458276045</v>
      </c>
    </row>
    <row r="116" spans="10:13" ht="25.5">
      <c r="J116" s="530" t="s">
        <v>687</v>
      </c>
      <c r="K116" s="531" t="s">
        <v>688</v>
      </c>
      <c r="L116" s="531" t="s">
        <v>689</v>
      </c>
      <c r="M116" s="532" t="s">
        <v>690</v>
      </c>
    </row>
    <row r="117" spans="10:13" ht="12.75">
      <c r="J117" s="533">
        <f>((K109+K115)*(1+E26^2)^0.5*J109)/9</f>
        <v>2895.578189593468</v>
      </c>
      <c r="K117" s="534">
        <f>((L109+L115)*(1+E26^2)^0.5*J109)/9</f>
        <v>2903.405143127482</v>
      </c>
      <c r="L117" s="534">
        <f>SUM(K115*L115)/9</f>
        <v>12454.32643582641</v>
      </c>
      <c r="M117" s="535">
        <f>SUM(12*(K109+L109)/9)</f>
        <v>1071.9926131117265</v>
      </c>
    </row>
    <row r="118" spans="10:13" ht="25.5">
      <c r="J118" s="1"/>
      <c r="K118" s="1"/>
      <c r="L118" s="1"/>
      <c r="M118" s="536" t="s">
        <v>691</v>
      </c>
    </row>
    <row r="119" spans="10:13" ht="12.75">
      <c r="J119" s="1"/>
      <c r="K119" s="1"/>
      <c r="L119" s="1"/>
      <c r="M119" s="537">
        <f>SUM(J117+K117+M117+L117)</f>
        <v>19325.302381659087</v>
      </c>
    </row>
  </sheetData>
  <sheetProtection password="CCF6" sheet="1" objects="1" scenarios="1"/>
  <mergeCells count="65">
    <mergeCell ref="A17:D17"/>
    <mergeCell ref="F30:I30"/>
    <mergeCell ref="G29:I29"/>
    <mergeCell ref="A28:D28"/>
    <mergeCell ref="A24:D24"/>
    <mergeCell ref="A26:D26"/>
    <mergeCell ref="A25:D25"/>
    <mergeCell ref="A27:D27"/>
    <mergeCell ref="A29:D29"/>
    <mergeCell ref="A18:G18"/>
    <mergeCell ref="A47:D47"/>
    <mergeCell ref="A46:D46"/>
    <mergeCell ref="A42:D42"/>
    <mergeCell ref="A43:D43"/>
    <mergeCell ref="A35:D35"/>
    <mergeCell ref="A40:D40"/>
    <mergeCell ref="A41:D41"/>
    <mergeCell ref="A36:D36"/>
    <mergeCell ref="A37:D37"/>
    <mergeCell ref="A34:D34"/>
    <mergeCell ref="C4:D4"/>
    <mergeCell ref="G4:H4"/>
    <mergeCell ref="E5:F5"/>
    <mergeCell ref="A9:I9"/>
    <mergeCell ref="E11:F11"/>
    <mergeCell ref="A11:D11"/>
    <mergeCell ref="A12:D12"/>
    <mergeCell ref="A13:D13"/>
    <mergeCell ref="A16:I16"/>
    <mergeCell ref="A88:I94"/>
    <mergeCell ref="G42:I42"/>
    <mergeCell ref="F43:I44"/>
    <mergeCell ref="F37:I38"/>
    <mergeCell ref="A49:D49"/>
    <mergeCell ref="A44:D44"/>
    <mergeCell ref="A57:D57"/>
    <mergeCell ref="A85:I85"/>
    <mergeCell ref="B69:C69"/>
    <mergeCell ref="G48:I49"/>
    <mergeCell ref="A87:I87"/>
    <mergeCell ref="A58:I58"/>
    <mergeCell ref="A71:I71"/>
    <mergeCell ref="A38:D38"/>
    <mergeCell ref="A54:D54"/>
    <mergeCell ref="A55:D55"/>
    <mergeCell ref="A56:D56"/>
    <mergeCell ref="H63:I63"/>
    <mergeCell ref="A50:D52"/>
    <mergeCell ref="A48:D48"/>
    <mergeCell ref="A15:D15"/>
    <mergeCell ref="E12:F12"/>
    <mergeCell ref="E13:F13"/>
    <mergeCell ref="E14:F14"/>
    <mergeCell ref="E15:F15"/>
    <mergeCell ref="A14:D14"/>
    <mergeCell ref="A7:B8"/>
    <mergeCell ref="S1:Z1"/>
    <mergeCell ref="Z2:AA2"/>
    <mergeCell ref="AC4:AG4"/>
    <mergeCell ref="AC1:AG1"/>
    <mergeCell ref="A1:I1"/>
    <mergeCell ref="C3:D3"/>
    <mergeCell ref="C5:D5"/>
    <mergeCell ref="G3:H3"/>
    <mergeCell ref="G5:H5"/>
  </mergeCells>
  <dataValidations count="2">
    <dataValidation type="list" allowBlank="1" showInputMessage="1" showErrorMessage="1" sqref="G12:G14">
      <formula1>$P$2:$P$12</formula1>
    </dataValidation>
    <dataValidation type="list" allowBlank="1" showInputMessage="1" showErrorMessage="1" sqref="A12:D14">
      <formula1>$N$2:$N$17</formula1>
    </dataValidation>
  </dataValidations>
  <printOptions/>
  <pageMargins left="0.75" right="0.66" top="0.67" bottom="0.72" header="0.5" footer="0.5"/>
  <pageSetup horizontalDpi="600" verticalDpi="600" orientation="portrait" scale="97" r:id="rId3"/>
  <rowBreaks count="1" manualBreakCount="1">
    <brk id="44" max="8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47"/>
  <sheetViews>
    <sheetView workbookViewId="0" topLeftCell="A1">
      <selection activeCell="G5" sqref="G5:I5"/>
    </sheetView>
  </sheetViews>
  <sheetFormatPr defaultColWidth="9.140625" defaultRowHeight="12.75"/>
  <cols>
    <col min="2" max="2" width="11.421875" style="0" customWidth="1"/>
    <col min="3" max="3" width="11.00390625" style="0" customWidth="1"/>
    <col min="4" max="4" width="9.57421875" style="0" bestFit="1" customWidth="1"/>
    <col min="5" max="5" width="11.57421875" style="0" customWidth="1"/>
    <col min="6" max="6" width="6.57421875" style="0" customWidth="1"/>
    <col min="7" max="7" width="10.57421875" style="0" bestFit="1" customWidth="1"/>
    <col min="8" max="8" width="11.421875" style="0" customWidth="1"/>
    <col min="9" max="9" width="10.57421875" style="0" customWidth="1"/>
    <col min="11" max="11" width="9.57421875" style="0" bestFit="1" customWidth="1"/>
    <col min="13" max="13" width="11.28125" style="0" customWidth="1"/>
    <col min="17" max="17" width="11.57421875" style="0" bestFit="1" customWidth="1"/>
  </cols>
  <sheetData>
    <row r="1" spans="1:12" ht="15.75">
      <c r="A1" s="1017" t="s">
        <v>465</v>
      </c>
      <c r="B1" s="1018"/>
      <c r="C1" s="1018"/>
      <c r="D1" s="1018"/>
      <c r="E1" s="1018"/>
      <c r="F1" s="1018"/>
      <c r="G1" s="1018"/>
      <c r="H1" s="1018"/>
      <c r="I1" s="1019"/>
      <c r="J1" s="91"/>
      <c r="K1" s="91"/>
      <c r="L1" s="386"/>
    </row>
    <row r="2" spans="1:10" ht="15">
      <c r="A2" s="88" t="s">
        <v>102</v>
      </c>
      <c r="B2" s="89"/>
      <c r="C2" s="89"/>
      <c r="D2" s="89"/>
      <c r="E2" s="89"/>
      <c r="F2" s="296" t="str">
        <f>'Planning Data'!F2</f>
        <v>Version 2.7  (2/22/08)</v>
      </c>
      <c r="G2" s="89"/>
      <c r="H2" s="90" t="s">
        <v>48</v>
      </c>
      <c r="I2" s="195" t="str">
        <f>'Planning Data'!K4</f>
        <v>9/25/08</v>
      </c>
      <c r="J2" s="101"/>
    </row>
    <row r="3" spans="1:9" ht="15">
      <c r="A3" s="95"/>
      <c r="B3" s="92" t="s">
        <v>47</v>
      </c>
      <c r="C3" s="1020" t="str">
        <f>'Planning Data'!C3</f>
        <v>Super Cow Dairy</v>
      </c>
      <c r="D3" s="1021"/>
      <c r="E3" s="102"/>
      <c r="F3" s="22" t="s">
        <v>50</v>
      </c>
      <c r="G3" s="1024" t="str">
        <f>'Planning Data'!G3</f>
        <v>Joe Holstein</v>
      </c>
      <c r="H3" s="1025"/>
      <c r="I3" s="97"/>
    </row>
    <row r="4" spans="1:12" ht="15">
      <c r="A4" s="103"/>
      <c r="B4" s="93" t="s">
        <v>52</v>
      </c>
      <c r="C4" s="1026" t="str">
        <f>'Planning Data'!C4</f>
        <v>Artesia, NM</v>
      </c>
      <c r="D4" s="1027"/>
      <c r="E4" s="104"/>
      <c r="F4" s="94" t="s">
        <v>49</v>
      </c>
      <c r="G4" s="1028" t="str">
        <f>'Planning Data'!G4</f>
        <v>R White</v>
      </c>
      <c r="H4" s="1029"/>
      <c r="I4" s="105"/>
      <c r="L4" t="s">
        <v>542</v>
      </c>
    </row>
    <row r="5" spans="1:12" ht="14.25" customHeight="1">
      <c r="A5" s="103"/>
      <c r="B5" s="93" t="s">
        <v>127</v>
      </c>
      <c r="C5" s="1022" t="str">
        <f>'Lot Runoff'!C8</f>
        <v>Runoff Pond 1</v>
      </c>
      <c r="D5" s="1023"/>
      <c r="E5" s="104"/>
      <c r="F5" s="112" t="s">
        <v>438</v>
      </c>
      <c r="G5" s="1030" t="s">
        <v>524</v>
      </c>
      <c r="H5" s="1031"/>
      <c r="I5" s="1032"/>
      <c r="L5">
        <v>1</v>
      </c>
    </row>
    <row r="6" spans="1:12" ht="14.25" customHeight="1">
      <c r="A6" s="1011" t="s">
        <v>20</v>
      </c>
      <c r="B6" s="1012"/>
      <c r="C6" s="1012"/>
      <c r="D6" s="1012"/>
      <c r="E6" s="1012"/>
      <c r="F6" s="1012"/>
      <c r="G6" s="1012"/>
      <c r="H6" s="1012"/>
      <c r="I6" s="1013"/>
      <c r="L6">
        <v>2</v>
      </c>
    </row>
    <row r="7" spans="1:9" ht="15">
      <c r="A7" s="2"/>
      <c r="B7" s="98"/>
      <c r="C7" s="96"/>
      <c r="D7" s="96"/>
      <c r="E7" s="3"/>
      <c r="F7" s="3"/>
      <c r="G7" s="5" t="s">
        <v>123</v>
      </c>
      <c r="H7" s="196">
        <f>'Lot Runoff'!F28</f>
        <v>7.388360747454402</v>
      </c>
      <c r="I7" s="197" t="s">
        <v>363</v>
      </c>
    </row>
    <row r="8" spans="1:9" ht="15">
      <c r="A8" s="2"/>
      <c r="B8" s="98"/>
      <c r="C8" s="96"/>
      <c r="D8" s="96"/>
      <c r="E8" s="3"/>
      <c r="F8" s="3"/>
      <c r="G8" s="5" t="s">
        <v>439</v>
      </c>
      <c r="H8" s="196">
        <f>E23*E34/43560*'Lot Runoff'!F25/12</f>
        <v>0.36974276859504135</v>
      </c>
      <c r="I8" s="197" t="s">
        <v>363</v>
      </c>
    </row>
    <row r="9" spans="1:12" ht="15">
      <c r="A9" s="2"/>
      <c r="B9" s="98"/>
      <c r="C9" s="96"/>
      <c r="D9" s="96"/>
      <c r="E9" s="3"/>
      <c r="F9" s="3"/>
      <c r="G9" s="5" t="s">
        <v>440</v>
      </c>
      <c r="H9" s="210">
        <f>SUM(H7:H8)</f>
        <v>7.758103516049443</v>
      </c>
      <c r="I9" s="197" t="s">
        <v>363</v>
      </c>
      <c r="J9" s="71"/>
      <c r="K9" s="6"/>
      <c r="L9" s="6"/>
    </row>
    <row r="10" spans="1:12" ht="5.25" customHeight="1">
      <c r="A10" s="95"/>
      <c r="B10" s="96"/>
      <c r="C10" s="96"/>
      <c r="D10" s="96"/>
      <c r="E10" s="96"/>
      <c r="F10" s="96"/>
      <c r="G10" s="96"/>
      <c r="H10" s="96"/>
      <c r="I10" s="97"/>
      <c r="J10" s="71"/>
      <c r="K10" s="6"/>
      <c r="L10" s="6"/>
    </row>
    <row r="11" spans="1:17" ht="17.25" customHeight="1">
      <c r="A11" s="1007" t="s">
        <v>430</v>
      </c>
      <c r="B11" s="1008"/>
      <c r="C11" s="1008"/>
      <c r="D11" s="1008"/>
      <c r="E11" s="201">
        <v>6</v>
      </c>
      <c r="F11" s="1014"/>
      <c r="G11" s="1015"/>
      <c r="H11" s="1015"/>
      <c r="I11" s="1016"/>
      <c r="J11" s="216"/>
      <c r="K11" s="99"/>
      <c r="L11" s="99"/>
      <c r="M11" s="99"/>
      <c r="N11" s="99"/>
      <c r="O11" s="99"/>
      <c r="P11" s="27"/>
      <c r="Q11" s="164" t="s">
        <v>364</v>
      </c>
    </row>
    <row r="12" spans="1:18" ht="16.5" customHeight="1">
      <c r="A12" s="1007" t="s">
        <v>539</v>
      </c>
      <c r="B12" s="1008"/>
      <c r="C12" s="1008"/>
      <c r="D12" s="1008"/>
      <c r="E12" s="397">
        <v>2</v>
      </c>
      <c r="F12" s="1014"/>
      <c r="G12" s="1015"/>
      <c r="H12" s="1015"/>
      <c r="I12" s="1016"/>
      <c r="J12" s="999" t="s">
        <v>431</v>
      </c>
      <c r="K12" s="1000"/>
      <c r="L12" s="1000"/>
      <c r="M12" s="218">
        <f>E13*E14</f>
        <v>40401</v>
      </c>
      <c r="N12" s="219" t="s">
        <v>385</v>
      </c>
      <c r="O12" s="99"/>
      <c r="P12" s="27"/>
      <c r="Q12" s="155">
        <f>(4*E15^2*E11^3)/3</f>
        <v>2592</v>
      </c>
      <c r="R12" t="s">
        <v>360</v>
      </c>
    </row>
    <row r="13" spans="1:18" ht="15">
      <c r="A13" s="1007" t="s">
        <v>432</v>
      </c>
      <c r="B13" s="1008"/>
      <c r="C13" s="1008"/>
      <c r="D13" s="1008"/>
      <c r="E13" s="201">
        <v>201</v>
      </c>
      <c r="F13" s="997" t="str">
        <f>IF(E18&lt;H9,"Increase pond depth or dimensions!","Pond size is OK.")</f>
        <v>Increase pond depth or dimensions!</v>
      </c>
      <c r="G13" s="998"/>
      <c r="H13" s="3"/>
      <c r="I13" s="4"/>
      <c r="J13" s="220"/>
      <c r="K13" s="221"/>
      <c r="L13" s="221"/>
      <c r="M13" s="99"/>
      <c r="N13" s="99"/>
      <c r="O13" s="99"/>
      <c r="P13" s="27"/>
      <c r="Q13" s="155">
        <f>E15*(E13-(E11*E15*2))*E11^2</f>
        <v>17820</v>
      </c>
      <c r="R13" t="s">
        <v>360</v>
      </c>
    </row>
    <row r="14" spans="1:18" ht="15">
      <c r="A14" s="1007" t="s">
        <v>434</v>
      </c>
      <c r="B14" s="1008"/>
      <c r="C14" s="1008"/>
      <c r="D14" s="1008"/>
      <c r="E14" s="203">
        <v>201</v>
      </c>
      <c r="F14" s="997"/>
      <c r="G14" s="998"/>
      <c r="H14" s="3"/>
      <c r="I14" s="4"/>
      <c r="J14" s="220"/>
      <c r="K14" s="221"/>
      <c r="L14" s="217" t="s">
        <v>433</v>
      </c>
      <c r="M14" s="218">
        <f>(E13-(E15*E11)*2)*(E14-(E15*E11)*2)</f>
        <v>27225</v>
      </c>
      <c r="N14" s="219" t="s">
        <v>385</v>
      </c>
      <c r="O14" s="99"/>
      <c r="P14" s="27"/>
      <c r="Q14" s="155">
        <f>E15*(E14-(E11*E15*2))*E11^2</f>
        <v>17820</v>
      </c>
      <c r="R14" t="s">
        <v>360</v>
      </c>
    </row>
    <row r="15" spans="1:18" ht="15">
      <c r="A15" s="1009" t="s">
        <v>358</v>
      </c>
      <c r="B15" s="1010"/>
      <c r="C15" s="1010"/>
      <c r="D15" s="1010"/>
      <c r="E15" s="204">
        <v>3</v>
      </c>
      <c r="F15" s="146" t="s">
        <v>21</v>
      </c>
      <c r="G15" s="100"/>
      <c r="H15" s="100"/>
      <c r="I15" s="105"/>
      <c r="J15" s="220"/>
      <c r="K15" s="221"/>
      <c r="L15" s="221"/>
      <c r="M15" s="99"/>
      <c r="N15" s="99"/>
      <c r="O15" s="99"/>
      <c r="P15" s="27"/>
      <c r="Q15" s="155">
        <f>(E14-(E11*E15*2))*(E13-(E11*E15*2))*E11</f>
        <v>163350</v>
      </c>
      <c r="R15" t="s">
        <v>360</v>
      </c>
    </row>
    <row r="16" spans="1:18" ht="15">
      <c r="A16" s="71"/>
      <c r="B16" s="93"/>
      <c r="C16" s="93"/>
      <c r="D16" s="199" t="s">
        <v>436</v>
      </c>
      <c r="E16" s="205">
        <f>E13*E14/43560</f>
        <v>0.9274793388429752</v>
      </c>
      <c r="F16" s="206" t="s">
        <v>22</v>
      </c>
      <c r="G16" s="100"/>
      <c r="H16" s="100"/>
      <c r="I16" s="105"/>
      <c r="J16" s="999" t="s">
        <v>435</v>
      </c>
      <c r="K16" s="1000"/>
      <c r="L16" s="1000"/>
      <c r="M16" s="218">
        <f>(E13-(E15*E11/2)*2)*(E14-(E15*E11/2)*2)*4</f>
        <v>133956</v>
      </c>
      <c r="N16" s="219" t="s">
        <v>385</v>
      </c>
      <c r="O16" s="99"/>
      <c r="P16" s="27"/>
      <c r="Q16" s="155">
        <f>SUM(Q12:Q15)</f>
        <v>201582</v>
      </c>
      <c r="R16" t="s">
        <v>360</v>
      </c>
    </row>
    <row r="17" spans="1:18" ht="15">
      <c r="A17" s="95"/>
      <c r="B17" s="96"/>
      <c r="C17" s="96"/>
      <c r="D17" s="96"/>
      <c r="E17" s="96"/>
      <c r="F17" s="96"/>
      <c r="G17" s="96"/>
      <c r="H17" s="96"/>
      <c r="I17" s="97"/>
      <c r="J17" s="220"/>
      <c r="K17" s="221"/>
      <c r="L17" s="221"/>
      <c r="M17" s="99"/>
      <c r="N17" s="99"/>
      <c r="O17" s="99"/>
      <c r="P17" s="27"/>
      <c r="Q17" s="207">
        <f>Q16/43560</f>
        <v>4.627685950413223</v>
      </c>
      <c r="R17" t="s">
        <v>361</v>
      </c>
    </row>
    <row r="18" spans="1:18" ht="15">
      <c r="A18" s="2"/>
      <c r="B18" s="100"/>
      <c r="C18" s="100"/>
      <c r="D18" s="202" t="s">
        <v>357</v>
      </c>
      <c r="E18" s="213">
        <f>P22</f>
        <v>4.627685950413223</v>
      </c>
      <c r="F18" s="214" t="s">
        <v>363</v>
      </c>
      <c r="G18" s="215">
        <f>E19*134.5</f>
        <v>7469.085123966943</v>
      </c>
      <c r="H18" s="214" t="s">
        <v>441</v>
      </c>
      <c r="I18" s="97"/>
      <c r="J18" s="220"/>
      <c r="K18" s="221"/>
      <c r="L18" s="222" t="s">
        <v>437</v>
      </c>
      <c r="M18" s="223">
        <f>SUM(M12+M14+M16)</f>
        <v>201582</v>
      </c>
      <c r="N18" s="219" t="s">
        <v>385</v>
      </c>
      <c r="O18" s="99"/>
      <c r="P18" s="27"/>
      <c r="Q18" s="155">
        <f>Q17*12</f>
        <v>55.53223140495868</v>
      </c>
      <c r="R18" t="s">
        <v>362</v>
      </c>
    </row>
    <row r="19" spans="1:16" ht="15" customHeight="1">
      <c r="A19" s="2"/>
      <c r="B19" s="100"/>
      <c r="C19" s="100"/>
      <c r="D19" s="202"/>
      <c r="E19" s="213">
        <f>E18*12</f>
        <v>55.53223140495868</v>
      </c>
      <c r="F19" s="214" t="s">
        <v>24</v>
      </c>
      <c r="G19" s="211">
        <f>E19*27154</f>
        <v>1507922.211570248</v>
      </c>
      <c r="H19" s="208" t="s">
        <v>442</v>
      </c>
      <c r="I19" s="97"/>
      <c r="J19" s="216"/>
      <c r="K19" s="99"/>
      <c r="L19" s="99"/>
      <c r="M19" s="99"/>
      <c r="N19" s="99"/>
      <c r="O19" s="99"/>
      <c r="P19" s="27"/>
    </row>
    <row r="20" spans="1:17" ht="27" customHeight="1">
      <c r="A20" s="1001" t="s">
        <v>468</v>
      </c>
      <c r="B20" s="1002"/>
      <c r="C20" s="1002"/>
      <c r="D20" s="1002"/>
      <c r="E20" s="1002"/>
      <c r="F20" s="1002"/>
      <c r="G20" s="1002"/>
      <c r="H20" s="1002"/>
      <c r="I20" s="1003"/>
      <c r="J20" s="216"/>
      <c r="K20" s="219">
        <f>M18</f>
        <v>201582</v>
      </c>
      <c r="L20" s="217" t="s">
        <v>456</v>
      </c>
      <c r="M20" s="222">
        <f>E11</f>
        <v>6</v>
      </c>
      <c r="N20" s="219" t="s">
        <v>457</v>
      </c>
      <c r="O20" s="219"/>
      <c r="P20" s="27">
        <f>K20*M20/6</f>
        <v>201582</v>
      </c>
      <c r="Q20" t="s">
        <v>386</v>
      </c>
    </row>
    <row r="21" spans="1:16" ht="15">
      <c r="A21" s="1004" t="s">
        <v>14</v>
      </c>
      <c r="B21" s="1005"/>
      <c r="C21" s="1005"/>
      <c r="D21" s="1005"/>
      <c r="E21" s="1005"/>
      <c r="F21" s="1005"/>
      <c r="G21" s="1005"/>
      <c r="H21" s="1005"/>
      <c r="I21" s="1006"/>
      <c r="J21" s="216"/>
      <c r="K21" s="99"/>
      <c r="L21" s="99"/>
      <c r="M21" s="99"/>
      <c r="N21" s="99"/>
      <c r="O21" s="99"/>
      <c r="P21" s="27"/>
    </row>
    <row r="22" spans="1:17" ht="15" customHeight="1">
      <c r="A22" s="95"/>
      <c r="B22" s="96"/>
      <c r="C22" s="96"/>
      <c r="D22" s="96"/>
      <c r="E22" s="96"/>
      <c r="F22" s="96"/>
      <c r="G22" s="96"/>
      <c r="H22" s="96"/>
      <c r="I22" s="97"/>
      <c r="J22" s="216"/>
      <c r="K22" s="99">
        <f>P20</f>
        <v>201582</v>
      </c>
      <c r="M22" s="219"/>
      <c r="N22" s="221"/>
      <c r="O22" s="224" t="s">
        <v>458</v>
      </c>
      <c r="P22" s="27">
        <f>K22/43560</f>
        <v>4.627685950413223</v>
      </c>
      <c r="Q22" t="s">
        <v>459</v>
      </c>
    </row>
    <row r="23" spans="1:15" ht="15">
      <c r="A23" s="2"/>
      <c r="B23" s="3"/>
      <c r="C23" s="3"/>
      <c r="D23" s="7" t="s">
        <v>426</v>
      </c>
      <c r="E23" s="5">
        <f>E14+(E15*E12*2)</f>
        <v>213</v>
      </c>
      <c r="F23" s="145" t="s">
        <v>115</v>
      </c>
      <c r="G23" s="150"/>
      <c r="H23" s="96"/>
      <c r="I23" s="97"/>
      <c r="J23" s="71"/>
      <c r="K23" s="6"/>
      <c r="L23" s="6"/>
      <c r="M23" s="6"/>
      <c r="N23" s="6"/>
      <c r="O23" s="6"/>
    </row>
    <row r="24" spans="1:12" ht="14.25">
      <c r="A24" s="209">
        <f>E12</f>
        <v>2</v>
      </c>
      <c r="B24" s="145" t="s">
        <v>445</v>
      </c>
      <c r="C24" s="98"/>
      <c r="D24" s="98"/>
      <c r="E24" s="98"/>
      <c r="F24" s="98"/>
      <c r="G24" s="98"/>
      <c r="H24" s="98"/>
      <c r="I24" s="97"/>
      <c r="J24" s="71"/>
      <c r="K24" s="6"/>
      <c r="L24" s="6"/>
    </row>
    <row r="25" spans="1:9" ht="12.75">
      <c r="A25" s="2"/>
      <c r="B25" s="3"/>
      <c r="C25" s="3"/>
      <c r="D25" s="3"/>
      <c r="E25" s="3"/>
      <c r="F25" s="3"/>
      <c r="G25" s="3"/>
      <c r="H25" s="3"/>
      <c r="I25" s="4"/>
    </row>
    <row r="26" spans="1:9" ht="12.75">
      <c r="A26" s="2"/>
      <c r="B26" s="3"/>
      <c r="C26" s="3"/>
      <c r="D26" s="3"/>
      <c r="E26" s="3"/>
      <c r="F26" s="3"/>
      <c r="G26" s="3"/>
      <c r="H26" s="3"/>
      <c r="I26" s="4"/>
    </row>
    <row r="27" spans="1:11" ht="12.75">
      <c r="A27" s="209">
        <f>E11</f>
        <v>6</v>
      </c>
      <c r="B27" s="145" t="s">
        <v>444</v>
      </c>
      <c r="C27" s="6"/>
      <c r="D27" s="3"/>
      <c r="E27" s="3"/>
      <c r="F27" s="3"/>
      <c r="G27" s="145">
        <f>E15</f>
        <v>3</v>
      </c>
      <c r="H27" s="145" t="s">
        <v>114</v>
      </c>
      <c r="I27" s="4"/>
      <c r="K27" s="165">
        <f>E29+(2*A29)*(SQRT((G27^2)+1))</f>
        <v>215.59644256269408</v>
      </c>
    </row>
    <row r="28" spans="1:9" ht="12.75">
      <c r="A28" s="2"/>
      <c r="B28" s="3"/>
      <c r="C28" s="3"/>
      <c r="D28" s="3"/>
      <c r="E28" s="3"/>
      <c r="F28" s="3"/>
      <c r="G28" s="3"/>
      <c r="H28" s="3"/>
      <c r="I28" s="4"/>
    </row>
    <row r="29" spans="1:9" ht="12.75">
      <c r="A29" s="209">
        <f>A24+A27</f>
        <v>8</v>
      </c>
      <c r="B29" s="145" t="s">
        <v>355</v>
      </c>
      <c r="C29" s="145"/>
      <c r="D29" s="3"/>
      <c r="E29" s="5">
        <f>E23-((E11+E12)*E15*2)</f>
        <v>165</v>
      </c>
      <c r="F29" s="145" t="s">
        <v>116</v>
      </c>
      <c r="G29" s="145"/>
      <c r="H29" s="3"/>
      <c r="I29" s="4"/>
    </row>
    <row r="30" spans="1:9" ht="12.75">
      <c r="A30" s="2"/>
      <c r="B30" s="3"/>
      <c r="C30" s="3"/>
      <c r="D30" s="3"/>
      <c r="E30" s="3"/>
      <c r="F30" s="3"/>
      <c r="G30" s="3"/>
      <c r="H30" s="5" t="s">
        <v>365</v>
      </c>
      <c r="I30" s="166">
        <f>K27</f>
        <v>215.59644256269408</v>
      </c>
    </row>
    <row r="31" spans="1:9" ht="12.75">
      <c r="A31" s="8"/>
      <c r="B31" s="9"/>
      <c r="C31" s="9"/>
      <c r="D31" s="9"/>
      <c r="E31" s="9"/>
      <c r="F31" s="9"/>
      <c r="G31" s="9"/>
      <c r="H31" s="9"/>
      <c r="I31" s="10"/>
    </row>
    <row r="32" spans="1:9" ht="15">
      <c r="A32" s="994" t="s">
        <v>15</v>
      </c>
      <c r="B32" s="995"/>
      <c r="C32" s="995"/>
      <c r="D32" s="995"/>
      <c r="E32" s="995"/>
      <c r="F32" s="995"/>
      <c r="G32" s="995"/>
      <c r="H32" s="995"/>
      <c r="I32" s="996"/>
    </row>
    <row r="33" spans="1:9" ht="12.75">
      <c r="A33" s="2"/>
      <c r="B33" s="3"/>
      <c r="C33" s="3"/>
      <c r="D33" s="3"/>
      <c r="E33" s="3"/>
      <c r="F33" s="3"/>
      <c r="G33" s="3"/>
      <c r="H33" s="3"/>
      <c r="I33" s="4"/>
    </row>
    <row r="34" spans="1:9" ht="12.75">
      <c r="A34" s="2"/>
      <c r="B34" s="3"/>
      <c r="C34" s="7" t="s">
        <v>426</v>
      </c>
      <c r="D34" s="3"/>
      <c r="E34" s="5">
        <f>E13+(E12*E15*2)</f>
        <v>213</v>
      </c>
      <c r="F34" s="145" t="s">
        <v>125</v>
      </c>
      <c r="G34" s="145"/>
      <c r="H34" s="3"/>
      <c r="I34" s="4"/>
    </row>
    <row r="35" spans="1:9" ht="12.75">
      <c r="A35" s="2"/>
      <c r="B35" s="3"/>
      <c r="C35" s="3"/>
      <c r="D35" s="3"/>
      <c r="E35" s="3"/>
      <c r="F35" s="3"/>
      <c r="G35" s="3"/>
      <c r="H35" s="3"/>
      <c r="I35" s="4"/>
    </row>
    <row r="36" spans="1:9" ht="12.75">
      <c r="A36" s="2"/>
      <c r="B36" s="3"/>
      <c r="C36" s="3"/>
      <c r="D36" s="3"/>
      <c r="E36" s="3"/>
      <c r="F36" s="3"/>
      <c r="G36" s="3"/>
      <c r="H36" s="3"/>
      <c r="I36" s="4"/>
    </row>
    <row r="37" spans="1:9" ht="12.75">
      <c r="A37" s="2"/>
      <c r="B37" s="3"/>
      <c r="C37" s="3"/>
      <c r="D37" s="3"/>
      <c r="E37" s="3"/>
      <c r="F37" s="3"/>
      <c r="G37" s="3"/>
      <c r="H37" s="3"/>
      <c r="I37" s="4"/>
    </row>
    <row r="38" spans="1:9" ht="12.75">
      <c r="A38" s="2"/>
      <c r="B38" s="3"/>
      <c r="C38" s="3"/>
      <c r="D38" s="3"/>
      <c r="E38" s="3"/>
      <c r="F38" s="3"/>
      <c r="G38" s="3"/>
      <c r="H38" s="3"/>
      <c r="I38" s="4"/>
    </row>
    <row r="39" spans="1:9" ht="12.75">
      <c r="A39" s="2"/>
      <c r="B39" s="3"/>
      <c r="C39" s="3"/>
      <c r="D39" s="3"/>
      <c r="E39" s="3"/>
      <c r="F39" s="3"/>
      <c r="G39" s="3"/>
      <c r="H39" s="3"/>
      <c r="I39" s="4"/>
    </row>
    <row r="40" spans="1:11" ht="12.75">
      <c r="A40" s="2"/>
      <c r="B40" s="3"/>
      <c r="C40" s="3"/>
      <c r="D40" s="3"/>
      <c r="E40" s="3"/>
      <c r="F40" s="3"/>
      <c r="G40" s="3"/>
      <c r="H40" s="3"/>
      <c r="I40" s="4"/>
      <c r="K40" s="165">
        <f>E41+(2*A29)*(SQRT((G27^2)+1))</f>
        <v>215.59644256269408</v>
      </c>
    </row>
    <row r="41" spans="1:9" ht="12.75">
      <c r="A41" s="2"/>
      <c r="B41" s="3"/>
      <c r="C41" s="3"/>
      <c r="D41" s="3"/>
      <c r="E41" s="5">
        <f>E34-((E12+E11)*E15*2)</f>
        <v>165</v>
      </c>
      <c r="F41" s="145" t="s">
        <v>126</v>
      </c>
      <c r="G41" s="145"/>
      <c r="H41" s="3"/>
      <c r="I41" s="4"/>
    </row>
    <row r="42" spans="1:9" ht="12.75">
      <c r="A42" s="8"/>
      <c r="B42" s="9"/>
      <c r="C42" s="9"/>
      <c r="D42" s="9"/>
      <c r="E42" s="9"/>
      <c r="F42" s="9"/>
      <c r="G42" s="9"/>
      <c r="H42" s="5" t="s">
        <v>365</v>
      </c>
      <c r="I42" s="166">
        <f>K40</f>
        <v>215.59644256269408</v>
      </c>
    </row>
    <row r="43" spans="1:9" ht="15">
      <c r="A43" s="994" t="s">
        <v>540</v>
      </c>
      <c r="B43" s="995"/>
      <c r="C43" s="995"/>
      <c r="D43" s="995"/>
      <c r="E43" s="995"/>
      <c r="F43" s="995"/>
      <c r="G43" s="995"/>
      <c r="H43" s="995"/>
      <c r="I43" s="996"/>
    </row>
    <row r="44" spans="1:9" ht="12.75">
      <c r="A44" s="182"/>
      <c r="B44" s="183" t="s">
        <v>460</v>
      </c>
      <c r="C44" s="183">
        <f>E29*E41</f>
        <v>27225</v>
      </c>
      <c r="D44" s="228" t="s">
        <v>385</v>
      </c>
      <c r="E44" s="183"/>
      <c r="F44" s="228" t="s">
        <v>464</v>
      </c>
      <c r="G44" s="228" t="s">
        <v>454</v>
      </c>
      <c r="H44" s="183"/>
      <c r="I44" s="225"/>
    </row>
    <row r="45" spans="1:9" ht="12.75">
      <c r="A45" s="144"/>
      <c r="B45" s="5" t="s">
        <v>461</v>
      </c>
      <c r="C45" s="5">
        <f>E23*E34</f>
        <v>45369</v>
      </c>
      <c r="D45" s="227" t="s">
        <v>385</v>
      </c>
      <c r="E45" s="5"/>
      <c r="F45" s="5"/>
      <c r="G45" s="227" t="s">
        <v>455</v>
      </c>
      <c r="H45" s="5"/>
      <c r="I45" s="226"/>
    </row>
    <row r="46" spans="1:9" ht="12.75">
      <c r="A46" s="144"/>
      <c r="B46" s="5" t="s">
        <v>462</v>
      </c>
      <c r="C46" s="229">
        <f>A29/3*(C44+C45+(C44*C45)^0.5)/27</f>
        <v>10640.888888888889</v>
      </c>
      <c r="D46" s="227" t="s">
        <v>463</v>
      </c>
      <c r="E46" s="5"/>
      <c r="F46" s="5"/>
      <c r="G46" s="5"/>
      <c r="H46" s="5"/>
      <c r="I46" s="226"/>
    </row>
    <row r="47" spans="1:9" ht="14.25">
      <c r="A47" s="154"/>
      <c r="B47" s="167" t="s">
        <v>367</v>
      </c>
      <c r="C47" s="168">
        <f>(I30+12)*(I42+12)</f>
        <v>51800.14066719371</v>
      </c>
      <c r="D47" s="169" t="s">
        <v>368</v>
      </c>
      <c r="E47" s="170">
        <f>C47/9</f>
        <v>5755.571185243745</v>
      </c>
      <c r="F47" s="169" t="s">
        <v>443</v>
      </c>
      <c r="G47" s="9"/>
      <c r="H47" s="9"/>
      <c r="I47" s="10"/>
    </row>
  </sheetData>
  <sheetProtection password="CCF6" sheet="1" objects="1" scenarios="1"/>
  <mergeCells count="21">
    <mergeCell ref="A1:I1"/>
    <mergeCell ref="C3:D3"/>
    <mergeCell ref="C5:D5"/>
    <mergeCell ref="G3:H3"/>
    <mergeCell ref="C4:D4"/>
    <mergeCell ref="G4:H4"/>
    <mergeCell ref="G5:I5"/>
    <mergeCell ref="A6:I6"/>
    <mergeCell ref="A11:D11"/>
    <mergeCell ref="J12:L12"/>
    <mergeCell ref="A12:D12"/>
    <mergeCell ref="F11:I12"/>
    <mergeCell ref="A43:I43"/>
    <mergeCell ref="F13:G14"/>
    <mergeCell ref="J16:L16"/>
    <mergeCell ref="A20:I20"/>
    <mergeCell ref="A21:I21"/>
    <mergeCell ref="A32:I32"/>
    <mergeCell ref="A13:D13"/>
    <mergeCell ref="A15:D15"/>
    <mergeCell ref="A14:D14"/>
  </mergeCells>
  <dataValidations count="1">
    <dataValidation type="list" allowBlank="1" showInputMessage="1" showErrorMessage="1" sqref="E12">
      <formula1>$L$5:$L$6</formula1>
    </dataValidation>
  </dataValidations>
  <printOptions horizontalCentered="1"/>
  <pageMargins left="0.6" right="0.6" top="0.92" bottom="0.61" header="0.5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05"/>
  <sheetViews>
    <sheetView workbookViewId="0" topLeftCell="A34">
      <selection activeCell="E33" sqref="E33"/>
    </sheetView>
  </sheetViews>
  <sheetFormatPr defaultColWidth="9.140625" defaultRowHeight="12.75"/>
  <cols>
    <col min="1" max="1" width="9.28125" style="0" bestFit="1" customWidth="1"/>
    <col min="2" max="2" width="11.421875" style="0" customWidth="1"/>
    <col min="3" max="3" width="11.00390625" style="0" customWidth="1"/>
    <col min="4" max="4" width="9.8515625" style="0" bestFit="1" customWidth="1"/>
    <col min="5" max="5" width="11.57421875" style="0" customWidth="1"/>
    <col min="6" max="6" width="7.57421875" style="0" customWidth="1"/>
    <col min="7" max="7" width="11.57421875" style="0" customWidth="1"/>
    <col min="8" max="8" width="11.421875" style="0" customWidth="1"/>
    <col min="9" max="9" width="10.140625" style="0" customWidth="1"/>
    <col min="10" max="10" width="15.140625" style="0" customWidth="1"/>
    <col min="11" max="11" width="11.421875" style="0" customWidth="1"/>
    <col min="12" max="12" width="10.00390625" style="0" bestFit="1" customWidth="1"/>
    <col min="13" max="13" width="11.57421875" style="0" bestFit="1" customWidth="1"/>
    <col min="14" max="14" width="33.140625" style="0" customWidth="1"/>
    <col min="15" max="15" width="18.00390625" style="0" customWidth="1"/>
    <col min="16" max="16" width="12.57421875" style="0" customWidth="1"/>
    <col min="17" max="17" width="11.57421875" style="0" bestFit="1" customWidth="1"/>
    <col min="22" max="22" width="7.7109375" style="0" customWidth="1"/>
    <col min="23" max="23" width="7.421875" style="0" customWidth="1"/>
    <col min="26" max="26" width="11.7109375" style="0" customWidth="1"/>
  </cols>
  <sheetData>
    <row r="1" spans="1:33" ht="15.75">
      <c r="A1" s="846" t="s">
        <v>810</v>
      </c>
      <c r="B1" s="847"/>
      <c r="C1" s="847"/>
      <c r="D1" s="847"/>
      <c r="E1" s="847"/>
      <c r="F1" s="847"/>
      <c r="G1" s="847"/>
      <c r="H1" s="847"/>
      <c r="I1" s="848"/>
      <c r="J1" s="230"/>
      <c r="K1" s="230"/>
      <c r="L1" s="230"/>
      <c r="M1" s="139"/>
      <c r="N1" s="441" t="s">
        <v>533</v>
      </c>
      <c r="O1" s="442" t="s">
        <v>473</v>
      </c>
      <c r="P1" s="302" t="s">
        <v>476</v>
      </c>
      <c r="S1" s="916"/>
      <c r="T1" s="916"/>
      <c r="U1" s="916"/>
      <c r="V1" s="916"/>
      <c r="W1" s="916"/>
      <c r="X1" s="916"/>
      <c r="Y1" s="916"/>
      <c r="Z1" s="916"/>
      <c r="AC1" s="916"/>
      <c r="AD1" s="916"/>
      <c r="AE1" s="916"/>
      <c r="AF1" s="916"/>
      <c r="AG1" s="916"/>
    </row>
    <row r="2" spans="1:28" ht="15.75" thickBot="1">
      <c r="A2" s="118" t="s">
        <v>102</v>
      </c>
      <c r="B2" s="119"/>
      <c r="C2" s="119"/>
      <c r="D2" s="119"/>
      <c r="E2" s="119"/>
      <c r="F2" s="231" t="str">
        <f>'Planning Data'!F2</f>
        <v>Version 2.7  (2/22/08)</v>
      </c>
      <c r="G2" s="119"/>
      <c r="H2" s="120" t="s">
        <v>48</v>
      </c>
      <c r="I2" s="232" t="str">
        <f>'Planning Data'!K4</f>
        <v>9/25/08</v>
      </c>
      <c r="J2" s="233"/>
      <c r="K2" s="139"/>
      <c r="L2" s="139"/>
      <c r="M2" s="139"/>
      <c r="N2" s="443" t="s">
        <v>482</v>
      </c>
      <c r="O2" s="444">
        <v>0.53</v>
      </c>
      <c r="P2" s="303">
        <v>-0.25</v>
      </c>
      <c r="Q2" s="304">
        <f>O$2*P2+O$2</f>
        <v>0.3975</v>
      </c>
      <c r="S2" s="496"/>
      <c r="T2" s="496"/>
      <c r="U2" s="496"/>
      <c r="V2" s="496"/>
      <c r="W2" s="496"/>
      <c r="X2" s="496"/>
      <c r="Y2" s="496"/>
      <c r="Z2" s="917"/>
      <c r="AA2" s="917"/>
      <c r="AB2" s="139"/>
    </row>
    <row r="3" spans="1:33" ht="15.75" thickBot="1">
      <c r="A3" s="234"/>
      <c r="B3" s="235" t="s">
        <v>47</v>
      </c>
      <c r="C3" s="919" t="str">
        <f>'Planning Data'!C3</f>
        <v>Super Cow Dairy</v>
      </c>
      <c r="D3" s="920"/>
      <c r="E3" s="435"/>
      <c r="F3" s="436" t="s">
        <v>50</v>
      </c>
      <c r="G3" s="923" t="str">
        <f>'Planning Data'!G3</f>
        <v>Joe Holstein</v>
      </c>
      <c r="H3" s="924"/>
      <c r="I3" s="236"/>
      <c r="J3" s="139"/>
      <c r="L3" s="139"/>
      <c r="M3" s="139"/>
      <c r="N3" s="445" t="s">
        <v>552</v>
      </c>
      <c r="O3" s="446">
        <v>0.33</v>
      </c>
      <c r="P3" s="303">
        <v>-0.2</v>
      </c>
      <c r="Q3" s="304">
        <f aca="true" t="shared" si="0" ref="Q3:Q12">O$2*P3+O$2</f>
        <v>0.42400000000000004</v>
      </c>
      <c r="S3" s="497"/>
      <c r="T3" s="497"/>
      <c r="U3" s="497"/>
      <c r="V3" s="497"/>
      <c r="W3" s="497"/>
      <c r="X3" s="497"/>
      <c r="Y3" s="497"/>
      <c r="Z3" s="498"/>
      <c r="AA3" s="499"/>
      <c r="AC3" s="500"/>
      <c r="AD3" s="500"/>
      <c r="AE3" s="500"/>
      <c r="AF3" s="500"/>
      <c r="AG3" s="501"/>
    </row>
    <row r="4" spans="1:33" ht="15.75">
      <c r="A4" s="237"/>
      <c r="B4" s="238" t="s">
        <v>52</v>
      </c>
      <c r="C4" s="972" t="str">
        <f>'Planning Data'!C4</f>
        <v>Artesia, NM</v>
      </c>
      <c r="D4" s="973"/>
      <c r="E4" s="437"/>
      <c r="F4" s="239" t="s">
        <v>49</v>
      </c>
      <c r="G4" s="1022" t="str">
        <f>'Planning Data'!G4</f>
        <v>R White</v>
      </c>
      <c r="H4" s="1023"/>
      <c r="I4" s="240"/>
      <c r="J4" s="139"/>
      <c r="K4" s="139"/>
      <c r="L4" s="139"/>
      <c r="M4" s="139"/>
      <c r="N4" s="445" t="s">
        <v>528</v>
      </c>
      <c r="O4" s="446">
        <v>0.38</v>
      </c>
      <c r="P4" s="303">
        <v>-0.15</v>
      </c>
      <c r="Q4" s="304">
        <f t="shared" si="0"/>
        <v>0.4505</v>
      </c>
      <c r="T4" s="502"/>
      <c r="U4" s="502"/>
      <c r="V4" s="48"/>
      <c r="W4" s="48"/>
      <c r="X4" s="48"/>
      <c r="Y4" s="48"/>
      <c r="Z4" s="503"/>
      <c r="AA4" s="504"/>
      <c r="AC4" s="918"/>
      <c r="AD4" s="918"/>
      <c r="AE4" s="918"/>
      <c r="AF4" s="918"/>
      <c r="AG4" s="918"/>
    </row>
    <row r="5" spans="1:33" ht="14.25" customHeight="1">
      <c r="A5" s="237"/>
      <c r="B5" s="238" t="s">
        <v>448</v>
      </c>
      <c r="C5" s="921" t="str">
        <f>'Lot Runoff'!C8:D8</f>
        <v>Runoff Pond 1</v>
      </c>
      <c r="D5" s="922"/>
      <c r="E5" s="974" t="s">
        <v>375</v>
      </c>
      <c r="F5" s="975"/>
      <c r="G5" s="1033" t="str">
        <f>IF('Pond Vol'!D6="Evaporative Pond","Total Evap Pond","Not for storage ponds!")</f>
        <v>Not for storage ponds!</v>
      </c>
      <c r="H5" s="1034"/>
      <c r="I5" s="1035"/>
      <c r="J5" s="241" t="s">
        <v>389</v>
      </c>
      <c r="K5" s="241" t="s">
        <v>387</v>
      </c>
      <c r="L5" s="241" t="s">
        <v>388</v>
      </c>
      <c r="M5" s="139"/>
      <c r="N5" s="445" t="s">
        <v>553</v>
      </c>
      <c r="O5" s="446">
        <v>0.74</v>
      </c>
      <c r="P5" s="303">
        <v>-0.1</v>
      </c>
      <c r="Q5" s="304">
        <f t="shared" si="0"/>
        <v>0.47700000000000004</v>
      </c>
      <c r="T5" s="502"/>
      <c r="U5" s="502"/>
      <c r="V5" s="48"/>
      <c r="W5" s="48"/>
      <c r="X5" s="48"/>
      <c r="Y5" s="48"/>
      <c r="Z5" s="503"/>
      <c r="AA5" s="504"/>
      <c r="AC5" s="503"/>
      <c r="AD5" s="503"/>
      <c r="AE5" s="505"/>
      <c r="AF5" s="505"/>
      <c r="AG5" s="506"/>
    </row>
    <row r="6" spans="1:33" ht="14.25" customHeight="1">
      <c r="A6" s="71"/>
      <c r="B6" s="238"/>
      <c r="C6" s="307"/>
      <c r="D6" s="307"/>
      <c r="E6" s="308"/>
      <c r="F6" s="309" t="s">
        <v>484</v>
      </c>
      <c r="G6" s="438">
        <v>20</v>
      </c>
      <c r="H6" s="307" t="s">
        <v>0</v>
      </c>
      <c r="I6" s="240"/>
      <c r="J6" s="297" t="b">
        <v>0</v>
      </c>
      <c r="K6" s="297" t="b">
        <v>0</v>
      </c>
      <c r="L6" s="297" t="b">
        <v>1</v>
      </c>
      <c r="M6" s="139"/>
      <c r="N6" s="445" t="s">
        <v>554</v>
      </c>
      <c r="O6" s="446">
        <v>0.2</v>
      </c>
      <c r="P6" s="303">
        <v>-0.05</v>
      </c>
      <c r="Q6" s="304">
        <f t="shared" si="0"/>
        <v>0.5035000000000001</v>
      </c>
      <c r="S6" s="48"/>
      <c r="T6" s="508"/>
      <c r="U6" s="508"/>
      <c r="V6" s="48"/>
      <c r="W6" s="48"/>
      <c r="X6" s="48"/>
      <c r="Y6" s="48"/>
      <c r="Z6" s="506"/>
      <c r="AA6" s="507"/>
      <c r="AC6" s="503"/>
      <c r="AD6" s="503"/>
      <c r="AE6" s="505"/>
      <c r="AF6" s="505"/>
      <c r="AG6" s="506"/>
    </row>
    <row r="7" spans="1:33" ht="26.25" customHeight="1">
      <c r="A7" s="1056" t="s">
        <v>124</v>
      </c>
      <c r="B7" s="1057"/>
      <c r="C7" s="1054" t="s">
        <v>748</v>
      </c>
      <c r="D7" s="1054"/>
      <c r="E7" s="1054"/>
      <c r="F7" s="1054"/>
      <c r="G7" s="1054"/>
      <c r="H7" s="1054"/>
      <c r="I7" s="1055"/>
      <c r="J7" s="139"/>
      <c r="K7" s="297" t="b">
        <f>OR(K6,L6)</f>
        <v>1</v>
      </c>
      <c r="L7" s="139"/>
      <c r="M7" s="139"/>
      <c r="N7" s="447" t="s">
        <v>481</v>
      </c>
      <c r="O7" s="446">
        <v>0</v>
      </c>
      <c r="P7" s="303">
        <v>0</v>
      </c>
      <c r="Q7" s="304">
        <f t="shared" si="0"/>
        <v>0.53</v>
      </c>
      <c r="S7" s="48"/>
      <c r="T7" s="48"/>
      <c r="U7" s="48"/>
      <c r="V7" s="48"/>
      <c r="W7" s="48"/>
      <c r="X7" s="48"/>
      <c r="Y7" s="48"/>
      <c r="Z7" s="506"/>
      <c r="AA7" s="507"/>
      <c r="AC7" s="503"/>
      <c r="AD7" s="503"/>
      <c r="AE7" s="505"/>
      <c r="AF7" s="505"/>
      <c r="AG7" s="506"/>
    </row>
    <row r="8" spans="1:33" ht="15.75">
      <c r="A8" s="976" t="s">
        <v>2</v>
      </c>
      <c r="B8" s="977"/>
      <c r="C8" s="977"/>
      <c r="D8" s="977"/>
      <c r="E8" s="977"/>
      <c r="F8" s="977"/>
      <c r="G8" s="977"/>
      <c r="H8" s="977"/>
      <c r="I8" s="978"/>
      <c r="J8" s="139"/>
      <c r="K8" s="139"/>
      <c r="L8" s="139"/>
      <c r="M8" s="139"/>
      <c r="N8" s="445" t="s">
        <v>555</v>
      </c>
      <c r="O8" s="446">
        <v>0.3</v>
      </c>
      <c r="P8" s="303">
        <v>0.05</v>
      </c>
      <c r="Q8" s="304">
        <f t="shared" si="0"/>
        <v>0.5565</v>
      </c>
      <c r="S8" s="48"/>
      <c r="T8" s="48"/>
      <c r="U8" s="48"/>
      <c r="V8" s="48"/>
      <c r="W8" s="48"/>
      <c r="X8" s="48"/>
      <c r="Y8" s="48"/>
      <c r="Z8" s="506"/>
      <c r="AA8" s="507"/>
      <c r="AC8" s="503"/>
      <c r="AD8" s="503"/>
      <c r="AE8" s="505"/>
      <c r="AF8" s="505"/>
      <c r="AG8" s="506"/>
    </row>
    <row r="9" spans="1:33" ht="15.75">
      <c r="A9" s="366"/>
      <c r="B9" s="324"/>
      <c r="C9" s="324"/>
      <c r="D9" s="325"/>
      <c r="E9" s="326"/>
      <c r="F9" s="327"/>
      <c r="G9" s="328"/>
      <c r="H9" s="329" t="s">
        <v>474</v>
      </c>
      <c r="I9" s="330">
        <f>'Pond Vol'!L23</f>
        <v>10.250947806691448</v>
      </c>
      <c r="J9" s="139"/>
      <c r="K9" s="248"/>
      <c r="L9" s="139"/>
      <c r="M9" s="139"/>
      <c r="N9" s="443" t="s">
        <v>475</v>
      </c>
      <c r="O9" s="444">
        <v>0.3</v>
      </c>
      <c r="P9" s="303">
        <v>0.1</v>
      </c>
      <c r="Q9" s="304">
        <f t="shared" si="0"/>
        <v>0.5830000000000001</v>
      </c>
      <c r="S9" s="48"/>
      <c r="T9" s="48"/>
      <c r="U9" s="48"/>
      <c r="V9" s="48"/>
      <c r="W9" s="48"/>
      <c r="X9" s="48"/>
      <c r="Y9" s="48"/>
      <c r="Z9" s="506"/>
      <c r="AA9" s="507"/>
      <c r="AC9" s="503"/>
      <c r="AD9" s="503"/>
      <c r="AE9" s="505"/>
      <c r="AF9" s="505"/>
      <c r="AG9" s="506"/>
    </row>
    <row r="10" spans="1:33" ht="40.5" customHeight="1">
      <c r="A10" s="979" t="s">
        <v>522</v>
      </c>
      <c r="B10" s="979"/>
      <c r="C10" s="979"/>
      <c r="D10" s="979"/>
      <c r="E10" s="979" t="s">
        <v>479</v>
      </c>
      <c r="F10" s="979"/>
      <c r="G10" s="331" t="s">
        <v>477</v>
      </c>
      <c r="H10" s="305" t="s">
        <v>480</v>
      </c>
      <c r="I10" s="306" t="s">
        <v>478</v>
      </c>
      <c r="J10" s="341"/>
      <c r="K10" s="338"/>
      <c r="L10" s="338"/>
      <c r="M10" s="139"/>
      <c r="N10" s="445" t="s">
        <v>527</v>
      </c>
      <c r="O10" s="446">
        <v>0.4</v>
      </c>
      <c r="P10" s="303">
        <v>0.15</v>
      </c>
      <c r="Q10" s="304">
        <f t="shared" si="0"/>
        <v>0.6095</v>
      </c>
      <c r="S10" s="48"/>
      <c r="T10" s="48"/>
      <c r="U10" s="48"/>
      <c r="V10" s="48"/>
      <c r="W10" s="48"/>
      <c r="X10" s="48"/>
      <c r="Y10" s="48"/>
      <c r="Z10" s="506"/>
      <c r="AA10" s="507"/>
      <c r="AC10" s="503"/>
      <c r="AD10" s="503"/>
      <c r="AE10" s="505"/>
      <c r="AF10" s="505"/>
      <c r="AG10" s="506"/>
    </row>
    <row r="11" spans="1:33" ht="15.75">
      <c r="A11" s="980" t="s">
        <v>482</v>
      </c>
      <c r="B11" s="981"/>
      <c r="C11" s="981"/>
      <c r="D11" s="981"/>
      <c r="E11" s="927">
        <f>IF(A11="","",VLOOKUP(A11,$N$2:$O$17,2))</f>
        <v>0.53</v>
      </c>
      <c r="F11" s="927"/>
      <c r="G11" s="382"/>
      <c r="H11" s="332">
        <f>IF(A11="","",E11*G11+E11)</f>
        <v>0.53</v>
      </c>
      <c r="I11" s="333">
        <f>IF(A11="",I9,IF(A11="None",I9,I9*(1-H11)))</f>
        <v>4.817945469144981</v>
      </c>
      <c r="J11" s="339"/>
      <c r="K11" s="339"/>
      <c r="L11" s="340"/>
      <c r="M11" s="139"/>
      <c r="N11" s="445" t="s">
        <v>525</v>
      </c>
      <c r="O11" s="446">
        <v>0.15</v>
      </c>
      <c r="P11" s="303">
        <v>0.2</v>
      </c>
      <c r="Q11" s="304">
        <f t="shared" si="0"/>
        <v>0.636</v>
      </c>
      <c r="S11" s="48"/>
      <c r="T11" s="48"/>
      <c r="U11" s="48"/>
      <c r="V11" s="48"/>
      <c r="W11" s="48"/>
      <c r="X11" s="48"/>
      <c r="Y11" s="48"/>
      <c r="Z11" s="506"/>
      <c r="AA11" s="507"/>
      <c r="AC11" s="503"/>
      <c r="AD11" s="503"/>
      <c r="AE11" s="505"/>
      <c r="AF11" s="505"/>
      <c r="AG11" s="506"/>
    </row>
    <row r="12" spans="1:33" ht="15.75">
      <c r="A12" s="982"/>
      <c r="B12" s="983"/>
      <c r="C12" s="983"/>
      <c r="D12" s="983"/>
      <c r="E12" s="928">
        <f>IF(A12="","",VLOOKUP(A12,$N$2:$O$17,2))</f>
      </c>
      <c r="F12" s="928"/>
      <c r="G12" s="383"/>
      <c r="H12" s="334">
        <f>IF(A12="","",E12*G12+E12)</f>
      </c>
      <c r="I12" s="335">
        <f>IF(A12="","",I11*(1-H12))</f>
      </c>
      <c r="J12" s="249"/>
      <c r="K12" s="139"/>
      <c r="L12" s="139"/>
      <c r="M12" s="139"/>
      <c r="N12" s="445" t="s">
        <v>526</v>
      </c>
      <c r="O12" s="446">
        <v>0.15</v>
      </c>
      <c r="P12" s="303">
        <v>0.25</v>
      </c>
      <c r="Q12" s="304">
        <f t="shared" si="0"/>
        <v>0.6625000000000001</v>
      </c>
      <c r="S12" s="48"/>
      <c r="T12" s="48"/>
      <c r="U12" s="48"/>
      <c r="V12" s="48"/>
      <c r="W12" s="48"/>
      <c r="X12" s="48"/>
      <c r="Y12" s="48"/>
      <c r="Z12" s="506"/>
      <c r="AA12" s="507"/>
      <c r="AC12" s="503"/>
      <c r="AD12" s="503"/>
      <c r="AE12" s="505"/>
      <c r="AF12" s="505"/>
      <c r="AG12" s="506"/>
    </row>
    <row r="13" spans="1:33" ht="15.75">
      <c r="A13" s="932"/>
      <c r="B13" s="933"/>
      <c r="C13" s="933"/>
      <c r="D13" s="933"/>
      <c r="E13" s="929">
        <f>IF(A13="","",VLOOKUP(A13,$N$2:$O$17,2))</f>
      </c>
      <c r="F13" s="929"/>
      <c r="G13" s="384"/>
      <c r="H13" s="344">
        <f>IF(A13="","",E13*G13+E13)</f>
      </c>
      <c r="I13" s="345">
        <f>IF(A13="","",I12*(1-H13))</f>
      </c>
      <c r="J13" s="249"/>
      <c r="K13" s="139"/>
      <c r="L13" s="139"/>
      <c r="M13" s="139"/>
      <c r="N13" s="445" t="s">
        <v>529</v>
      </c>
      <c r="O13" s="446">
        <v>0.15</v>
      </c>
      <c r="P13" s="303"/>
      <c r="S13" s="48"/>
      <c r="T13" s="48"/>
      <c r="U13" s="48"/>
      <c r="V13" s="48"/>
      <c r="W13" s="48"/>
      <c r="X13" s="48"/>
      <c r="Y13" s="48"/>
      <c r="Z13" s="506"/>
      <c r="AA13" s="507"/>
      <c r="AC13" s="503"/>
      <c r="AD13" s="503"/>
      <c r="AE13" s="505"/>
      <c r="AF13" s="505"/>
      <c r="AG13" s="506"/>
    </row>
    <row r="14" spans="1:33" ht="15.75">
      <c r="A14" s="925" t="s">
        <v>491</v>
      </c>
      <c r="B14" s="926"/>
      <c r="C14" s="926"/>
      <c r="D14" s="926"/>
      <c r="E14" s="930">
        <f>IF(A11="",I9,IF(A11="None",I9,MIN(I11:I13)))</f>
        <v>4.817945469144981</v>
      </c>
      <c r="F14" s="931"/>
      <c r="G14" s="342" t="s">
        <v>490</v>
      </c>
      <c r="H14" s="402">
        <f>E14/12</f>
        <v>0.40149545576208173</v>
      </c>
      <c r="I14" s="343" t="s">
        <v>489</v>
      </c>
      <c r="J14" s="165"/>
      <c r="N14" s="445" t="s">
        <v>534</v>
      </c>
      <c r="O14" s="446">
        <v>0.23</v>
      </c>
      <c r="P14" s="303"/>
      <c r="S14" s="48"/>
      <c r="T14" s="48"/>
      <c r="U14" s="48"/>
      <c r="V14" s="48"/>
      <c r="W14" s="48"/>
      <c r="X14" s="48"/>
      <c r="Y14" s="48"/>
      <c r="Z14" s="506"/>
      <c r="AA14" s="507"/>
      <c r="AC14" s="503"/>
      <c r="AD14" s="503"/>
      <c r="AE14" s="505"/>
      <c r="AF14" s="505"/>
      <c r="AG14" s="506"/>
    </row>
    <row r="15" spans="1:33" ht="19.5" customHeight="1">
      <c r="A15" s="976" t="s">
        <v>449</v>
      </c>
      <c r="B15" s="977"/>
      <c r="C15" s="977"/>
      <c r="D15" s="977"/>
      <c r="E15" s="977"/>
      <c r="F15" s="977"/>
      <c r="G15" s="977"/>
      <c r="H15" s="977"/>
      <c r="I15" s="978"/>
      <c r="N15" s="445" t="s">
        <v>535</v>
      </c>
      <c r="O15" s="446">
        <v>0.23</v>
      </c>
      <c r="P15" s="303"/>
      <c r="S15" s="48"/>
      <c r="T15" s="48"/>
      <c r="U15" s="48"/>
      <c r="V15" s="48"/>
      <c r="W15" s="48"/>
      <c r="X15" s="48"/>
      <c r="Y15" s="48"/>
      <c r="Z15" s="506"/>
      <c r="AA15" s="507"/>
      <c r="AC15" s="503"/>
      <c r="AD15" s="503"/>
      <c r="AE15" s="505"/>
      <c r="AF15" s="505"/>
      <c r="AG15" s="506"/>
    </row>
    <row r="16" spans="1:33" ht="15.75">
      <c r="A16" s="242"/>
      <c r="B16" s="243"/>
      <c r="C16" s="244"/>
      <c r="D16" s="243"/>
      <c r="E16" s="133"/>
      <c r="F16" s="133"/>
      <c r="G16" s="133" t="s">
        <v>702</v>
      </c>
      <c r="H16" s="245">
        <f>'Pond Vol'!I6</f>
        <v>3</v>
      </c>
      <c r="I16" s="246" t="s">
        <v>377</v>
      </c>
      <c r="N16" s="445" t="s">
        <v>536</v>
      </c>
      <c r="O16" s="446">
        <v>0.23</v>
      </c>
      <c r="P16" s="303"/>
      <c r="S16" s="48"/>
      <c r="T16" s="48"/>
      <c r="U16" s="48"/>
      <c r="V16" s="48"/>
      <c r="W16" s="48"/>
      <c r="X16" s="48"/>
      <c r="Y16" s="48"/>
      <c r="Z16" s="506"/>
      <c r="AA16" s="507"/>
      <c r="AC16" s="503"/>
      <c r="AD16" s="503"/>
      <c r="AE16" s="505"/>
      <c r="AF16" s="505"/>
      <c r="AG16" s="506"/>
    </row>
    <row r="17" spans="1:33" ht="39" customHeight="1">
      <c r="A17" s="991" t="s">
        <v>1</v>
      </c>
      <c r="B17" s="992"/>
      <c r="C17" s="992"/>
      <c r="D17" s="992"/>
      <c r="E17" s="992"/>
      <c r="F17" s="992"/>
      <c r="G17" s="993"/>
      <c r="H17" s="712">
        <f>SPAW!D48</f>
        <v>56</v>
      </c>
      <c r="I17" s="549" t="s">
        <v>703</v>
      </c>
      <c r="N17" s="445" t="s">
        <v>537</v>
      </c>
      <c r="O17" s="446">
        <v>0.23</v>
      </c>
      <c r="S17" s="48"/>
      <c r="T17" s="48"/>
      <c r="U17" s="48"/>
      <c r="V17" s="48"/>
      <c r="W17" s="48"/>
      <c r="X17" s="48"/>
      <c r="Y17" s="48"/>
      <c r="Z17" s="506"/>
      <c r="AA17" s="507"/>
      <c r="AC17" s="503"/>
      <c r="AD17" s="503"/>
      <c r="AE17" s="505"/>
      <c r="AF17" s="505"/>
      <c r="AG17" s="506"/>
    </row>
    <row r="18" spans="1:33" ht="15" customHeight="1">
      <c r="A18" s="1058" t="s">
        <v>424</v>
      </c>
      <c r="B18" s="1059"/>
      <c r="C18" s="1059"/>
      <c r="D18" s="1059"/>
      <c r="E18" s="1059"/>
      <c r="F18" s="1059"/>
      <c r="G18" s="1060"/>
      <c r="H18" s="245">
        <f>'Lot Runoff'!F25/12*E49</f>
        <v>2.3329525024793387</v>
      </c>
      <c r="I18" s="246" t="s">
        <v>363</v>
      </c>
      <c r="N18" s="448" t="s">
        <v>556</v>
      </c>
      <c r="O18" s="449"/>
      <c r="S18" s="48"/>
      <c r="T18" s="48"/>
      <c r="U18" s="48"/>
      <c r="V18" s="48"/>
      <c r="W18" s="48"/>
      <c r="X18" s="48"/>
      <c r="Y18" s="48"/>
      <c r="Z18" s="506"/>
      <c r="AA18" s="507"/>
      <c r="AC18" s="503"/>
      <c r="AD18" s="503"/>
      <c r="AE18" s="505"/>
      <c r="AF18" s="505"/>
      <c r="AG18" s="506"/>
    </row>
    <row r="19" spans="1:33" ht="15" customHeight="1">
      <c r="A19" s="1058" t="s">
        <v>425</v>
      </c>
      <c r="B19" s="1059"/>
      <c r="C19" s="1059"/>
      <c r="D19" s="1059"/>
      <c r="E19" s="1059"/>
      <c r="F19" s="1059"/>
      <c r="G19" s="1060"/>
      <c r="H19" s="648">
        <f>'Lot Runoff'!F28</f>
        <v>7.388360747454402</v>
      </c>
      <c r="I19" s="246" t="s">
        <v>363</v>
      </c>
      <c r="S19" s="48"/>
      <c r="T19" s="48"/>
      <c r="U19" s="48"/>
      <c r="V19" s="48"/>
      <c r="W19" s="48"/>
      <c r="X19" s="48"/>
      <c r="Y19" s="48"/>
      <c r="Z19" s="506"/>
      <c r="AA19" s="507"/>
      <c r="AC19" s="503"/>
      <c r="AD19" s="503"/>
      <c r="AE19" s="505"/>
      <c r="AF19" s="505"/>
      <c r="AG19" s="506"/>
    </row>
    <row r="20" spans="1:33" ht="15" customHeight="1">
      <c r="A20" s="247"/>
      <c r="B20" s="133"/>
      <c r="C20" s="133"/>
      <c r="D20" s="133"/>
      <c r="E20" s="133"/>
      <c r="F20" s="133"/>
      <c r="G20" s="133" t="s">
        <v>492</v>
      </c>
      <c r="H20" s="210">
        <f>H14*G6</f>
        <v>8.029909115241635</v>
      </c>
      <c r="I20" s="246" t="s">
        <v>363</v>
      </c>
      <c r="S20" s="48"/>
      <c r="T20" s="48"/>
      <c r="U20" s="48"/>
      <c r="V20" s="48"/>
      <c r="W20" s="48"/>
      <c r="X20" s="48"/>
      <c r="Y20" s="48"/>
      <c r="Z20" s="506"/>
      <c r="AA20" s="507"/>
      <c r="AC20" s="503"/>
      <c r="AD20" s="503"/>
      <c r="AE20" s="505"/>
      <c r="AF20" s="505"/>
      <c r="AG20" s="506"/>
    </row>
    <row r="21" spans="1:33" ht="15.75">
      <c r="A21" s="247"/>
      <c r="B21" s="133"/>
      <c r="C21" s="133"/>
      <c r="D21" s="133"/>
      <c r="E21" s="133"/>
      <c r="F21" s="133"/>
      <c r="G21" s="133" t="s">
        <v>390</v>
      </c>
      <c r="H21" s="245">
        <f>SUM(H17:H20)</f>
        <v>73.75122236517538</v>
      </c>
      <c r="I21" s="246" t="s">
        <v>363</v>
      </c>
      <c r="S21" s="48"/>
      <c r="T21" s="48"/>
      <c r="U21" s="48"/>
      <c r="V21" s="48"/>
      <c r="W21" s="48"/>
      <c r="X21" s="48"/>
      <c r="Y21" s="48"/>
      <c r="Z21" s="506"/>
      <c r="AA21" s="507"/>
      <c r="AC21" s="503"/>
      <c r="AD21" s="503"/>
      <c r="AE21" s="505"/>
      <c r="AF21" s="505"/>
      <c r="AG21" s="506"/>
    </row>
    <row r="22" spans="1:33" ht="15.75">
      <c r="A22" s="250"/>
      <c r="B22" s="251"/>
      <c r="C22" s="251"/>
      <c r="D22" s="251"/>
      <c r="E22" s="252" t="s">
        <v>422</v>
      </c>
      <c r="F22" s="251"/>
      <c r="G22" s="251"/>
      <c r="H22" s="251"/>
      <c r="I22" s="253"/>
      <c r="S22" s="48"/>
      <c r="T22" s="48"/>
      <c r="U22" s="48"/>
      <c r="V22" s="48"/>
      <c r="W22" s="48"/>
      <c r="X22" s="48"/>
      <c r="Y22" s="48"/>
      <c r="Z22" s="506"/>
      <c r="AA22" s="507"/>
      <c r="AC22" s="503"/>
      <c r="AD22" s="503"/>
      <c r="AE22" s="505"/>
      <c r="AF22" s="505"/>
      <c r="AG22" s="506"/>
    </row>
    <row r="23" spans="1:33" ht="15.75">
      <c r="A23" s="940" t="s">
        <v>781</v>
      </c>
      <c r="B23" s="941"/>
      <c r="C23" s="941"/>
      <c r="D23" s="941"/>
      <c r="E23" s="198">
        <v>480</v>
      </c>
      <c r="F23" s="260">
        <f>SQRT('Pond Vol'!I6*43560)</f>
        <v>361.4968879534096</v>
      </c>
      <c r="G23" s="261" t="s">
        <v>416</v>
      </c>
      <c r="H23" s="261"/>
      <c r="I23" s="132"/>
      <c r="S23" s="48"/>
      <c r="T23" s="48"/>
      <c r="U23" s="48"/>
      <c r="V23" s="48"/>
      <c r="W23" s="48"/>
      <c r="X23" s="48"/>
      <c r="Y23" s="48"/>
      <c r="Z23" s="506"/>
      <c r="AA23" s="507"/>
      <c r="AC23" s="503"/>
      <c r="AD23" s="503"/>
      <c r="AE23" s="505"/>
      <c r="AF23" s="505"/>
      <c r="AG23" s="506"/>
    </row>
    <row r="24" spans="1:33" ht="15.75">
      <c r="A24" s="989" t="s">
        <v>19</v>
      </c>
      <c r="B24" s="990"/>
      <c r="C24" s="990"/>
      <c r="D24" s="990"/>
      <c r="E24" s="634">
        <f>SPAW!D24</f>
        <v>3</v>
      </c>
      <c r="F24" s="262" t="s">
        <v>21</v>
      </c>
      <c r="G24" s="261" t="s">
        <v>423</v>
      </c>
      <c r="H24" s="261"/>
      <c r="I24" s="132"/>
      <c r="J24" s="258" t="s">
        <v>5</v>
      </c>
      <c r="K24" s="259">
        <f>E26</f>
        <v>11.32</v>
      </c>
      <c r="L24" s="139" t="s">
        <v>384</v>
      </c>
      <c r="M24" s="139"/>
      <c r="N24" s="139"/>
      <c r="S24" s="48"/>
      <c r="T24" s="48"/>
      <c r="U24" s="48"/>
      <c r="V24" s="48"/>
      <c r="W24" s="48"/>
      <c r="X24" s="48"/>
      <c r="Y24" s="48"/>
      <c r="Z24" s="506"/>
      <c r="AA24" s="507"/>
      <c r="AC24" s="503"/>
      <c r="AD24" s="503"/>
      <c r="AE24" s="505"/>
      <c r="AF24" s="505"/>
      <c r="AG24" s="506"/>
    </row>
    <row r="25" spans="1:33" ht="15.75">
      <c r="A25" s="940" t="s">
        <v>782</v>
      </c>
      <c r="B25" s="941"/>
      <c r="C25" s="941"/>
      <c r="D25" s="941"/>
      <c r="E25" s="713">
        <v>385</v>
      </c>
      <c r="F25" s="200">
        <f>F23</f>
        <v>361.4968879534096</v>
      </c>
      <c r="G25" s="264" t="s">
        <v>417</v>
      </c>
      <c r="H25" s="261"/>
      <c r="I25" s="132" t="s">
        <v>813</v>
      </c>
      <c r="J25" s="258" t="s">
        <v>4</v>
      </c>
      <c r="K25" s="249">
        <f>E23+2*E24*K24</f>
        <v>547.92</v>
      </c>
      <c r="L25" s="139" t="s">
        <v>384</v>
      </c>
      <c r="M25" s="139"/>
      <c r="N25" s="139"/>
      <c r="S25" s="48"/>
      <c r="T25" s="48"/>
      <c r="U25" s="48"/>
      <c r="V25" s="48"/>
      <c r="W25" s="48"/>
      <c r="X25" s="48"/>
      <c r="Y25" s="48"/>
      <c r="Z25" s="506"/>
      <c r="AA25" s="507"/>
      <c r="AC25" s="503"/>
      <c r="AD25" s="503"/>
      <c r="AE25" s="505"/>
      <c r="AF25" s="505"/>
      <c r="AG25" s="506"/>
    </row>
    <row r="26" spans="1:14" ht="15" customHeight="1">
      <c r="A26" s="940" t="s">
        <v>391</v>
      </c>
      <c r="B26" s="941"/>
      <c r="C26" s="941"/>
      <c r="D26" s="941"/>
      <c r="E26" s="625">
        <v>11.32</v>
      </c>
      <c r="F26" s="265" t="s">
        <v>446</v>
      </c>
      <c r="G26" s="265"/>
      <c r="H26" s="265"/>
      <c r="I26" s="132"/>
      <c r="J26" s="258" t="s">
        <v>3</v>
      </c>
      <c r="K26" s="249">
        <f>E25+2*E24*K24</f>
        <v>452.92</v>
      </c>
      <c r="L26" s="139" t="s">
        <v>384</v>
      </c>
      <c r="M26" s="139"/>
      <c r="N26" s="139"/>
    </row>
    <row r="27" spans="1:14" ht="15" customHeight="1">
      <c r="A27" s="940" t="s">
        <v>401</v>
      </c>
      <c r="B27" s="941"/>
      <c r="C27" s="941"/>
      <c r="D27" s="942"/>
      <c r="E27" s="266">
        <f>K30</f>
        <v>56.055571609957845</v>
      </c>
      <c r="F27" s="668">
        <f>H17</f>
        <v>56</v>
      </c>
      <c r="G27" s="957" t="s">
        <v>786</v>
      </c>
      <c r="H27" s="957"/>
      <c r="I27" s="988"/>
      <c r="J27" s="258" t="s">
        <v>460</v>
      </c>
      <c r="K27" s="294">
        <f>E23*E25</f>
        <v>184800</v>
      </c>
      <c r="L27" s="139" t="s">
        <v>385</v>
      </c>
      <c r="M27" s="249">
        <f>K27/43560</f>
        <v>4.242424242424242</v>
      </c>
      <c r="N27" s="139" t="s">
        <v>377</v>
      </c>
    </row>
    <row r="28" spans="1:14" ht="15" customHeight="1">
      <c r="A28" s="940" t="s">
        <v>785</v>
      </c>
      <c r="B28" s="941"/>
      <c r="C28" s="941"/>
      <c r="D28" s="941"/>
      <c r="E28" s="256">
        <f>M28</f>
        <v>5.6970598347107435</v>
      </c>
      <c r="F28" s="1041" t="str">
        <f>IF(E27&lt;H17,"  Increase POND Depth!"," The POND Vol. is OK or depth may be decreased.")</f>
        <v> The POND Vol. is OK or depth may be decreased.</v>
      </c>
      <c r="G28" s="986"/>
      <c r="H28" s="986"/>
      <c r="I28" s="987"/>
      <c r="J28" s="258" t="s">
        <v>461</v>
      </c>
      <c r="K28" s="294">
        <f>K25*K26</f>
        <v>248163.9264</v>
      </c>
      <c r="L28" s="139" t="s">
        <v>385</v>
      </c>
      <c r="M28" s="346">
        <f>K28/43560</f>
        <v>5.6970598347107435</v>
      </c>
      <c r="N28" s="139" t="s">
        <v>377</v>
      </c>
    </row>
    <row r="29" spans="1:12" ht="15" customHeight="1">
      <c r="A29" s="940" t="s">
        <v>784</v>
      </c>
      <c r="B29" s="941"/>
      <c r="C29" s="941"/>
      <c r="D29" s="941"/>
      <c r="E29" s="263">
        <f>K25</f>
        <v>547.92</v>
      </c>
      <c r="F29" s="652"/>
      <c r="G29" s="653"/>
      <c r="H29" s="653"/>
      <c r="I29" s="654"/>
      <c r="J29" s="258" t="s">
        <v>383</v>
      </c>
      <c r="K29" s="294">
        <f>K24/3*(K27+K28+(K27*K28)^0.5)</f>
        <v>2441780.6993297637</v>
      </c>
      <c r="L29" s="139" t="s">
        <v>386</v>
      </c>
    </row>
    <row r="30" spans="1:14" ht="15">
      <c r="A30" s="940" t="s">
        <v>783</v>
      </c>
      <c r="B30" s="941"/>
      <c r="C30" s="941"/>
      <c r="D30" s="941"/>
      <c r="E30" s="263">
        <f>K26</f>
        <v>452.92</v>
      </c>
      <c r="F30" s="652"/>
      <c r="G30" s="653"/>
      <c r="H30" s="653"/>
      <c r="I30" s="654"/>
      <c r="J30" s="258" t="s">
        <v>383</v>
      </c>
      <c r="K30" s="249">
        <f>K29/43560</f>
        <v>56.055571609957845</v>
      </c>
      <c r="L30" s="139" t="s">
        <v>400</v>
      </c>
      <c r="M30" s="139"/>
      <c r="N30" s="139"/>
    </row>
    <row r="31" spans="1:14" ht="15.75">
      <c r="A31" s="250"/>
      <c r="B31" s="268"/>
      <c r="C31" s="268"/>
      <c r="D31" s="268"/>
      <c r="E31" s="252" t="s">
        <v>778</v>
      </c>
      <c r="F31" s="269"/>
      <c r="G31" s="270"/>
      <c r="H31" s="270"/>
      <c r="I31" s="253"/>
      <c r="M31" s="139"/>
      <c r="N31" s="139"/>
    </row>
    <row r="32" spans="1:10" ht="15">
      <c r="A32" s="940" t="s">
        <v>418</v>
      </c>
      <c r="B32" s="941"/>
      <c r="C32" s="941"/>
      <c r="D32" s="941"/>
      <c r="E32" s="660">
        <v>4.12</v>
      </c>
      <c r="F32" s="2"/>
      <c r="G32" s="3"/>
      <c r="H32" s="658"/>
      <c r="I32" s="659"/>
      <c r="J32" s="258" t="s">
        <v>772</v>
      </c>
    </row>
    <row r="33" spans="1:14" ht="15" customHeight="1">
      <c r="A33" s="940" t="s">
        <v>421</v>
      </c>
      <c r="B33" s="941"/>
      <c r="C33" s="941"/>
      <c r="D33" s="942"/>
      <c r="E33" s="266">
        <f>K36</f>
        <v>21.537609281967956</v>
      </c>
      <c r="F33" s="272">
        <f>H18+H19</f>
        <v>9.72131324993374</v>
      </c>
      <c r="G33" s="265" t="s">
        <v>402</v>
      </c>
      <c r="H33" s="656"/>
      <c r="I33" s="657"/>
      <c r="J33" s="258" t="s">
        <v>773</v>
      </c>
      <c r="K33" s="259">
        <f>E32</f>
        <v>4.12</v>
      </c>
      <c r="L33" s="139" t="s">
        <v>384</v>
      </c>
      <c r="M33" s="346"/>
      <c r="N33" s="139"/>
    </row>
    <row r="34" spans="1:14" ht="15" customHeight="1">
      <c r="A34" s="940" t="s">
        <v>785</v>
      </c>
      <c r="B34" s="941"/>
      <c r="C34" s="941"/>
      <c r="D34" s="941"/>
      <c r="E34" s="266">
        <f>M34</f>
        <v>6.279058071625344</v>
      </c>
      <c r="F34" s="960" t="str">
        <f>IF(E33&lt;F33,"    Increase STORM Vol. Depth!","    The STORM Vol. is OK or depth can be decreased.")</f>
        <v>    The STORM Vol. is OK or depth can be decreased.</v>
      </c>
      <c r="G34" s="1052"/>
      <c r="H34" s="1052"/>
      <c r="I34" s="1053"/>
      <c r="J34" s="258" t="s">
        <v>779</v>
      </c>
      <c r="K34" s="294">
        <f>(E29+2*K33*E24)*(E30+2*K33*E24)</f>
        <v>273515.7696</v>
      </c>
      <c r="L34" s="139" t="s">
        <v>385</v>
      </c>
      <c r="M34" s="346">
        <f>K34/43560</f>
        <v>6.279058071625344</v>
      </c>
      <c r="N34" s="139" t="s">
        <v>377</v>
      </c>
    </row>
    <row r="35" spans="1:14" ht="15" customHeight="1">
      <c r="A35" s="940" t="s">
        <v>784</v>
      </c>
      <c r="B35" s="941"/>
      <c r="C35" s="941"/>
      <c r="D35" s="941"/>
      <c r="E35" s="655">
        <f>E29+2*K33*E24</f>
        <v>572.64</v>
      </c>
      <c r="F35" s="960"/>
      <c r="G35" s="1052"/>
      <c r="H35" s="1052"/>
      <c r="I35" s="1053"/>
      <c r="J35" s="258" t="s">
        <v>780</v>
      </c>
      <c r="K35" s="294">
        <f>K33/3*(K27+K34+(K27*K34)^0.5)</f>
        <v>938178.2603225242</v>
      </c>
      <c r="L35" s="139" t="s">
        <v>386</v>
      </c>
      <c r="M35" s="139"/>
      <c r="N35" s="139"/>
    </row>
    <row r="36" spans="1:14" ht="15" customHeight="1">
      <c r="A36" s="940" t="s">
        <v>783</v>
      </c>
      <c r="B36" s="941"/>
      <c r="C36" s="941"/>
      <c r="D36" s="941"/>
      <c r="E36" s="655">
        <f>E30+2*K33*E24</f>
        <v>477.64</v>
      </c>
      <c r="F36" s="653"/>
      <c r="G36" s="653"/>
      <c r="H36" s="653"/>
      <c r="I36" s="654"/>
      <c r="J36" s="258" t="s">
        <v>393</v>
      </c>
      <c r="K36" s="249">
        <f>K35/43560</f>
        <v>21.537609281967956</v>
      </c>
      <c r="L36" s="139" t="s">
        <v>400</v>
      </c>
      <c r="M36" s="139"/>
      <c r="N36" s="139"/>
    </row>
    <row r="37" spans="1:9" ht="14.25" customHeight="1">
      <c r="A37" s="250"/>
      <c r="B37" s="268"/>
      <c r="C37" s="268"/>
      <c r="D37" s="268"/>
      <c r="E37" s="252" t="s">
        <v>493</v>
      </c>
      <c r="F37" s="269"/>
      <c r="G37" s="270"/>
      <c r="H37" s="270"/>
      <c r="I37" s="253"/>
    </row>
    <row r="38" spans="1:9" ht="15">
      <c r="A38" s="1047" t="s">
        <v>508</v>
      </c>
      <c r="B38" s="1050"/>
      <c r="C38" s="1050"/>
      <c r="D38" s="1051"/>
      <c r="E38" s="359">
        <f>K27/43560</f>
        <v>4.242424242424242</v>
      </c>
      <c r="F38" s="336"/>
      <c r="G38" s="336"/>
      <c r="H38" s="336"/>
      <c r="I38" s="337"/>
    </row>
    <row r="39" spans="1:9" ht="15" customHeight="1">
      <c r="A39" s="940" t="s">
        <v>501</v>
      </c>
      <c r="B39" s="941"/>
      <c r="C39" s="941"/>
      <c r="D39" s="942"/>
      <c r="E39" s="359">
        <f>E23</f>
        <v>480</v>
      </c>
      <c r="F39" s="336"/>
      <c r="G39" s="336"/>
      <c r="H39" s="336"/>
      <c r="I39" s="337"/>
    </row>
    <row r="40" spans="1:14" ht="15" customHeight="1">
      <c r="A40" s="940" t="s">
        <v>502</v>
      </c>
      <c r="B40" s="941"/>
      <c r="C40" s="941"/>
      <c r="D40" s="942"/>
      <c r="E40" s="359">
        <f>E25</f>
        <v>385</v>
      </c>
      <c r="F40" s="348">
        <f>H20</f>
        <v>8.029909115241635</v>
      </c>
      <c r="G40" s="957" t="s">
        <v>494</v>
      </c>
      <c r="H40" s="1039"/>
      <c r="I40" s="1040"/>
      <c r="J40" s="360" t="s">
        <v>6</v>
      </c>
      <c r="K40" s="362">
        <f>K27</f>
        <v>184800</v>
      </c>
      <c r="L40" s="139" t="s">
        <v>385</v>
      </c>
      <c r="M40" s="139"/>
      <c r="N40" s="134"/>
    </row>
    <row r="41" spans="1:14" ht="15" customHeight="1">
      <c r="A41" s="940" t="s">
        <v>503</v>
      </c>
      <c r="B41" s="941"/>
      <c r="C41" s="941"/>
      <c r="D41" s="942"/>
      <c r="E41" s="625">
        <v>2.11</v>
      </c>
      <c r="F41" s="960" t="str">
        <f>IF(E42&lt;F40,"  Increase SLUDGE Vol. Depth!"," The SLUDGE Vol. is OK or depth can be decreased.")</f>
        <v> The SLUDGE Vol. is OK or depth can be decreased.</v>
      </c>
      <c r="G41" s="1039"/>
      <c r="H41" s="1039"/>
      <c r="I41" s="1040"/>
      <c r="J41" s="361" t="s">
        <v>8</v>
      </c>
      <c r="K41" s="363">
        <f>E39-2*E41*E24</f>
        <v>467.34</v>
      </c>
      <c r="L41" s="139" t="s">
        <v>384</v>
      </c>
      <c r="M41" s="139"/>
      <c r="N41" s="134"/>
    </row>
    <row r="42" spans="1:14" ht="15" customHeight="1">
      <c r="A42" s="945" t="s">
        <v>509</v>
      </c>
      <c r="B42" s="946"/>
      <c r="C42" s="946"/>
      <c r="D42" s="947"/>
      <c r="E42" s="359">
        <f>K44/43560</f>
        <v>8.688861765541276</v>
      </c>
      <c r="F42" s="1044"/>
      <c r="G42" s="1045"/>
      <c r="H42" s="1045"/>
      <c r="I42" s="1046"/>
      <c r="J42" s="361" t="s">
        <v>7</v>
      </c>
      <c r="K42" s="363">
        <f>E40-2*E41*E24</f>
        <v>372.34</v>
      </c>
      <c r="L42" s="139" t="s">
        <v>384</v>
      </c>
      <c r="M42" s="139"/>
      <c r="N42" s="134"/>
    </row>
    <row r="43" spans="1:14" ht="15" customHeight="1">
      <c r="A43" s="250"/>
      <c r="B43" s="273"/>
      <c r="C43" s="273"/>
      <c r="D43" s="273"/>
      <c r="E43" s="252" t="s">
        <v>411</v>
      </c>
      <c r="F43" s="273"/>
      <c r="G43" s="273"/>
      <c r="H43" s="274"/>
      <c r="I43" s="275"/>
      <c r="J43" s="361" t="s">
        <v>9</v>
      </c>
      <c r="K43" s="362">
        <f>K41*K42</f>
        <v>174009.37559999997</v>
      </c>
      <c r="L43" s="139" t="s">
        <v>385</v>
      </c>
      <c r="M43" s="249">
        <f>K43/43560</f>
        <v>3.994705592286501</v>
      </c>
      <c r="N43" s="139" t="s">
        <v>377</v>
      </c>
    </row>
    <row r="44" spans="1:14" ht="15" customHeight="1">
      <c r="A44" s="1047" t="s">
        <v>398</v>
      </c>
      <c r="B44" s="1048"/>
      <c r="C44" s="1048"/>
      <c r="D44" s="1049"/>
      <c r="E44" s="256">
        <v>2</v>
      </c>
      <c r="F44" s="255"/>
      <c r="G44" s="255"/>
      <c r="H44" s="148"/>
      <c r="I44" s="149"/>
      <c r="J44" s="361" t="s">
        <v>510</v>
      </c>
      <c r="K44" s="155">
        <f>E41/3*(K40+K43+(K40*K43)^0.5)</f>
        <v>378486.818506978</v>
      </c>
      <c r="L44" s="139" t="s">
        <v>386</v>
      </c>
      <c r="N44" s="134"/>
    </row>
    <row r="45" spans="1:14" ht="15" customHeight="1">
      <c r="A45" s="940" t="s">
        <v>812</v>
      </c>
      <c r="B45" s="941"/>
      <c r="C45" s="941"/>
      <c r="D45" s="942"/>
      <c r="E45" s="702">
        <f>K52/43560</f>
        <v>12.84964444815309</v>
      </c>
      <c r="F45" s="3"/>
      <c r="G45" s="83"/>
      <c r="H45" s="3"/>
      <c r="I45" s="3"/>
      <c r="J45" s="258"/>
      <c r="K45" s="294"/>
      <c r="L45" s="139"/>
      <c r="M45" s="139"/>
      <c r="N45" s="139"/>
    </row>
    <row r="46" spans="1:15" ht="15" customHeight="1">
      <c r="A46" s="940" t="s">
        <v>394</v>
      </c>
      <c r="B46" s="941"/>
      <c r="C46" s="941"/>
      <c r="D46" s="942"/>
      <c r="E46" s="256">
        <f>E26+E32+E41+E44</f>
        <v>19.55</v>
      </c>
      <c r="F46" s="684" t="s">
        <v>538</v>
      </c>
      <c r="G46" s="685"/>
      <c r="H46" s="685"/>
      <c r="I46" s="686"/>
      <c r="J46" s="360" t="s">
        <v>10</v>
      </c>
      <c r="K46" s="624">
        <f>D64+2*A64*SQRT(G61^2+1)</f>
        <v>590.9850565125836</v>
      </c>
      <c r="L46" t="s">
        <v>12</v>
      </c>
      <c r="N46" s="134"/>
      <c r="O46" s="6"/>
    </row>
    <row r="47" spans="1:15" ht="15" customHeight="1">
      <c r="A47" s="940" t="s">
        <v>395</v>
      </c>
      <c r="B47" s="941"/>
      <c r="C47" s="941"/>
      <c r="D47" s="942"/>
      <c r="E47" s="276">
        <f>K41+2*E24*E46</f>
        <v>584.64</v>
      </c>
      <c r="F47" s="684"/>
      <c r="G47" s="685"/>
      <c r="H47" s="685"/>
      <c r="I47" s="686"/>
      <c r="J47" s="360" t="s">
        <v>11</v>
      </c>
      <c r="K47" s="624">
        <f>D65+2*A64*SQRT(G61^2+1)</f>
        <v>495.98505651258364</v>
      </c>
      <c r="L47" t="s">
        <v>12</v>
      </c>
      <c r="N47" s="134"/>
      <c r="O47" s="6"/>
    </row>
    <row r="48" spans="1:15" ht="15" customHeight="1">
      <c r="A48" s="940" t="s">
        <v>396</v>
      </c>
      <c r="B48" s="941"/>
      <c r="C48" s="941"/>
      <c r="D48" s="942"/>
      <c r="E48" s="276">
        <f>K42+2*E24*E46</f>
        <v>489.64</v>
      </c>
      <c r="F48" s="684"/>
      <c r="G48" s="1042" t="s">
        <v>499</v>
      </c>
      <c r="H48" s="1042"/>
      <c r="I48" s="1043"/>
      <c r="J48" s="134"/>
      <c r="K48" s="139"/>
      <c r="N48" s="134"/>
      <c r="O48" s="6"/>
    </row>
    <row r="49" spans="1:17" ht="15" customHeight="1">
      <c r="A49" s="940" t="s">
        <v>397</v>
      </c>
      <c r="B49" s="941"/>
      <c r="C49" s="941"/>
      <c r="D49" s="942"/>
      <c r="E49" s="349">
        <f>(E47*E48)/43560</f>
        <v>6.571697190082644</v>
      </c>
      <c r="F49" s="684"/>
      <c r="G49" s="1042"/>
      <c r="H49" s="1042"/>
      <c r="I49" s="1043"/>
      <c r="J49" s="361" t="s">
        <v>803</v>
      </c>
      <c r="Q49" s="547"/>
    </row>
    <row r="50" spans="1:12" ht="15" customHeight="1">
      <c r="A50" s="940" t="s">
        <v>512</v>
      </c>
      <c r="B50" s="941"/>
      <c r="C50" s="941"/>
      <c r="D50" s="942"/>
      <c r="E50" s="351">
        <f>E46/3*(M43+E49+(M43*E49)^0.5)</f>
        <v>102.24697509153974</v>
      </c>
      <c r="F50" s="687" t="s">
        <v>495</v>
      </c>
      <c r="G50" s="688">
        <f>IF(E50=0,"",E50*12)</f>
        <v>1226.9637010984768</v>
      </c>
      <c r="H50" s="689" t="s">
        <v>497</v>
      </c>
      <c r="I50" s="690"/>
      <c r="J50" s="361" t="s">
        <v>804</v>
      </c>
      <c r="K50" s="165">
        <f>E47*E48</f>
        <v>286263.1296</v>
      </c>
      <c r="L50" t="s">
        <v>805</v>
      </c>
    </row>
    <row r="51" spans="1:12" ht="18" customHeight="1">
      <c r="A51" s="696"/>
      <c r="B51" s="697"/>
      <c r="C51" s="697"/>
      <c r="D51" s="698"/>
      <c r="E51" s="352">
        <f>G50*27154</f>
        <v>33316972.33962804</v>
      </c>
      <c r="F51" s="687" t="s">
        <v>496</v>
      </c>
      <c r="G51" s="691">
        <f>E51*0.1337</f>
        <v>4454479.201808269</v>
      </c>
      <c r="H51" s="692" t="s">
        <v>498</v>
      </c>
      <c r="I51" s="690"/>
      <c r="J51" s="361" t="s">
        <v>806</v>
      </c>
      <c r="K51" s="165">
        <f>K34</f>
        <v>273515.7696</v>
      </c>
      <c r="L51" t="s">
        <v>805</v>
      </c>
    </row>
    <row r="52" spans="1:13" ht="15">
      <c r="A52" s="699"/>
      <c r="B52" s="700"/>
      <c r="C52" s="700"/>
      <c r="D52" s="701"/>
      <c r="E52" s="693">
        <f>G51/27</f>
        <v>164980.71117808405</v>
      </c>
      <c r="F52" s="689" t="s">
        <v>511</v>
      </c>
      <c r="G52" s="694"/>
      <c r="H52" s="694"/>
      <c r="I52" s="695"/>
      <c r="J52" s="361" t="s">
        <v>807</v>
      </c>
      <c r="K52" s="155">
        <f>E44/3*(K50+K51+(K50*K51)^0.5)</f>
        <v>559730.5121615486</v>
      </c>
      <c r="L52" t="s">
        <v>808</v>
      </c>
      <c r="M52" s="165">
        <f>K52/43560</f>
        <v>12.84964444815309</v>
      </c>
    </row>
    <row r="53" spans="1:9" ht="15">
      <c r="A53" s="937" t="s">
        <v>13</v>
      </c>
      <c r="B53" s="938"/>
      <c r="C53" s="938"/>
      <c r="D53" s="938"/>
      <c r="E53" s="938"/>
      <c r="F53" s="938"/>
      <c r="G53" s="938"/>
      <c r="H53" s="938"/>
      <c r="I53" s="939"/>
    </row>
    <row r="54" spans="1:9" ht="15">
      <c r="A54" s="283"/>
      <c r="B54" s="284"/>
      <c r="C54" s="284"/>
      <c r="D54" s="703">
        <f>E47</f>
        <v>584.64</v>
      </c>
      <c r="E54" s="282" t="s">
        <v>125</v>
      </c>
      <c r="F54" s="131"/>
      <c r="G54" s="284"/>
      <c r="H54" s="284"/>
      <c r="I54" s="236"/>
    </row>
    <row r="55" spans="1:16" ht="15">
      <c r="A55" s="130"/>
      <c r="B55" s="131"/>
      <c r="C55" s="285"/>
      <c r="D55" s="703">
        <f>E48</f>
        <v>489.64</v>
      </c>
      <c r="E55" s="282" t="s">
        <v>115</v>
      </c>
      <c r="F55" s="6"/>
      <c r="G55" s="133"/>
      <c r="H55" s="284"/>
      <c r="I55" s="236"/>
      <c r="J55" s="545"/>
      <c r="K55" s="545" t="s">
        <v>699</v>
      </c>
      <c r="L55" s="545" t="s">
        <v>700</v>
      </c>
      <c r="M55" s="545" t="s">
        <v>701</v>
      </c>
      <c r="N55" s="546" t="s">
        <v>521</v>
      </c>
      <c r="O55" s="546" t="s">
        <v>698</v>
      </c>
      <c r="P55" s="548" t="s">
        <v>697</v>
      </c>
    </row>
    <row r="56" spans="1:16" ht="14.25">
      <c r="A56" s="612">
        <f>E44</f>
        <v>2</v>
      </c>
      <c r="B56" s="288" t="s">
        <v>777</v>
      </c>
      <c r="C56" s="287"/>
      <c r="D56" s="287"/>
      <c r="E56" s="649" t="s">
        <v>542</v>
      </c>
      <c r="F56" s="287"/>
      <c r="G56" s="287"/>
      <c r="H56" s="287"/>
      <c r="I56" s="236"/>
      <c r="J56" s="346">
        <f>P56</f>
        <v>0</v>
      </c>
      <c r="K56" s="249">
        <v>0</v>
      </c>
      <c r="L56" s="249">
        <f>D64</f>
        <v>467.34</v>
      </c>
      <c r="M56" s="249">
        <f>D65</f>
        <v>372.34</v>
      </c>
      <c r="N56" s="339">
        <f>L56*M56/43560</f>
        <v>3.994705592286501</v>
      </c>
      <c r="O56" s="544"/>
      <c r="P56">
        <v>0</v>
      </c>
    </row>
    <row r="57" spans="1:16" ht="12.75">
      <c r="A57" s="669">
        <f>E32</f>
        <v>4.12</v>
      </c>
      <c r="B57" s="288" t="s">
        <v>774</v>
      </c>
      <c r="C57" s="148"/>
      <c r="D57" s="148"/>
      <c r="E57" s="662" t="s">
        <v>788</v>
      </c>
      <c r="F57" s="131"/>
      <c r="G57" s="131"/>
      <c r="H57" s="131"/>
      <c r="I57" s="132"/>
      <c r="J57" s="346">
        <f aca="true" t="shared" si="1" ref="J57:J80">P57</f>
        <v>2.0118443100365146</v>
      </c>
      <c r="K57" s="249">
        <v>0.5</v>
      </c>
      <c r="L57" s="249">
        <f>L56+2*0.5*$E$24</f>
        <v>470.34</v>
      </c>
      <c r="M57" s="249">
        <f>M56+2*0.5*$E$24</f>
        <v>375.34</v>
      </c>
      <c r="N57" s="339">
        <f aca="true" t="shared" si="2" ref="N57:N80">L57*M57/43560</f>
        <v>4.052741404958677</v>
      </c>
      <c r="O57" s="544">
        <f>(K57-K56)/3*(N57+N56+(N57*N56)^0.5)</f>
        <v>2.0118443100365146</v>
      </c>
      <c r="P57" s="364">
        <f>O57</f>
        <v>2.0118443100365146</v>
      </c>
    </row>
    <row r="58" spans="1:16" ht="12.75">
      <c r="A58" s="626"/>
      <c r="B58" s="615"/>
      <c r="C58" s="148"/>
      <c r="D58" s="148"/>
      <c r="E58" s="131"/>
      <c r="F58" s="131"/>
      <c r="G58" s="131"/>
      <c r="H58" s="943"/>
      <c r="I58" s="944"/>
      <c r="J58" s="346">
        <f t="shared" si="1"/>
        <v>4.052809835356789</v>
      </c>
      <c r="K58" s="249">
        <v>1</v>
      </c>
      <c r="L58" s="249">
        <f aca="true" t="shared" si="3" ref="L58:M80">L57+2*0.5*$E$24</f>
        <v>473.34</v>
      </c>
      <c r="M58" s="249">
        <f t="shared" si="3"/>
        <v>378.34</v>
      </c>
      <c r="N58" s="339">
        <f t="shared" si="2"/>
        <v>4.11119044077135</v>
      </c>
      <c r="O58" s="544">
        <f>(K58-K57)/3*(N58+N57+(N58*N57)^0.5)</f>
        <v>2.0409655253202743</v>
      </c>
      <c r="P58" s="364">
        <f>P57+O58</f>
        <v>4.052809835356789</v>
      </c>
    </row>
    <row r="59" spans="1:16" ht="12.75">
      <c r="A59" s="612">
        <f>E26</f>
        <v>11.32</v>
      </c>
      <c r="B59" s="288" t="s">
        <v>776</v>
      </c>
      <c r="C59" s="613"/>
      <c r="D59" s="148"/>
      <c r="E59" s="661" t="s">
        <v>789</v>
      </c>
      <c r="F59" s="131"/>
      <c r="G59" s="282"/>
      <c r="H59" s="6"/>
      <c r="I59" s="132"/>
      <c r="J59" s="346">
        <f t="shared" si="1"/>
        <v>6.123103187463588</v>
      </c>
      <c r="K59" s="249">
        <v>1.5</v>
      </c>
      <c r="L59" s="249">
        <f t="shared" si="3"/>
        <v>476.34</v>
      </c>
      <c r="M59" s="249">
        <f t="shared" si="3"/>
        <v>381.34</v>
      </c>
      <c r="N59" s="339">
        <f t="shared" si="2"/>
        <v>4.1700526997245175</v>
      </c>
      <c r="O59" s="544">
        <f aca="true" t="shared" si="4" ref="O59:O80">(K59-K58)/3*(N59+N58+(N59*N58)^0.5)</f>
        <v>2.0702933521067988</v>
      </c>
      <c r="P59" s="364">
        <f aca="true" t="shared" si="5" ref="P59:P80">P58+O59</f>
        <v>6.123103187463588</v>
      </c>
    </row>
    <row r="60" spans="1:16" ht="12.75">
      <c r="A60" s="614"/>
      <c r="B60" s="615"/>
      <c r="C60" s="148"/>
      <c r="D60" s="148"/>
      <c r="E60" s="131"/>
      <c r="F60" s="131"/>
      <c r="G60" s="6"/>
      <c r="H60" s="133"/>
      <c r="I60" s="132"/>
      <c r="J60" s="346">
        <f t="shared" si="1"/>
        <v>8.22293097786159</v>
      </c>
      <c r="K60" s="249">
        <v>2</v>
      </c>
      <c r="L60" s="249">
        <f t="shared" si="3"/>
        <v>479.34</v>
      </c>
      <c r="M60" s="249">
        <f t="shared" si="3"/>
        <v>384.34</v>
      </c>
      <c r="N60" s="339">
        <f t="shared" si="2"/>
        <v>4.229328181818182</v>
      </c>
      <c r="O60" s="544">
        <f t="shared" si="4"/>
        <v>2.0998277903980025</v>
      </c>
      <c r="P60" s="364">
        <f t="shared" si="5"/>
        <v>8.22293097786159</v>
      </c>
    </row>
    <row r="61" spans="1:16" ht="12.75">
      <c r="A61" s="616"/>
      <c r="B61" s="617"/>
      <c r="C61" s="148"/>
      <c r="D61" s="148"/>
      <c r="E61" s="131"/>
      <c r="F61" s="131"/>
      <c r="G61" s="365">
        <f>E24</f>
        <v>3</v>
      </c>
      <c r="H61" s="282" t="s">
        <v>114</v>
      </c>
      <c r="I61" s="290"/>
      <c r="J61" s="346">
        <f t="shared" si="1"/>
        <v>10.352499818057321</v>
      </c>
      <c r="K61" s="249">
        <v>2.5</v>
      </c>
      <c r="L61" s="249">
        <f t="shared" si="3"/>
        <v>482.34</v>
      </c>
      <c r="M61" s="249">
        <f t="shared" si="3"/>
        <v>387.34</v>
      </c>
      <c r="N61" s="339">
        <f t="shared" si="2"/>
        <v>4.289016887052341</v>
      </c>
      <c r="O61" s="544">
        <f t="shared" si="4"/>
        <v>2.129568840195731</v>
      </c>
      <c r="P61" s="364">
        <f t="shared" si="5"/>
        <v>10.352499818057321</v>
      </c>
    </row>
    <row r="62" spans="1:16" ht="12.75">
      <c r="A62" s="670">
        <f>E41</f>
        <v>2.11</v>
      </c>
      <c r="B62" s="288" t="s">
        <v>775</v>
      </c>
      <c r="C62" s="148"/>
      <c r="D62" s="6"/>
      <c r="E62" s="649" t="s">
        <v>787</v>
      </c>
      <c r="F62" s="131"/>
      <c r="G62" s="134"/>
      <c r="H62" s="133"/>
      <c r="I62" s="290"/>
      <c r="J62" s="346">
        <f t="shared" si="1"/>
        <v>12.512016319559088</v>
      </c>
      <c r="K62" s="249">
        <v>3</v>
      </c>
      <c r="L62" s="249">
        <f t="shared" si="3"/>
        <v>485.34</v>
      </c>
      <c r="M62" s="249">
        <f t="shared" si="3"/>
        <v>390.34</v>
      </c>
      <c r="N62" s="339">
        <f t="shared" si="2"/>
        <v>4.349118815426997</v>
      </c>
      <c r="O62" s="544">
        <f t="shared" si="4"/>
        <v>2.1595165015017668</v>
      </c>
      <c r="P62" s="364">
        <f t="shared" si="5"/>
        <v>12.512016319559088</v>
      </c>
    </row>
    <row r="63" spans="1:16" ht="14.25" customHeight="1">
      <c r="A63" s="618"/>
      <c r="B63" s="1036"/>
      <c r="C63" s="1036"/>
      <c r="D63" s="615"/>
      <c r="E63" s="131"/>
      <c r="F63" s="131"/>
      <c r="G63" s="131"/>
      <c r="H63" s="133"/>
      <c r="I63" s="370" t="s">
        <v>515</v>
      </c>
      <c r="J63" s="346">
        <f t="shared" si="1"/>
        <v>14.701687093876917</v>
      </c>
      <c r="K63" s="249">
        <v>3.5</v>
      </c>
      <c r="L63" s="249">
        <f t="shared" si="3"/>
        <v>488.34</v>
      </c>
      <c r="M63" s="249">
        <f t="shared" si="3"/>
        <v>393.34</v>
      </c>
      <c r="N63" s="339">
        <f t="shared" si="2"/>
        <v>4.409633966942148</v>
      </c>
      <c r="O63" s="544">
        <f t="shared" si="4"/>
        <v>2.189670774317829</v>
      </c>
      <c r="P63" s="364">
        <f t="shared" si="5"/>
        <v>14.701687093876917</v>
      </c>
    </row>
    <row r="64" spans="1:16" ht="12.75">
      <c r="A64" s="618">
        <f>E46</f>
        <v>19.55</v>
      </c>
      <c r="B64" s="1036" t="s">
        <v>355</v>
      </c>
      <c r="C64" s="1036"/>
      <c r="D64" s="703">
        <f>K41</f>
        <v>467.34</v>
      </c>
      <c r="E64" s="282" t="s">
        <v>126</v>
      </c>
      <c r="F64" s="282"/>
      <c r="G64" s="6"/>
      <c r="H64" s="133" t="s">
        <v>513</v>
      </c>
      <c r="I64" s="369">
        <f>K46</f>
        <v>590.9850565125836</v>
      </c>
      <c r="J64" s="346">
        <f t="shared" si="1"/>
        <v>16.921718752522494</v>
      </c>
      <c r="K64" s="249">
        <v>4</v>
      </c>
      <c r="L64" s="249">
        <f t="shared" si="3"/>
        <v>491.34</v>
      </c>
      <c r="M64" s="249">
        <f t="shared" si="3"/>
        <v>396.34</v>
      </c>
      <c r="N64" s="339">
        <f t="shared" si="2"/>
        <v>4.4705623415977955</v>
      </c>
      <c r="O64" s="544">
        <f t="shared" si="4"/>
        <v>2.220031658645577</v>
      </c>
      <c r="P64" s="364">
        <f t="shared" si="5"/>
        <v>16.921718752522494</v>
      </c>
    </row>
    <row r="65" spans="1:16" ht="12.75">
      <c r="A65" s="619"/>
      <c r="B65" s="620"/>
      <c r="C65" s="620"/>
      <c r="D65" s="292">
        <f>K42</f>
        <v>372.34</v>
      </c>
      <c r="E65" s="282" t="s">
        <v>116</v>
      </c>
      <c r="F65" s="138"/>
      <c r="G65" s="138"/>
      <c r="H65" s="539" t="s">
        <v>514</v>
      </c>
      <c r="I65" s="369">
        <f>K47</f>
        <v>495.98505651258364</v>
      </c>
      <c r="J65" s="346">
        <f t="shared" si="1"/>
        <v>19.17231790700911</v>
      </c>
      <c r="K65" s="249">
        <v>4.5</v>
      </c>
      <c r="L65" s="249">
        <f t="shared" si="3"/>
        <v>494.34</v>
      </c>
      <c r="M65" s="249">
        <f t="shared" si="3"/>
        <v>399.34</v>
      </c>
      <c r="N65" s="339">
        <f t="shared" si="2"/>
        <v>4.531903939393939</v>
      </c>
      <c r="O65" s="544">
        <f t="shared" si="4"/>
        <v>2.2505991544866153</v>
      </c>
      <c r="P65" s="364">
        <f t="shared" si="5"/>
        <v>19.17231790700911</v>
      </c>
    </row>
    <row r="66" spans="1:16" ht="15">
      <c r="A66" s="934" t="s">
        <v>516</v>
      </c>
      <c r="B66" s="935"/>
      <c r="C66" s="935"/>
      <c r="D66" s="935"/>
      <c r="E66" s="935"/>
      <c r="F66" s="935"/>
      <c r="G66" s="935"/>
      <c r="H66" s="935"/>
      <c r="I66" s="936"/>
      <c r="J66" s="346">
        <f t="shared" si="1"/>
        <v>21.4536911688516</v>
      </c>
      <c r="K66" s="249">
        <v>5</v>
      </c>
      <c r="L66" s="249">
        <f t="shared" si="3"/>
        <v>497.34</v>
      </c>
      <c r="M66" s="249">
        <f t="shared" si="3"/>
        <v>402.34</v>
      </c>
      <c r="N66" s="339">
        <f t="shared" si="2"/>
        <v>4.593658760330578</v>
      </c>
      <c r="O66" s="544">
        <f t="shared" si="4"/>
        <v>2.2813732618424907</v>
      </c>
      <c r="P66" s="364">
        <f t="shared" si="5"/>
        <v>21.4536911688516</v>
      </c>
    </row>
    <row r="67" spans="1:16" ht="12.75">
      <c r="A67" s="376" t="s">
        <v>517</v>
      </c>
      <c r="B67" s="376" t="s">
        <v>518</v>
      </c>
      <c r="C67" s="376" t="s">
        <v>519</v>
      </c>
      <c r="D67" s="376" t="s">
        <v>520</v>
      </c>
      <c r="E67" s="376" t="s">
        <v>517</v>
      </c>
      <c r="F67" s="376" t="s">
        <v>518</v>
      </c>
      <c r="G67" s="376" t="s">
        <v>519</v>
      </c>
      <c r="H67" s="376" t="s">
        <v>520</v>
      </c>
      <c r="I67" s="290"/>
      <c r="J67" s="346">
        <f t="shared" si="1"/>
        <v>23.7660451495663</v>
      </c>
      <c r="K67" s="249">
        <v>5.5</v>
      </c>
      <c r="L67" s="249">
        <f t="shared" si="3"/>
        <v>500.34</v>
      </c>
      <c r="M67" s="249">
        <f t="shared" si="3"/>
        <v>405.34</v>
      </c>
      <c r="N67" s="339">
        <f t="shared" si="2"/>
        <v>4.655826804407713</v>
      </c>
      <c r="O67" s="544">
        <f t="shared" si="4"/>
        <v>2.3123539807146996</v>
      </c>
      <c r="P67" s="364">
        <f t="shared" si="5"/>
        <v>23.7660451495663</v>
      </c>
    </row>
    <row r="68" spans="1:16" ht="12.75">
      <c r="A68" s="377">
        <f>IF($A$64&lt;6,"",6)</f>
        <v>6</v>
      </c>
      <c r="B68" s="372">
        <f>IF($A$64&lt;6,"",J68)</f>
        <v>26.10958646067099</v>
      </c>
      <c r="C68" s="372">
        <f>IF(A68="","",B68*12)</f>
        <v>313.3150375280519</v>
      </c>
      <c r="D68" s="621">
        <f>IF(A68="","",C68*27154)</f>
        <v>8507756.529036721</v>
      </c>
      <c r="E68" s="377">
        <f>IF($A$64&lt;12,"",12)</f>
        <v>12</v>
      </c>
      <c r="F68" s="372">
        <f>IF($A$64&lt;12,"",J80)</f>
        <v>56.73990055859473</v>
      </c>
      <c r="G68" s="372">
        <f>IF(E68="","",F68*12)</f>
        <v>680.8788067031367</v>
      </c>
      <c r="H68" s="373">
        <f>IF(E68="","",G68*27154)</f>
        <v>18488583.117216974</v>
      </c>
      <c r="I68" s="290"/>
      <c r="J68" s="346">
        <f t="shared" si="1"/>
        <v>26.10958646067099</v>
      </c>
      <c r="K68" s="249">
        <v>6</v>
      </c>
      <c r="L68" s="249">
        <f t="shared" si="3"/>
        <v>503.34</v>
      </c>
      <c r="M68" s="249">
        <f t="shared" si="3"/>
        <v>408.34</v>
      </c>
      <c r="N68" s="339">
        <f t="shared" si="2"/>
        <v>4.718408071625344</v>
      </c>
      <c r="O68" s="544">
        <f t="shared" si="4"/>
        <v>2.3435413111046888</v>
      </c>
      <c r="P68" s="364">
        <f t="shared" si="5"/>
        <v>26.10958646067099</v>
      </c>
    </row>
    <row r="69" spans="1:16" ht="12.75">
      <c r="A69" s="379">
        <f>IF($A$64&lt;5.5,"",5.5)</f>
        <v>5.5</v>
      </c>
      <c r="B69" s="374">
        <f>IF($A$64&lt;5.5,"",J67)</f>
        <v>23.7660451495663</v>
      </c>
      <c r="C69" s="374">
        <f aca="true" t="shared" si="6" ref="C69:C79">IF(A69="","",B69*12)</f>
        <v>285.1925417947956</v>
      </c>
      <c r="D69" s="622">
        <f aca="true" t="shared" si="7" ref="D69:D79">IF(A69="","",C69*27154)</f>
        <v>7744118.279895879</v>
      </c>
      <c r="E69" s="379">
        <f>IF($A$64&lt;11.5,"",11.5)</f>
        <v>11.5</v>
      </c>
      <c r="F69" s="374">
        <f>IF($A$64&lt;11.5,"",J79)</f>
        <v>54.005995583957755</v>
      </c>
      <c r="G69" s="374">
        <f aca="true" t="shared" si="8" ref="G69:G79">IF(E69="","",F69*12)</f>
        <v>648.071947007493</v>
      </c>
      <c r="H69" s="378">
        <f aca="true" t="shared" si="9" ref="H69:H79">IF(E69="","",G69*27154)</f>
        <v>17597745.649041466</v>
      </c>
      <c r="I69" s="290"/>
      <c r="J69" s="346">
        <f t="shared" si="1"/>
        <v>28.484521713684842</v>
      </c>
      <c r="K69" s="249">
        <v>6.5</v>
      </c>
      <c r="L69" s="249">
        <f t="shared" si="3"/>
        <v>506.34</v>
      </c>
      <c r="M69" s="249">
        <f t="shared" si="3"/>
        <v>411.34</v>
      </c>
      <c r="N69" s="339">
        <f t="shared" si="2"/>
        <v>4.781402561983471</v>
      </c>
      <c r="O69" s="544">
        <f t="shared" si="4"/>
        <v>2.3749352530138537</v>
      </c>
      <c r="P69" s="364">
        <f t="shared" si="5"/>
        <v>28.484521713684842</v>
      </c>
    </row>
    <row r="70" spans="1:16" ht="12.75">
      <c r="A70" s="379">
        <f>IF($A$64&lt;5,"",5)</f>
        <v>5</v>
      </c>
      <c r="B70" s="374">
        <f>IF($A$64&lt;5,"",J66)</f>
        <v>21.4536911688516</v>
      </c>
      <c r="C70" s="374">
        <f t="shared" si="6"/>
        <v>257.44429402621915</v>
      </c>
      <c r="D70" s="622">
        <f t="shared" si="7"/>
        <v>6990642.359987955</v>
      </c>
      <c r="E70" s="379">
        <f>IF($A$64&lt;11,"",11)</f>
        <v>11</v>
      </c>
      <c r="F70" s="374">
        <f>IF($A$64&lt;11,"",J78)</f>
        <v>51.30575727802106</v>
      </c>
      <c r="G70" s="374">
        <f t="shared" si="8"/>
        <v>615.6690873362527</v>
      </c>
      <c r="H70" s="378">
        <f t="shared" si="9"/>
        <v>16717878.397528606</v>
      </c>
      <c r="I70" s="290"/>
      <c r="J70" s="346">
        <f t="shared" si="1"/>
        <v>30.89105752012839</v>
      </c>
      <c r="K70" s="249">
        <v>7</v>
      </c>
      <c r="L70" s="249">
        <f t="shared" si="3"/>
        <v>509.34</v>
      </c>
      <c r="M70" s="249">
        <f t="shared" si="3"/>
        <v>414.34</v>
      </c>
      <c r="N70" s="339">
        <f t="shared" si="2"/>
        <v>4.844810275482093</v>
      </c>
      <c r="O70" s="544">
        <f t="shared" si="4"/>
        <v>2.4065358064435456</v>
      </c>
      <c r="P70" s="364">
        <f t="shared" si="5"/>
        <v>30.89105752012839</v>
      </c>
    </row>
    <row r="71" spans="1:16" ht="12.75">
      <c r="A71" s="379">
        <f>IF($A$64&lt;4.5,"",4.5)</f>
        <v>4.5</v>
      </c>
      <c r="B71" s="374">
        <f>IF($A$64&lt;4.5,"",J65)</f>
        <v>19.17231790700911</v>
      </c>
      <c r="C71" s="374">
        <f t="shared" si="6"/>
        <v>230.0678148841093</v>
      </c>
      <c r="D71" s="622">
        <f t="shared" si="7"/>
        <v>6247261.445363104</v>
      </c>
      <c r="E71" s="379">
        <f>IF($A$64&lt;10.5,"",10.5)</f>
        <v>10.5</v>
      </c>
      <c r="F71" s="374">
        <f>IF($A$64&lt;10.5,"",J77)</f>
        <v>48.6389790292528</v>
      </c>
      <c r="G71" s="374">
        <f t="shared" si="8"/>
        <v>583.6677483510337</v>
      </c>
      <c r="H71" s="378">
        <f t="shared" si="9"/>
        <v>15848914.038723968</v>
      </c>
      <c r="I71" s="290"/>
      <c r="J71" s="346">
        <f t="shared" si="1"/>
        <v>33.32940049152346</v>
      </c>
      <c r="K71" s="249">
        <v>7.5</v>
      </c>
      <c r="L71" s="249">
        <f t="shared" si="3"/>
        <v>512.3399999999999</v>
      </c>
      <c r="M71" s="249">
        <f t="shared" si="3"/>
        <v>417.34</v>
      </c>
      <c r="N71" s="339">
        <f t="shared" si="2"/>
        <v>4.908631212121211</v>
      </c>
      <c r="O71" s="544">
        <f t="shared" si="4"/>
        <v>2.4383429713950715</v>
      </c>
      <c r="P71" s="364">
        <f t="shared" si="5"/>
        <v>33.32940049152346</v>
      </c>
    </row>
    <row r="72" spans="1:16" ht="12.75">
      <c r="A72" s="379">
        <f>IF($A$64&lt;4,"",4)</f>
        <v>4</v>
      </c>
      <c r="B72" s="374">
        <f>IF($A$64&lt;4,"",J64)</f>
        <v>16.921718752522494</v>
      </c>
      <c r="C72" s="374">
        <f t="shared" si="6"/>
        <v>203.06062503026993</v>
      </c>
      <c r="D72" s="622">
        <f t="shared" si="7"/>
        <v>5513908.21207195</v>
      </c>
      <c r="E72" s="379">
        <f>IF($A$64&lt;10,"",10)</f>
        <v>10</v>
      </c>
      <c r="F72" s="374">
        <f>IF($A$64&lt;10,"",J76)</f>
        <v>46.00545422612209</v>
      </c>
      <c r="G72" s="374">
        <f t="shared" si="8"/>
        <v>552.0654507134651</v>
      </c>
      <c r="H72" s="378">
        <f t="shared" si="9"/>
        <v>14990785.248673432</v>
      </c>
      <c r="I72" s="290"/>
      <c r="J72" s="346">
        <f t="shared" si="1"/>
        <v>35.79975723939315</v>
      </c>
      <c r="K72" s="249">
        <v>8</v>
      </c>
      <c r="L72" s="249">
        <f t="shared" si="3"/>
        <v>515.3399999999999</v>
      </c>
      <c r="M72" s="249">
        <f t="shared" si="3"/>
        <v>420.34</v>
      </c>
      <c r="N72" s="339">
        <f t="shared" si="2"/>
        <v>4.972865371900825</v>
      </c>
      <c r="O72" s="544">
        <f t="shared" si="4"/>
        <v>2.470356747869695</v>
      </c>
      <c r="P72" s="364">
        <f t="shared" si="5"/>
        <v>35.79975723939315</v>
      </c>
    </row>
    <row r="73" spans="1:16" ht="12.75">
      <c r="A73" s="379">
        <f>IF($A$64&lt;3.5,"",3.5)</f>
        <v>3.5</v>
      </c>
      <c r="B73" s="374">
        <f>IF($A$64&lt;3.5,"",J63)</f>
        <v>14.701687093876917</v>
      </c>
      <c r="C73" s="374">
        <f t="shared" si="6"/>
        <v>176.420245126523</v>
      </c>
      <c r="D73" s="622">
        <f t="shared" si="7"/>
        <v>4790515.336165606</v>
      </c>
      <c r="E73" s="379">
        <f>IF($A$64&lt;9.5,"",9.5)</f>
        <v>9.5</v>
      </c>
      <c r="F73" s="374">
        <f>IF($A$64&lt;9.5,"",J75)</f>
        <v>43.40497625709906</v>
      </c>
      <c r="G73" s="374">
        <f t="shared" si="8"/>
        <v>520.8597150851887</v>
      </c>
      <c r="H73" s="622">
        <f t="shared" si="9"/>
        <v>14143424.703423213</v>
      </c>
      <c r="I73" s="290"/>
      <c r="J73" s="346">
        <f t="shared" si="1"/>
        <v>38.30233437526179</v>
      </c>
      <c r="K73" s="249">
        <v>8.5</v>
      </c>
      <c r="L73" s="249">
        <f t="shared" si="3"/>
        <v>518.3399999999999</v>
      </c>
      <c r="M73" s="249">
        <f t="shared" si="3"/>
        <v>423.34</v>
      </c>
      <c r="N73" s="339">
        <f t="shared" si="2"/>
        <v>5.037512754820936</v>
      </c>
      <c r="O73" s="544">
        <f t="shared" si="4"/>
        <v>2.5025771358686386</v>
      </c>
      <c r="P73" s="364">
        <f t="shared" si="5"/>
        <v>38.30233437526179</v>
      </c>
    </row>
    <row r="74" spans="1:16" ht="12.75" customHeight="1">
      <c r="A74" s="379">
        <f>IF($A$64&lt;3,"",3)</f>
        <v>3</v>
      </c>
      <c r="B74" s="374">
        <f>IF($A$64&lt;3,"",J62)</f>
        <v>12.512016319559088</v>
      </c>
      <c r="C74" s="374">
        <f t="shared" si="6"/>
        <v>150.14419583470905</v>
      </c>
      <c r="D74" s="622">
        <f t="shared" si="7"/>
        <v>4077015.4936956894</v>
      </c>
      <c r="E74" s="379">
        <f>IF($A$64&lt;9,"",9)</f>
        <v>9</v>
      </c>
      <c r="F74" s="374">
        <f>IF($A$64&lt;9,"",J74)</f>
        <v>40.83733851065488</v>
      </c>
      <c r="G74" s="374">
        <f t="shared" si="8"/>
        <v>490.04806212785854</v>
      </c>
      <c r="H74" s="622">
        <f t="shared" si="9"/>
        <v>13306765.07901987</v>
      </c>
      <c r="I74" s="290"/>
      <c r="J74" s="346">
        <f t="shared" si="1"/>
        <v>40.83733851065488</v>
      </c>
      <c r="K74" s="249">
        <v>9</v>
      </c>
      <c r="L74" s="249">
        <f t="shared" si="3"/>
        <v>521.3399999999999</v>
      </c>
      <c r="M74" s="249">
        <f t="shared" si="3"/>
        <v>426.34</v>
      </c>
      <c r="N74" s="339">
        <f t="shared" si="2"/>
        <v>5.102573360881541</v>
      </c>
      <c r="O74" s="544">
        <f t="shared" si="4"/>
        <v>2.535004135393085</v>
      </c>
      <c r="P74" s="364">
        <f t="shared" si="5"/>
        <v>40.83733851065488</v>
      </c>
    </row>
    <row r="75" spans="1:16" ht="12.75">
      <c r="A75" s="379">
        <f>IF($A$64&lt;2.5,"",2.5)</f>
        <v>2.5</v>
      </c>
      <c r="B75" s="374">
        <f>IF($A$64&lt;2.5,"",J61)</f>
        <v>10.352499818057321</v>
      </c>
      <c r="C75" s="374">
        <f t="shared" si="6"/>
        <v>124.22999781668786</v>
      </c>
      <c r="D75" s="622">
        <f t="shared" si="7"/>
        <v>3373341.360714342</v>
      </c>
      <c r="E75" s="379">
        <f>IF($A$64&lt;8.5,"",8.5)</f>
        <v>8.5</v>
      </c>
      <c r="F75" s="374">
        <f>IF($A$64&lt;8.5,"",J73)</f>
        <v>38.30233437526179</v>
      </c>
      <c r="G75" s="374">
        <f t="shared" si="8"/>
        <v>459.6280125031415</v>
      </c>
      <c r="H75" s="622">
        <f t="shared" si="9"/>
        <v>12480739.051510304</v>
      </c>
      <c r="I75" s="290"/>
      <c r="J75" s="346">
        <f t="shared" si="1"/>
        <v>43.40497625709906</v>
      </c>
      <c r="K75" s="249">
        <v>9.5</v>
      </c>
      <c r="L75" s="249">
        <f t="shared" si="3"/>
        <v>524.3399999999999</v>
      </c>
      <c r="M75" s="249">
        <f t="shared" si="3"/>
        <v>429.34</v>
      </c>
      <c r="N75" s="339">
        <f t="shared" si="2"/>
        <v>5.1680471900826435</v>
      </c>
      <c r="O75" s="544">
        <f t="shared" si="4"/>
        <v>2.5676377464441797</v>
      </c>
      <c r="P75" s="364">
        <f t="shared" si="5"/>
        <v>43.40497625709906</v>
      </c>
    </row>
    <row r="76" spans="1:16" ht="12.75">
      <c r="A76" s="379">
        <f>IF($A$64&lt;2,"",2)</f>
        <v>2</v>
      </c>
      <c r="B76" s="374">
        <f>IF($A$64&lt;2,"",J60)</f>
        <v>8.22293097786159</v>
      </c>
      <c r="C76" s="374">
        <f t="shared" si="6"/>
        <v>98.67517173433909</v>
      </c>
      <c r="D76" s="622">
        <f t="shared" si="7"/>
        <v>2679425.6132742437</v>
      </c>
      <c r="E76" s="379">
        <f>IF($A$64&lt;8,"",8)</f>
        <v>8</v>
      </c>
      <c r="F76" s="374">
        <f>IF($A$64&lt;8,"",J72)</f>
        <v>35.79975723939315</v>
      </c>
      <c r="G76" s="374">
        <f t="shared" si="8"/>
        <v>429.5970868727178</v>
      </c>
      <c r="H76" s="622">
        <f t="shared" si="9"/>
        <v>11665279.29694178</v>
      </c>
      <c r="I76" s="290"/>
      <c r="J76" s="346">
        <f t="shared" si="1"/>
        <v>46.00545422612209</v>
      </c>
      <c r="K76" s="249">
        <v>10</v>
      </c>
      <c r="L76" s="249">
        <f t="shared" si="3"/>
        <v>527.3399999999999</v>
      </c>
      <c r="M76" s="249">
        <f t="shared" si="3"/>
        <v>432.34</v>
      </c>
      <c r="N76" s="339">
        <f t="shared" si="2"/>
        <v>5.233934242424241</v>
      </c>
      <c r="O76" s="544">
        <f t="shared" si="4"/>
        <v>2.600477969023031</v>
      </c>
      <c r="P76" s="364">
        <f t="shared" si="5"/>
        <v>46.00545422612209</v>
      </c>
    </row>
    <row r="77" spans="1:16" ht="12.75">
      <c r="A77" s="379">
        <f>IF($A$64&lt;1.5,"",1.5)</f>
        <v>1.5</v>
      </c>
      <c r="B77" s="374">
        <f>IF($A$64&lt;1.5,"",J59)</f>
        <v>6.123103187463588</v>
      </c>
      <c r="C77" s="374">
        <f t="shared" si="6"/>
        <v>73.47723824956306</v>
      </c>
      <c r="D77" s="622">
        <f t="shared" si="7"/>
        <v>1995200.9274286353</v>
      </c>
      <c r="E77" s="379">
        <f>IF($A$64&lt;7.5,"",7.5)</f>
        <v>7.5</v>
      </c>
      <c r="F77" s="374">
        <f>IF($A$64&lt;7.5,"",J71)</f>
        <v>33.32940049152346</v>
      </c>
      <c r="G77" s="374">
        <f t="shared" si="8"/>
        <v>399.9528058982815</v>
      </c>
      <c r="H77" s="622">
        <f t="shared" si="9"/>
        <v>10860318.491361937</v>
      </c>
      <c r="I77" s="290"/>
      <c r="J77" s="346">
        <f t="shared" si="1"/>
        <v>48.6389790292528</v>
      </c>
      <c r="K77" s="249">
        <v>10.5</v>
      </c>
      <c r="L77" s="249">
        <f t="shared" si="3"/>
        <v>530.3399999999999</v>
      </c>
      <c r="M77" s="249">
        <f t="shared" si="3"/>
        <v>435.34</v>
      </c>
      <c r="N77" s="339">
        <f t="shared" si="2"/>
        <v>5.300234517906334</v>
      </c>
      <c r="O77" s="544">
        <f t="shared" si="4"/>
        <v>2.633524803130712</v>
      </c>
      <c r="P77" s="364">
        <f t="shared" si="5"/>
        <v>48.6389790292528</v>
      </c>
    </row>
    <row r="78" spans="1:16" ht="12.75">
      <c r="A78" s="379">
        <f>IF($A$64&lt;1,"",1)</f>
        <v>1</v>
      </c>
      <c r="B78" s="374">
        <f>IF($A$64&lt;1,"",J58)</f>
        <v>4.052809835356789</v>
      </c>
      <c r="C78" s="374">
        <f t="shared" si="6"/>
        <v>48.633718024281464</v>
      </c>
      <c r="D78" s="622">
        <f t="shared" si="7"/>
        <v>1320599.979231339</v>
      </c>
      <c r="E78" s="379">
        <f>IF($A$64&lt;7,"",7)</f>
        <v>7</v>
      </c>
      <c r="F78" s="374">
        <f>IF($A$64&lt;7,"",J70)</f>
        <v>30.89105752012839</v>
      </c>
      <c r="G78" s="374">
        <f t="shared" si="8"/>
        <v>370.6926902415407</v>
      </c>
      <c r="H78" s="622">
        <f t="shared" si="9"/>
        <v>10065789.310818795</v>
      </c>
      <c r="I78" s="290"/>
      <c r="J78" s="346">
        <f t="shared" si="1"/>
        <v>51.30575727802106</v>
      </c>
      <c r="K78" s="249">
        <v>11</v>
      </c>
      <c r="L78" s="249">
        <f t="shared" si="3"/>
        <v>533.3399999999999</v>
      </c>
      <c r="M78" s="249">
        <f t="shared" si="3"/>
        <v>438.34</v>
      </c>
      <c r="N78" s="339">
        <f t="shared" si="2"/>
        <v>5.366948016528925</v>
      </c>
      <c r="O78" s="544">
        <f t="shared" si="4"/>
        <v>2.6667782487682627</v>
      </c>
      <c r="P78" s="364">
        <f t="shared" si="5"/>
        <v>51.30575727802106</v>
      </c>
    </row>
    <row r="79" spans="1:16" ht="12.75">
      <c r="A79" s="381">
        <f>IF($A$64&lt;0.5,"",0.5)</f>
        <v>0.5</v>
      </c>
      <c r="B79" s="375">
        <f>IF($A$64&lt;0.5,"",J57)</f>
        <v>2.0118443100365146</v>
      </c>
      <c r="C79" s="375">
        <f t="shared" si="6"/>
        <v>24.142131720438176</v>
      </c>
      <c r="D79" s="623">
        <f t="shared" si="7"/>
        <v>655555.4447367783</v>
      </c>
      <c r="E79" s="381">
        <f>IF($A$64&lt;6.5,"",6.5)</f>
        <v>6.5</v>
      </c>
      <c r="F79" s="375">
        <f>IF($A$64&lt;6.5,"",J69)</f>
        <v>28.484521713684842</v>
      </c>
      <c r="G79" s="375">
        <f t="shared" si="8"/>
        <v>341.8142605642181</v>
      </c>
      <c r="H79" s="623">
        <f t="shared" si="9"/>
        <v>9281624.431360777</v>
      </c>
      <c r="I79" s="290"/>
      <c r="J79" s="346">
        <f t="shared" si="1"/>
        <v>54.005995583957755</v>
      </c>
      <c r="K79" s="249">
        <v>11.5</v>
      </c>
      <c r="L79" s="249">
        <f t="shared" si="3"/>
        <v>536.3399999999999</v>
      </c>
      <c r="M79" s="249">
        <f t="shared" si="3"/>
        <v>441.34</v>
      </c>
      <c r="N79" s="339">
        <f t="shared" si="2"/>
        <v>5.43407473829201</v>
      </c>
      <c r="O79" s="544">
        <f t="shared" si="4"/>
        <v>2.7002383059366903</v>
      </c>
      <c r="P79" s="364">
        <f t="shared" si="5"/>
        <v>54.005995583957755</v>
      </c>
    </row>
    <row r="80" spans="1:16" ht="15" customHeight="1">
      <c r="A80" s="934" t="s">
        <v>366</v>
      </c>
      <c r="B80" s="935"/>
      <c r="C80" s="935"/>
      <c r="D80" s="935"/>
      <c r="E80" s="935"/>
      <c r="F80" s="935"/>
      <c r="G80" s="935"/>
      <c r="H80" s="935"/>
      <c r="I80" s="936"/>
      <c r="J80" s="346">
        <f t="shared" si="1"/>
        <v>56.73990055859473</v>
      </c>
      <c r="K80" s="165">
        <v>12</v>
      </c>
      <c r="L80" s="249">
        <f t="shared" si="3"/>
        <v>539.3399999999999</v>
      </c>
      <c r="M80" s="249">
        <f t="shared" si="3"/>
        <v>444.34</v>
      </c>
      <c r="N80" s="339">
        <f t="shared" si="2"/>
        <v>5.501614683195592</v>
      </c>
      <c r="O80" s="544">
        <f t="shared" si="4"/>
        <v>2.733904974636971</v>
      </c>
      <c r="P80" s="364">
        <f t="shared" si="5"/>
        <v>56.73990055859473</v>
      </c>
    </row>
    <row r="81" spans="1:16" ht="29.25" customHeight="1">
      <c r="A81" s="1037" t="s">
        <v>791</v>
      </c>
      <c r="B81" s="1038"/>
      <c r="C81" s="1038"/>
      <c r="D81" s="1038"/>
      <c r="E81" s="664">
        <f>M105</f>
        <v>33914.06464237914</v>
      </c>
      <c r="F81" s="665" t="s">
        <v>443</v>
      </c>
      <c r="G81" s="540" t="s">
        <v>693</v>
      </c>
      <c r="H81" s="666">
        <f>E81*9</f>
        <v>305226.58178141224</v>
      </c>
      <c r="I81" s="667" t="s">
        <v>694</v>
      </c>
      <c r="J81" s="346">
        <f>P81</f>
        <v>59.50767881346478</v>
      </c>
      <c r="K81" s="165">
        <v>12.5</v>
      </c>
      <c r="L81" s="249">
        <f>L80+2*0.5*$E$24</f>
        <v>542.3399999999999</v>
      </c>
      <c r="M81" s="249">
        <f>M80+2*0.5*$E$24</f>
        <v>447.34</v>
      </c>
      <c r="N81" s="339">
        <f>L81*M81/43560</f>
        <v>5.569567851239668</v>
      </c>
      <c r="O81" s="544">
        <f>(K81-K80)/3*(N81+N80+(N81*N80)^0.5)</f>
        <v>2.7677782548700494</v>
      </c>
      <c r="P81" s="364">
        <f>P80+O81</f>
        <v>59.50767881346478</v>
      </c>
    </row>
    <row r="82" spans="1:16" ht="15">
      <c r="A82" s="934" t="s">
        <v>451</v>
      </c>
      <c r="B82" s="935"/>
      <c r="C82" s="935"/>
      <c r="D82" s="935"/>
      <c r="E82" s="935"/>
      <c r="F82" s="935"/>
      <c r="G82" s="935"/>
      <c r="H82" s="935"/>
      <c r="I82" s="936"/>
      <c r="J82" s="346">
        <f>P82</f>
        <v>62.309536960101624</v>
      </c>
      <c r="K82" s="165">
        <v>13</v>
      </c>
      <c r="L82" s="249">
        <f>L81+2*0.5*$E$24</f>
        <v>545.3399999999999</v>
      </c>
      <c r="M82" s="249">
        <f>M81+2*0.5*$E$24</f>
        <v>450.34</v>
      </c>
      <c r="N82" s="339">
        <f>L82*M82/43560</f>
        <v>5.637934242424241</v>
      </c>
      <c r="O82" s="544">
        <f>(K82-K81)/3*(N82+N81+(N82*N81)^0.5)</f>
        <v>2.8018581466368424</v>
      </c>
      <c r="P82" s="364">
        <f>P81+O82</f>
        <v>62.309536960101624</v>
      </c>
    </row>
    <row r="83" spans="1:16" ht="12.75">
      <c r="A83" s="948"/>
      <c r="B83" s="949"/>
      <c r="C83" s="949"/>
      <c r="D83" s="949"/>
      <c r="E83" s="949"/>
      <c r="F83" s="949"/>
      <c r="G83" s="949"/>
      <c r="H83" s="949"/>
      <c r="I83" s="950"/>
      <c r="J83" s="346">
        <f aca="true" t="shared" si="10" ref="J83:J89">P83</f>
        <v>65.14568161003986</v>
      </c>
      <c r="K83" s="165">
        <v>13.5</v>
      </c>
      <c r="L83" s="249">
        <f aca="true" t="shared" si="11" ref="L83:M89">L82+2*0.5*$E$24</f>
        <v>548.3399999999999</v>
      </c>
      <c r="M83" s="249">
        <f t="shared" si="11"/>
        <v>453.34</v>
      </c>
      <c r="N83" s="339">
        <f aca="true" t="shared" si="12" ref="N83:N89">L83*M83/43560</f>
        <v>5.70671385674931</v>
      </c>
      <c r="O83" s="544">
        <f aca="true" t="shared" si="13" ref="O83:O89">(K83-K82)/3*(N83+N82+(N83*N82)^0.5)</f>
        <v>2.8361446499382397</v>
      </c>
      <c r="P83" s="364">
        <f aca="true" t="shared" si="14" ref="P83:P89">P82+O83</f>
        <v>65.14568161003986</v>
      </c>
    </row>
    <row r="84" spans="1:16" ht="12.75">
      <c r="A84" s="951"/>
      <c r="B84" s="952"/>
      <c r="C84" s="952"/>
      <c r="D84" s="952"/>
      <c r="E84" s="952"/>
      <c r="F84" s="952"/>
      <c r="G84" s="952"/>
      <c r="H84" s="952"/>
      <c r="I84" s="953"/>
      <c r="J84" s="346">
        <f t="shared" si="10"/>
        <v>68.01631937481496</v>
      </c>
      <c r="K84" s="165">
        <v>14</v>
      </c>
      <c r="L84" s="249">
        <f t="shared" si="11"/>
        <v>551.3399999999999</v>
      </c>
      <c r="M84" s="249">
        <f t="shared" si="11"/>
        <v>456.34</v>
      </c>
      <c r="N84" s="339">
        <f t="shared" si="12"/>
        <v>5.775906694214875</v>
      </c>
      <c r="O84" s="544">
        <f t="shared" si="13"/>
        <v>2.8706377647751027</v>
      </c>
      <c r="P84" s="364">
        <f t="shared" si="14"/>
        <v>68.01631937481496</v>
      </c>
    </row>
    <row r="85" spans="1:16" ht="12.75">
      <c r="A85" s="951"/>
      <c r="B85" s="952"/>
      <c r="C85" s="952"/>
      <c r="D85" s="952"/>
      <c r="E85" s="952"/>
      <c r="F85" s="952"/>
      <c r="G85" s="952"/>
      <c r="H85" s="952"/>
      <c r="I85" s="953"/>
      <c r="J85" s="346">
        <f t="shared" si="10"/>
        <v>70.92165686596323</v>
      </c>
      <c r="K85" s="165">
        <v>14.5</v>
      </c>
      <c r="L85" s="249">
        <f t="shared" si="11"/>
        <v>554.3399999999999</v>
      </c>
      <c r="M85" s="249">
        <f t="shared" si="11"/>
        <v>459.34</v>
      </c>
      <c r="N85" s="339">
        <f t="shared" si="12"/>
        <v>5.845512754820936</v>
      </c>
      <c r="O85" s="544">
        <f t="shared" si="13"/>
        <v>2.9053374911482663</v>
      </c>
      <c r="P85" s="364">
        <f t="shared" si="14"/>
        <v>70.92165686596323</v>
      </c>
    </row>
    <row r="86" spans="1:16" ht="12.75">
      <c r="A86" s="951"/>
      <c r="B86" s="952"/>
      <c r="C86" s="952"/>
      <c r="D86" s="952"/>
      <c r="E86" s="952"/>
      <c r="F86" s="952"/>
      <c r="G86" s="952"/>
      <c r="H86" s="952"/>
      <c r="I86" s="953"/>
      <c r="J86" s="346">
        <f t="shared" si="10"/>
        <v>73.86190069502177</v>
      </c>
      <c r="K86" s="165">
        <v>15</v>
      </c>
      <c r="L86" s="249">
        <f t="shared" si="11"/>
        <v>557.3399999999999</v>
      </c>
      <c r="M86" s="249">
        <f t="shared" si="11"/>
        <v>462.34</v>
      </c>
      <c r="N86" s="339">
        <f t="shared" si="12"/>
        <v>5.915532038567492</v>
      </c>
      <c r="O86" s="544">
        <f t="shared" si="13"/>
        <v>2.9402438290585424</v>
      </c>
      <c r="P86" s="364">
        <f t="shared" si="14"/>
        <v>73.86190069502177</v>
      </c>
    </row>
    <row r="87" spans="1:16" ht="12.75">
      <c r="A87" s="951"/>
      <c r="B87" s="952"/>
      <c r="C87" s="952"/>
      <c r="D87" s="952"/>
      <c r="E87" s="952"/>
      <c r="F87" s="952"/>
      <c r="G87" s="952"/>
      <c r="H87" s="952"/>
      <c r="I87" s="953"/>
      <c r="J87" s="346">
        <f t="shared" si="10"/>
        <v>76.8372574735285</v>
      </c>
      <c r="K87" s="165">
        <v>15.5</v>
      </c>
      <c r="L87" s="249">
        <f t="shared" si="11"/>
        <v>560.3399999999999</v>
      </c>
      <c r="M87" s="249">
        <f t="shared" si="11"/>
        <v>465.34</v>
      </c>
      <c r="N87" s="339">
        <f t="shared" si="12"/>
        <v>5.985964545454545</v>
      </c>
      <c r="O87" s="544">
        <f t="shared" si="13"/>
        <v>2.975356778506717</v>
      </c>
      <c r="P87" s="364">
        <f t="shared" si="14"/>
        <v>76.8372574735285</v>
      </c>
    </row>
    <row r="88" spans="1:16" ht="12.75">
      <c r="A88" s="951"/>
      <c r="B88" s="952"/>
      <c r="C88" s="952"/>
      <c r="D88" s="952"/>
      <c r="E88" s="952"/>
      <c r="F88" s="952"/>
      <c r="G88" s="952"/>
      <c r="H88" s="952"/>
      <c r="I88" s="953"/>
      <c r="J88" s="346">
        <f t="shared" si="10"/>
        <v>79.84793381302205</v>
      </c>
      <c r="K88" s="165">
        <v>16</v>
      </c>
      <c r="L88" s="249">
        <f t="shared" si="11"/>
        <v>563.3399999999999</v>
      </c>
      <c r="M88" s="249">
        <f t="shared" si="11"/>
        <v>468.34</v>
      </c>
      <c r="N88" s="339">
        <f t="shared" si="12"/>
        <v>6.056810275482093</v>
      </c>
      <c r="O88" s="544">
        <f t="shared" si="13"/>
        <v>3.010676339493554</v>
      </c>
      <c r="P88" s="364">
        <f t="shared" si="14"/>
        <v>79.84793381302205</v>
      </c>
    </row>
    <row r="89" spans="1:16" ht="12.75">
      <c r="A89" s="954"/>
      <c r="B89" s="955"/>
      <c r="C89" s="955"/>
      <c r="D89" s="955"/>
      <c r="E89" s="955"/>
      <c r="F89" s="955"/>
      <c r="G89" s="955"/>
      <c r="H89" s="955"/>
      <c r="I89" s="956"/>
      <c r="J89" s="346">
        <f t="shared" si="10"/>
        <v>82.89413632504184</v>
      </c>
      <c r="K89" s="165">
        <v>16.5</v>
      </c>
      <c r="L89" s="249">
        <f t="shared" si="11"/>
        <v>566.3399999999999</v>
      </c>
      <c r="M89" s="249">
        <f t="shared" si="11"/>
        <v>471.34</v>
      </c>
      <c r="N89" s="339">
        <f t="shared" si="12"/>
        <v>6.128069228650136</v>
      </c>
      <c r="O89" s="544">
        <f t="shared" si="13"/>
        <v>3.0462025120197933</v>
      </c>
      <c r="P89" s="364">
        <f t="shared" si="14"/>
        <v>82.89413632504184</v>
      </c>
    </row>
    <row r="90" spans="10:16" ht="12.75">
      <c r="J90" s="346">
        <f>P90</f>
        <v>85.976071621128</v>
      </c>
      <c r="K90" s="165">
        <v>17</v>
      </c>
      <c r="L90" s="249">
        <f>L89+2*0.5*$E$24</f>
        <v>569.3399999999999</v>
      </c>
      <c r="M90" s="249">
        <f>M89+2*0.5*$E$24</f>
        <v>474.34</v>
      </c>
      <c r="N90" s="339">
        <f>L90*M90/43560</f>
        <v>6.199741404958677</v>
      </c>
      <c r="O90" s="544">
        <f>(K90-K89)/3*(N90+N89+(N90*N89)^0.5)</f>
        <v>3.0819352960861552</v>
      </c>
      <c r="P90" s="364">
        <f>P89+O90</f>
        <v>85.976071621128</v>
      </c>
    </row>
    <row r="91" ht="12.75">
      <c r="N91" s="510"/>
    </row>
    <row r="92" spans="10:14" ht="12.75">
      <c r="J92" s="511"/>
      <c r="K92" s="512" t="s">
        <v>692</v>
      </c>
      <c r="L92" s="512"/>
      <c r="M92" s="512"/>
      <c r="N92" s="510"/>
    </row>
    <row r="93" spans="10:14" ht="12.75">
      <c r="J93" s="513" t="s">
        <v>517</v>
      </c>
      <c r="K93" s="514" t="s">
        <v>678</v>
      </c>
      <c r="L93" s="515" t="s">
        <v>679</v>
      </c>
      <c r="M93" s="516"/>
      <c r="N93" s="509"/>
    </row>
    <row r="94" spans="10:13" ht="12.75">
      <c r="J94" s="517" t="s">
        <v>685</v>
      </c>
      <c r="K94" s="518" t="s">
        <v>685</v>
      </c>
      <c r="L94" s="519" t="s">
        <v>685</v>
      </c>
      <c r="M94" s="516"/>
    </row>
    <row r="95" spans="10:13" ht="12.75">
      <c r="J95" s="520">
        <f>A64</f>
        <v>19.55</v>
      </c>
      <c r="K95" s="521">
        <f>D54</f>
        <v>584.64</v>
      </c>
      <c r="L95" s="522">
        <f>D55</f>
        <v>489.64</v>
      </c>
      <c r="M95" s="516"/>
    </row>
    <row r="96" spans="2:13" ht="15">
      <c r="B96" s="502"/>
      <c r="C96" s="502"/>
      <c r="D96" s="48"/>
      <c r="E96" s="48"/>
      <c r="F96" s="48"/>
      <c r="G96" s="48"/>
      <c r="H96" s="503"/>
      <c r="I96" s="504"/>
      <c r="J96" s="516"/>
      <c r="K96" s="514" t="s">
        <v>680</v>
      </c>
      <c r="L96" s="515" t="s">
        <v>681</v>
      </c>
      <c r="M96" s="1"/>
    </row>
    <row r="97" spans="10:13" ht="12.75">
      <c r="J97" s="516"/>
      <c r="K97" s="518" t="s">
        <v>685</v>
      </c>
      <c r="L97" s="519" t="s">
        <v>685</v>
      </c>
      <c r="M97" s="515" t="s">
        <v>684</v>
      </c>
    </row>
    <row r="98" spans="10:13" ht="12.75">
      <c r="J98" s="516"/>
      <c r="K98" s="523">
        <f>K95-E24*J95</f>
        <v>525.99</v>
      </c>
      <c r="L98" s="524">
        <f>L95-E24*J95</f>
        <v>430.99</v>
      </c>
      <c r="M98" s="525" t="s">
        <v>520</v>
      </c>
    </row>
    <row r="99" spans="10:13" ht="12.75">
      <c r="J99" s="516"/>
      <c r="K99" s="514" t="s">
        <v>682</v>
      </c>
      <c r="L99" s="526" t="s">
        <v>683</v>
      </c>
      <c r="M99" s="527">
        <f>(K95*L95+4*(K98*L98)+K101*L101)/6*J95*7.48</f>
        <v>33318398.760398407</v>
      </c>
    </row>
    <row r="100" spans="10:13" ht="12.75">
      <c r="J100" s="516"/>
      <c r="K100" s="518" t="s">
        <v>685</v>
      </c>
      <c r="L100" s="519" t="s">
        <v>685</v>
      </c>
      <c r="M100" s="517" t="s">
        <v>686</v>
      </c>
    </row>
    <row r="101" spans="10:13" ht="12.75">
      <c r="J101" s="516"/>
      <c r="K101" s="518">
        <f>K95-2*E24*J95</f>
        <v>467.34</v>
      </c>
      <c r="L101" s="528">
        <f>L95-2*E24*J95</f>
        <v>372.34</v>
      </c>
      <c r="M101" s="529">
        <f>M99/325829</f>
        <v>102.25731521871413</v>
      </c>
    </row>
    <row r="102" spans="10:14" ht="25.5">
      <c r="J102" s="530" t="s">
        <v>687</v>
      </c>
      <c r="K102" s="531" t="s">
        <v>688</v>
      </c>
      <c r="L102" s="531" t="s">
        <v>689</v>
      </c>
      <c r="M102" s="532" t="s">
        <v>690</v>
      </c>
      <c r="N102" s="663" t="s">
        <v>790</v>
      </c>
    </row>
    <row r="103" spans="10:13" ht="12.75">
      <c r="J103" s="533">
        <f>((K95+K101)*(1+E24^2)^0.5*J95)/9</f>
        <v>7226.2292527837635</v>
      </c>
      <c r="K103" s="534">
        <f>((L95+L101)*(1+E24^2)^0.5*J95)/9</f>
        <v>5921.086989595381</v>
      </c>
      <c r="L103" s="534">
        <f>K101*L101/9</f>
        <v>19334.375066666664</v>
      </c>
      <c r="M103" s="535">
        <f>SUM(12*(K95+L95)/9)</f>
        <v>1432.3733333333334</v>
      </c>
    </row>
    <row r="104" spans="10:13" ht="25.5">
      <c r="J104" s="1"/>
      <c r="K104" s="1"/>
      <c r="L104" s="1"/>
      <c r="M104" s="536" t="s">
        <v>691</v>
      </c>
    </row>
    <row r="105" spans="10:13" ht="12.75">
      <c r="J105" s="1"/>
      <c r="K105" s="1"/>
      <c r="L105" s="1"/>
      <c r="M105" s="537">
        <f>SUM(J103+K103+M103+L103)</f>
        <v>33914.06464237914</v>
      </c>
    </row>
  </sheetData>
  <sheetProtection password="CCF6" sheet="1" objects="1" scenarios="1"/>
  <mergeCells count="69">
    <mergeCell ref="F34:I35"/>
    <mergeCell ref="C7:I7"/>
    <mergeCell ref="A7:B7"/>
    <mergeCell ref="A26:D26"/>
    <mergeCell ref="G27:I27"/>
    <mergeCell ref="A27:D27"/>
    <mergeCell ref="A14:D14"/>
    <mergeCell ref="A19:G19"/>
    <mergeCell ref="A18:G18"/>
    <mergeCell ref="E14:F14"/>
    <mergeCell ref="A34:D34"/>
    <mergeCell ref="A35:D35"/>
    <mergeCell ref="A36:D36"/>
    <mergeCell ref="A38:D38"/>
    <mergeCell ref="A46:D46"/>
    <mergeCell ref="A48:D48"/>
    <mergeCell ref="A39:D39"/>
    <mergeCell ref="A44:D44"/>
    <mergeCell ref="A42:D42"/>
    <mergeCell ref="A41:D41"/>
    <mergeCell ref="G40:I40"/>
    <mergeCell ref="A47:D47"/>
    <mergeCell ref="F28:I28"/>
    <mergeCell ref="A82:I82"/>
    <mergeCell ref="A40:D40"/>
    <mergeCell ref="A50:D50"/>
    <mergeCell ref="G48:I49"/>
    <mergeCell ref="F41:I42"/>
    <mergeCell ref="A45:D45"/>
    <mergeCell ref="A49:D49"/>
    <mergeCell ref="A83:I89"/>
    <mergeCell ref="A53:I53"/>
    <mergeCell ref="H58:I58"/>
    <mergeCell ref="B64:C64"/>
    <mergeCell ref="B63:C63"/>
    <mergeCell ref="A81:D81"/>
    <mergeCell ref="A80:I80"/>
    <mergeCell ref="A66:I66"/>
    <mergeCell ref="A23:D23"/>
    <mergeCell ref="A24:D24"/>
    <mergeCell ref="A25:D25"/>
    <mergeCell ref="A33:D33"/>
    <mergeCell ref="A28:D28"/>
    <mergeCell ref="A29:D29"/>
    <mergeCell ref="A30:D30"/>
    <mergeCell ref="A32:D32"/>
    <mergeCell ref="A17:G17"/>
    <mergeCell ref="A12:D12"/>
    <mergeCell ref="E12:F12"/>
    <mergeCell ref="A13:D13"/>
    <mergeCell ref="E13:F13"/>
    <mergeCell ref="A15:I15"/>
    <mergeCell ref="AC4:AG4"/>
    <mergeCell ref="C5:D5"/>
    <mergeCell ref="E5:F5"/>
    <mergeCell ref="C4:D4"/>
    <mergeCell ref="G4:H4"/>
    <mergeCell ref="G5:I5"/>
    <mergeCell ref="AC1:AG1"/>
    <mergeCell ref="Z2:AA2"/>
    <mergeCell ref="C3:D3"/>
    <mergeCell ref="G3:H3"/>
    <mergeCell ref="A1:I1"/>
    <mergeCell ref="S1:Z1"/>
    <mergeCell ref="A8:I8"/>
    <mergeCell ref="A10:D10"/>
    <mergeCell ref="E10:F10"/>
    <mergeCell ref="A11:D11"/>
    <mergeCell ref="E11:F11"/>
  </mergeCells>
  <dataValidations count="2">
    <dataValidation type="list" allowBlank="1" showInputMessage="1" showErrorMessage="1" sqref="A11:D13">
      <formula1>$N$2:$N$17</formula1>
    </dataValidation>
    <dataValidation type="list" allowBlank="1" showInputMessage="1" showErrorMessage="1" sqref="G11:G13">
      <formula1>$P$2:$P$12</formula1>
    </dataValidation>
  </dataValidations>
  <printOptions/>
  <pageMargins left="0.74" right="0.52" top="0.62" bottom="0.62" header="0.37" footer="0.5"/>
  <pageSetup horizontalDpi="600" verticalDpi="600" orientation="portrait" r:id="rId2"/>
  <rowBreaks count="1" manualBreakCount="1">
    <brk id="42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1"/>
  <sheetViews>
    <sheetView zoomScale="250" zoomScaleNormal="250" workbookViewId="0" topLeftCell="F30">
      <selection activeCell="A1" sqref="A1"/>
    </sheetView>
  </sheetViews>
  <sheetFormatPr defaultColWidth="9.140625" defaultRowHeight="12.75"/>
  <sheetData/>
  <sheetProtection password="CCF6" sheet="1" objects="1" scenarios="1"/>
  <printOptions horizontalCentered="1" verticalCentered="1"/>
  <pageMargins left="0.5" right="0.5" top="1" bottom="1" header="0.5" footer="0.5"/>
  <pageSetup fitToHeight="1" fitToWidth="1" horizontalDpi="300" verticalDpi="300" orientation="portrait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Q134"/>
  <sheetViews>
    <sheetView workbookViewId="0" topLeftCell="A1">
      <selection activeCell="D31" sqref="D31"/>
    </sheetView>
  </sheetViews>
  <sheetFormatPr defaultColWidth="9.140625" defaultRowHeight="12.75"/>
  <cols>
    <col min="1" max="1" width="44.00390625" style="0" bestFit="1" customWidth="1"/>
    <col min="2" max="2" width="10.28125" style="0" bestFit="1" customWidth="1"/>
    <col min="3" max="3" width="7.28125" style="0" customWidth="1"/>
    <col min="4" max="4" width="14.28125" style="364" customWidth="1"/>
    <col min="5" max="7" width="5.7109375" style="0" bestFit="1" customWidth="1"/>
    <col min="8" max="8" width="5.57421875" style="0" bestFit="1" customWidth="1"/>
    <col min="9" max="9" width="6.140625" style="0" bestFit="1" customWidth="1"/>
    <col min="10" max="10" width="5.7109375" style="0" bestFit="1" customWidth="1"/>
    <col min="11" max="11" width="5.28125" style="0" bestFit="1" customWidth="1"/>
    <col min="12" max="13" width="6.00390625" style="0" bestFit="1" customWidth="1"/>
    <col min="14" max="14" width="5.421875" style="0" bestFit="1" customWidth="1"/>
    <col min="15" max="16" width="5.7109375" style="0" bestFit="1" customWidth="1"/>
    <col min="17" max="17" width="6.28125" style="0" bestFit="1" customWidth="1"/>
    <col min="18" max="18" width="6.8515625" style="0" customWidth="1"/>
    <col min="19" max="20" width="7.00390625" style="0" customWidth="1"/>
    <col min="21" max="21" width="6.7109375" style="0" customWidth="1"/>
    <col min="22" max="22" width="7.28125" style="0" customWidth="1"/>
    <col min="23" max="23" width="6.8515625" style="0" customWidth="1"/>
    <col min="24" max="24" width="6.28125" style="0" customWidth="1"/>
    <col min="25" max="26" width="7.140625" style="0" customWidth="1"/>
    <col min="27" max="27" width="6.57421875" style="0" customWidth="1"/>
    <col min="28" max="29" width="7.00390625" style="0" customWidth="1"/>
    <col min="30" max="30" width="15.00390625" style="0" customWidth="1"/>
    <col min="31" max="31" width="13.57421875" style="0" customWidth="1"/>
    <col min="32" max="33" width="7.00390625" style="0" bestFit="1" customWidth="1"/>
    <col min="34" max="34" width="6.7109375" style="0" bestFit="1" customWidth="1"/>
    <col min="35" max="35" width="7.28125" style="0" bestFit="1" customWidth="1"/>
    <col min="36" max="36" width="6.8515625" style="0" bestFit="1" customWidth="1"/>
    <col min="37" max="37" width="6.28125" style="0" bestFit="1" customWidth="1"/>
    <col min="38" max="39" width="7.140625" style="0" bestFit="1" customWidth="1"/>
    <col min="40" max="40" width="6.57421875" style="0" bestFit="1" customWidth="1"/>
    <col min="41" max="42" width="7.00390625" style="0" bestFit="1" customWidth="1"/>
  </cols>
  <sheetData>
    <row r="1" spans="1:43" ht="12.75">
      <c r="A1" s="107" t="s">
        <v>319</v>
      </c>
      <c r="B1" s="107" t="s">
        <v>128</v>
      </c>
      <c r="C1" s="107" t="s">
        <v>129</v>
      </c>
      <c r="D1" s="1061" t="s">
        <v>830</v>
      </c>
      <c r="E1" s="107" t="s">
        <v>130</v>
      </c>
      <c r="F1" s="107" t="s">
        <v>131</v>
      </c>
      <c r="G1" s="107" t="s">
        <v>132</v>
      </c>
      <c r="H1" s="107" t="s">
        <v>133</v>
      </c>
      <c r="I1" s="107" t="s">
        <v>134</v>
      </c>
      <c r="J1" s="107" t="s">
        <v>135</v>
      </c>
      <c r="K1" s="107" t="s">
        <v>136</v>
      </c>
      <c r="L1" s="107" t="s">
        <v>137</v>
      </c>
      <c r="M1" s="107" t="s">
        <v>138</v>
      </c>
      <c r="N1" s="107" t="s">
        <v>139</v>
      </c>
      <c r="O1" s="107" t="s">
        <v>140</v>
      </c>
      <c r="P1" s="107" t="s">
        <v>141</v>
      </c>
      <c r="Q1" s="107" t="s">
        <v>324</v>
      </c>
      <c r="R1" s="107" t="s">
        <v>306</v>
      </c>
      <c r="S1" s="107" t="s">
        <v>307</v>
      </c>
      <c r="T1" s="107" t="s">
        <v>308</v>
      </c>
      <c r="U1" s="107" t="s">
        <v>309</v>
      </c>
      <c r="V1" s="107" t="s">
        <v>310</v>
      </c>
      <c r="W1" s="107" t="s">
        <v>311</v>
      </c>
      <c r="X1" s="107" t="s">
        <v>312</v>
      </c>
      <c r="Y1" s="107" t="s">
        <v>313</v>
      </c>
      <c r="Z1" s="107" t="s">
        <v>314</v>
      </c>
      <c r="AA1" s="107" t="s">
        <v>315</v>
      </c>
      <c r="AB1" s="107" t="s">
        <v>316</v>
      </c>
      <c r="AC1" s="108" t="s">
        <v>317</v>
      </c>
      <c r="AD1" s="647" t="s">
        <v>771</v>
      </c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99"/>
    </row>
    <row r="2" spans="1:43" ht="15.75" customHeight="1">
      <c r="A2" s="106" t="str">
        <f aca="true" t="shared" si="0" ref="A2:A33">CONCATENATE(B2,C2)</f>
        <v>Bernalillo, ALBUQUERQUE AIRPORT</v>
      </c>
      <c r="B2" s="106" t="s">
        <v>142</v>
      </c>
      <c r="C2" s="106" t="s">
        <v>175</v>
      </c>
      <c r="D2" s="1062">
        <v>2.1</v>
      </c>
      <c r="E2" s="184">
        <v>0.44</v>
      </c>
      <c r="F2" s="184">
        <v>0.46</v>
      </c>
      <c r="G2" s="184">
        <v>0.54</v>
      </c>
      <c r="H2" s="184">
        <v>0.52</v>
      </c>
      <c r="I2" s="184">
        <v>0.5</v>
      </c>
      <c r="J2" s="184">
        <v>0.59</v>
      </c>
      <c r="K2" s="184">
        <v>1.37</v>
      </c>
      <c r="L2" s="184">
        <v>1.64</v>
      </c>
      <c r="M2" s="184">
        <v>1</v>
      </c>
      <c r="N2" s="184">
        <v>0.89</v>
      </c>
      <c r="O2" s="184">
        <v>0.43</v>
      </c>
      <c r="P2" s="184">
        <v>0.5</v>
      </c>
      <c r="Q2" s="185">
        <f aca="true" t="shared" si="1" ref="Q2:Q33">SUM(E2:P2)</f>
        <v>8.879999999999999</v>
      </c>
      <c r="R2" s="186">
        <v>0.02</v>
      </c>
      <c r="S2" s="186">
        <v>0.03</v>
      </c>
      <c r="T2" s="186">
        <v>0.08</v>
      </c>
      <c r="U2" s="186">
        <v>0.11</v>
      </c>
      <c r="V2" s="186">
        <v>0.13</v>
      </c>
      <c r="W2" s="186">
        <v>0.15</v>
      </c>
      <c r="X2" s="186">
        <v>0.14</v>
      </c>
      <c r="Y2" s="186">
        <v>0.11</v>
      </c>
      <c r="Z2" s="186">
        <v>0.1</v>
      </c>
      <c r="AA2" s="186">
        <v>0.07</v>
      </c>
      <c r="AB2" s="186">
        <v>0.04</v>
      </c>
      <c r="AC2" s="187">
        <v>0.02</v>
      </c>
      <c r="AD2" s="188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1"/>
    </row>
    <row r="3" spans="1:43" ht="15.75" customHeight="1">
      <c r="A3" s="106" t="str">
        <f t="shared" si="0"/>
        <v>Bernalillo, SANDIA PARK  NM8015</v>
      </c>
      <c r="B3" s="106" t="s">
        <v>142</v>
      </c>
      <c r="C3" s="106" t="s">
        <v>176</v>
      </c>
      <c r="D3" s="1062">
        <v>3.17</v>
      </c>
      <c r="E3" s="184">
        <v>1.24</v>
      </c>
      <c r="F3" s="184">
        <v>1.37</v>
      </c>
      <c r="G3" s="184">
        <v>1.51</v>
      </c>
      <c r="H3" s="184">
        <v>1.03</v>
      </c>
      <c r="I3" s="184">
        <v>1.14</v>
      </c>
      <c r="J3" s="184">
        <v>1.03</v>
      </c>
      <c r="K3" s="184">
        <v>2.96</v>
      </c>
      <c r="L3" s="184">
        <v>2.89</v>
      </c>
      <c r="M3" s="184">
        <v>1.96</v>
      </c>
      <c r="N3" s="184">
        <v>1.46</v>
      </c>
      <c r="O3" s="184">
        <v>1.27</v>
      </c>
      <c r="P3" s="184">
        <v>1.26</v>
      </c>
      <c r="Q3" s="185">
        <f t="shared" si="1"/>
        <v>19.120000000000005</v>
      </c>
      <c r="R3" s="186">
        <v>0.02</v>
      </c>
      <c r="S3" s="186">
        <v>0.03</v>
      </c>
      <c r="T3" s="186">
        <v>0.08</v>
      </c>
      <c r="U3" s="186">
        <v>0.11</v>
      </c>
      <c r="V3" s="186">
        <v>0.13</v>
      </c>
      <c r="W3" s="186">
        <v>0.15</v>
      </c>
      <c r="X3" s="186">
        <v>0.14</v>
      </c>
      <c r="Y3" s="186">
        <v>0.11</v>
      </c>
      <c r="Z3" s="186">
        <v>0.1</v>
      </c>
      <c r="AA3" s="186">
        <v>0.07</v>
      </c>
      <c r="AB3" s="186">
        <v>0.04</v>
      </c>
      <c r="AC3" s="187">
        <v>0.02</v>
      </c>
      <c r="AD3" s="188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1"/>
    </row>
    <row r="4" spans="1:43" ht="15.75" customHeight="1">
      <c r="A4" s="106" t="str">
        <f t="shared" si="0"/>
        <v>Catron, ABBOTT 1 SE  NM0022</v>
      </c>
      <c r="B4" s="106" t="s">
        <v>143</v>
      </c>
      <c r="C4" s="106" t="s">
        <v>177</v>
      </c>
      <c r="D4" s="1062">
        <v>3.93</v>
      </c>
      <c r="E4" s="184">
        <v>0.3</v>
      </c>
      <c r="F4" s="184">
        <v>0.31</v>
      </c>
      <c r="G4" s="184">
        <v>0.46</v>
      </c>
      <c r="H4" s="184">
        <v>0.75</v>
      </c>
      <c r="I4" s="184">
        <v>1.51</v>
      </c>
      <c r="J4" s="184">
        <v>1.63</v>
      </c>
      <c r="K4" s="184">
        <v>3.13</v>
      </c>
      <c r="L4" s="184">
        <v>3.17</v>
      </c>
      <c r="M4" s="184">
        <v>1.45</v>
      </c>
      <c r="N4" s="184">
        <v>0.52</v>
      </c>
      <c r="O4" s="184">
        <v>0.4</v>
      </c>
      <c r="P4" s="184">
        <v>0.3</v>
      </c>
      <c r="Q4" s="185">
        <f t="shared" si="1"/>
        <v>13.93</v>
      </c>
      <c r="R4" s="186">
        <v>0.02</v>
      </c>
      <c r="S4" s="186">
        <v>0.03</v>
      </c>
      <c r="T4" s="186">
        <v>0.06</v>
      </c>
      <c r="U4" s="186">
        <v>0.09</v>
      </c>
      <c r="V4" s="186">
        <v>0.14</v>
      </c>
      <c r="W4" s="186">
        <v>0.17</v>
      </c>
      <c r="X4" s="186">
        <v>0.14</v>
      </c>
      <c r="Y4" s="186">
        <v>0.11</v>
      </c>
      <c r="Z4" s="186">
        <v>0.1</v>
      </c>
      <c r="AA4" s="186">
        <v>0.08</v>
      </c>
      <c r="AB4" s="186">
        <v>0.04</v>
      </c>
      <c r="AC4" s="187">
        <v>0.02</v>
      </c>
      <c r="AD4" s="188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1"/>
    </row>
    <row r="5" spans="1:43" ht="15.75" customHeight="1">
      <c r="A5" s="106" t="str">
        <f t="shared" si="0"/>
        <v>Catron, BEAVERHEAD R S  NM0818</v>
      </c>
      <c r="B5" s="106" t="s">
        <v>143</v>
      </c>
      <c r="C5" s="106" t="s">
        <v>178</v>
      </c>
      <c r="D5" s="1063">
        <v>3.28</v>
      </c>
      <c r="E5" s="184">
        <v>0.78</v>
      </c>
      <c r="F5" s="184">
        <v>0.84</v>
      </c>
      <c r="G5" s="184">
        <v>0.7</v>
      </c>
      <c r="H5" s="184">
        <v>0.42</v>
      </c>
      <c r="I5" s="184">
        <v>0.52</v>
      </c>
      <c r="J5" s="184">
        <v>0.65</v>
      </c>
      <c r="K5" s="184">
        <v>2.85</v>
      </c>
      <c r="L5" s="184">
        <v>3.13</v>
      </c>
      <c r="M5" s="184">
        <v>2.46</v>
      </c>
      <c r="N5" s="184">
        <v>1.63</v>
      </c>
      <c r="O5" s="184">
        <v>0.79</v>
      </c>
      <c r="P5" s="184">
        <v>1.34</v>
      </c>
      <c r="Q5" s="185">
        <f t="shared" si="1"/>
        <v>16.11</v>
      </c>
      <c r="R5" s="186">
        <v>0.02</v>
      </c>
      <c r="S5" s="186">
        <v>0.03</v>
      </c>
      <c r="T5" s="186">
        <v>0.06</v>
      </c>
      <c r="U5" s="186">
        <v>0.09</v>
      </c>
      <c r="V5" s="186">
        <v>0.14</v>
      </c>
      <c r="W5" s="186">
        <v>0.17</v>
      </c>
      <c r="X5" s="186">
        <v>0.14</v>
      </c>
      <c r="Y5" s="186">
        <v>0.11</v>
      </c>
      <c r="Z5" s="186">
        <v>0.1</v>
      </c>
      <c r="AA5" s="186">
        <v>0.08</v>
      </c>
      <c r="AB5" s="186">
        <v>0.04</v>
      </c>
      <c r="AC5" s="187">
        <v>0.02</v>
      </c>
      <c r="AD5" s="188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1"/>
    </row>
    <row r="6" spans="1:43" ht="15.75" customHeight="1">
      <c r="A6" s="106" t="str">
        <f t="shared" si="0"/>
        <v>Catron, HICKMAN  NM3969</v>
      </c>
      <c r="B6" s="106" t="s">
        <v>143</v>
      </c>
      <c r="C6" s="106" t="s">
        <v>179</v>
      </c>
      <c r="D6" s="1063">
        <v>2.36</v>
      </c>
      <c r="E6" s="184">
        <v>0.7</v>
      </c>
      <c r="F6" s="184">
        <v>1.01</v>
      </c>
      <c r="G6" s="184">
        <v>1.03</v>
      </c>
      <c r="H6" s="184">
        <v>0.56</v>
      </c>
      <c r="I6" s="184">
        <v>0.45</v>
      </c>
      <c r="J6" s="184">
        <v>0.59</v>
      </c>
      <c r="K6" s="184">
        <v>2.62</v>
      </c>
      <c r="L6" s="184">
        <v>3.12</v>
      </c>
      <c r="M6" s="184">
        <v>1.82</v>
      </c>
      <c r="N6" s="184">
        <v>1.05</v>
      </c>
      <c r="O6" s="184">
        <v>0.72</v>
      </c>
      <c r="P6" s="184">
        <v>0.89</v>
      </c>
      <c r="Q6" s="185">
        <f t="shared" si="1"/>
        <v>14.560000000000004</v>
      </c>
      <c r="R6" s="186">
        <v>0.02</v>
      </c>
      <c r="S6" s="186">
        <v>0.03</v>
      </c>
      <c r="T6" s="186">
        <v>0.06</v>
      </c>
      <c r="U6" s="186">
        <v>0.09</v>
      </c>
      <c r="V6" s="186">
        <v>0.14</v>
      </c>
      <c r="W6" s="186">
        <v>0.17</v>
      </c>
      <c r="X6" s="186">
        <v>0.14</v>
      </c>
      <c r="Y6" s="186">
        <v>0.11</v>
      </c>
      <c r="Z6" s="186">
        <v>0.1</v>
      </c>
      <c r="AA6" s="186">
        <v>0.08</v>
      </c>
      <c r="AB6" s="186">
        <v>0.04</v>
      </c>
      <c r="AC6" s="187">
        <v>0.02</v>
      </c>
      <c r="AD6" s="188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1"/>
    </row>
    <row r="7" spans="1:43" ht="15.75" customHeight="1">
      <c r="A7" s="106" t="str">
        <f t="shared" si="0"/>
        <v>Catron, HOOD RANGER STN  NM7386</v>
      </c>
      <c r="B7" s="106" t="s">
        <v>143</v>
      </c>
      <c r="C7" s="106" t="s">
        <v>180</v>
      </c>
      <c r="D7" s="1064">
        <v>2.36</v>
      </c>
      <c r="E7" s="184">
        <v>0.94</v>
      </c>
      <c r="F7" s="184">
        <v>0.96</v>
      </c>
      <c r="G7" s="184">
        <v>0.96</v>
      </c>
      <c r="H7" s="184">
        <v>0.44</v>
      </c>
      <c r="I7" s="184">
        <v>0.43</v>
      </c>
      <c r="J7" s="184">
        <v>0.65</v>
      </c>
      <c r="K7" s="184">
        <v>2.47</v>
      </c>
      <c r="L7" s="184">
        <v>2.73</v>
      </c>
      <c r="M7" s="184">
        <v>2.21</v>
      </c>
      <c r="N7" s="184">
        <v>1.7</v>
      </c>
      <c r="O7" s="184">
        <v>1.1</v>
      </c>
      <c r="P7" s="184">
        <v>1.52</v>
      </c>
      <c r="Q7" s="185">
        <f t="shared" si="1"/>
        <v>16.11</v>
      </c>
      <c r="R7" s="186">
        <v>0.02</v>
      </c>
      <c r="S7" s="186">
        <v>0.03</v>
      </c>
      <c r="T7" s="186">
        <v>0.06</v>
      </c>
      <c r="U7" s="186">
        <v>0.09</v>
      </c>
      <c r="V7" s="186">
        <v>0.14</v>
      </c>
      <c r="W7" s="186">
        <v>0.17</v>
      </c>
      <c r="X7" s="186">
        <v>0.14</v>
      </c>
      <c r="Y7" s="186">
        <v>0.11</v>
      </c>
      <c r="Z7" s="186">
        <v>0.1</v>
      </c>
      <c r="AA7" s="186">
        <v>0.08</v>
      </c>
      <c r="AB7" s="186">
        <v>0.04</v>
      </c>
      <c r="AC7" s="187">
        <v>0.02</v>
      </c>
      <c r="AD7" s="188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1"/>
    </row>
    <row r="8" spans="1:43" ht="15.75" customHeight="1">
      <c r="A8" s="106" t="str">
        <f t="shared" si="0"/>
        <v>Catron, LUNA RANGER STN  NM5273</v>
      </c>
      <c r="B8" s="106" t="s">
        <v>143</v>
      </c>
      <c r="C8" s="106" t="s">
        <v>181</v>
      </c>
      <c r="D8" s="1063">
        <v>2.63</v>
      </c>
      <c r="E8" s="184">
        <v>0.84</v>
      </c>
      <c r="F8" s="184">
        <v>0.76</v>
      </c>
      <c r="G8" s="184">
        <v>0.71</v>
      </c>
      <c r="H8" s="184">
        <v>0.41</v>
      </c>
      <c r="I8" s="184">
        <v>0.42</v>
      </c>
      <c r="J8" s="184">
        <v>0.64</v>
      </c>
      <c r="K8" s="184">
        <v>3.08</v>
      </c>
      <c r="L8" s="184">
        <v>3.33</v>
      </c>
      <c r="M8" s="184">
        <v>2.19</v>
      </c>
      <c r="N8" s="184">
        <v>1.62</v>
      </c>
      <c r="O8" s="184">
        <v>0.97</v>
      </c>
      <c r="P8" s="184">
        <v>1.31</v>
      </c>
      <c r="Q8" s="185">
        <f t="shared" si="1"/>
        <v>16.28</v>
      </c>
      <c r="R8" s="186">
        <v>0.02</v>
      </c>
      <c r="S8" s="186">
        <v>0.03</v>
      </c>
      <c r="T8" s="186">
        <v>0.06</v>
      </c>
      <c r="U8" s="186">
        <v>0.09</v>
      </c>
      <c r="V8" s="186">
        <v>0.14</v>
      </c>
      <c r="W8" s="186">
        <v>0.17</v>
      </c>
      <c r="X8" s="186">
        <v>0.14</v>
      </c>
      <c r="Y8" s="186">
        <v>0.11</v>
      </c>
      <c r="Z8" s="186">
        <v>0.1</v>
      </c>
      <c r="AA8" s="186">
        <v>0.08</v>
      </c>
      <c r="AB8" s="186">
        <v>0.04</v>
      </c>
      <c r="AC8" s="187">
        <v>0.02</v>
      </c>
      <c r="AD8" s="188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1"/>
    </row>
    <row r="9" spans="1:43" ht="15.75" customHeight="1">
      <c r="A9" s="106" t="str">
        <f t="shared" si="0"/>
        <v>Catron, QUEMADO  NM7180</v>
      </c>
      <c r="B9" s="106" t="s">
        <v>143</v>
      </c>
      <c r="C9" s="106" t="s">
        <v>182</v>
      </c>
      <c r="D9" s="1063">
        <v>2.28</v>
      </c>
      <c r="E9" s="184">
        <v>0.49</v>
      </c>
      <c r="F9" s="184">
        <v>0.6</v>
      </c>
      <c r="G9" s="184">
        <v>0.65</v>
      </c>
      <c r="H9" s="184">
        <v>0.38</v>
      </c>
      <c r="I9" s="184">
        <v>0.42</v>
      </c>
      <c r="J9" s="184">
        <v>0.41</v>
      </c>
      <c r="K9" s="184">
        <v>2.13</v>
      </c>
      <c r="L9" s="184">
        <v>2.51</v>
      </c>
      <c r="M9" s="184">
        <v>1.44</v>
      </c>
      <c r="N9" s="184">
        <v>1.07</v>
      </c>
      <c r="O9" s="184">
        <v>0.59</v>
      </c>
      <c r="P9" s="184">
        <v>0.65</v>
      </c>
      <c r="Q9" s="185">
        <f t="shared" si="1"/>
        <v>11.34</v>
      </c>
      <c r="R9" s="186">
        <v>0.02</v>
      </c>
      <c r="S9" s="186">
        <v>0.03</v>
      </c>
      <c r="T9" s="186">
        <v>0.06</v>
      </c>
      <c r="U9" s="186">
        <v>0.09</v>
      </c>
      <c r="V9" s="186">
        <v>0.14</v>
      </c>
      <c r="W9" s="186">
        <v>0.17</v>
      </c>
      <c r="X9" s="186">
        <v>0.14</v>
      </c>
      <c r="Y9" s="186">
        <v>0.11</v>
      </c>
      <c r="Z9" s="186">
        <v>0.1</v>
      </c>
      <c r="AA9" s="186">
        <v>0.08</v>
      </c>
      <c r="AB9" s="186">
        <v>0.04</v>
      </c>
      <c r="AC9" s="187">
        <v>0.02</v>
      </c>
      <c r="AD9" s="188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1"/>
    </row>
    <row r="10" spans="1:43" ht="15.75" customHeight="1">
      <c r="A10" s="106" t="str">
        <f t="shared" si="0"/>
        <v>Chaves, BITTER LAKES WL REFUGE  NM0992</v>
      </c>
      <c r="B10" s="106" t="s">
        <v>144</v>
      </c>
      <c r="C10" s="106" t="s">
        <v>183</v>
      </c>
      <c r="D10" s="1063">
        <v>4.26</v>
      </c>
      <c r="E10" s="184">
        <v>0.58</v>
      </c>
      <c r="F10" s="184">
        <v>0.42</v>
      </c>
      <c r="G10" s="184">
        <v>0.51</v>
      </c>
      <c r="H10" s="184">
        <v>0.73</v>
      </c>
      <c r="I10" s="184">
        <v>1.28</v>
      </c>
      <c r="J10" s="184">
        <v>1.05</v>
      </c>
      <c r="K10" s="184">
        <v>1.77</v>
      </c>
      <c r="L10" s="184">
        <v>1.62</v>
      </c>
      <c r="M10" s="184">
        <v>1.82</v>
      </c>
      <c r="N10" s="184">
        <v>1.07</v>
      </c>
      <c r="O10" s="184">
        <v>0.34</v>
      </c>
      <c r="P10" s="184">
        <v>0.54</v>
      </c>
      <c r="Q10" s="185">
        <f t="shared" si="1"/>
        <v>11.73</v>
      </c>
      <c r="R10" s="189">
        <v>0.03</v>
      </c>
      <c r="S10" s="189">
        <v>0.04</v>
      </c>
      <c r="T10" s="189">
        <v>0.08</v>
      </c>
      <c r="U10" s="189">
        <v>0.11</v>
      </c>
      <c r="V10" s="189">
        <v>0.13</v>
      </c>
      <c r="W10" s="189">
        <v>0.14</v>
      </c>
      <c r="X10" s="189">
        <v>0.13</v>
      </c>
      <c r="Y10" s="189">
        <v>0.11</v>
      </c>
      <c r="Z10" s="189">
        <v>0.09</v>
      </c>
      <c r="AA10" s="189">
        <v>0.07</v>
      </c>
      <c r="AB10" s="189">
        <v>0.04</v>
      </c>
      <c r="AC10" s="190">
        <v>0.03</v>
      </c>
      <c r="AD10" s="188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1"/>
    </row>
    <row r="11" spans="1:43" ht="15.75" customHeight="1">
      <c r="A11" s="106" t="str">
        <f t="shared" si="0"/>
        <v>Chaves, ELK 2 E  NM2865</v>
      </c>
      <c r="B11" s="106" t="s">
        <v>144</v>
      </c>
      <c r="C11" s="106" t="s">
        <v>184</v>
      </c>
      <c r="D11" s="1063">
        <v>3.73</v>
      </c>
      <c r="E11" s="184">
        <v>0.5</v>
      </c>
      <c r="F11" s="184">
        <v>0.61</v>
      </c>
      <c r="G11" s="184">
        <v>0.37</v>
      </c>
      <c r="H11" s="184">
        <v>0.58</v>
      </c>
      <c r="I11" s="184">
        <v>1.02</v>
      </c>
      <c r="J11" s="184">
        <v>1.88</v>
      </c>
      <c r="K11" s="184">
        <v>2.61</v>
      </c>
      <c r="L11" s="184">
        <v>3.65</v>
      </c>
      <c r="M11" s="184">
        <v>3</v>
      </c>
      <c r="N11" s="184">
        <v>1.18</v>
      </c>
      <c r="O11" s="184">
        <v>0.73</v>
      </c>
      <c r="P11" s="184">
        <v>0.66</v>
      </c>
      <c r="Q11" s="185">
        <f t="shared" si="1"/>
        <v>16.79</v>
      </c>
      <c r="R11" s="189">
        <v>0.03</v>
      </c>
      <c r="S11" s="189">
        <v>0.04</v>
      </c>
      <c r="T11" s="189">
        <v>0.08</v>
      </c>
      <c r="U11" s="189">
        <v>0.11</v>
      </c>
      <c r="V11" s="189">
        <v>0.13</v>
      </c>
      <c r="W11" s="189">
        <v>0.14</v>
      </c>
      <c r="X11" s="189">
        <v>0.13</v>
      </c>
      <c r="Y11" s="189">
        <v>0.11</v>
      </c>
      <c r="Z11" s="189">
        <v>0.09</v>
      </c>
      <c r="AA11" s="189">
        <v>0.07</v>
      </c>
      <c r="AB11" s="189">
        <v>0.04</v>
      </c>
      <c r="AC11" s="190">
        <v>0.03</v>
      </c>
      <c r="AD11" s="188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1"/>
    </row>
    <row r="12" spans="1:43" ht="15.75" customHeight="1">
      <c r="A12" s="106" t="str">
        <f t="shared" si="0"/>
        <v>Cibola, EL MORRO NATL MONUMENT  NM2785</v>
      </c>
      <c r="B12" s="106" t="s">
        <v>145</v>
      </c>
      <c r="C12" s="106" t="s">
        <v>185</v>
      </c>
      <c r="D12" s="1063">
        <v>2.38</v>
      </c>
      <c r="E12" s="184">
        <v>1.04</v>
      </c>
      <c r="F12" s="184">
        <v>0.93</v>
      </c>
      <c r="G12" s="184">
        <v>1.14</v>
      </c>
      <c r="H12" s="184">
        <v>0.78</v>
      </c>
      <c r="I12" s="184">
        <v>0.62</v>
      </c>
      <c r="J12" s="184">
        <v>0.57</v>
      </c>
      <c r="K12" s="184">
        <v>2.05</v>
      </c>
      <c r="L12" s="184">
        <v>2.59</v>
      </c>
      <c r="M12" s="184">
        <v>1.58</v>
      </c>
      <c r="N12" s="184">
        <v>1.19</v>
      </c>
      <c r="O12" s="184">
        <v>0.9</v>
      </c>
      <c r="P12" s="184">
        <v>1.13</v>
      </c>
      <c r="Q12" s="185">
        <f t="shared" si="1"/>
        <v>14.52</v>
      </c>
      <c r="R12" s="186">
        <v>0.02</v>
      </c>
      <c r="S12" s="186">
        <v>0.03</v>
      </c>
      <c r="T12" s="186">
        <v>0.06</v>
      </c>
      <c r="U12" s="186">
        <v>0.09</v>
      </c>
      <c r="V12" s="186">
        <v>0.14</v>
      </c>
      <c r="W12" s="186">
        <v>0.17</v>
      </c>
      <c r="X12" s="186">
        <v>0.14</v>
      </c>
      <c r="Y12" s="186">
        <v>0.11</v>
      </c>
      <c r="Z12" s="186">
        <v>0.1</v>
      </c>
      <c r="AA12" s="186">
        <v>0.08</v>
      </c>
      <c r="AB12" s="186">
        <v>0.04</v>
      </c>
      <c r="AC12" s="187">
        <v>0.02</v>
      </c>
      <c r="AD12" s="188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1"/>
    </row>
    <row r="13" spans="1:43" ht="15.75" customHeight="1">
      <c r="A13" s="106" t="str">
        <f t="shared" si="0"/>
        <v>Cibola, FENCE LAKE 1 N  NM3180</v>
      </c>
      <c r="B13" s="106" t="s">
        <v>145</v>
      </c>
      <c r="C13" s="106" t="s">
        <v>186</v>
      </c>
      <c r="D13" s="1063">
        <v>2.44</v>
      </c>
      <c r="E13" s="184">
        <v>0.9</v>
      </c>
      <c r="F13" s="184">
        <v>0.92</v>
      </c>
      <c r="G13" s="184">
        <v>1.16</v>
      </c>
      <c r="H13" s="184">
        <v>0.7</v>
      </c>
      <c r="I13" s="184">
        <v>0.45</v>
      </c>
      <c r="J13" s="184">
        <v>0.54</v>
      </c>
      <c r="K13" s="184">
        <v>2.35</v>
      </c>
      <c r="L13" s="184">
        <v>2.38</v>
      </c>
      <c r="M13" s="184">
        <v>1.59</v>
      </c>
      <c r="N13" s="184">
        <v>1.27</v>
      </c>
      <c r="O13" s="184">
        <v>0.92</v>
      </c>
      <c r="P13" s="184">
        <v>1</v>
      </c>
      <c r="Q13" s="185">
        <f t="shared" si="1"/>
        <v>14.179999999999998</v>
      </c>
      <c r="R13" s="186">
        <v>0.02</v>
      </c>
      <c r="S13" s="186">
        <v>0.03</v>
      </c>
      <c r="T13" s="186">
        <v>0.06</v>
      </c>
      <c r="U13" s="186">
        <v>0.09</v>
      </c>
      <c r="V13" s="186">
        <v>0.14</v>
      </c>
      <c r="W13" s="186">
        <v>0.17</v>
      </c>
      <c r="X13" s="186">
        <v>0.14</v>
      </c>
      <c r="Y13" s="186">
        <v>0.11</v>
      </c>
      <c r="Z13" s="186">
        <v>0.1</v>
      </c>
      <c r="AA13" s="186">
        <v>0.08</v>
      </c>
      <c r="AB13" s="186">
        <v>0.04</v>
      </c>
      <c r="AC13" s="187">
        <v>0.02</v>
      </c>
      <c r="AD13" s="188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1"/>
    </row>
    <row r="14" spans="1:43" ht="15.75" customHeight="1">
      <c r="A14" s="106" t="str">
        <f t="shared" si="0"/>
        <v>Cibola, GRANTS AIRPORT  NM3682</v>
      </c>
      <c r="B14" s="106" t="s">
        <v>145</v>
      </c>
      <c r="C14" s="106" t="s">
        <v>187</v>
      </c>
      <c r="D14" s="1063">
        <v>2.19</v>
      </c>
      <c r="E14" s="184">
        <v>0.46</v>
      </c>
      <c r="F14" s="184">
        <v>0.5</v>
      </c>
      <c r="G14" s="184">
        <v>0.46</v>
      </c>
      <c r="H14" s="184">
        <v>0.46</v>
      </c>
      <c r="I14" s="184">
        <v>0.51</v>
      </c>
      <c r="J14" s="184">
        <v>0.56</v>
      </c>
      <c r="K14" s="184">
        <v>1.82</v>
      </c>
      <c r="L14" s="184">
        <v>2.15</v>
      </c>
      <c r="M14" s="184">
        <v>1.57</v>
      </c>
      <c r="N14" s="184">
        <v>1.12</v>
      </c>
      <c r="O14" s="184">
        <v>0.6</v>
      </c>
      <c r="P14" s="184">
        <v>0.67</v>
      </c>
      <c r="Q14" s="185">
        <f t="shared" si="1"/>
        <v>10.879999999999999</v>
      </c>
      <c r="R14" s="186">
        <v>0.02</v>
      </c>
      <c r="S14" s="186">
        <v>0.03</v>
      </c>
      <c r="T14" s="186">
        <v>0.06</v>
      </c>
      <c r="U14" s="186">
        <v>0.09</v>
      </c>
      <c r="V14" s="186">
        <v>0.14</v>
      </c>
      <c r="W14" s="186">
        <v>0.17</v>
      </c>
      <c r="X14" s="186">
        <v>0.14</v>
      </c>
      <c r="Y14" s="186">
        <v>0.11</v>
      </c>
      <c r="Z14" s="186">
        <v>0.1</v>
      </c>
      <c r="AA14" s="186">
        <v>0.08</v>
      </c>
      <c r="AB14" s="186">
        <v>0.04</v>
      </c>
      <c r="AC14" s="187">
        <v>0.02</v>
      </c>
      <c r="AD14" s="188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1"/>
    </row>
    <row r="15" spans="1:43" ht="15.75" customHeight="1">
      <c r="A15" s="106" t="str">
        <f t="shared" si="0"/>
        <v>Cibola, LAGUNA  NM4719</v>
      </c>
      <c r="B15" s="106" t="s">
        <v>145</v>
      </c>
      <c r="C15" s="106" t="s">
        <v>188</v>
      </c>
      <c r="D15" s="1063">
        <v>2.41</v>
      </c>
      <c r="E15" s="184">
        <v>0.49</v>
      </c>
      <c r="F15" s="184">
        <v>0.52</v>
      </c>
      <c r="G15" s="184">
        <v>0.4</v>
      </c>
      <c r="H15" s="184">
        <v>0.42</v>
      </c>
      <c r="I15" s="184">
        <v>0.65</v>
      </c>
      <c r="J15" s="184">
        <v>0.45</v>
      </c>
      <c r="K15" s="184">
        <v>1.84</v>
      </c>
      <c r="L15" s="184">
        <v>2.01</v>
      </c>
      <c r="M15" s="184">
        <v>1.5</v>
      </c>
      <c r="N15" s="184">
        <v>1.24</v>
      </c>
      <c r="O15" s="184">
        <v>0.42</v>
      </c>
      <c r="P15" s="184">
        <v>0.56</v>
      </c>
      <c r="Q15" s="185">
        <f t="shared" si="1"/>
        <v>10.500000000000002</v>
      </c>
      <c r="R15" s="186">
        <v>0.02</v>
      </c>
      <c r="S15" s="186">
        <v>0.03</v>
      </c>
      <c r="T15" s="186">
        <v>0.06</v>
      </c>
      <c r="U15" s="186">
        <v>0.09</v>
      </c>
      <c r="V15" s="186">
        <v>0.14</v>
      </c>
      <c r="W15" s="186">
        <v>0.17</v>
      </c>
      <c r="X15" s="186">
        <v>0.14</v>
      </c>
      <c r="Y15" s="186">
        <v>0.11</v>
      </c>
      <c r="Z15" s="186">
        <v>0.1</v>
      </c>
      <c r="AA15" s="186">
        <v>0.08</v>
      </c>
      <c r="AB15" s="186">
        <v>0.04</v>
      </c>
      <c r="AC15" s="187">
        <v>0.02</v>
      </c>
      <c r="AD15" s="188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1"/>
    </row>
    <row r="16" spans="1:43" ht="15.75" customHeight="1">
      <c r="A16" s="106" t="str">
        <f t="shared" si="0"/>
        <v>Cibola, SAN MATEO  NM7918</v>
      </c>
      <c r="B16" s="106" t="s">
        <v>145</v>
      </c>
      <c r="C16" s="106" t="s">
        <v>189</v>
      </c>
      <c r="D16" s="1063">
        <v>2.02</v>
      </c>
      <c r="E16" s="184">
        <v>0.17</v>
      </c>
      <c r="F16" s="184">
        <v>0.25</v>
      </c>
      <c r="G16" s="184">
        <v>0.26</v>
      </c>
      <c r="H16" s="184">
        <v>0.24</v>
      </c>
      <c r="I16" s="184">
        <v>0.41</v>
      </c>
      <c r="J16" s="184">
        <v>0.54</v>
      </c>
      <c r="K16" s="184">
        <v>1.86</v>
      </c>
      <c r="L16" s="184">
        <v>2.24</v>
      </c>
      <c r="M16" s="184">
        <v>1.32</v>
      </c>
      <c r="N16" s="184">
        <v>0.79</v>
      </c>
      <c r="O16" s="184">
        <v>0.52</v>
      </c>
      <c r="P16" s="184">
        <v>0.29</v>
      </c>
      <c r="Q16" s="185">
        <f t="shared" si="1"/>
        <v>8.89</v>
      </c>
      <c r="R16" s="186">
        <v>0.02</v>
      </c>
      <c r="S16" s="186">
        <v>0.03</v>
      </c>
      <c r="T16" s="186">
        <v>0.06</v>
      </c>
      <c r="U16" s="186">
        <v>0.09</v>
      </c>
      <c r="V16" s="186">
        <v>0.14</v>
      </c>
      <c r="W16" s="186">
        <v>0.17</v>
      </c>
      <c r="X16" s="186">
        <v>0.14</v>
      </c>
      <c r="Y16" s="186">
        <v>0.11</v>
      </c>
      <c r="Z16" s="186">
        <v>0.1</v>
      </c>
      <c r="AA16" s="186">
        <v>0.08</v>
      </c>
      <c r="AB16" s="186">
        <v>0.04</v>
      </c>
      <c r="AC16" s="187">
        <v>0.02</v>
      </c>
      <c r="AD16" s="188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1"/>
    </row>
    <row r="17" spans="1:43" ht="15.75" customHeight="1">
      <c r="A17" s="106" t="str">
        <f t="shared" si="0"/>
        <v>Colfax, CIMARRON 4 SW  NM1813</v>
      </c>
      <c r="B17" s="106" t="s">
        <v>146</v>
      </c>
      <c r="C17" s="106" t="s">
        <v>190</v>
      </c>
      <c r="D17" s="1063">
        <v>3.23</v>
      </c>
      <c r="E17" s="184">
        <v>0.46</v>
      </c>
      <c r="F17" s="184">
        <v>0.59</v>
      </c>
      <c r="G17" s="184">
        <v>0.79</v>
      </c>
      <c r="H17" s="184">
        <v>0.95</v>
      </c>
      <c r="I17" s="184">
        <v>1.77</v>
      </c>
      <c r="J17" s="184">
        <v>2.06</v>
      </c>
      <c r="K17" s="184">
        <v>2.83</v>
      </c>
      <c r="L17" s="184">
        <v>3.02</v>
      </c>
      <c r="M17" s="184">
        <v>1.91</v>
      </c>
      <c r="N17" s="184">
        <v>0.83</v>
      </c>
      <c r="O17" s="184">
        <v>0.61</v>
      </c>
      <c r="P17" s="184">
        <v>0.43</v>
      </c>
      <c r="Q17" s="185">
        <f t="shared" si="1"/>
        <v>16.25</v>
      </c>
      <c r="R17" s="191">
        <v>0.04</v>
      </c>
      <c r="S17" s="191">
        <v>0.05</v>
      </c>
      <c r="T17" s="191">
        <v>0.07</v>
      </c>
      <c r="U17" s="191">
        <v>0.09</v>
      </c>
      <c r="V17" s="191">
        <v>0.12</v>
      </c>
      <c r="W17" s="191">
        <v>0.14</v>
      </c>
      <c r="X17" s="191">
        <v>0.13</v>
      </c>
      <c r="Y17" s="191">
        <v>0.11</v>
      </c>
      <c r="Z17" s="191">
        <v>0.1</v>
      </c>
      <c r="AA17" s="191">
        <v>0.07</v>
      </c>
      <c r="AB17" s="191">
        <v>0.05</v>
      </c>
      <c r="AC17" s="192">
        <v>0.03</v>
      </c>
      <c r="AD17" s="188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1"/>
    </row>
    <row r="18" spans="1:43" ht="15.75" customHeight="1">
      <c r="A18" s="106" t="str">
        <f t="shared" si="0"/>
        <v>Colfax, EAGLE NEST  NM2700</v>
      </c>
      <c r="B18" s="106" t="s">
        <v>146</v>
      </c>
      <c r="C18" s="106" t="s">
        <v>191</v>
      </c>
      <c r="D18" s="1063">
        <v>2.87</v>
      </c>
      <c r="E18" s="184">
        <v>0.69</v>
      </c>
      <c r="F18" s="184">
        <v>0.68</v>
      </c>
      <c r="G18" s="184">
        <v>0.87</v>
      </c>
      <c r="H18" s="184">
        <v>0.8</v>
      </c>
      <c r="I18" s="184">
        <v>1.18</v>
      </c>
      <c r="J18" s="184">
        <v>1.42</v>
      </c>
      <c r="K18" s="184">
        <v>2.81</v>
      </c>
      <c r="L18" s="184">
        <v>3.02</v>
      </c>
      <c r="M18" s="184">
        <v>1.4</v>
      </c>
      <c r="N18" s="184">
        <v>0.77</v>
      </c>
      <c r="O18" s="184">
        <v>0.74</v>
      </c>
      <c r="P18" s="184">
        <v>0.84</v>
      </c>
      <c r="Q18" s="185">
        <f t="shared" si="1"/>
        <v>15.219999999999999</v>
      </c>
      <c r="R18" s="191">
        <v>0.04</v>
      </c>
      <c r="S18" s="191">
        <v>0.05</v>
      </c>
      <c r="T18" s="191">
        <v>0.07</v>
      </c>
      <c r="U18" s="191">
        <v>0.09</v>
      </c>
      <c r="V18" s="191">
        <v>0.12</v>
      </c>
      <c r="W18" s="191">
        <v>0.14</v>
      </c>
      <c r="X18" s="191">
        <v>0.13</v>
      </c>
      <c r="Y18" s="191">
        <v>0.11</v>
      </c>
      <c r="Z18" s="191">
        <v>0.1</v>
      </c>
      <c r="AA18" s="191">
        <v>0.07</v>
      </c>
      <c r="AB18" s="191">
        <v>0.05</v>
      </c>
      <c r="AC18" s="192">
        <v>0.03</v>
      </c>
      <c r="AD18" s="188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1"/>
    </row>
    <row r="19" spans="1:43" ht="15.75" customHeight="1">
      <c r="A19" s="106" t="str">
        <f t="shared" si="0"/>
        <v>Colfax, LAKE MALOYA  NM4742</v>
      </c>
      <c r="B19" s="106" t="s">
        <v>146</v>
      </c>
      <c r="C19" s="106" t="s">
        <v>192</v>
      </c>
      <c r="D19" s="1063">
        <v>4.24</v>
      </c>
      <c r="E19" s="184">
        <v>0.88</v>
      </c>
      <c r="F19" s="184">
        <v>1.34</v>
      </c>
      <c r="G19" s="184">
        <v>1.57</v>
      </c>
      <c r="H19" s="184">
        <v>1.58</v>
      </c>
      <c r="I19" s="184">
        <v>2.89</v>
      </c>
      <c r="J19" s="184">
        <v>2.68</v>
      </c>
      <c r="K19" s="184">
        <v>3.61</v>
      </c>
      <c r="L19" s="184">
        <v>3.39</v>
      </c>
      <c r="M19" s="184">
        <v>2.22</v>
      </c>
      <c r="N19" s="184">
        <v>1.31</v>
      </c>
      <c r="O19" s="184">
        <v>1.36</v>
      </c>
      <c r="P19" s="184">
        <v>0.86</v>
      </c>
      <c r="Q19" s="185">
        <f t="shared" si="1"/>
        <v>23.689999999999994</v>
      </c>
      <c r="R19" s="191">
        <v>0.04</v>
      </c>
      <c r="S19" s="191">
        <v>0.05</v>
      </c>
      <c r="T19" s="191">
        <v>0.07</v>
      </c>
      <c r="U19" s="191">
        <v>0.09</v>
      </c>
      <c r="V19" s="191">
        <v>0.12</v>
      </c>
      <c r="W19" s="191">
        <v>0.14</v>
      </c>
      <c r="X19" s="191">
        <v>0.13</v>
      </c>
      <c r="Y19" s="191">
        <v>0.11</v>
      </c>
      <c r="Z19" s="191">
        <v>0.1</v>
      </c>
      <c r="AA19" s="191">
        <v>0.07</v>
      </c>
      <c r="AB19" s="191">
        <v>0.05</v>
      </c>
      <c r="AC19" s="192">
        <v>0.03</v>
      </c>
      <c r="AD19" s="188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1"/>
    </row>
    <row r="20" spans="1:43" ht="15.75" customHeight="1">
      <c r="A20" s="106" t="str">
        <f t="shared" si="0"/>
        <v>Colfax, MAXWELL  NM5490</v>
      </c>
      <c r="B20" s="106" t="s">
        <v>146</v>
      </c>
      <c r="C20" s="106" t="s">
        <v>193</v>
      </c>
      <c r="D20" s="1063">
        <v>3.53</v>
      </c>
      <c r="E20" s="184">
        <v>0.28</v>
      </c>
      <c r="F20" s="184">
        <v>0.3</v>
      </c>
      <c r="G20" s="184">
        <v>0.42</v>
      </c>
      <c r="H20" s="184">
        <v>0.62</v>
      </c>
      <c r="I20" s="184">
        <v>1.63</v>
      </c>
      <c r="J20" s="184">
        <v>1.87</v>
      </c>
      <c r="K20" s="184">
        <v>2.5</v>
      </c>
      <c r="L20" s="184">
        <v>3.2</v>
      </c>
      <c r="M20" s="184">
        <v>1.93</v>
      </c>
      <c r="N20" s="184">
        <v>0.86</v>
      </c>
      <c r="O20" s="184">
        <v>0.52</v>
      </c>
      <c r="P20" s="184">
        <v>0.24</v>
      </c>
      <c r="Q20" s="185">
        <f t="shared" si="1"/>
        <v>14.37</v>
      </c>
      <c r="R20" s="191">
        <v>0.04</v>
      </c>
      <c r="S20" s="191">
        <v>0.05</v>
      </c>
      <c r="T20" s="191">
        <v>0.07</v>
      </c>
      <c r="U20" s="191">
        <v>0.09</v>
      </c>
      <c r="V20" s="191">
        <v>0.12</v>
      </c>
      <c r="W20" s="191">
        <v>0.14</v>
      </c>
      <c r="X20" s="191">
        <v>0.13</v>
      </c>
      <c r="Y20" s="191">
        <v>0.11</v>
      </c>
      <c r="Z20" s="191">
        <v>0.1</v>
      </c>
      <c r="AA20" s="191">
        <v>0.07</v>
      </c>
      <c r="AB20" s="191">
        <v>0.05</v>
      </c>
      <c r="AC20" s="192">
        <v>0.03</v>
      </c>
      <c r="AD20" s="188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1"/>
    </row>
    <row r="21" spans="1:43" ht="15.75" customHeight="1">
      <c r="A21" s="106" t="str">
        <f t="shared" si="0"/>
        <v>Colfax, RATON FILTER PLANT  NM7279</v>
      </c>
      <c r="B21" s="106" t="s">
        <v>146</v>
      </c>
      <c r="C21" s="106" t="s">
        <v>194</v>
      </c>
      <c r="D21" s="1063">
        <v>3.82</v>
      </c>
      <c r="E21" s="184">
        <v>0.47</v>
      </c>
      <c r="F21" s="184">
        <v>0.54</v>
      </c>
      <c r="G21" s="184">
        <v>0.83</v>
      </c>
      <c r="H21" s="184">
        <v>1.06</v>
      </c>
      <c r="I21" s="184">
        <v>2.27</v>
      </c>
      <c r="J21" s="184">
        <v>2.04</v>
      </c>
      <c r="K21" s="184">
        <v>2.66</v>
      </c>
      <c r="L21" s="184">
        <v>3.21</v>
      </c>
      <c r="M21" s="184">
        <v>1.61</v>
      </c>
      <c r="N21" s="184">
        <v>0.97</v>
      </c>
      <c r="O21" s="184">
        <v>0.6</v>
      </c>
      <c r="P21" s="184">
        <v>0.58</v>
      </c>
      <c r="Q21" s="185">
        <f t="shared" si="1"/>
        <v>16.84</v>
      </c>
      <c r="R21" s="191">
        <v>0.04</v>
      </c>
      <c r="S21" s="191">
        <v>0.05</v>
      </c>
      <c r="T21" s="191">
        <v>0.07</v>
      </c>
      <c r="U21" s="191">
        <v>0.09</v>
      </c>
      <c r="V21" s="191">
        <v>0.12</v>
      </c>
      <c r="W21" s="191">
        <v>0.14</v>
      </c>
      <c r="X21" s="191">
        <v>0.13</v>
      </c>
      <c r="Y21" s="191">
        <v>0.11</v>
      </c>
      <c r="Z21" s="191">
        <v>0.1</v>
      </c>
      <c r="AA21" s="191">
        <v>0.07</v>
      </c>
      <c r="AB21" s="191">
        <v>0.05</v>
      </c>
      <c r="AC21" s="192">
        <v>0.03</v>
      </c>
      <c r="AD21" s="188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1"/>
    </row>
    <row r="22" spans="1:43" ht="15.75" customHeight="1">
      <c r="A22" s="106" t="str">
        <f t="shared" si="0"/>
        <v>Colfax, SPRINGER  NM8501</v>
      </c>
      <c r="B22" s="106" t="s">
        <v>146</v>
      </c>
      <c r="C22" s="106" t="s">
        <v>195</v>
      </c>
      <c r="D22" s="1063">
        <v>3.48</v>
      </c>
      <c r="E22" s="184">
        <v>0.33</v>
      </c>
      <c r="F22" s="184">
        <v>0.4</v>
      </c>
      <c r="G22" s="184">
        <v>0.61</v>
      </c>
      <c r="H22" s="184">
        <v>0.83</v>
      </c>
      <c r="I22" s="184">
        <v>1.84</v>
      </c>
      <c r="J22" s="184">
        <v>1.79</v>
      </c>
      <c r="K22" s="184">
        <v>2.69</v>
      </c>
      <c r="L22" s="184">
        <v>3.43</v>
      </c>
      <c r="M22" s="184">
        <v>1.73</v>
      </c>
      <c r="N22" s="184">
        <v>0.97</v>
      </c>
      <c r="O22" s="184">
        <v>0.58</v>
      </c>
      <c r="P22" s="184">
        <v>0.39</v>
      </c>
      <c r="Q22" s="185">
        <f t="shared" si="1"/>
        <v>15.590000000000002</v>
      </c>
      <c r="R22" s="191">
        <v>0.04</v>
      </c>
      <c r="S22" s="191">
        <v>0.05</v>
      </c>
      <c r="T22" s="191">
        <v>0.07</v>
      </c>
      <c r="U22" s="191">
        <v>0.09</v>
      </c>
      <c r="V22" s="191">
        <v>0.12</v>
      </c>
      <c r="W22" s="191">
        <v>0.14</v>
      </c>
      <c r="X22" s="191">
        <v>0.13</v>
      </c>
      <c r="Y22" s="191">
        <v>0.11</v>
      </c>
      <c r="Z22" s="191">
        <v>0.1</v>
      </c>
      <c r="AA22" s="191">
        <v>0.07</v>
      </c>
      <c r="AB22" s="191">
        <v>0.05</v>
      </c>
      <c r="AC22" s="192">
        <v>0.03</v>
      </c>
      <c r="AD22" s="188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1"/>
    </row>
    <row r="23" spans="1:43" ht="15.75" customHeight="1">
      <c r="A23" s="106" t="str">
        <f t="shared" si="0"/>
        <v>Curry, CLOVIS  NM1939</v>
      </c>
      <c r="B23" s="106" t="s">
        <v>147</v>
      </c>
      <c r="C23" s="106" t="s">
        <v>196</v>
      </c>
      <c r="D23" s="1063">
        <v>4.66</v>
      </c>
      <c r="E23" s="184">
        <v>0.41</v>
      </c>
      <c r="F23" s="184">
        <v>0.52</v>
      </c>
      <c r="G23" s="184">
        <v>0.61</v>
      </c>
      <c r="H23" s="184">
        <v>0.81</v>
      </c>
      <c r="I23" s="184">
        <v>1.75</v>
      </c>
      <c r="J23" s="184">
        <v>2.84</v>
      </c>
      <c r="K23" s="184">
        <v>2.56</v>
      </c>
      <c r="L23" s="184">
        <v>3.17</v>
      </c>
      <c r="M23" s="184">
        <v>2.16</v>
      </c>
      <c r="N23" s="184">
        <v>1.34</v>
      </c>
      <c r="O23" s="184">
        <v>0.74</v>
      </c>
      <c r="P23" s="184">
        <v>0.55</v>
      </c>
      <c r="Q23" s="185">
        <f t="shared" si="1"/>
        <v>17.46</v>
      </c>
      <c r="R23" s="189">
        <v>0.04</v>
      </c>
      <c r="S23" s="189">
        <v>0.05</v>
      </c>
      <c r="T23" s="189">
        <v>0.08</v>
      </c>
      <c r="U23" s="189">
        <v>0.1</v>
      </c>
      <c r="V23" s="189">
        <v>0.12</v>
      </c>
      <c r="W23" s="189">
        <v>0.13</v>
      </c>
      <c r="X23" s="189">
        <v>0.13</v>
      </c>
      <c r="Y23" s="189">
        <v>0.11</v>
      </c>
      <c r="Z23" s="189">
        <v>0.09</v>
      </c>
      <c r="AA23" s="189">
        <v>0.06</v>
      </c>
      <c r="AB23" s="189">
        <v>0.05</v>
      </c>
      <c r="AC23" s="190">
        <v>0.04</v>
      </c>
      <c r="AD23" s="188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1"/>
    </row>
    <row r="24" spans="1:43" ht="15.75" customHeight="1">
      <c r="A24" s="106" t="str">
        <f t="shared" si="0"/>
        <v>Curry, CLOVIS 13 N  NM1963</v>
      </c>
      <c r="B24" s="106" t="s">
        <v>147</v>
      </c>
      <c r="C24" s="106" t="s">
        <v>197</v>
      </c>
      <c r="D24" s="1063">
        <v>4.32</v>
      </c>
      <c r="E24" s="184">
        <v>0.29</v>
      </c>
      <c r="F24" s="184">
        <v>0.41</v>
      </c>
      <c r="G24" s="184">
        <v>0.57</v>
      </c>
      <c r="H24" s="184">
        <v>0.78</v>
      </c>
      <c r="I24" s="184">
        <v>2.27</v>
      </c>
      <c r="J24" s="184">
        <v>2.58</v>
      </c>
      <c r="K24" s="184">
        <v>2.42</v>
      </c>
      <c r="L24" s="184">
        <v>3.05</v>
      </c>
      <c r="M24" s="184">
        <v>2.08</v>
      </c>
      <c r="N24" s="184">
        <v>1.25</v>
      </c>
      <c r="O24" s="184">
        <v>0.64</v>
      </c>
      <c r="P24" s="184">
        <v>0.42</v>
      </c>
      <c r="Q24" s="185">
        <f t="shared" si="1"/>
        <v>16.76</v>
      </c>
      <c r="R24" s="189">
        <v>0.04</v>
      </c>
      <c r="S24" s="189">
        <v>0.05</v>
      </c>
      <c r="T24" s="189">
        <v>0.08</v>
      </c>
      <c r="U24" s="189">
        <v>0.1</v>
      </c>
      <c r="V24" s="189">
        <v>0.12</v>
      </c>
      <c r="W24" s="189">
        <v>0.13</v>
      </c>
      <c r="X24" s="189">
        <v>0.13</v>
      </c>
      <c r="Y24" s="189">
        <v>0.11</v>
      </c>
      <c r="Z24" s="189">
        <v>0.09</v>
      </c>
      <c r="AA24" s="189">
        <v>0.06</v>
      </c>
      <c r="AB24" s="189">
        <v>0.05</v>
      </c>
      <c r="AC24" s="190">
        <v>0.04</v>
      </c>
      <c r="AD24" s="188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1"/>
    </row>
    <row r="25" spans="1:43" ht="15.75" customHeight="1">
      <c r="A25" s="106" t="str">
        <f t="shared" si="0"/>
        <v>Curry, MELROSE  NM5617</v>
      </c>
      <c r="B25" s="106" t="s">
        <v>147</v>
      </c>
      <c r="C25" s="106" t="s">
        <v>198</v>
      </c>
      <c r="D25" s="1063">
        <v>4.21</v>
      </c>
      <c r="E25" s="184">
        <v>0.33</v>
      </c>
      <c r="F25" s="184">
        <v>0.54</v>
      </c>
      <c r="G25" s="184">
        <v>0.6</v>
      </c>
      <c r="H25" s="184">
        <v>0.71</v>
      </c>
      <c r="I25" s="184">
        <v>1.5</v>
      </c>
      <c r="J25" s="184">
        <v>2.3</v>
      </c>
      <c r="K25" s="184">
        <v>2.87</v>
      </c>
      <c r="L25" s="184">
        <v>3.12</v>
      </c>
      <c r="M25" s="184">
        <v>2.45</v>
      </c>
      <c r="N25" s="184">
        <v>1.26</v>
      </c>
      <c r="O25" s="184">
        <v>0.65</v>
      </c>
      <c r="P25" s="184">
        <v>0.5</v>
      </c>
      <c r="Q25" s="185">
        <f t="shared" si="1"/>
        <v>16.830000000000002</v>
      </c>
      <c r="R25" s="189">
        <v>0.04</v>
      </c>
      <c r="S25" s="189">
        <v>0.05</v>
      </c>
      <c r="T25" s="189">
        <v>0.08</v>
      </c>
      <c r="U25" s="189">
        <v>0.1</v>
      </c>
      <c r="V25" s="189">
        <v>0.12</v>
      </c>
      <c r="W25" s="189">
        <v>0.13</v>
      </c>
      <c r="X25" s="189">
        <v>0.13</v>
      </c>
      <c r="Y25" s="189">
        <v>0.11</v>
      </c>
      <c r="Z25" s="189">
        <v>0.09</v>
      </c>
      <c r="AA25" s="189">
        <v>0.06</v>
      </c>
      <c r="AB25" s="189">
        <v>0.05</v>
      </c>
      <c r="AC25" s="190">
        <v>0.04</v>
      </c>
      <c r="AD25" s="188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1"/>
    </row>
    <row r="26" spans="1:43" ht="15.75" customHeight="1">
      <c r="A26" s="106" t="str">
        <f t="shared" si="0"/>
        <v>De Baca, FORT SUMNER  NM3294</v>
      </c>
      <c r="B26" s="106" t="s">
        <v>148</v>
      </c>
      <c r="C26" s="106" t="s">
        <v>199</v>
      </c>
      <c r="D26" s="1063">
        <v>4.47</v>
      </c>
      <c r="E26" s="184">
        <v>0.4</v>
      </c>
      <c r="F26" s="184">
        <v>0.46</v>
      </c>
      <c r="G26" s="184">
        <v>0.44</v>
      </c>
      <c r="H26" s="184">
        <v>0.53</v>
      </c>
      <c r="I26" s="184">
        <v>1.16</v>
      </c>
      <c r="J26" s="184">
        <v>1.73</v>
      </c>
      <c r="K26" s="184">
        <v>2.18</v>
      </c>
      <c r="L26" s="184">
        <v>3.18</v>
      </c>
      <c r="M26" s="184">
        <v>2</v>
      </c>
      <c r="N26" s="184">
        <v>1.35</v>
      </c>
      <c r="O26" s="184">
        <v>0.68</v>
      </c>
      <c r="P26" s="184">
        <v>0.49</v>
      </c>
      <c r="Q26" s="185">
        <f t="shared" si="1"/>
        <v>14.6</v>
      </c>
      <c r="R26" s="191">
        <v>0.03</v>
      </c>
      <c r="S26" s="191">
        <v>0.05</v>
      </c>
      <c r="T26" s="191">
        <v>0.08</v>
      </c>
      <c r="U26" s="191">
        <v>0.1</v>
      </c>
      <c r="V26" s="191">
        <v>0.12</v>
      </c>
      <c r="W26" s="191">
        <v>0.14</v>
      </c>
      <c r="X26" s="191">
        <v>0.13</v>
      </c>
      <c r="Y26" s="191">
        <v>0.11</v>
      </c>
      <c r="Z26" s="191">
        <v>0.1</v>
      </c>
      <c r="AA26" s="191">
        <v>0.07</v>
      </c>
      <c r="AB26" s="191">
        <v>0.04</v>
      </c>
      <c r="AC26" s="192">
        <v>0.03</v>
      </c>
      <c r="AD26" s="188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1"/>
    </row>
    <row r="27" spans="1:43" ht="15.75" customHeight="1">
      <c r="A27" s="106" t="str">
        <f t="shared" si="0"/>
        <v>De Baca, YESO  NM9851</v>
      </c>
      <c r="B27" s="106" t="s">
        <v>148</v>
      </c>
      <c r="C27" s="106" t="s">
        <v>200</v>
      </c>
      <c r="D27" s="1063">
        <v>3.78</v>
      </c>
      <c r="E27" s="184">
        <v>0.47</v>
      </c>
      <c r="F27" s="184">
        <v>0.55</v>
      </c>
      <c r="G27" s="184">
        <v>0.51</v>
      </c>
      <c r="H27" s="184">
        <v>0.64</v>
      </c>
      <c r="I27" s="184">
        <v>1.1</v>
      </c>
      <c r="J27" s="184">
        <v>1.58</v>
      </c>
      <c r="K27" s="184">
        <v>2.11</v>
      </c>
      <c r="L27" s="184">
        <v>2.97</v>
      </c>
      <c r="M27" s="184">
        <v>1.91</v>
      </c>
      <c r="N27" s="184">
        <v>1.25</v>
      </c>
      <c r="O27" s="184">
        <v>0.62</v>
      </c>
      <c r="P27" s="184">
        <v>0.51</v>
      </c>
      <c r="Q27" s="185">
        <f t="shared" si="1"/>
        <v>14.219999999999999</v>
      </c>
      <c r="R27" s="191">
        <v>0.03</v>
      </c>
      <c r="S27" s="191">
        <v>0.05</v>
      </c>
      <c r="T27" s="191">
        <v>0.08</v>
      </c>
      <c r="U27" s="191">
        <v>0.1</v>
      </c>
      <c r="V27" s="191">
        <v>0.12</v>
      </c>
      <c r="W27" s="191">
        <v>0.14</v>
      </c>
      <c r="X27" s="191">
        <v>0.13</v>
      </c>
      <c r="Y27" s="191">
        <v>0.11</v>
      </c>
      <c r="Z27" s="191">
        <v>0.1</v>
      </c>
      <c r="AA27" s="191">
        <v>0.07</v>
      </c>
      <c r="AB27" s="191">
        <v>0.04</v>
      </c>
      <c r="AC27" s="192">
        <v>0.03</v>
      </c>
      <c r="AD27" s="188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1"/>
    </row>
    <row r="28" spans="1:43" ht="15.75" customHeight="1">
      <c r="A28" s="106" t="str">
        <f t="shared" si="0"/>
        <v>Dona Ana, HATCH 2 W  NM3855</v>
      </c>
      <c r="B28" s="106" t="s">
        <v>149</v>
      </c>
      <c r="C28" s="106" t="s">
        <v>201</v>
      </c>
      <c r="D28" s="1063">
        <v>2.54</v>
      </c>
      <c r="E28" s="184">
        <v>0.54</v>
      </c>
      <c r="F28" s="184">
        <v>0.36</v>
      </c>
      <c r="G28" s="184">
        <v>0.23</v>
      </c>
      <c r="H28" s="184">
        <v>0.18</v>
      </c>
      <c r="I28" s="184">
        <v>0.29</v>
      </c>
      <c r="J28" s="184">
        <v>0.64</v>
      </c>
      <c r="K28" s="184">
        <v>1.9</v>
      </c>
      <c r="L28" s="184">
        <v>2.2</v>
      </c>
      <c r="M28" s="184">
        <v>1.66</v>
      </c>
      <c r="N28" s="184">
        <v>1.01</v>
      </c>
      <c r="O28" s="184">
        <v>0.58</v>
      </c>
      <c r="P28" s="184">
        <v>0.78</v>
      </c>
      <c r="Q28" s="185">
        <f t="shared" si="1"/>
        <v>10.37</v>
      </c>
      <c r="R28" s="189">
        <v>0.04</v>
      </c>
      <c r="S28" s="189">
        <v>0.05</v>
      </c>
      <c r="T28" s="189">
        <v>0.07</v>
      </c>
      <c r="U28" s="189">
        <v>0.11</v>
      </c>
      <c r="V28" s="189">
        <v>0.13</v>
      </c>
      <c r="W28" s="189">
        <v>0.14</v>
      </c>
      <c r="X28" s="189">
        <v>0.12</v>
      </c>
      <c r="Y28" s="189">
        <v>0.11</v>
      </c>
      <c r="Z28" s="189">
        <v>0.09</v>
      </c>
      <c r="AA28" s="189">
        <v>0.07</v>
      </c>
      <c r="AB28" s="189">
        <v>0.04</v>
      </c>
      <c r="AC28" s="190">
        <v>0.03</v>
      </c>
      <c r="AD28" s="188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1"/>
    </row>
    <row r="29" spans="1:43" ht="15.75" customHeight="1">
      <c r="A29" s="106" t="str">
        <f t="shared" si="0"/>
        <v>Dona Ana, JORNADA EXP RANGE  NM4426</v>
      </c>
      <c r="B29" s="106" t="s">
        <v>149</v>
      </c>
      <c r="C29" s="106" t="s">
        <v>202</v>
      </c>
      <c r="D29" s="1063">
        <v>2.68</v>
      </c>
      <c r="E29" s="184">
        <v>0.5</v>
      </c>
      <c r="F29" s="184">
        <v>0.37</v>
      </c>
      <c r="G29" s="184">
        <v>0.26</v>
      </c>
      <c r="H29" s="184">
        <v>0.2</v>
      </c>
      <c r="I29" s="184">
        <v>0.36</v>
      </c>
      <c r="J29" s="184">
        <v>0.7</v>
      </c>
      <c r="K29" s="184">
        <v>1.93</v>
      </c>
      <c r="L29" s="184">
        <v>2.38</v>
      </c>
      <c r="M29" s="184">
        <v>1.56</v>
      </c>
      <c r="N29" s="184">
        <v>0.93</v>
      </c>
      <c r="O29" s="184">
        <v>0.6</v>
      </c>
      <c r="P29" s="184">
        <v>0.79</v>
      </c>
      <c r="Q29" s="185">
        <f t="shared" si="1"/>
        <v>10.579999999999998</v>
      </c>
      <c r="R29" s="189">
        <v>0.04</v>
      </c>
      <c r="S29" s="189">
        <v>0.05</v>
      </c>
      <c r="T29" s="189">
        <v>0.07</v>
      </c>
      <c r="U29" s="189">
        <v>0.11</v>
      </c>
      <c r="V29" s="189">
        <v>0.13</v>
      </c>
      <c r="W29" s="189">
        <v>0.14</v>
      </c>
      <c r="X29" s="189">
        <v>0.12</v>
      </c>
      <c r="Y29" s="189">
        <v>0.11</v>
      </c>
      <c r="Z29" s="189">
        <v>0.09</v>
      </c>
      <c r="AA29" s="189">
        <v>0.07</v>
      </c>
      <c r="AB29" s="189">
        <v>0.04</v>
      </c>
      <c r="AC29" s="190">
        <v>0.03</v>
      </c>
      <c r="AD29" s="188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1"/>
    </row>
    <row r="30" spans="1:43" ht="15.75" customHeight="1">
      <c r="A30" s="106" t="str">
        <f t="shared" si="0"/>
        <v>Dona Ana, STATE UNIV.  NM8535</v>
      </c>
      <c r="B30" s="106" t="s">
        <v>149</v>
      </c>
      <c r="C30" s="106" t="s">
        <v>676</v>
      </c>
      <c r="D30" s="1063">
        <v>2.72</v>
      </c>
      <c r="E30" s="184">
        <v>0.45</v>
      </c>
      <c r="F30" s="184">
        <v>0.37</v>
      </c>
      <c r="G30" s="184">
        <v>0.22</v>
      </c>
      <c r="H30" s="184">
        <v>0.21</v>
      </c>
      <c r="I30" s="184">
        <v>0.29</v>
      </c>
      <c r="J30" s="184">
        <v>0.72</v>
      </c>
      <c r="K30" s="184">
        <v>1.36</v>
      </c>
      <c r="L30" s="184">
        <v>2.29</v>
      </c>
      <c r="M30" s="184">
        <v>1.36</v>
      </c>
      <c r="N30" s="184">
        <v>0.91</v>
      </c>
      <c r="O30" s="184">
        <v>0.53</v>
      </c>
      <c r="P30" s="184">
        <v>0.68</v>
      </c>
      <c r="Q30" s="185">
        <f t="shared" si="1"/>
        <v>9.389999999999999</v>
      </c>
      <c r="R30" s="189">
        <v>0.04</v>
      </c>
      <c r="S30" s="189">
        <v>0.05</v>
      </c>
      <c r="T30" s="189">
        <v>0.07</v>
      </c>
      <c r="U30" s="189">
        <v>0.11</v>
      </c>
      <c r="V30" s="189">
        <v>0.13</v>
      </c>
      <c r="W30" s="189">
        <v>0.14</v>
      </c>
      <c r="X30" s="189">
        <v>0.12</v>
      </c>
      <c r="Y30" s="189">
        <v>0.11</v>
      </c>
      <c r="Z30" s="189">
        <v>0.09</v>
      </c>
      <c r="AA30" s="189">
        <v>0.07</v>
      </c>
      <c r="AB30" s="189">
        <v>0.04</v>
      </c>
      <c r="AC30" s="190">
        <v>0.03</v>
      </c>
      <c r="AD30" s="188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1"/>
    </row>
    <row r="31" spans="1:43" ht="15.75" customHeight="1">
      <c r="A31" s="106" t="str">
        <f t="shared" si="0"/>
        <v>Dona Ana, STATE UNIV.  NM8535 (Anthony)</v>
      </c>
      <c r="B31" s="106" t="s">
        <v>149</v>
      </c>
      <c r="C31" s="106" t="s">
        <v>675</v>
      </c>
      <c r="D31" s="1065"/>
      <c r="E31" s="184">
        <v>0.45</v>
      </c>
      <c r="F31" s="184">
        <v>0.37</v>
      </c>
      <c r="G31" s="184">
        <v>0.22</v>
      </c>
      <c r="H31" s="184">
        <v>0.21</v>
      </c>
      <c r="I31" s="184">
        <v>0.29</v>
      </c>
      <c r="J31" s="184">
        <v>0.72</v>
      </c>
      <c r="K31" s="184">
        <v>1.36</v>
      </c>
      <c r="L31" s="184">
        <v>2.29</v>
      </c>
      <c r="M31" s="184">
        <v>1.36</v>
      </c>
      <c r="N31" s="184">
        <v>0.91</v>
      </c>
      <c r="O31" s="184">
        <v>0.53</v>
      </c>
      <c r="P31" s="184">
        <v>0.68</v>
      </c>
      <c r="Q31" s="185">
        <f t="shared" si="1"/>
        <v>9.389999999999999</v>
      </c>
      <c r="R31" s="189">
        <v>0.04</v>
      </c>
      <c r="S31" s="189">
        <v>0.05</v>
      </c>
      <c r="T31" s="189">
        <v>0.07</v>
      </c>
      <c r="U31" s="189">
        <v>0.11</v>
      </c>
      <c r="V31" s="189">
        <v>0.13</v>
      </c>
      <c r="W31" s="189">
        <v>0.14</v>
      </c>
      <c r="X31" s="189">
        <v>0.12</v>
      </c>
      <c r="Y31" s="189">
        <v>0.11</v>
      </c>
      <c r="Z31" s="189">
        <v>0.09</v>
      </c>
      <c r="AA31" s="189">
        <v>0.07</v>
      </c>
      <c r="AB31" s="189">
        <v>0.04</v>
      </c>
      <c r="AC31" s="190">
        <v>0.03</v>
      </c>
      <c r="AD31" s="188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1"/>
    </row>
    <row r="32" spans="1:43" ht="15.75" customHeight="1">
      <c r="A32" s="106" t="str">
        <f t="shared" si="0"/>
        <v>Eddy, ARTESIA 6 S  NM0600</v>
      </c>
      <c r="B32" s="106" t="s">
        <v>150</v>
      </c>
      <c r="C32" s="106" t="s">
        <v>203</v>
      </c>
      <c r="D32" s="1063">
        <v>4.12</v>
      </c>
      <c r="E32" s="184">
        <v>0.36</v>
      </c>
      <c r="F32" s="184">
        <v>0.46</v>
      </c>
      <c r="G32" s="184">
        <v>0.33</v>
      </c>
      <c r="H32" s="184">
        <v>0.45</v>
      </c>
      <c r="I32" s="184">
        <v>1.05</v>
      </c>
      <c r="J32" s="184">
        <v>1.53</v>
      </c>
      <c r="K32" s="184">
        <v>1.4</v>
      </c>
      <c r="L32" s="184">
        <v>2.17</v>
      </c>
      <c r="M32" s="184">
        <v>2.39</v>
      </c>
      <c r="N32" s="184">
        <v>1.2</v>
      </c>
      <c r="O32" s="184">
        <v>0.61</v>
      </c>
      <c r="P32" s="184">
        <v>0.49</v>
      </c>
      <c r="Q32" s="185">
        <f t="shared" si="1"/>
        <v>12.44</v>
      </c>
      <c r="R32" s="189">
        <v>0.04</v>
      </c>
      <c r="S32" s="189">
        <v>0.05</v>
      </c>
      <c r="T32" s="189">
        <v>0.08</v>
      </c>
      <c r="U32" s="189">
        <v>0.11</v>
      </c>
      <c r="V32" s="189">
        <v>0.13</v>
      </c>
      <c r="W32" s="189">
        <v>0.13</v>
      </c>
      <c r="X32" s="189">
        <v>0.13</v>
      </c>
      <c r="Y32" s="189">
        <v>0.11</v>
      </c>
      <c r="Z32" s="189">
        <v>0.08</v>
      </c>
      <c r="AA32" s="189">
        <v>0.06</v>
      </c>
      <c r="AB32" s="189">
        <v>0.04</v>
      </c>
      <c r="AC32" s="190">
        <v>0.04</v>
      </c>
      <c r="AD32" s="188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1"/>
    </row>
    <row r="33" spans="1:43" ht="15.75" customHeight="1">
      <c r="A33" s="106" t="str">
        <f t="shared" si="0"/>
        <v>Eddy, CARLSBAD  NM1469</v>
      </c>
      <c r="B33" s="106" t="s">
        <v>150</v>
      </c>
      <c r="C33" s="106" t="s">
        <v>204</v>
      </c>
      <c r="D33" s="1063">
        <v>4.52</v>
      </c>
      <c r="E33" s="184">
        <v>0.38</v>
      </c>
      <c r="F33" s="184">
        <v>0.46</v>
      </c>
      <c r="G33" s="184">
        <v>0.31</v>
      </c>
      <c r="H33" s="184">
        <v>0.62</v>
      </c>
      <c r="I33" s="184">
        <v>1.14</v>
      </c>
      <c r="J33" s="184">
        <v>1.63</v>
      </c>
      <c r="K33" s="184">
        <v>1.74</v>
      </c>
      <c r="L33" s="184">
        <v>2.08</v>
      </c>
      <c r="M33" s="184">
        <v>2.67</v>
      </c>
      <c r="N33" s="184">
        <v>1.17</v>
      </c>
      <c r="O33" s="184">
        <v>0.64</v>
      </c>
      <c r="P33" s="184">
        <v>0.39</v>
      </c>
      <c r="Q33" s="185">
        <f t="shared" si="1"/>
        <v>13.23</v>
      </c>
      <c r="R33" s="189">
        <v>0.04</v>
      </c>
      <c r="S33" s="189">
        <v>0.05</v>
      </c>
      <c r="T33" s="189">
        <v>0.08</v>
      </c>
      <c r="U33" s="189">
        <v>0.11</v>
      </c>
      <c r="V33" s="189">
        <v>0.13</v>
      </c>
      <c r="W33" s="189">
        <v>0.13</v>
      </c>
      <c r="X33" s="189">
        <v>0.13</v>
      </c>
      <c r="Y33" s="189">
        <v>0.11</v>
      </c>
      <c r="Z33" s="189">
        <v>0.08</v>
      </c>
      <c r="AA33" s="189">
        <v>0.06</v>
      </c>
      <c r="AB33" s="189">
        <v>0.04</v>
      </c>
      <c r="AC33" s="190">
        <v>0.04</v>
      </c>
      <c r="AD33" s="188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1"/>
    </row>
    <row r="34" spans="1:43" ht="15.75" customHeight="1">
      <c r="A34" s="106" t="str">
        <f aca="true" t="shared" si="2" ref="A34:A65">CONCATENATE(B34,C34)</f>
        <v>Eddy, CARLSBAD CAVERNS  NM1480</v>
      </c>
      <c r="B34" s="106" t="s">
        <v>150</v>
      </c>
      <c r="C34" s="106" t="s">
        <v>205</v>
      </c>
      <c r="D34" s="1063">
        <v>4.68</v>
      </c>
      <c r="E34" s="184">
        <v>0.42</v>
      </c>
      <c r="F34" s="184">
        <v>0.5</v>
      </c>
      <c r="G34" s="184">
        <v>0.34</v>
      </c>
      <c r="H34" s="184">
        <v>0.54</v>
      </c>
      <c r="I34" s="184">
        <v>1.44</v>
      </c>
      <c r="J34" s="184">
        <v>1.94</v>
      </c>
      <c r="K34" s="184">
        <v>2.04</v>
      </c>
      <c r="L34" s="184">
        <v>2.87</v>
      </c>
      <c r="M34" s="184">
        <v>3.65</v>
      </c>
      <c r="N34" s="184">
        <v>1.26</v>
      </c>
      <c r="O34" s="184">
        <v>0.55</v>
      </c>
      <c r="P34" s="184">
        <v>0.46</v>
      </c>
      <c r="Q34" s="185">
        <f aca="true" t="shared" si="3" ref="Q34:Q65">SUM(E34:P34)</f>
        <v>16.01</v>
      </c>
      <c r="R34" s="189">
        <v>0.04</v>
      </c>
      <c r="S34" s="189">
        <v>0.05</v>
      </c>
      <c r="T34" s="189">
        <v>0.08</v>
      </c>
      <c r="U34" s="189">
        <v>0.11</v>
      </c>
      <c r="V34" s="189">
        <v>0.13</v>
      </c>
      <c r="W34" s="189">
        <v>0.13</v>
      </c>
      <c r="X34" s="189">
        <v>0.13</v>
      </c>
      <c r="Y34" s="189">
        <v>0.11</v>
      </c>
      <c r="Z34" s="189">
        <v>0.08</v>
      </c>
      <c r="AA34" s="189">
        <v>0.06</v>
      </c>
      <c r="AB34" s="189">
        <v>0.04</v>
      </c>
      <c r="AC34" s="190">
        <v>0.04</v>
      </c>
      <c r="AD34" s="188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</row>
    <row r="35" spans="1:43" ht="15.75" customHeight="1">
      <c r="A35" s="106" t="str">
        <f t="shared" si="2"/>
        <v>Eddy, CARLSBAD FAA AIRPORT  NM1475</v>
      </c>
      <c r="B35" s="106" t="s">
        <v>150</v>
      </c>
      <c r="C35" s="106" t="s">
        <v>206</v>
      </c>
      <c r="D35" s="1063">
        <v>4.38</v>
      </c>
      <c r="E35" s="184">
        <v>0.35</v>
      </c>
      <c r="F35" s="184">
        <v>0.36</v>
      </c>
      <c r="G35" s="184">
        <v>0.3</v>
      </c>
      <c r="H35" s="184">
        <v>0.49</v>
      </c>
      <c r="I35" s="184">
        <v>1.16</v>
      </c>
      <c r="J35" s="184">
        <v>1.3</v>
      </c>
      <c r="K35" s="184">
        <v>1.79</v>
      </c>
      <c r="L35" s="184">
        <v>2.25</v>
      </c>
      <c r="M35" s="184">
        <v>2.75</v>
      </c>
      <c r="N35" s="184">
        <v>1.05</v>
      </c>
      <c r="O35" s="184">
        <v>0.6</v>
      </c>
      <c r="P35" s="184">
        <v>0.42</v>
      </c>
      <c r="Q35" s="185">
        <f t="shared" si="3"/>
        <v>12.82</v>
      </c>
      <c r="R35" s="189">
        <v>0.04</v>
      </c>
      <c r="S35" s="189">
        <v>0.05</v>
      </c>
      <c r="T35" s="189">
        <v>0.08</v>
      </c>
      <c r="U35" s="189">
        <v>0.11</v>
      </c>
      <c r="V35" s="189">
        <v>0.13</v>
      </c>
      <c r="W35" s="189">
        <v>0.13</v>
      </c>
      <c r="X35" s="189">
        <v>0.13</v>
      </c>
      <c r="Y35" s="189">
        <v>0.11</v>
      </c>
      <c r="Z35" s="189">
        <v>0.08</v>
      </c>
      <c r="AA35" s="189">
        <v>0.06</v>
      </c>
      <c r="AB35" s="189">
        <v>0.04</v>
      </c>
      <c r="AC35" s="190">
        <v>0.04</v>
      </c>
      <c r="AD35" s="188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1"/>
    </row>
    <row r="36" spans="1:43" ht="15.75" customHeight="1">
      <c r="A36" s="106" t="str">
        <f t="shared" si="2"/>
        <v>Grant, CLIFF 11 SE  NM1910</v>
      </c>
      <c r="B36" s="106" t="s">
        <v>151</v>
      </c>
      <c r="C36" s="106" t="s">
        <v>207</v>
      </c>
      <c r="D36" s="1063">
        <v>2.85</v>
      </c>
      <c r="E36" s="184">
        <v>1.02</v>
      </c>
      <c r="F36" s="184">
        <v>0.9</v>
      </c>
      <c r="G36" s="184">
        <v>0.82</v>
      </c>
      <c r="H36" s="184">
        <v>0.35</v>
      </c>
      <c r="I36" s="184">
        <v>0.29</v>
      </c>
      <c r="J36" s="184">
        <v>0.48</v>
      </c>
      <c r="K36" s="184">
        <v>2.99</v>
      </c>
      <c r="L36" s="184">
        <v>2.95</v>
      </c>
      <c r="M36" s="184">
        <v>1.82</v>
      </c>
      <c r="N36" s="184">
        <v>1.36</v>
      </c>
      <c r="O36" s="184">
        <v>0.82</v>
      </c>
      <c r="P36" s="184">
        <v>1.28</v>
      </c>
      <c r="Q36" s="185">
        <f t="shared" si="3"/>
        <v>15.08</v>
      </c>
      <c r="R36" s="186">
        <v>0.04</v>
      </c>
      <c r="S36" s="186">
        <v>0.05</v>
      </c>
      <c r="T36" s="186">
        <v>0.07</v>
      </c>
      <c r="U36" s="186">
        <v>0.09</v>
      </c>
      <c r="V36" s="186">
        <v>0.13</v>
      </c>
      <c r="W36" s="186">
        <v>0.15</v>
      </c>
      <c r="X36" s="186">
        <v>0.13</v>
      </c>
      <c r="Y36" s="186">
        <v>0.1</v>
      </c>
      <c r="Z36" s="186">
        <v>0.09</v>
      </c>
      <c r="AA36" s="186">
        <v>0.07</v>
      </c>
      <c r="AB36" s="186">
        <v>0.05</v>
      </c>
      <c r="AC36" s="187">
        <v>0.03</v>
      </c>
      <c r="AD36" s="188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1"/>
    </row>
    <row r="37" spans="1:43" ht="15.75" customHeight="1">
      <c r="A37" s="106" t="str">
        <f t="shared" si="2"/>
        <v>Grant, FAYWOOD  NM3157</v>
      </c>
      <c r="B37" s="106" t="s">
        <v>151</v>
      </c>
      <c r="C37" s="106" t="s">
        <v>208</v>
      </c>
      <c r="D37" s="1063">
        <v>2.88</v>
      </c>
      <c r="E37" s="184">
        <v>0.62</v>
      </c>
      <c r="F37" s="184">
        <v>0.45</v>
      </c>
      <c r="G37" s="184">
        <v>0.41</v>
      </c>
      <c r="H37" s="184">
        <v>0.15</v>
      </c>
      <c r="I37" s="184">
        <v>0.26</v>
      </c>
      <c r="J37" s="184">
        <v>0.83</v>
      </c>
      <c r="K37" s="184">
        <v>2.42</v>
      </c>
      <c r="L37" s="184">
        <v>2.93</v>
      </c>
      <c r="M37" s="184">
        <v>1.89</v>
      </c>
      <c r="N37" s="184">
        <v>1.35</v>
      </c>
      <c r="O37" s="184">
        <v>0.83</v>
      </c>
      <c r="P37" s="184">
        <v>1.08</v>
      </c>
      <c r="Q37" s="185">
        <f t="shared" si="3"/>
        <v>13.22</v>
      </c>
      <c r="R37" s="186">
        <v>0.04</v>
      </c>
      <c r="S37" s="186">
        <v>0.05</v>
      </c>
      <c r="T37" s="186">
        <v>0.07</v>
      </c>
      <c r="U37" s="186">
        <v>0.09</v>
      </c>
      <c r="V37" s="186">
        <v>0.13</v>
      </c>
      <c r="W37" s="186">
        <v>0.15</v>
      </c>
      <c r="X37" s="186">
        <v>0.13</v>
      </c>
      <c r="Y37" s="186">
        <v>0.1</v>
      </c>
      <c r="Z37" s="186">
        <v>0.09</v>
      </c>
      <c r="AA37" s="186">
        <v>0.07</v>
      </c>
      <c r="AB37" s="186">
        <v>0.05</v>
      </c>
      <c r="AC37" s="187">
        <v>0.03</v>
      </c>
      <c r="AD37" s="188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</row>
    <row r="38" spans="1:43" ht="15.75" customHeight="1">
      <c r="A38" s="106" t="str">
        <f t="shared" si="2"/>
        <v>Grant, FORT BAYARD  NM3265</v>
      </c>
      <c r="B38" s="106" t="s">
        <v>151</v>
      </c>
      <c r="C38" s="106" t="s">
        <v>209</v>
      </c>
      <c r="D38" s="1063">
        <v>3.05</v>
      </c>
      <c r="E38" s="184">
        <v>0.78</v>
      </c>
      <c r="F38" s="184">
        <v>0.6</v>
      </c>
      <c r="G38" s="184">
        <v>0.49</v>
      </c>
      <c r="H38" s="184">
        <v>0.2</v>
      </c>
      <c r="I38" s="184">
        <v>0.38</v>
      </c>
      <c r="J38" s="184">
        <v>0.85</v>
      </c>
      <c r="K38" s="184">
        <v>3.54</v>
      </c>
      <c r="L38" s="184">
        <v>3.2</v>
      </c>
      <c r="M38" s="184">
        <v>2.17</v>
      </c>
      <c r="N38" s="184">
        <v>1.49</v>
      </c>
      <c r="O38" s="184">
        <v>0.88</v>
      </c>
      <c r="P38" s="184">
        <v>1.19</v>
      </c>
      <c r="Q38" s="185">
        <f t="shared" si="3"/>
        <v>15.77</v>
      </c>
      <c r="R38" s="186">
        <v>0.04</v>
      </c>
      <c r="S38" s="186">
        <v>0.05</v>
      </c>
      <c r="T38" s="186">
        <v>0.07</v>
      </c>
      <c r="U38" s="186">
        <v>0.09</v>
      </c>
      <c r="V38" s="186">
        <v>0.13</v>
      </c>
      <c r="W38" s="186">
        <v>0.15</v>
      </c>
      <c r="X38" s="186">
        <v>0.13</v>
      </c>
      <c r="Y38" s="186">
        <v>0.1</v>
      </c>
      <c r="Z38" s="186">
        <v>0.09</v>
      </c>
      <c r="AA38" s="186">
        <v>0.07</v>
      </c>
      <c r="AB38" s="186">
        <v>0.05</v>
      </c>
      <c r="AC38" s="187">
        <v>0.03</v>
      </c>
      <c r="AD38" s="188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1"/>
    </row>
    <row r="39" spans="1:43" ht="15.75" customHeight="1">
      <c r="A39" s="106" t="str">
        <f t="shared" si="2"/>
        <v>Grant, GILA HOT SPRINGS  NM3530</v>
      </c>
      <c r="B39" s="106" t="s">
        <v>151</v>
      </c>
      <c r="C39" s="106" t="s">
        <v>210</v>
      </c>
      <c r="D39" s="1063">
        <v>2.87</v>
      </c>
      <c r="E39" s="184">
        <v>0.94</v>
      </c>
      <c r="F39" s="184">
        <v>0.89</v>
      </c>
      <c r="G39" s="184">
        <v>0.81</v>
      </c>
      <c r="H39" s="184">
        <v>0.43</v>
      </c>
      <c r="I39" s="184">
        <v>0.49</v>
      </c>
      <c r="J39" s="184">
        <v>0.59</v>
      </c>
      <c r="K39" s="184">
        <v>2.99</v>
      </c>
      <c r="L39" s="184">
        <v>2.94</v>
      </c>
      <c r="M39" s="184">
        <v>2.25</v>
      </c>
      <c r="N39" s="184">
        <v>1.58</v>
      </c>
      <c r="O39" s="184">
        <v>0.92</v>
      </c>
      <c r="P39" s="184">
        <v>1.43</v>
      </c>
      <c r="Q39" s="185">
        <f t="shared" si="3"/>
        <v>16.26</v>
      </c>
      <c r="R39" s="186">
        <v>0.04</v>
      </c>
      <c r="S39" s="186">
        <v>0.05</v>
      </c>
      <c r="T39" s="186">
        <v>0.07</v>
      </c>
      <c r="U39" s="186">
        <v>0.09</v>
      </c>
      <c r="V39" s="186">
        <v>0.13</v>
      </c>
      <c r="W39" s="186">
        <v>0.15</v>
      </c>
      <c r="X39" s="186">
        <v>0.13</v>
      </c>
      <c r="Y39" s="186">
        <v>0.1</v>
      </c>
      <c r="Z39" s="186">
        <v>0.09</v>
      </c>
      <c r="AA39" s="186">
        <v>0.07</v>
      </c>
      <c r="AB39" s="186">
        <v>0.05</v>
      </c>
      <c r="AC39" s="187">
        <v>0.03</v>
      </c>
      <c r="AD39" s="188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1"/>
    </row>
    <row r="40" spans="1:43" ht="15.75" customHeight="1">
      <c r="A40" s="106" t="str">
        <f t="shared" si="2"/>
        <v>Grant, HACHITA  NM3775</v>
      </c>
      <c r="B40" s="106" t="s">
        <v>151</v>
      </c>
      <c r="C40" s="106" t="s">
        <v>211</v>
      </c>
      <c r="D40" s="1063">
        <v>3.07</v>
      </c>
      <c r="E40" s="184">
        <v>0.68</v>
      </c>
      <c r="F40" s="184">
        <v>0.48</v>
      </c>
      <c r="G40" s="184">
        <v>0.48</v>
      </c>
      <c r="H40" s="184">
        <v>0.24</v>
      </c>
      <c r="I40" s="184">
        <v>0.16</v>
      </c>
      <c r="J40" s="184">
        <v>0.48</v>
      </c>
      <c r="K40" s="184">
        <v>2.37</v>
      </c>
      <c r="L40" s="184">
        <v>2.2</v>
      </c>
      <c r="M40" s="184">
        <v>1.46</v>
      </c>
      <c r="N40" s="184">
        <v>1.04</v>
      </c>
      <c r="O40" s="184">
        <v>0.64</v>
      </c>
      <c r="P40" s="184">
        <v>1.03</v>
      </c>
      <c r="Q40" s="185">
        <f t="shared" si="3"/>
        <v>11.26</v>
      </c>
      <c r="R40" s="186">
        <v>0.04</v>
      </c>
      <c r="S40" s="186">
        <v>0.05</v>
      </c>
      <c r="T40" s="186">
        <v>0.07</v>
      </c>
      <c r="U40" s="186">
        <v>0.09</v>
      </c>
      <c r="V40" s="186">
        <v>0.13</v>
      </c>
      <c r="W40" s="186">
        <v>0.15</v>
      </c>
      <c r="X40" s="186">
        <v>0.13</v>
      </c>
      <c r="Y40" s="186">
        <v>0.1</v>
      </c>
      <c r="Z40" s="186">
        <v>0.09</v>
      </c>
      <c r="AA40" s="186">
        <v>0.07</v>
      </c>
      <c r="AB40" s="186">
        <v>0.05</v>
      </c>
      <c r="AC40" s="187">
        <v>0.03</v>
      </c>
      <c r="AD40" s="188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1"/>
    </row>
    <row r="41" spans="1:43" ht="15.75" customHeight="1">
      <c r="A41" s="106" t="str">
        <f t="shared" si="2"/>
        <v>Grant, MIMBRES RANGER STN  NM5754</v>
      </c>
      <c r="B41" s="106" t="s">
        <v>151</v>
      </c>
      <c r="C41" s="106" t="s">
        <v>212</v>
      </c>
      <c r="D41" s="1063">
        <v>3.3</v>
      </c>
      <c r="E41" s="184">
        <v>0.92</v>
      </c>
      <c r="F41" s="184">
        <v>0.71</v>
      </c>
      <c r="G41" s="184">
        <v>0.77</v>
      </c>
      <c r="H41" s="184">
        <v>0.37</v>
      </c>
      <c r="I41" s="184">
        <v>0.51</v>
      </c>
      <c r="J41" s="184">
        <v>0.87</v>
      </c>
      <c r="K41" s="184">
        <v>3.68</v>
      </c>
      <c r="L41" s="184">
        <v>4.03</v>
      </c>
      <c r="M41" s="184">
        <v>2.58</v>
      </c>
      <c r="N41" s="184">
        <v>1.66</v>
      </c>
      <c r="O41" s="184">
        <v>1.02</v>
      </c>
      <c r="P41" s="184">
        <v>1.4</v>
      </c>
      <c r="Q41" s="185">
        <f t="shared" si="3"/>
        <v>18.519999999999996</v>
      </c>
      <c r="R41" s="186">
        <v>0.04</v>
      </c>
      <c r="S41" s="186">
        <v>0.05</v>
      </c>
      <c r="T41" s="186">
        <v>0.07</v>
      </c>
      <c r="U41" s="186">
        <v>0.09</v>
      </c>
      <c r="V41" s="186">
        <v>0.13</v>
      </c>
      <c r="W41" s="186">
        <v>0.15</v>
      </c>
      <c r="X41" s="186">
        <v>0.13</v>
      </c>
      <c r="Y41" s="186">
        <v>0.1</v>
      </c>
      <c r="Z41" s="186">
        <v>0.09</v>
      </c>
      <c r="AA41" s="186">
        <v>0.07</v>
      </c>
      <c r="AB41" s="186">
        <v>0.05</v>
      </c>
      <c r="AC41" s="187">
        <v>0.03</v>
      </c>
      <c r="AD41" s="188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1"/>
    </row>
    <row r="42" spans="1:43" ht="15.75" customHeight="1">
      <c r="A42" s="106" t="str">
        <f t="shared" si="2"/>
        <v>Grant, REDROCK  NM7340</v>
      </c>
      <c r="B42" s="106" t="s">
        <v>151</v>
      </c>
      <c r="C42" s="106" t="s">
        <v>213</v>
      </c>
      <c r="D42" s="1063">
        <v>2.86</v>
      </c>
      <c r="E42" s="184">
        <v>0.91</v>
      </c>
      <c r="F42" s="184">
        <v>0.77</v>
      </c>
      <c r="G42" s="184">
        <v>0.67</v>
      </c>
      <c r="H42" s="184">
        <v>0.23</v>
      </c>
      <c r="I42" s="184">
        <v>0.26</v>
      </c>
      <c r="J42" s="184">
        <v>0.42</v>
      </c>
      <c r="K42" s="184">
        <v>2.7</v>
      </c>
      <c r="L42" s="184">
        <v>2.59</v>
      </c>
      <c r="M42" s="184">
        <v>1.96</v>
      </c>
      <c r="N42" s="184">
        <v>1.18</v>
      </c>
      <c r="O42" s="184">
        <v>0.72</v>
      </c>
      <c r="P42" s="184">
        <v>1.18</v>
      </c>
      <c r="Q42" s="185">
        <f t="shared" si="3"/>
        <v>13.590000000000002</v>
      </c>
      <c r="R42" s="186">
        <v>0.04</v>
      </c>
      <c r="S42" s="186">
        <v>0.05</v>
      </c>
      <c r="T42" s="186">
        <v>0.07</v>
      </c>
      <c r="U42" s="186">
        <v>0.09</v>
      </c>
      <c r="V42" s="186">
        <v>0.13</v>
      </c>
      <c r="W42" s="186">
        <v>0.15</v>
      </c>
      <c r="X42" s="186">
        <v>0.13</v>
      </c>
      <c r="Y42" s="186">
        <v>0.1</v>
      </c>
      <c r="Z42" s="186">
        <v>0.09</v>
      </c>
      <c r="AA42" s="186">
        <v>0.07</v>
      </c>
      <c r="AB42" s="186">
        <v>0.05</v>
      </c>
      <c r="AC42" s="187">
        <v>0.03</v>
      </c>
      <c r="AD42" s="188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1"/>
    </row>
    <row r="43" spans="1:43" ht="15.75" customHeight="1">
      <c r="A43" s="106" t="str">
        <f t="shared" si="2"/>
        <v>Grant, WHITE SIGNAL  NM9691</v>
      </c>
      <c r="B43" s="106" t="s">
        <v>151</v>
      </c>
      <c r="C43" s="106" t="s">
        <v>214</v>
      </c>
      <c r="D43" s="1063">
        <v>2.99</v>
      </c>
      <c r="E43" s="184">
        <v>1.11</v>
      </c>
      <c r="F43" s="184">
        <v>0.93</v>
      </c>
      <c r="G43" s="184">
        <v>0.79</v>
      </c>
      <c r="H43" s="184">
        <v>0.3</v>
      </c>
      <c r="I43" s="184">
        <v>0.27</v>
      </c>
      <c r="J43" s="184">
        <v>0.57</v>
      </c>
      <c r="K43" s="184">
        <v>2.98</v>
      </c>
      <c r="L43" s="184">
        <v>2.74</v>
      </c>
      <c r="M43" s="184">
        <v>1.86</v>
      </c>
      <c r="N43" s="184">
        <v>1.31</v>
      </c>
      <c r="O43" s="184">
        <v>1.01</v>
      </c>
      <c r="P43" s="184">
        <v>1.54</v>
      </c>
      <c r="Q43" s="185">
        <f t="shared" si="3"/>
        <v>15.41</v>
      </c>
      <c r="R43" s="186">
        <v>0.04</v>
      </c>
      <c r="S43" s="186">
        <v>0.05</v>
      </c>
      <c r="T43" s="186">
        <v>0.07</v>
      </c>
      <c r="U43" s="186">
        <v>0.09</v>
      </c>
      <c r="V43" s="186">
        <v>0.13</v>
      </c>
      <c r="W43" s="186">
        <v>0.15</v>
      </c>
      <c r="X43" s="186">
        <v>0.13</v>
      </c>
      <c r="Y43" s="186">
        <v>0.1</v>
      </c>
      <c r="Z43" s="186">
        <v>0.09</v>
      </c>
      <c r="AA43" s="186">
        <v>0.07</v>
      </c>
      <c r="AB43" s="186">
        <v>0.05</v>
      </c>
      <c r="AC43" s="187">
        <v>0.03</v>
      </c>
      <c r="AD43" s="188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1"/>
    </row>
    <row r="44" spans="1:43" ht="15.75" customHeight="1">
      <c r="A44" s="106" t="str">
        <f t="shared" si="2"/>
        <v>Guadalupe, DILIA 1 SSE  NM2510</v>
      </c>
      <c r="B44" s="106" t="s">
        <v>152</v>
      </c>
      <c r="C44" s="106" t="s">
        <v>215</v>
      </c>
      <c r="D44" s="1063">
        <v>3.55</v>
      </c>
      <c r="E44" s="184">
        <v>0.59</v>
      </c>
      <c r="F44" s="184">
        <v>0.57</v>
      </c>
      <c r="G44" s="184">
        <v>0.65</v>
      </c>
      <c r="H44" s="184">
        <v>0.82</v>
      </c>
      <c r="I44" s="184">
        <v>1.12</v>
      </c>
      <c r="J44" s="184">
        <v>1.26</v>
      </c>
      <c r="K44" s="184">
        <v>2.73</v>
      </c>
      <c r="L44" s="184">
        <v>2.67</v>
      </c>
      <c r="M44" s="184">
        <v>1.9</v>
      </c>
      <c r="N44" s="184">
        <v>1.07</v>
      </c>
      <c r="O44" s="184">
        <v>0.71</v>
      </c>
      <c r="P44" s="184">
        <v>0.56</v>
      </c>
      <c r="Q44" s="185">
        <f t="shared" si="3"/>
        <v>14.65</v>
      </c>
      <c r="R44" s="193">
        <v>0.03</v>
      </c>
      <c r="S44" s="193">
        <v>0.05</v>
      </c>
      <c r="T44" s="193">
        <v>0.08</v>
      </c>
      <c r="U44" s="193">
        <v>0.1</v>
      </c>
      <c r="V44" s="193">
        <v>0.12</v>
      </c>
      <c r="W44" s="193">
        <v>0.14</v>
      </c>
      <c r="X44" s="193">
        <v>0.13</v>
      </c>
      <c r="Y44" s="193">
        <v>0.11</v>
      </c>
      <c r="Z44" s="193">
        <v>0.1</v>
      </c>
      <c r="AA44" s="193">
        <v>0.07</v>
      </c>
      <c r="AB44" s="193">
        <v>0.04</v>
      </c>
      <c r="AC44" s="194">
        <v>0.03</v>
      </c>
      <c r="AD44" s="188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1"/>
    </row>
    <row r="45" spans="1:43" ht="15.75" customHeight="1">
      <c r="A45" s="106" t="str">
        <f t="shared" si="2"/>
        <v>Guadalupe, NEWKIRK  NM6115</v>
      </c>
      <c r="B45" s="106" t="s">
        <v>152</v>
      </c>
      <c r="C45" s="106" t="s">
        <v>216</v>
      </c>
      <c r="D45" s="1063">
        <v>4.35</v>
      </c>
      <c r="E45" s="184">
        <v>0.37</v>
      </c>
      <c r="F45" s="184">
        <v>0.45</v>
      </c>
      <c r="G45" s="184">
        <v>0.56</v>
      </c>
      <c r="H45" s="184">
        <v>0.68</v>
      </c>
      <c r="I45" s="184">
        <v>1.19</v>
      </c>
      <c r="J45" s="184">
        <v>1.75</v>
      </c>
      <c r="K45" s="184">
        <v>2.64</v>
      </c>
      <c r="L45" s="184">
        <v>3.07</v>
      </c>
      <c r="M45" s="184">
        <v>1.62</v>
      </c>
      <c r="N45" s="184">
        <v>1.32</v>
      </c>
      <c r="O45" s="184">
        <v>0.6</v>
      </c>
      <c r="P45" s="184">
        <v>0.43</v>
      </c>
      <c r="Q45" s="185">
        <f t="shared" si="3"/>
        <v>14.680000000000001</v>
      </c>
      <c r="R45" s="193">
        <v>0.03</v>
      </c>
      <c r="S45" s="193">
        <v>0.05</v>
      </c>
      <c r="T45" s="193">
        <v>0.08</v>
      </c>
      <c r="U45" s="193">
        <v>0.1</v>
      </c>
      <c r="V45" s="193">
        <v>0.12</v>
      </c>
      <c r="W45" s="193">
        <v>0.14</v>
      </c>
      <c r="X45" s="193">
        <v>0.13</v>
      </c>
      <c r="Y45" s="193">
        <v>0.11</v>
      </c>
      <c r="Z45" s="193">
        <v>0.1</v>
      </c>
      <c r="AA45" s="193">
        <v>0.07</v>
      </c>
      <c r="AB45" s="193">
        <v>0.04</v>
      </c>
      <c r="AC45" s="194">
        <v>0.03</v>
      </c>
      <c r="AD45" s="188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1"/>
    </row>
    <row r="46" spans="1:43" ht="15.75" customHeight="1">
      <c r="A46" s="106" t="str">
        <f t="shared" si="2"/>
        <v>Guadalupe, SANTA ROSA  NM8107</v>
      </c>
      <c r="B46" s="106" t="s">
        <v>152</v>
      </c>
      <c r="C46" s="106" t="s">
        <v>217</v>
      </c>
      <c r="D46" s="1062">
        <v>3.87</v>
      </c>
      <c r="E46" s="184">
        <v>0.38</v>
      </c>
      <c r="F46" s="184">
        <v>0.51</v>
      </c>
      <c r="G46" s="184">
        <v>0.5</v>
      </c>
      <c r="H46" s="184">
        <v>0.71</v>
      </c>
      <c r="I46" s="184">
        <v>1.14</v>
      </c>
      <c r="J46" s="184">
        <v>1.67</v>
      </c>
      <c r="K46" s="184">
        <v>2.35</v>
      </c>
      <c r="L46" s="184">
        <v>3.06</v>
      </c>
      <c r="M46" s="184">
        <v>1.72</v>
      </c>
      <c r="N46" s="184">
        <v>1.13</v>
      </c>
      <c r="O46" s="184">
        <v>0.74</v>
      </c>
      <c r="P46" s="184">
        <v>0.57</v>
      </c>
      <c r="Q46" s="185">
        <f t="shared" si="3"/>
        <v>14.480000000000002</v>
      </c>
      <c r="R46" s="193">
        <v>0.03</v>
      </c>
      <c r="S46" s="193">
        <v>0.05</v>
      </c>
      <c r="T46" s="193">
        <v>0.08</v>
      </c>
      <c r="U46" s="193">
        <v>0.1</v>
      </c>
      <c r="V46" s="193">
        <v>0.12</v>
      </c>
      <c r="W46" s="193">
        <v>0.14</v>
      </c>
      <c r="X46" s="193">
        <v>0.13</v>
      </c>
      <c r="Y46" s="193">
        <v>0.11</v>
      </c>
      <c r="Z46" s="193">
        <v>0.1</v>
      </c>
      <c r="AA46" s="193">
        <v>0.07</v>
      </c>
      <c r="AB46" s="193">
        <v>0.04</v>
      </c>
      <c r="AC46" s="194">
        <v>0.03</v>
      </c>
      <c r="AD46" s="188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1"/>
    </row>
    <row r="47" spans="1:43" ht="15.75" customHeight="1">
      <c r="A47" s="106" t="str">
        <f t="shared" si="2"/>
        <v>Harding, MOSQUERO  NM5937</v>
      </c>
      <c r="B47" s="106" t="s">
        <v>153</v>
      </c>
      <c r="C47" s="106" t="s">
        <v>218</v>
      </c>
      <c r="D47" s="1062">
        <v>4.36</v>
      </c>
      <c r="E47" s="184">
        <v>0.4</v>
      </c>
      <c r="F47" s="184">
        <v>0.38</v>
      </c>
      <c r="G47" s="184">
        <v>0.63</v>
      </c>
      <c r="H47" s="184">
        <v>0.87</v>
      </c>
      <c r="I47" s="184">
        <v>2.19</v>
      </c>
      <c r="J47" s="184">
        <v>2.15</v>
      </c>
      <c r="K47" s="184">
        <v>3.04</v>
      </c>
      <c r="L47" s="184">
        <v>3.01</v>
      </c>
      <c r="M47" s="184">
        <v>2.11</v>
      </c>
      <c r="N47" s="184">
        <v>1.11</v>
      </c>
      <c r="O47" s="184">
        <v>0.74</v>
      </c>
      <c r="P47" s="184">
        <v>0.46</v>
      </c>
      <c r="Q47" s="185">
        <f t="shared" si="3"/>
        <v>17.09</v>
      </c>
      <c r="R47" s="186">
        <v>0.03</v>
      </c>
      <c r="S47" s="186">
        <v>0.04</v>
      </c>
      <c r="T47" s="186">
        <v>0.07</v>
      </c>
      <c r="U47" s="186">
        <v>0.1</v>
      </c>
      <c r="V47" s="186">
        <v>0.12</v>
      </c>
      <c r="W47" s="186">
        <v>0.14</v>
      </c>
      <c r="X47" s="186">
        <v>0.14</v>
      </c>
      <c r="Y47" s="186">
        <v>0.12</v>
      </c>
      <c r="Z47" s="186">
        <v>0.1</v>
      </c>
      <c r="AA47" s="186">
        <v>0.07</v>
      </c>
      <c r="AB47" s="186">
        <v>0.04</v>
      </c>
      <c r="AC47" s="187">
        <v>0.03</v>
      </c>
      <c r="AD47" s="188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1"/>
    </row>
    <row r="48" spans="1:43" ht="15.75" customHeight="1">
      <c r="A48" s="106" t="str">
        <f t="shared" si="2"/>
        <v>Harding, ROY  NM7638</v>
      </c>
      <c r="B48" s="106" t="s">
        <v>153</v>
      </c>
      <c r="C48" s="106" t="s">
        <v>219</v>
      </c>
      <c r="D48" s="1062">
        <v>3.92</v>
      </c>
      <c r="E48" s="184">
        <v>0.35</v>
      </c>
      <c r="F48" s="184">
        <v>0.44</v>
      </c>
      <c r="G48" s="184">
        <v>0.55</v>
      </c>
      <c r="H48" s="184">
        <v>0.82</v>
      </c>
      <c r="I48" s="184">
        <v>1.84</v>
      </c>
      <c r="J48" s="184">
        <v>2.14</v>
      </c>
      <c r="K48" s="184">
        <v>3.03</v>
      </c>
      <c r="L48" s="184">
        <v>2.8</v>
      </c>
      <c r="M48" s="184">
        <v>1.9</v>
      </c>
      <c r="N48" s="184">
        <v>1.05</v>
      </c>
      <c r="O48" s="184">
        <v>0.5</v>
      </c>
      <c r="P48" s="184">
        <v>0.45</v>
      </c>
      <c r="Q48" s="185">
        <f t="shared" si="3"/>
        <v>15.87</v>
      </c>
      <c r="R48" s="186">
        <v>0.03</v>
      </c>
      <c r="S48" s="186">
        <v>0.04</v>
      </c>
      <c r="T48" s="186">
        <v>0.07</v>
      </c>
      <c r="U48" s="186">
        <v>0.1</v>
      </c>
      <c r="V48" s="186">
        <v>0.12</v>
      </c>
      <c r="W48" s="186">
        <v>0.14</v>
      </c>
      <c r="X48" s="186">
        <v>0.14</v>
      </c>
      <c r="Y48" s="186">
        <v>0.12</v>
      </c>
      <c r="Z48" s="186">
        <v>0.1</v>
      </c>
      <c r="AA48" s="186">
        <v>0.07</v>
      </c>
      <c r="AB48" s="186">
        <v>0.04</v>
      </c>
      <c r="AC48" s="187">
        <v>0.03</v>
      </c>
      <c r="AD48" s="188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1"/>
    </row>
    <row r="49" spans="1:43" ht="15.75" customHeight="1">
      <c r="A49" s="106" t="str">
        <f t="shared" si="2"/>
        <v>Hidalgo, ANIMAS  NM0417</v>
      </c>
      <c r="B49" s="106" t="s">
        <v>154</v>
      </c>
      <c r="C49" s="106" t="s">
        <v>220</v>
      </c>
      <c r="D49" s="1062">
        <v>3.07</v>
      </c>
      <c r="E49" s="184">
        <v>0.68</v>
      </c>
      <c r="F49" s="184">
        <v>0.51</v>
      </c>
      <c r="G49" s="184">
        <v>0.47</v>
      </c>
      <c r="H49" s="184">
        <v>0.2</v>
      </c>
      <c r="I49" s="184">
        <v>0.18</v>
      </c>
      <c r="J49" s="184">
        <v>0.44</v>
      </c>
      <c r="K49" s="184">
        <v>2.29</v>
      </c>
      <c r="L49" s="184">
        <v>2.35</v>
      </c>
      <c r="M49" s="184">
        <v>1.68</v>
      </c>
      <c r="N49" s="184">
        <v>1.11</v>
      </c>
      <c r="O49" s="184">
        <v>0.71</v>
      </c>
      <c r="P49" s="184">
        <v>1.08</v>
      </c>
      <c r="Q49" s="185">
        <f t="shared" si="3"/>
        <v>11.699999999999998</v>
      </c>
      <c r="R49" s="186">
        <v>0.03</v>
      </c>
      <c r="S49" s="186">
        <v>0.04</v>
      </c>
      <c r="T49" s="186">
        <v>0.08</v>
      </c>
      <c r="U49" s="186">
        <v>0.11</v>
      </c>
      <c r="V49" s="186">
        <v>0.14</v>
      </c>
      <c r="W49" s="186">
        <v>0.15</v>
      </c>
      <c r="X49" s="186">
        <v>0.13</v>
      </c>
      <c r="Y49" s="186">
        <v>0.11</v>
      </c>
      <c r="Z49" s="186">
        <v>0.09</v>
      </c>
      <c r="AA49" s="186">
        <v>0.06</v>
      </c>
      <c r="AB49" s="186">
        <v>0.04</v>
      </c>
      <c r="AC49" s="187">
        <v>0.02</v>
      </c>
      <c r="AD49" s="188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1"/>
    </row>
    <row r="50" spans="1:43" ht="15.75" customHeight="1">
      <c r="A50" s="106" t="str">
        <f t="shared" si="2"/>
        <v>Hidalgo, LORDSBURG 4 SE  NM5079</v>
      </c>
      <c r="B50" s="106" t="s">
        <v>154</v>
      </c>
      <c r="C50" s="106" t="s">
        <v>221</v>
      </c>
      <c r="D50" s="1062">
        <v>3.01</v>
      </c>
      <c r="E50" s="184">
        <v>0.85</v>
      </c>
      <c r="F50" s="184">
        <v>0.57</v>
      </c>
      <c r="G50" s="184">
        <v>0.63</v>
      </c>
      <c r="H50" s="184">
        <v>0.24</v>
      </c>
      <c r="I50" s="184">
        <v>0.28</v>
      </c>
      <c r="J50" s="184">
        <v>0.54</v>
      </c>
      <c r="K50" s="184">
        <v>1.99</v>
      </c>
      <c r="L50" s="184">
        <v>2.09</v>
      </c>
      <c r="M50" s="184">
        <v>1.47</v>
      </c>
      <c r="N50" s="184">
        <v>1.26</v>
      </c>
      <c r="O50" s="184">
        <v>0.66</v>
      </c>
      <c r="P50" s="184">
        <v>1.13</v>
      </c>
      <c r="Q50" s="185">
        <f t="shared" si="3"/>
        <v>11.71</v>
      </c>
      <c r="R50" s="186">
        <v>0.03</v>
      </c>
      <c r="S50" s="186">
        <v>0.04</v>
      </c>
      <c r="T50" s="186">
        <v>0.08</v>
      </c>
      <c r="U50" s="186">
        <v>0.11</v>
      </c>
      <c r="V50" s="186">
        <v>0.14</v>
      </c>
      <c r="W50" s="186">
        <v>0.15</v>
      </c>
      <c r="X50" s="186">
        <v>0.13</v>
      </c>
      <c r="Y50" s="186">
        <v>0.11</v>
      </c>
      <c r="Z50" s="186">
        <v>0.09</v>
      </c>
      <c r="AA50" s="186">
        <v>0.06</v>
      </c>
      <c r="AB50" s="186">
        <v>0.04</v>
      </c>
      <c r="AC50" s="187">
        <v>0.02</v>
      </c>
      <c r="AD50" s="188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1"/>
    </row>
    <row r="51" spans="1:43" ht="15.75" customHeight="1">
      <c r="A51" s="106" t="str">
        <f t="shared" si="2"/>
        <v>Lea, CROSSROADS #2  NM2207</v>
      </c>
      <c r="B51" s="106" t="s">
        <v>155</v>
      </c>
      <c r="C51" s="106" t="s">
        <v>222</v>
      </c>
      <c r="D51" s="1062">
        <v>4.62</v>
      </c>
      <c r="E51" s="184">
        <v>0.3</v>
      </c>
      <c r="F51" s="184">
        <v>0.43</v>
      </c>
      <c r="G51" s="184">
        <v>0.42</v>
      </c>
      <c r="H51" s="184">
        <v>0.66</v>
      </c>
      <c r="I51" s="184">
        <v>1.73</v>
      </c>
      <c r="J51" s="184">
        <v>2.26</v>
      </c>
      <c r="K51" s="184">
        <v>2.56</v>
      </c>
      <c r="L51" s="184">
        <v>2.84</v>
      </c>
      <c r="M51" s="184">
        <v>2.12</v>
      </c>
      <c r="N51" s="184">
        <v>1.36</v>
      </c>
      <c r="O51" s="184">
        <v>0.54</v>
      </c>
      <c r="P51" s="184">
        <v>0.36</v>
      </c>
      <c r="Q51" s="185">
        <f t="shared" si="3"/>
        <v>15.579999999999998</v>
      </c>
      <c r="R51" s="186">
        <v>0.03</v>
      </c>
      <c r="S51" s="186">
        <v>0.04</v>
      </c>
      <c r="T51" s="186">
        <v>0.08</v>
      </c>
      <c r="U51" s="186">
        <v>0.1</v>
      </c>
      <c r="V51" s="186">
        <v>0.12</v>
      </c>
      <c r="W51" s="186">
        <v>0.14</v>
      </c>
      <c r="X51" s="186">
        <v>0.13</v>
      </c>
      <c r="Y51" s="186">
        <v>0.12</v>
      </c>
      <c r="Z51" s="186">
        <v>0.09</v>
      </c>
      <c r="AA51" s="186">
        <v>0.07</v>
      </c>
      <c r="AB51" s="186">
        <v>0.05</v>
      </c>
      <c r="AC51" s="187">
        <v>0.03</v>
      </c>
      <c r="AD51" s="188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1"/>
    </row>
    <row r="52" spans="1:43" ht="15.75" customHeight="1">
      <c r="A52" s="106" t="str">
        <f t="shared" si="2"/>
        <v>Lea, HOBBS  NM4026</v>
      </c>
      <c r="B52" s="106" t="s">
        <v>155</v>
      </c>
      <c r="C52" s="106" t="s">
        <v>223</v>
      </c>
      <c r="D52" s="1062">
        <v>5.36</v>
      </c>
      <c r="E52" s="184">
        <v>0.37</v>
      </c>
      <c r="F52" s="184">
        <v>0.57</v>
      </c>
      <c r="G52" s="184">
        <v>0.5</v>
      </c>
      <c r="H52" s="184">
        <v>0.73</v>
      </c>
      <c r="I52" s="184">
        <v>1.98</v>
      </c>
      <c r="J52" s="184">
        <v>1.84</v>
      </c>
      <c r="K52" s="184">
        <v>2.51</v>
      </c>
      <c r="L52" s="184">
        <v>2.71</v>
      </c>
      <c r="M52" s="184">
        <v>2.6</v>
      </c>
      <c r="N52" s="184">
        <v>1.43</v>
      </c>
      <c r="O52" s="184">
        <v>0.77</v>
      </c>
      <c r="P52" s="184">
        <v>0.62</v>
      </c>
      <c r="Q52" s="185">
        <f t="shared" si="3"/>
        <v>16.630000000000003</v>
      </c>
      <c r="R52" s="189">
        <v>0.04</v>
      </c>
      <c r="S52" s="189">
        <v>0.05</v>
      </c>
      <c r="T52" s="189">
        <v>0.08</v>
      </c>
      <c r="U52" s="189">
        <v>0.11</v>
      </c>
      <c r="V52" s="189">
        <v>0.13</v>
      </c>
      <c r="W52" s="189">
        <v>0.13</v>
      </c>
      <c r="X52" s="189">
        <v>0.13</v>
      </c>
      <c r="Y52" s="189">
        <v>0.11</v>
      </c>
      <c r="Z52" s="189">
        <v>0.08</v>
      </c>
      <c r="AA52" s="189">
        <v>0.06</v>
      </c>
      <c r="AB52" s="189">
        <v>0.04</v>
      </c>
      <c r="AC52" s="190">
        <v>0.04</v>
      </c>
      <c r="AD52" s="188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1"/>
    </row>
    <row r="53" spans="1:43" ht="15.75" customHeight="1">
      <c r="A53" s="106" t="str">
        <f t="shared" si="2"/>
        <v>Lea, JAL  NM4346</v>
      </c>
      <c r="B53" s="106" t="s">
        <v>155</v>
      </c>
      <c r="C53" s="106" t="s">
        <v>224</v>
      </c>
      <c r="D53" s="1062">
        <v>4.59</v>
      </c>
      <c r="E53" s="184">
        <v>0.34</v>
      </c>
      <c r="F53" s="184">
        <v>0.48</v>
      </c>
      <c r="G53" s="184">
        <v>0.47</v>
      </c>
      <c r="H53" s="184">
        <v>0.66</v>
      </c>
      <c r="I53" s="184">
        <v>1.34</v>
      </c>
      <c r="J53" s="184">
        <v>1.65</v>
      </c>
      <c r="K53" s="184">
        <v>1.69</v>
      </c>
      <c r="L53" s="184">
        <v>1.94</v>
      </c>
      <c r="M53" s="184">
        <v>2.34</v>
      </c>
      <c r="N53" s="184">
        <v>1.27</v>
      </c>
      <c r="O53" s="184">
        <v>0.61</v>
      </c>
      <c r="P53" s="184">
        <v>0.49</v>
      </c>
      <c r="Q53" s="185">
        <f t="shared" si="3"/>
        <v>13.279999999999998</v>
      </c>
      <c r="R53" s="189">
        <v>0.04</v>
      </c>
      <c r="S53" s="189">
        <v>0.05</v>
      </c>
      <c r="T53" s="189">
        <v>0.08</v>
      </c>
      <c r="U53" s="189">
        <v>0.11</v>
      </c>
      <c r="V53" s="189">
        <v>0.13</v>
      </c>
      <c r="W53" s="189">
        <v>0.13</v>
      </c>
      <c r="X53" s="189">
        <v>0.13</v>
      </c>
      <c r="Y53" s="189">
        <v>0.11</v>
      </c>
      <c r="Z53" s="189">
        <v>0.08</v>
      </c>
      <c r="AA53" s="189">
        <v>0.06</v>
      </c>
      <c r="AB53" s="189">
        <v>0.04</v>
      </c>
      <c r="AC53" s="190">
        <v>0.04</v>
      </c>
      <c r="AD53" s="188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1"/>
    </row>
    <row r="54" spans="1:43" ht="15.75" customHeight="1">
      <c r="A54" s="106" t="str">
        <f t="shared" si="2"/>
        <v>Lea, MALJAMAR 4 SE  NM5370</v>
      </c>
      <c r="B54" s="106" t="s">
        <v>155</v>
      </c>
      <c r="C54" s="106" t="s">
        <v>225</v>
      </c>
      <c r="D54" s="1062">
        <v>4.55</v>
      </c>
      <c r="E54" s="184">
        <v>0.37</v>
      </c>
      <c r="F54" s="184">
        <v>0.53</v>
      </c>
      <c r="G54" s="184">
        <v>0.46</v>
      </c>
      <c r="H54" s="184">
        <v>0.46</v>
      </c>
      <c r="I54" s="184">
        <v>1.53</v>
      </c>
      <c r="J54" s="184">
        <v>1.65</v>
      </c>
      <c r="K54" s="184">
        <v>2.19</v>
      </c>
      <c r="L54" s="184">
        <v>2.72</v>
      </c>
      <c r="M54" s="184">
        <v>2.79</v>
      </c>
      <c r="N54" s="184">
        <v>1.06</v>
      </c>
      <c r="O54" s="184">
        <v>0.7</v>
      </c>
      <c r="P54" s="184">
        <v>0.48</v>
      </c>
      <c r="Q54" s="185">
        <f t="shared" si="3"/>
        <v>14.94</v>
      </c>
      <c r="R54" s="186">
        <v>0.03</v>
      </c>
      <c r="S54" s="186">
        <v>0.04</v>
      </c>
      <c r="T54" s="186">
        <v>0.08</v>
      </c>
      <c r="U54" s="186">
        <v>0.1</v>
      </c>
      <c r="V54" s="186">
        <v>0.12</v>
      </c>
      <c r="W54" s="186">
        <v>0.14</v>
      </c>
      <c r="X54" s="186">
        <v>0.13</v>
      </c>
      <c r="Y54" s="186">
        <v>0.12</v>
      </c>
      <c r="Z54" s="186">
        <v>0.09</v>
      </c>
      <c r="AA54" s="186">
        <v>0.07</v>
      </c>
      <c r="AB54" s="186">
        <v>0.05</v>
      </c>
      <c r="AC54" s="187">
        <v>0.03</v>
      </c>
      <c r="AD54" s="188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1"/>
    </row>
    <row r="55" spans="1:43" ht="15.75" customHeight="1">
      <c r="A55" s="106" t="str">
        <f t="shared" si="2"/>
        <v>Lea, PEARL  NM6659</v>
      </c>
      <c r="B55" s="106" t="s">
        <v>155</v>
      </c>
      <c r="C55" s="106" t="s">
        <v>226</v>
      </c>
      <c r="D55" s="1062">
        <v>5.07</v>
      </c>
      <c r="E55" s="184">
        <v>0.31</v>
      </c>
      <c r="F55" s="184">
        <v>0.46</v>
      </c>
      <c r="G55" s="184">
        <v>0.41</v>
      </c>
      <c r="H55" s="184">
        <v>0.55</v>
      </c>
      <c r="I55" s="184">
        <v>1.75</v>
      </c>
      <c r="J55" s="184">
        <v>2.39</v>
      </c>
      <c r="K55" s="184">
        <v>1.98</v>
      </c>
      <c r="L55" s="184">
        <v>2.48</v>
      </c>
      <c r="M55" s="184">
        <v>2.71</v>
      </c>
      <c r="N55" s="184">
        <v>0.98</v>
      </c>
      <c r="O55" s="184">
        <v>0.56</v>
      </c>
      <c r="P55" s="184">
        <v>0.51</v>
      </c>
      <c r="Q55" s="185">
        <f t="shared" si="3"/>
        <v>15.09</v>
      </c>
      <c r="R55" s="186">
        <v>0.03</v>
      </c>
      <c r="S55" s="186">
        <v>0.04</v>
      </c>
      <c r="T55" s="186">
        <v>0.08</v>
      </c>
      <c r="U55" s="186">
        <v>0.1</v>
      </c>
      <c r="V55" s="186">
        <v>0.12</v>
      </c>
      <c r="W55" s="186">
        <v>0.14</v>
      </c>
      <c r="X55" s="186">
        <v>0.13</v>
      </c>
      <c r="Y55" s="186">
        <v>0.12</v>
      </c>
      <c r="Z55" s="186">
        <v>0.09</v>
      </c>
      <c r="AA55" s="186">
        <v>0.07</v>
      </c>
      <c r="AB55" s="186">
        <v>0.05</v>
      </c>
      <c r="AC55" s="187">
        <v>0.03</v>
      </c>
      <c r="AD55" s="188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1"/>
    </row>
    <row r="56" spans="1:43" ht="15.75" customHeight="1">
      <c r="A56" s="106" t="str">
        <f t="shared" si="2"/>
        <v>Lea, TATUM  NM8713</v>
      </c>
      <c r="B56" s="106" t="s">
        <v>155</v>
      </c>
      <c r="C56" s="106" t="s">
        <v>227</v>
      </c>
      <c r="D56" s="1062">
        <v>4.72</v>
      </c>
      <c r="E56" s="184">
        <v>0.3</v>
      </c>
      <c r="F56" s="184">
        <v>0.52</v>
      </c>
      <c r="G56" s="184">
        <v>0.54</v>
      </c>
      <c r="H56" s="184">
        <v>0.56</v>
      </c>
      <c r="I56" s="184">
        <v>2</v>
      </c>
      <c r="J56" s="184">
        <v>2.36</v>
      </c>
      <c r="K56" s="184">
        <v>2.61</v>
      </c>
      <c r="L56" s="184">
        <v>2.63</v>
      </c>
      <c r="M56" s="184">
        <v>2.6</v>
      </c>
      <c r="N56" s="184">
        <v>1.5</v>
      </c>
      <c r="O56" s="184">
        <v>0.64</v>
      </c>
      <c r="P56" s="184">
        <v>0.39</v>
      </c>
      <c r="Q56" s="185">
        <f t="shared" si="3"/>
        <v>16.65</v>
      </c>
      <c r="R56" s="186">
        <v>0.03</v>
      </c>
      <c r="S56" s="186">
        <v>0.04</v>
      </c>
      <c r="T56" s="186">
        <v>0.08</v>
      </c>
      <c r="U56" s="186">
        <v>0.1</v>
      </c>
      <c r="V56" s="186">
        <v>0.12</v>
      </c>
      <c r="W56" s="186">
        <v>0.14</v>
      </c>
      <c r="X56" s="186">
        <v>0.13</v>
      </c>
      <c r="Y56" s="186">
        <v>0.12</v>
      </c>
      <c r="Z56" s="186">
        <v>0.09</v>
      </c>
      <c r="AA56" s="186">
        <v>0.07</v>
      </c>
      <c r="AB56" s="186">
        <v>0.05</v>
      </c>
      <c r="AC56" s="187">
        <v>0.03</v>
      </c>
      <c r="AD56" s="188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1"/>
    </row>
    <row r="57" spans="1:43" ht="15.75" customHeight="1">
      <c r="A57" s="106" t="str">
        <f t="shared" si="2"/>
        <v>Lincoln, CARRIZOZO  NM1515</v>
      </c>
      <c r="B57" s="106" t="s">
        <v>156</v>
      </c>
      <c r="C57" s="106" t="s">
        <v>228</v>
      </c>
      <c r="D57" s="1062">
        <v>2.7</v>
      </c>
      <c r="E57" s="184">
        <v>0.6</v>
      </c>
      <c r="F57" s="184">
        <v>0.57</v>
      </c>
      <c r="G57" s="184">
        <v>0.57</v>
      </c>
      <c r="H57" s="184">
        <v>0.36</v>
      </c>
      <c r="I57" s="184">
        <v>0.62</v>
      </c>
      <c r="J57" s="184">
        <v>0.78</v>
      </c>
      <c r="K57" s="184">
        <v>2.04</v>
      </c>
      <c r="L57" s="184">
        <v>2.73</v>
      </c>
      <c r="M57" s="184">
        <v>1.93</v>
      </c>
      <c r="N57" s="184">
        <v>1.19</v>
      </c>
      <c r="O57" s="184">
        <v>0.76</v>
      </c>
      <c r="P57" s="184">
        <v>0.76</v>
      </c>
      <c r="Q57" s="185">
        <f t="shared" si="3"/>
        <v>12.909999999999998</v>
      </c>
      <c r="R57" s="186">
        <v>0.03</v>
      </c>
      <c r="S57" s="186">
        <v>0.03</v>
      </c>
      <c r="T57" s="186">
        <v>0.06</v>
      </c>
      <c r="U57" s="186">
        <v>0.1</v>
      </c>
      <c r="V57" s="186">
        <v>0.13</v>
      </c>
      <c r="W57" s="186">
        <v>0.16</v>
      </c>
      <c r="X57" s="186">
        <v>0.14</v>
      </c>
      <c r="Y57" s="186">
        <v>0.12</v>
      </c>
      <c r="Z57" s="186">
        <v>0.1</v>
      </c>
      <c r="AA57" s="186">
        <v>0.07</v>
      </c>
      <c r="AB57" s="186">
        <v>0.04</v>
      </c>
      <c r="AC57" s="187">
        <v>0.02</v>
      </c>
      <c r="AD57" s="188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1"/>
    </row>
    <row r="58" spans="1:43" ht="15.75" customHeight="1">
      <c r="A58" s="106" t="str">
        <f t="shared" si="2"/>
        <v>Lincoln, RAMON 8 SW  NM7254</v>
      </c>
      <c r="B58" s="106" t="s">
        <v>156</v>
      </c>
      <c r="C58" s="106" t="s">
        <v>229</v>
      </c>
      <c r="D58" s="1062">
        <v>3.38</v>
      </c>
      <c r="E58" s="184">
        <v>0.38</v>
      </c>
      <c r="F58" s="184">
        <v>0.45</v>
      </c>
      <c r="G58" s="184">
        <v>0.48</v>
      </c>
      <c r="H58" s="184">
        <v>0.63</v>
      </c>
      <c r="I58" s="184">
        <v>0.97</v>
      </c>
      <c r="J58" s="184">
        <v>1.49</v>
      </c>
      <c r="K58" s="184">
        <v>1.79</v>
      </c>
      <c r="L58" s="184">
        <v>2.26</v>
      </c>
      <c r="M58" s="184">
        <v>1.91</v>
      </c>
      <c r="N58" s="184">
        <v>1.07</v>
      </c>
      <c r="O58" s="184">
        <v>0.51</v>
      </c>
      <c r="P58" s="184">
        <v>0.41</v>
      </c>
      <c r="Q58" s="185">
        <f t="shared" si="3"/>
        <v>12.35</v>
      </c>
      <c r="R58" s="186">
        <v>0.03</v>
      </c>
      <c r="S58" s="186">
        <v>0.03</v>
      </c>
      <c r="T58" s="186">
        <v>0.06</v>
      </c>
      <c r="U58" s="186">
        <v>0.1</v>
      </c>
      <c r="V58" s="186">
        <v>0.13</v>
      </c>
      <c r="W58" s="186">
        <v>0.16</v>
      </c>
      <c r="X58" s="186">
        <v>0.14</v>
      </c>
      <c r="Y58" s="186">
        <v>0.12</v>
      </c>
      <c r="Z58" s="186">
        <v>0.1</v>
      </c>
      <c r="AA58" s="186">
        <v>0.07</v>
      </c>
      <c r="AB58" s="186">
        <v>0.04</v>
      </c>
      <c r="AC58" s="187">
        <v>0.02</v>
      </c>
      <c r="AD58" s="188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1"/>
    </row>
    <row r="59" spans="1:43" ht="15.75" customHeight="1">
      <c r="A59" s="106" t="str">
        <f t="shared" si="2"/>
        <v>Lincoln, RUIDOSO 2 NNE  NM7649</v>
      </c>
      <c r="B59" s="106" t="s">
        <v>156</v>
      </c>
      <c r="C59" s="106" t="s">
        <v>230</v>
      </c>
      <c r="D59" s="1062">
        <v>3.49</v>
      </c>
      <c r="E59" s="184">
        <v>1.25</v>
      </c>
      <c r="F59" s="184">
        <v>1.19</v>
      </c>
      <c r="G59" s="184">
        <v>1.03</v>
      </c>
      <c r="H59" s="184">
        <v>0.65</v>
      </c>
      <c r="I59" s="184">
        <v>0.92</v>
      </c>
      <c r="J59" s="184">
        <v>2.06</v>
      </c>
      <c r="K59" s="184">
        <v>3.67</v>
      </c>
      <c r="L59" s="184">
        <v>4.25</v>
      </c>
      <c r="M59" s="184">
        <v>2.97</v>
      </c>
      <c r="N59" s="184">
        <v>1.8</v>
      </c>
      <c r="O59" s="184">
        <v>0.99</v>
      </c>
      <c r="P59" s="184">
        <v>1.86</v>
      </c>
      <c r="Q59" s="185">
        <f t="shared" si="3"/>
        <v>22.639999999999997</v>
      </c>
      <c r="R59" s="186">
        <v>0.03</v>
      </c>
      <c r="S59" s="186">
        <v>0.03</v>
      </c>
      <c r="T59" s="186">
        <v>0.06</v>
      </c>
      <c r="U59" s="186">
        <v>0.1</v>
      </c>
      <c r="V59" s="186">
        <v>0.13</v>
      </c>
      <c r="W59" s="186">
        <v>0.16</v>
      </c>
      <c r="X59" s="186">
        <v>0.14</v>
      </c>
      <c r="Y59" s="186">
        <v>0.12</v>
      </c>
      <c r="Z59" s="186">
        <v>0.1</v>
      </c>
      <c r="AA59" s="186">
        <v>0.07</v>
      </c>
      <c r="AB59" s="186">
        <v>0.04</v>
      </c>
      <c r="AC59" s="187">
        <v>0.02</v>
      </c>
      <c r="AD59" s="188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1"/>
    </row>
    <row r="60" spans="1:43" ht="15.75" customHeight="1">
      <c r="A60" s="106" t="str">
        <f t="shared" si="2"/>
        <v>Los Alamos, LOS ALAMOS  NM5084</v>
      </c>
      <c r="B60" s="106" t="s">
        <v>157</v>
      </c>
      <c r="C60" s="106" t="s">
        <v>231</v>
      </c>
      <c r="D60" s="1062">
        <v>2.92</v>
      </c>
      <c r="E60" s="184">
        <v>0.86</v>
      </c>
      <c r="F60" s="184">
        <v>0.8</v>
      </c>
      <c r="G60" s="184">
        <v>1.22</v>
      </c>
      <c r="H60" s="184">
        <v>1</v>
      </c>
      <c r="I60" s="184">
        <v>1.17</v>
      </c>
      <c r="J60" s="184">
        <v>1.36</v>
      </c>
      <c r="K60" s="184">
        <v>3.25</v>
      </c>
      <c r="L60" s="184">
        <v>3.52</v>
      </c>
      <c r="M60" s="184">
        <v>2.12</v>
      </c>
      <c r="N60" s="184">
        <v>1.32</v>
      </c>
      <c r="O60" s="184">
        <v>1.02</v>
      </c>
      <c r="P60" s="184">
        <v>1.08</v>
      </c>
      <c r="Q60" s="185">
        <f t="shared" si="3"/>
        <v>18.72</v>
      </c>
      <c r="R60" s="186">
        <v>0.03</v>
      </c>
      <c r="S60" s="186">
        <v>0.03</v>
      </c>
      <c r="T60" s="186">
        <v>0.06</v>
      </c>
      <c r="U60" s="186">
        <v>0.1</v>
      </c>
      <c r="V60" s="186">
        <v>0.13</v>
      </c>
      <c r="W60" s="186">
        <v>0.16</v>
      </c>
      <c r="X60" s="186">
        <v>0.14</v>
      </c>
      <c r="Y60" s="186">
        <v>0.12</v>
      </c>
      <c r="Z60" s="186">
        <v>0.1</v>
      </c>
      <c r="AA60" s="186">
        <v>0.07</v>
      </c>
      <c r="AB60" s="186">
        <v>0.04</v>
      </c>
      <c r="AC60" s="187">
        <v>0.02</v>
      </c>
      <c r="AD60" s="188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1"/>
    </row>
    <row r="61" spans="1:43" ht="15.75" customHeight="1">
      <c r="A61" s="106" t="str">
        <f t="shared" si="2"/>
        <v>Luna, COLUMBUS  NM2024</v>
      </c>
      <c r="B61" s="106" t="s">
        <v>158</v>
      </c>
      <c r="C61" s="106" t="s">
        <v>232</v>
      </c>
      <c r="D61" s="1062">
        <v>2.77</v>
      </c>
      <c r="E61" s="184">
        <v>0.43</v>
      </c>
      <c r="F61" s="184">
        <v>0.39</v>
      </c>
      <c r="G61" s="184">
        <v>0.27</v>
      </c>
      <c r="H61" s="184">
        <v>0.24</v>
      </c>
      <c r="I61" s="184">
        <v>0.22</v>
      </c>
      <c r="J61" s="184">
        <v>0.31</v>
      </c>
      <c r="K61" s="184">
        <v>2.1</v>
      </c>
      <c r="L61" s="184">
        <v>1.87</v>
      </c>
      <c r="M61" s="184">
        <v>1.73</v>
      </c>
      <c r="N61" s="184">
        <v>0.89</v>
      </c>
      <c r="O61" s="184">
        <v>0.68</v>
      </c>
      <c r="P61" s="184">
        <v>0.76</v>
      </c>
      <c r="Q61" s="185">
        <f t="shared" si="3"/>
        <v>9.89</v>
      </c>
      <c r="R61" s="186">
        <v>0.04</v>
      </c>
      <c r="S61" s="186">
        <v>0.05</v>
      </c>
      <c r="T61" s="186">
        <v>0.07</v>
      </c>
      <c r="U61" s="186">
        <v>0.09</v>
      </c>
      <c r="V61" s="186">
        <v>0.13</v>
      </c>
      <c r="W61" s="186">
        <v>0.15</v>
      </c>
      <c r="X61" s="186">
        <v>0.13</v>
      </c>
      <c r="Y61" s="186">
        <v>0.1</v>
      </c>
      <c r="Z61" s="186">
        <v>0.09</v>
      </c>
      <c r="AA61" s="186">
        <v>0.07</v>
      </c>
      <c r="AB61" s="186">
        <v>0.05</v>
      </c>
      <c r="AC61" s="187">
        <v>0.03</v>
      </c>
      <c r="AD61" s="188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1"/>
    </row>
    <row r="62" spans="1:43" ht="15.75" customHeight="1">
      <c r="A62" s="106" t="str">
        <f t="shared" si="2"/>
        <v>Luna, DEMING  NM2436</v>
      </c>
      <c r="B62" s="106" t="s">
        <v>158</v>
      </c>
      <c r="C62" s="106" t="s">
        <v>233</v>
      </c>
      <c r="D62" s="1062">
        <v>2.55</v>
      </c>
      <c r="E62" s="184">
        <v>0.42</v>
      </c>
      <c r="F62" s="184">
        <v>0.45</v>
      </c>
      <c r="G62" s="184">
        <v>0.36</v>
      </c>
      <c r="H62" s="184">
        <v>0.18</v>
      </c>
      <c r="I62" s="184">
        <v>0.12</v>
      </c>
      <c r="J62" s="184">
        <v>0.52</v>
      </c>
      <c r="K62" s="184">
        <v>2.18</v>
      </c>
      <c r="L62" s="184">
        <v>2.2</v>
      </c>
      <c r="M62" s="184">
        <v>1.55</v>
      </c>
      <c r="N62" s="184">
        <v>0.93</v>
      </c>
      <c r="O62" s="184">
        <v>0.73</v>
      </c>
      <c r="P62" s="184">
        <v>0.99</v>
      </c>
      <c r="Q62" s="185">
        <f t="shared" si="3"/>
        <v>10.63</v>
      </c>
      <c r="R62" s="186">
        <v>0.04</v>
      </c>
      <c r="S62" s="186">
        <v>0.05</v>
      </c>
      <c r="T62" s="186">
        <v>0.07</v>
      </c>
      <c r="U62" s="186">
        <v>0.09</v>
      </c>
      <c r="V62" s="186">
        <v>0.13</v>
      </c>
      <c r="W62" s="186">
        <v>0.15</v>
      </c>
      <c r="X62" s="186">
        <v>0.13</v>
      </c>
      <c r="Y62" s="186">
        <v>0.1</v>
      </c>
      <c r="Z62" s="186">
        <v>0.09</v>
      </c>
      <c r="AA62" s="186">
        <v>0.07</v>
      </c>
      <c r="AB62" s="186">
        <v>0.05</v>
      </c>
      <c r="AC62" s="187">
        <v>0.03</v>
      </c>
      <c r="AD62" s="188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1"/>
    </row>
    <row r="63" spans="1:43" ht="15.75" customHeight="1">
      <c r="A63" s="106" t="str">
        <f t="shared" si="2"/>
        <v>Luna, FLORIDA  NM3225</v>
      </c>
      <c r="B63" s="106" t="s">
        <v>158</v>
      </c>
      <c r="C63" s="106" t="s">
        <v>234</v>
      </c>
      <c r="D63" s="1062">
        <v>2.98</v>
      </c>
      <c r="E63" s="184">
        <v>0.47</v>
      </c>
      <c r="F63" s="184">
        <v>0.51</v>
      </c>
      <c r="G63" s="184">
        <v>0.2</v>
      </c>
      <c r="H63" s="184">
        <v>0.13</v>
      </c>
      <c r="I63" s="184">
        <v>0.25</v>
      </c>
      <c r="J63" s="184">
        <v>0.47</v>
      </c>
      <c r="K63" s="184">
        <v>2.33</v>
      </c>
      <c r="L63" s="184">
        <v>2.25</v>
      </c>
      <c r="M63" s="184">
        <v>1.69</v>
      </c>
      <c r="N63" s="184">
        <v>1.11</v>
      </c>
      <c r="O63" s="184">
        <v>0.57</v>
      </c>
      <c r="P63" s="184">
        <v>0.71</v>
      </c>
      <c r="Q63" s="185">
        <f t="shared" si="3"/>
        <v>10.690000000000001</v>
      </c>
      <c r="R63" s="186">
        <v>0.04</v>
      </c>
      <c r="S63" s="186">
        <v>0.05</v>
      </c>
      <c r="T63" s="186">
        <v>0.07</v>
      </c>
      <c r="U63" s="186">
        <v>0.09</v>
      </c>
      <c r="V63" s="186">
        <v>0.13</v>
      </c>
      <c r="W63" s="186">
        <v>0.15</v>
      </c>
      <c r="X63" s="186">
        <v>0.13</v>
      </c>
      <c r="Y63" s="186">
        <v>0.1</v>
      </c>
      <c r="Z63" s="186">
        <v>0.09</v>
      </c>
      <c r="AA63" s="186">
        <v>0.07</v>
      </c>
      <c r="AB63" s="186">
        <v>0.05</v>
      </c>
      <c r="AC63" s="187">
        <v>0.03</v>
      </c>
      <c r="AD63" s="188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1"/>
    </row>
    <row r="64" spans="1:43" ht="15.75" customHeight="1">
      <c r="A64" s="106" t="str">
        <f t="shared" si="2"/>
        <v>Luna, GAGE 4 ESE  NM3368</v>
      </c>
      <c r="B64" s="106" t="s">
        <v>158</v>
      </c>
      <c r="C64" s="106" t="s">
        <v>235</v>
      </c>
      <c r="D64" s="1062">
        <v>2.8</v>
      </c>
      <c r="E64" s="184">
        <v>0.55</v>
      </c>
      <c r="F64" s="184">
        <v>0.47</v>
      </c>
      <c r="G64" s="184">
        <v>0.39</v>
      </c>
      <c r="H64" s="184">
        <v>0.15</v>
      </c>
      <c r="I64" s="184">
        <v>0.15</v>
      </c>
      <c r="J64" s="184">
        <v>0.58</v>
      </c>
      <c r="K64" s="184">
        <v>2.29</v>
      </c>
      <c r="L64" s="184">
        <v>2.07</v>
      </c>
      <c r="M64" s="184">
        <v>1.55</v>
      </c>
      <c r="N64" s="184">
        <v>1.06</v>
      </c>
      <c r="O64" s="184">
        <v>0.73</v>
      </c>
      <c r="P64" s="184">
        <v>1.11</v>
      </c>
      <c r="Q64" s="185">
        <f t="shared" si="3"/>
        <v>11.100000000000001</v>
      </c>
      <c r="R64" s="186">
        <v>0.04</v>
      </c>
      <c r="S64" s="186">
        <v>0.05</v>
      </c>
      <c r="T64" s="186">
        <v>0.07</v>
      </c>
      <c r="U64" s="186">
        <v>0.09</v>
      </c>
      <c r="V64" s="186">
        <v>0.13</v>
      </c>
      <c r="W64" s="186">
        <v>0.15</v>
      </c>
      <c r="X64" s="186">
        <v>0.13</v>
      </c>
      <c r="Y64" s="186">
        <v>0.1</v>
      </c>
      <c r="Z64" s="186">
        <v>0.09</v>
      </c>
      <c r="AA64" s="186">
        <v>0.07</v>
      </c>
      <c r="AB64" s="186">
        <v>0.05</v>
      </c>
      <c r="AC64" s="187">
        <v>0.03</v>
      </c>
      <c r="AD64" s="188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1"/>
    </row>
    <row r="65" spans="1:43" ht="15.75" customHeight="1">
      <c r="A65" s="106" t="str">
        <f t="shared" si="2"/>
        <v>McKinley, MC GAFFEY 5 SE  NM5560</v>
      </c>
      <c r="B65" s="106" t="s">
        <v>159</v>
      </c>
      <c r="C65" s="106" t="s">
        <v>236</v>
      </c>
      <c r="D65" s="1062">
        <v>3</v>
      </c>
      <c r="E65" s="184">
        <v>1.66</v>
      </c>
      <c r="F65" s="184">
        <v>1.49</v>
      </c>
      <c r="G65" s="184">
        <v>1.9</v>
      </c>
      <c r="H65" s="184">
        <v>1.06</v>
      </c>
      <c r="I65" s="184">
        <v>0.73</v>
      </c>
      <c r="J65" s="184">
        <v>0.6</v>
      </c>
      <c r="K65" s="184">
        <v>2.47</v>
      </c>
      <c r="L65" s="184">
        <v>2.61</v>
      </c>
      <c r="M65" s="184">
        <v>1.68</v>
      </c>
      <c r="N65" s="184">
        <v>1.52</v>
      </c>
      <c r="O65" s="184">
        <v>1.49</v>
      </c>
      <c r="P65" s="184">
        <v>1.66</v>
      </c>
      <c r="Q65" s="185">
        <f t="shared" si="3"/>
        <v>18.869999999999997</v>
      </c>
      <c r="R65" s="186">
        <v>0.02</v>
      </c>
      <c r="S65" s="186">
        <v>0.03</v>
      </c>
      <c r="T65" s="186">
        <v>0.06</v>
      </c>
      <c r="U65" s="186">
        <v>0.09</v>
      </c>
      <c r="V65" s="186">
        <v>0.14</v>
      </c>
      <c r="W65" s="186">
        <v>0.17</v>
      </c>
      <c r="X65" s="186">
        <v>0.14</v>
      </c>
      <c r="Y65" s="186">
        <v>0.11</v>
      </c>
      <c r="Z65" s="186">
        <v>0.1</v>
      </c>
      <c r="AA65" s="186">
        <v>0.08</v>
      </c>
      <c r="AB65" s="186">
        <v>0.04</v>
      </c>
      <c r="AC65" s="187">
        <v>0.02</v>
      </c>
      <c r="AD65" s="188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1"/>
    </row>
    <row r="66" spans="1:43" ht="15.75" customHeight="1">
      <c r="A66" s="106" t="str">
        <f aca="true" t="shared" si="4" ref="A66:A97">CONCATENATE(B66,C66)</f>
        <v>McKinley, STAR LAKE  NM8524</v>
      </c>
      <c r="B66" s="106" t="s">
        <v>159</v>
      </c>
      <c r="C66" s="106" t="s">
        <v>237</v>
      </c>
      <c r="D66" s="1062">
        <v>2.01</v>
      </c>
      <c r="E66" s="184">
        <v>0.41</v>
      </c>
      <c r="F66" s="184">
        <v>0.36</v>
      </c>
      <c r="G66" s="184">
        <v>0.49</v>
      </c>
      <c r="H66" s="184">
        <v>0.47</v>
      </c>
      <c r="I66" s="184">
        <v>0.56</v>
      </c>
      <c r="J66" s="184">
        <v>0.51</v>
      </c>
      <c r="K66" s="184">
        <v>1.44</v>
      </c>
      <c r="L66" s="184">
        <v>1.79</v>
      </c>
      <c r="M66" s="184">
        <v>1.22</v>
      </c>
      <c r="N66" s="184">
        <v>0.87</v>
      </c>
      <c r="O66" s="184">
        <v>0.6</v>
      </c>
      <c r="P66" s="184">
        <v>0.48</v>
      </c>
      <c r="Q66" s="185">
        <f aca="true" t="shared" si="5" ref="Q66:Q97">SUM(E66:P66)</f>
        <v>9.2</v>
      </c>
      <c r="R66" s="186">
        <v>0.02</v>
      </c>
      <c r="S66" s="186">
        <v>0.03</v>
      </c>
      <c r="T66" s="186">
        <v>0.06</v>
      </c>
      <c r="U66" s="186">
        <v>0.09</v>
      </c>
      <c r="V66" s="186">
        <v>0.14</v>
      </c>
      <c r="W66" s="186">
        <v>0.17</v>
      </c>
      <c r="X66" s="186">
        <v>0.14</v>
      </c>
      <c r="Y66" s="186">
        <v>0.11</v>
      </c>
      <c r="Z66" s="186">
        <v>0.1</v>
      </c>
      <c r="AA66" s="186">
        <v>0.08</v>
      </c>
      <c r="AB66" s="186">
        <v>0.04</v>
      </c>
      <c r="AC66" s="187">
        <v>0.02</v>
      </c>
      <c r="AD66" s="188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1"/>
    </row>
    <row r="67" spans="1:43" ht="15.75" customHeight="1">
      <c r="A67" s="106" t="str">
        <f t="shared" si="4"/>
        <v>McKinley, THOREAU 5 ENE  NM8830</v>
      </c>
      <c r="B67" s="106" t="s">
        <v>159</v>
      </c>
      <c r="C67" s="106" t="s">
        <v>238</v>
      </c>
      <c r="D67" s="1065"/>
      <c r="E67" s="184">
        <v>0.64</v>
      </c>
      <c r="F67" s="184">
        <v>0.63</v>
      </c>
      <c r="G67" s="184">
        <v>0.72</v>
      </c>
      <c r="H67" s="184">
        <v>0.5</v>
      </c>
      <c r="I67" s="184">
        <v>0.58</v>
      </c>
      <c r="J67" s="184">
        <v>0.56</v>
      </c>
      <c r="K67" s="184">
        <v>1.57</v>
      </c>
      <c r="L67" s="184">
        <v>2.27</v>
      </c>
      <c r="M67" s="184">
        <v>1.42</v>
      </c>
      <c r="N67" s="184">
        <v>0.96</v>
      </c>
      <c r="O67" s="184">
        <v>0.67</v>
      </c>
      <c r="P67" s="184">
        <v>0.66</v>
      </c>
      <c r="Q67" s="185">
        <f t="shared" si="5"/>
        <v>11.180000000000001</v>
      </c>
      <c r="R67" s="186">
        <v>0.02</v>
      </c>
      <c r="S67" s="186">
        <v>0.03</v>
      </c>
      <c r="T67" s="186">
        <v>0.06</v>
      </c>
      <c r="U67" s="186">
        <v>0.09</v>
      </c>
      <c r="V67" s="186">
        <v>0.14</v>
      </c>
      <c r="W67" s="186">
        <v>0.17</v>
      </c>
      <c r="X67" s="186">
        <v>0.14</v>
      </c>
      <c r="Y67" s="186">
        <v>0.11</v>
      </c>
      <c r="Z67" s="186">
        <v>0.1</v>
      </c>
      <c r="AA67" s="186">
        <v>0.08</v>
      </c>
      <c r="AB67" s="186">
        <v>0.04</v>
      </c>
      <c r="AC67" s="187">
        <v>0.02</v>
      </c>
      <c r="AD67" s="188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1"/>
    </row>
    <row r="68" spans="1:43" ht="15.75" customHeight="1">
      <c r="A68" s="106" t="str">
        <f t="shared" si="4"/>
        <v>McKinley, ZUNI  NM9897</v>
      </c>
      <c r="B68" s="106" t="s">
        <v>159</v>
      </c>
      <c r="C68" s="106" t="s">
        <v>239</v>
      </c>
      <c r="D68" s="1065"/>
      <c r="E68" s="184">
        <v>0.76</v>
      </c>
      <c r="F68" s="184">
        <v>0.76</v>
      </c>
      <c r="G68" s="184">
        <v>0.97</v>
      </c>
      <c r="H68" s="184">
        <v>0.63</v>
      </c>
      <c r="I68" s="184">
        <v>0.44</v>
      </c>
      <c r="J68" s="184">
        <v>0.36</v>
      </c>
      <c r="K68" s="184">
        <v>2.06</v>
      </c>
      <c r="L68" s="184">
        <v>2.44</v>
      </c>
      <c r="M68" s="184">
        <v>1.49</v>
      </c>
      <c r="N68" s="184">
        <v>1.23</v>
      </c>
      <c r="O68" s="184">
        <v>0.86</v>
      </c>
      <c r="P68" s="184">
        <v>0.99</v>
      </c>
      <c r="Q68" s="185">
        <f t="shared" si="5"/>
        <v>12.99</v>
      </c>
      <c r="R68" s="186">
        <v>0.02</v>
      </c>
      <c r="S68" s="186">
        <v>0.03</v>
      </c>
      <c r="T68" s="186">
        <v>0.06</v>
      </c>
      <c r="U68" s="186">
        <v>0.09</v>
      </c>
      <c r="V68" s="186">
        <v>0.14</v>
      </c>
      <c r="W68" s="186">
        <v>0.17</v>
      </c>
      <c r="X68" s="186">
        <v>0.14</v>
      </c>
      <c r="Y68" s="186">
        <v>0.11</v>
      </c>
      <c r="Z68" s="186">
        <v>0.1</v>
      </c>
      <c r="AA68" s="186">
        <v>0.08</v>
      </c>
      <c r="AB68" s="186">
        <v>0.04</v>
      </c>
      <c r="AC68" s="187">
        <v>0.02</v>
      </c>
      <c r="AD68" s="188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1"/>
    </row>
    <row r="69" spans="1:43" ht="15.75" customHeight="1">
      <c r="A69" s="106" t="str">
        <f t="shared" si="4"/>
        <v>Mora, GASCON  NM3488</v>
      </c>
      <c r="B69" s="106" t="s">
        <v>160</v>
      </c>
      <c r="C69" s="106" t="s">
        <v>240</v>
      </c>
      <c r="D69" s="1062">
        <v>3.48</v>
      </c>
      <c r="E69" s="184">
        <v>0.98</v>
      </c>
      <c r="F69" s="184">
        <v>1.28</v>
      </c>
      <c r="G69" s="184">
        <v>1.66</v>
      </c>
      <c r="H69" s="184">
        <v>1.49</v>
      </c>
      <c r="I69" s="184">
        <v>1.74</v>
      </c>
      <c r="J69" s="184">
        <v>1.96</v>
      </c>
      <c r="K69" s="184">
        <v>4.27</v>
      </c>
      <c r="L69" s="184">
        <v>4.16</v>
      </c>
      <c r="M69" s="184">
        <v>2.22</v>
      </c>
      <c r="N69" s="184">
        <v>1.4</v>
      </c>
      <c r="O69" s="184">
        <v>1.1</v>
      </c>
      <c r="P69" s="184">
        <v>1.09</v>
      </c>
      <c r="Q69" s="185">
        <f t="shared" si="5"/>
        <v>23.349999999999998</v>
      </c>
      <c r="R69" s="193">
        <v>0.03</v>
      </c>
      <c r="S69" s="193">
        <v>0.04</v>
      </c>
      <c r="T69" s="193">
        <v>0.08</v>
      </c>
      <c r="U69" s="193">
        <v>0.09</v>
      </c>
      <c r="V69" s="193">
        <v>0.13</v>
      </c>
      <c r="W69" s="193">
        <v>0.14</v>
      </c>
      <c r="X69" s="193">
        <v>0.14</v>
      </c>
      <c r="Y69" s="193">
        <v>0.12</v>
      </c>
      <c r="Z69" s="193">
        <v>0.09</v>
      </c>
      <c r="AA69" s="193">
        <v>0.07</v>
      </c>
      <c r="AB69" s="193">
        <v>0.04</v>
      </c>
      <c r="AC69" s="194">
        <v>0.03</v>
      </c>
      <c r="AD69" s="188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1"/>
    </row>
    <row r="70" spans="1:43" ht="15.75" customHeight="1">
      <c r="A70" s="106" t="str">
        <f t="shared" si="4"/>
        <v>Mora, OCATE 1 N  NM6275</v>
      </c>
      <c r="B70" s="106" t="s">
        <v>160</v>
      </c>
      <c r="C70" s="106" t="s">
        <v>241</v>
      </c>
      <c r="D70" s="1062">
        <v>3.29</v>
      </c>
      <c r="E70" s="184">
        <v>0.31</v>
      </c>
      <c r="F70" s="184">
        <v>0.36</v>
      </c>
      <c r="G70" s="184">
        <v>0.57</v>
      </c>
      <c r="H70" s="184">
        <v>0.78</v>
      </c>
      <c r="I70" s="184">
        <v>1.57</v>
      </c>
      <c r="J70" s="184">
        <v>2.34</v>
      </c>
      <c r="K70" s="184">
        <v>3.49</v>
      </c>
      <c r="L70" s="184">
        <v>3.41</v>
      </c>
      <c r="M70" s="184">
        <v>1.79</v>
      </c>
      <c r="N70" s="184">
        <v>0.85</v>
      </c>
      <c r="O70" s="184">
        <v>0.59</v>
      </c>
      <c r="P70" s="184">
        <v>0.55</v>
      </c>
      <c r="Q70" s="185">
        <f t="shared" si="5"/>
        <v>16.610000000000003</v>
      </c>
      <c r="R70" s="193">
        <v>0.03</v>
      </c>
      <c r="S70" s="193">
        <v>0.04</v>
      </c>
      <c r="T70" s="193">
        <v>0.08</v>
      </c>
      <c r="U70" s="193">
        <v>0.09</v>
      </c>
      <c r="V70" s="193">
        <v>0.13</v>
      </c>
      <c r="W70" s="193">
        <v>0.14</v>
      </c>
      <c r="X70" s="193">
        <v>0.14</v>
      </c>
      <c r="Y70" s="193">
        <v>0.12</v>
      </c>
      <c r="Z70" s="193">
        <v>0.09</v>
      </c>
      <c r="AA70" s="193">
        <v>0.07</v>
      </c>
      <c r="AB70" s="193">
        <v>0.04</v>
      </c>
      <c r="AC70" s="194">
        <v>0.03</v>
      </c>
      <c r="AD70" s="188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1"/>
    </row>
    <row r="71" spans="1:43" ht="15.75" customHeight="1">
      <c r="A71" s="106" t="str">
        <f t="shared" si="4"/>
        <v>Mora, VALMORA  NM9330</v>
      </c>
      <c r="B71" s="106" t="s">
        <v>160</v>
      </c>
      <c r="C71" s="106" t="s">
        <v>242</v>
      </c>
      <c r="D71" s="1062">
        <v>3.68</v>
      </c>
      <c r="E71" s="184">
        <v>0.37</v>
      </c>
      <c r="F71" s="184">
        <v>0.48</v>
      </c>
      <c r="G71" s="184">
        <v>0.66</v>
      </c>
      <c r="H71" s="184">
        <v>0.8</v>
      </c>
      <c r="I71" s="184">
        <v>1.66</v>
      </c>
      <c r="J71" s="184">
        <v>2.11</v>
      </c>
      <c r="K71" s="184">
        <v>3.23</v>
      </c>
      <c r="L71" s="184">
        <v>3.05</v>
      </c>
      <c r="M71" s="184">
        <v>2.2</v>
      </c>
      <c r="N71" s="184">
        <v>0.94</v>
      </c>
      <c r="O71" s="184">
        <v>0.66</v>
      </c>
      <c r="P71" s="184">
        <v>0.56</v>
      </c>
      <c r="Q71" s="185">
        <f t="shared" si="5"/>
        <v>16.719999999999995</v>
      </c>
      <c r="R71" s="193">
        <v>0.03</v>
      </c>
      <c r="S71" s="193">
        <v>0.04</v>
      </c>
      <c r="T71" s="193">
        <v>0.08</v>
      </c>
      <c r="U71" s="193">
        <v>0.09</v>
      </c>
      <c r="V71" s="193">
        <v>0.13</v>
      </c>
      <c r="W71" s="193">
        <v>0.14</v>
      </c>
      <c r="X71" s="193">
        <v>0.14</v>
      </c>
      <c r="Y71" s="193">
        <v>0.12</v>
      </c>
      <c r="Z71" s="193">
        <v>0.09</v>
      </c>
      <c r="AA71" s="193">
        <v>0.07</v>
      </c>
      <c r="AB71" s="193">
        <v>0.04</v>
      </c>
      <c r="AC71" s="194">
        <v>0.03</v>
      </c>
      <c r="AD71" s="188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1"/>
    </row>
    <row r="72" spans="1:43" ht="15.75" customHeight="1">
      <c r="A72" s="106" t="str">
        <f t="shared" si="4"/>
        <v>Otero, ALAMOGORDO  NM0199</v>
      </c>
      <c r="B72" s="106" t="s">
        <v>161</v>
      </c>
      <c r="C72" s="106" t="s">
        <v>243</v>
      </c>
      <c r="D72" s="1062">
        <v>2.7</v>
      </c>
      <c r="E72" s="184">
        <v>0.68</v>
      </c>
      <c r="F72" s="184">
        <v>0.54</v>
      </c>
      <c r="G72" s="184">
        <v>0.46</v>
      </c>
      <c r="H72" s="184">
        <v>0.27</v>
      </c>
      <c r="I72" s="184">
        <v>0.42</v>
      </c>
      <c r="J72" s="184">
        <v>0.9</v>
      </c>
      <c r="K72" s="184">
        <v>2.23</v>
      </c>
      <c r="L72" s="184">
        <v>2.4</v>
      </c>
      <c r="M72" s="184">
        <v>1.99</v>
      </c>
      <c r="N72" s="184">
        <v>1.19</v>
      </c>
      <c r="O72" s="184">
        <v>0.71</v>
      </c>
      <c r="P72" s="184">
        <v>0.8</v>
      </c>
      <c r="Q72" s="185">
        <f t="shared" si="5"/>
        <v>12.59</v>
      </c>
      <c r="R72" s="186">
        <v>0.04</v>
      </c>
      <c r="S72" s="186">
        <v>0.05</v>
      </c>
      <c r="T72" s="186">
        <v>0.08</v>
      </c>
      <c r="U72" s="186">
        <v>0.1</v>
      </c>
      <c r="V72" s="186">
        <v>0.13</v>
      </c>
      <c r="W72" s="186">
        <v>0.14</v>
      </c>
      <c r="X72" s="186">
        <v>0.12</v>
      </c>
      <c r="Y72" s="186">
        <v>0.11</v>
      </c>
      <c r="Z72" s="186">
        <v>0.08</v>
      </c>
      <c r="AA72" s="186">
        <v>0.07</v>
      </c>
      <c r="AB72" s="186">
        <v>0.05</v>
      </c>
      <c r="AC72" s="187">
        <v>0.03</v>
      </c>
      <c r="AD72" s="188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1"/>
    </row>
    <row r="73" spans="1:43" ht="15.75" customHeight="1">
      <c r="A73" s="106" t="str">
        <f t="shared" si="4"/>
        <v>Otero, CLOUDCROFT  NM1927</v>
      </c>
      <c r="B73" s="106" t="s">
        <v>161</v>
      </c>
      <c r="C73" s="106" t="s">
        <v>244</v>
      </c>
      <c r="D73" s="1062">
        <v>3.82</v>
      </c>
      <c r="E73" s="184">
        <v>1.71</v>
      </c>
      <c r="F73" s="184">
        <v>1.48</v>
      </c>
      <c r="G73" s="184">
        <v>1.63</v>
      </c>
      <c r="H73" s="184">
        <v>0.61</v>
      </c>
      <c r="I73" s="184">
        <v>0.91</v>
      </c>
      <c r="J73" s="184">
        <v>2.23</v>
      </c>
      <c r="K73" s="184">
        <v>4.75</v>
      </c>
      <c r="L73" s="184">
        <v>5.86</v>
      </c>
      <c r="M73" s="184">
        <v>3.52</v>
      </c>
      <c r="N73" s="184">
        <v>1.94</v>
      </c>
      <c r="O73" s="184">
        <v>1.46</v>
      </c>
      <c r="P73" s="184">
        <v>2.5</v>
      </c>
      <c r="Q73" s="185">
        <f t="shared" si="5"/>
        <v>28.6</v>
      </c>
      <c r="R73" s="193">
        <v>0.03</v>
      </c>
      <c r="S73" s="193">
        <v>0.04</v>
      </c>
      <c r="T73" s="193">
        <v>0.08</v>
      </c>
      <c r="U73" s="193">
        <v>0.09</v>
      </c>
      <c r="V73" s="193">
        <v>0.13</v>
      </c>
      <c r="W73" s="193">
        <v>0.14</v>
      </c>
      <c r="X73" s="193">
        <v>0.14</v>
      </c>
      <c r="Y73" s="193">
        <v>0.12</v>
      </c>
      <c r="Z73" s="193">
        <v>0.09</v>
      </c>
      <c r="AA73" s="193">
        <v>0.07</v>
      </c>
      <c r="AB73" s="193">
        <v>0.04</v>
      </c>
      <c r="AC73" s="194">
        <v>0.03</v>
      </c>
      <c r="AD73" s="188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1"/>
    </row>
    <row r="74" spans="1:43" ht="15.75" customHeight="1">
      <c r="A74" s="106" t="str">
        <f t="shared" si="4"/>
        <v>Otero, MOUNTAIN PARK  NM5960</v>
      </c>
      <c r="B74" s="106" t="s">
        <v>161</v>
      </c>
      <c r="C74" s="106" t="s">
        <v>245</v>
      </c>
      <c r="D74" s="1062">
        <v>3.57</v>
      </c>
      <c r="E74" s="184">
        <v>1.18</v>
      </c>
      <c r="F74" s="184">
        <v>1.14</v>
      </c>
      <c r="G74" s="184">
        <v>0.95</v>
      </c>
      <c r="H74" s="184">
        <v>0.51</v>
      </c>
      <c r="I74" s="184">
        <v>0.88</v>
      </c>
      <c r="J74" s="184">
        <v>1.34</v>
      </c>
      <c r="K74" s="184">
        <v>3.51</v>
      </c>
      <c r="L74" s="184">
        <v>4.12</v>
      </c>
      <c r="M74" s="184">
        <v>2.92</v>
      </c>
      <c r="N74" s="184">
        <v>1.56</v>
      </c>
      <c r="O74" s="184">
        <v>1.19</v>
      </c>
      <c r="P74" s="184">
        <v>1.55</v>
      </c>
      <c r="Q74" s="185">
        <f t="shared" si="5"/>
        <v>20.849999999999998</v>
      </c>
      <c r="R74" s="193">
        <v>0.03</v>
      </c>
      <c r="S74" s="193">
        <v>0.04</v>
      </c>
      <c r="T74" s="193">
        <v>0.08</v>
      </c>
      <c r="U74" s="193">
        <v>0.09</v>
      </c>
      <c r="V74" s="193">
        <v>0.13</v>
      </c>
      <c r="W74" s="193">
        <v>0.14</v>
      </c>
      <c r="X74" s="193">
        <v>0.14</v>
      </c>
      <c r="Y74" s="193">
        <v>0.12</v>
      </c>
      <c r="Z74" s="193">
        <v>0.09</v>
      </c>
      <c r="AA74" s="193">
        <v>0.07</v>
      </c>
      <c r="AB74" s="193">
        <v>0.04</v>
      </c>
      <c r="AC74" s="194">
        <v>0.03</v>
      </c>
      <c r="AD74" s="188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1"/>
    </row>
    <row r="75" spans="1:43" ht="15.75" customHeight="1">
      <c r="A75" s="106" t="str">
        <f t="shared" si="4"/>
        <v>Otero, OROGRANDE 1 N  NM6435</v>
      </c>
      <c r="B75" s="106" t="s">
        <v>161</v>
      </c>
      <c r="C75" s="106" t="s">
        <v>246</v>
      </c>
      <c r="D75" s="1062">
        <v>2.93</v>
      </c>
      <c r="E75" s="184">
        <v>0.47</v>
      </c>
      <c r="F75" s="184">
        <v>0.3</v>
      </c>
      <c r="G75" s="184">
        <v>0.22</v>
      </c>
      <c r="H75" s="184">
        <v>0.25</v>
      </c>
      <c r="I75" s="184">
        <v>0.52</v>
      </c>
      <c r="J75" s="184">
        <v>1.03</v>
      </c>
      <c r="K75" s="184">
        <v>1.85</v>
      </c>
      <c r="L75" s="184">
        <v>2.44</v>
      </c>
      <c r="M75" s="184">
        <v>1.84</v>
      </c>
      <c r="N75" s="184">
        <v>1.01</v>
      </c>
      <c r="O75" s="184">
        <v>0.56</v>
      </c>
      <c r="P75" s="184">
        <v>0.65</v>
      </c>
      <c r="Q75" s="185">
        <f t="shared" si="5"/>
        <v>11.14</v>
      </c>
      <c r="R75" s="193">
        <v>0.03</v>
      </c>
      <c r="S75" s="193">
        <v>0.04</v>
      </c>
      <c r="T75" s="193">
        <v>0.08</v>
      </c>
      <c r="U75" s="193">
        <v>0.09</v>
      </c>
      <c r="V75" s="193">
        <v>0.13</v>
      </c>
      <c r="W75" s="193">
        <v>0.14</v>
      </c>
      <c r="X75" s="193">
        <v>0.14</v>
      </c>
      <c r="Y75" s="193">
        <v>0.12</v>
      </c>
      <c r="Z75" s="193">
        <v>0.09</v>
      </c>
      <c r="AA75" s="193">
        <v>0.07</v>
      </c>
      <c r="AB75" s="193">
        <v>0.04</v>
      </c>
      <c r="AC75" s="194">
        <v>0.03</v>
      </c>
      <c r="AD75" s="188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1"/>
    </row>
    <row r="76" spans="1:43" ht="15.75" customHeight="1">
      <c r="A76" s="106" t="str">
        <f t="shared" si="4"/>
        <v>Otero, TULAROSA  NM9165</v>
      </c>
      <c r="B76" s="106" t="s">
        <v>161</v>
      </c>
      <c r="C76" s="106" t="s">
        <v>247</v>
      </c>
      <c r="D76" s="1062">
        <v>2.62</v>
      </c>
      <c r="E76" s="184">
        <v>0.43</v>
      </c>
      <c r="F76" s="184">
        <v>0.5</v>
      </c>
      <c r="G76" s="184">
        <v>0.36</v>
      </c>
      <c r="H76" s="184">
        <v>0.22</v>
      </c>
      <c r="I76" s="184">
        <v>0.5</v>
      </c>
      <c r="J76" s="184">
        <v>0.71</v>
      </c>
      <c r="K76" s="184">
        <v>1.95</v>
      </c>
      <c r="L76" s="184">
        <v>1.84</v>
      </c>
      <c r="M76" s="184">
        <v>1.45</v>
      </c>
      <c r="N76" s="184">
        <v>1.3</v>
      </c>
      <c r="O76" s="184">
        <v>0.6</v>
      </c>
      <c r="P76" s="184">
        <v>0.68</v>
      </c>
      <c r="Q76" s="185">
        <f t="shared" si="5"/>
        <v>10.54</v>
      </c>
      <c r="R76" s="193">
        <v>0.03</v>
      </c>
      <c r="S76" s="193">
        <v>0.04</v>
      </c>
      <c r="T76" s="193">
        <v>0.08</v>
      </c>
      <c r="U76" s="193">
        <v>0.09</v>
      </c>
      <c r="V76" s="193">
        <v>0.13</v>
      </c>
      <c r="W76" s="193">
        <v>0.14</v>
      </c>
      <c r="X76" s="193">
        <v>0.14</v>
      </c>
      <c r="Y76" s="193">
        <v>0.12</v>
      </c>
      <c r="Z76" s="193">
        <v>0.09</v>
      </c>
      <c r="AA76" s="193">
        <v>0.07</v>
      </c>
      <c r="AB76" s="193">
        <v>0.04</v>
      </c>
      <c r="AC76" s="194">
        <v>0.03</v>
      </c>
      <c r="AD76" s="188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1"/>
    </row>
    <row r="77" spans="1:43" ht="15.75" customHeight="1">
      <c r="A77" s="106" t="str">
        <f t="shared" si="4"/>
        <v>Otero, WHITE SANDS NATL MON  NM9686</v>
      </c>
      <c r="B77" s="106" t="s">
        <v>161</v>
      </c>
      <c r="C77" s="106" t="s">
        <v>248</v>
      </c>
      <c r="D77" s="1062">
        <v>2.53</v>
      </c>
      <c r="E77" s="184">
        <v>0.46</v>
      </c>
      <c r="F77" s="184">
        <v>0.38</v>
      </c>
      <c r="G77" s="184">
        <v>0.28</v>
      </c>
      <c r="H77" s="184">
        <v>0.23</v>
      </c>
      <c r="I77" s="184">
        <v>0.35</v>
      </c>
      <c r="J77" s="184">
        <v>0.84</v>
      </c>
      <c r="K77" s="184">
        <v>1.51</v>
      </c>
      <c r="L77" s="184">
        <v>2.05</v>
      </c>
      <c r="M77" s="184">
        <v>1.34</v>
      </c>
      <c r="N77" s="184">
        <v>0.95</v>
      </c>
      <c r="O77" s="184">
        <v>0.59</v>
      </c>
      <c r="P77" s="184">
        <v>0.69</v>
      </c>
      <c r="Q77" s="185">
        <f t="shared" si="5"/>
        <v>9.669999999999998</v>
      </c>
      <c r="R77" s="186">
        <v>0.04</v>
      </c>
      <c r="S77" s="186">
        <v>0.05</v>
      </c>
      <c r="T77" s="186">
        <v>0.08</v>
      </c>
      <c r="U77" s="186">
        <v>0.1</v>
      </c>
      <c r="V77" s="186">
        <v>0.13</v>
      </c>
      <c r="W77" s="186">
        <v>0.14</v>
      </c>
      <c r="X77" s="186">
        <v>0.12</v>
      </c>
      <c r="Y77" s="186">
        <v>0.11</v>
      </c>
      <c r="Z77" s="186">
        <v>0.08</v>
      </c>
      <c r="AA77" s="186">
        <v>0.07</v>
      </c>
      <c r="AB77" s="186">
        <v>0.05</v>
      </c>
      <c r="AC77" s="187">
        <v>0.03</v>
      </c>
      <c r="AD77" s="188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1"/>
    </row>
    <row r="78" spans="1:43" ht="15.75" customHeight="1">
      <c r="A78" s="106" t="str">
        <f t="shared" si="4"/>
        <v>Quay ,CAMERON  NM1332</v>
      </c>
      <c r="B78" s="106" t="s">
        <v>162</v>
      </c>
      <c r="C78" s="106" t="s">
        <v>249</v>
      </c>
      <c r="D78" s="1062">
        <v>4.37</v>
      </c>
      <c r="E78" s="184">
        <v>0.44</v>
      </c>
      <c r="F78" s="184">
        <v>0.77</v>
      </c>
      <c r="G78" s="184">
        <v>0.85</v>
      </c>
      <c r="H78" s="184">
        <v>1.05</v>
      </c>
      <c r="I78" s="184">
        <v>1.88</v>
      </c>
      <c r="J78" s="184">
        <v>2.8</v>
      </c>
      <c r="K78" s="184">
        <v>2.91</v>
      </c>
      <c r="L78" s="184">
        <v>3.18</v>
      </c>
      <c r="M78" s="184">
        <v>2.25</v>
      </c>
      <c r="N78" s="184">
        <v>1.39</v>
      </c>
      <c r="O78" s="184">
        <v>0.9</v>
      </c>
      <c r="P78" s="184">
        <v>0.56</v>
      </c>
      <c r="Q78" s="185">
        <f t="shared" si="5"/>
        <v>18.979999999999997</v>
      </c>
      <c r="R78" s="189">
        <v>0.05</v>
      </c>
      <c r="S78" s="189">
        <v>0.05</v>
      </c>
      <c r="T78" s="189">
        <v>0.08</v>
      </c>
      <c r="U78" s="189">
        <v>0.1</v>
      </c>
      <c r="V78" s="189">
        <v>0.12</v>
      </c>
      <c r="W78" s="189">
        <v>0.12</v>
      </c>
      <c r="X78" s="189">
        <v>0.12</v>
      </c>
      <c r="Y78" s="189">
        <v>0.11</v>
      </c>
      <c r="Z78" s="189">
        <v>0.08</v>
      </c>
      <c r="AA78" s="189">
        <v>0.07</v>
      </c>
      <c r="AB78" s="189">
        <v>0.06</v>
      </c>
      <c r="AC78" s="190">
        <v>0.04</v>
      </c>
      <c r="AD78" s="188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1"/>
    </row>
    <row r="79" spans="1:43" ht="15.75" customHeight="1">
      <c r="A79" s="106" t="str">
        <f t="shared" si="4"/>
        <v>Quay ,RAGLAND 3 SSW  NM7226</v>
      </c>
      <c r="B79" s="106" t="s">
        <v>162</v>
      </c>
      <c r="C79" s="106" t="s">
        <v>250</v>
      </c>
      <c r="D79" s="1062">
        <v>4.45</v>
      </c>
      <c r="E79" s="184">
        <v>0.4</v>
      </c>
      <c r="F79" s="184">
        <v>0.68</v>
      </c>
      <c r="G79" s="184">
        <v>0.73</v>
      </c>
      <c r="H79" s="184">
        <v>0.91</v>
      </c>
      <c r="I79" s="184">
        <v>1.66</v>
      </c>
      <c r="J79" s="184">
        <v>2.21</v>
      </c>
      <c r="K79" s="184">
        <v>2.78</v>
      </c>
      <c r="L79" s="184">
        <v>3.12</v>
      </c>
      <c r="M79" s="184">
        <v>2.36</v>
      </c>
      <c r="N79" s="184">
        <v>1.19</v>
      </c>
      <c r="O79" s="184">
        <v>0.82</v>
      </c>
      <c r="P79" s="184">
        <v>0.48</v>
      </c>
      <c r="Q79" s="185">
        <f t="shared" si="5"/>
        <v>17.34</v>
      </c>
      <c r="R79" s="189">
        <v>0.05</v>
      </c>
      <c r="S79" s="189">
        <v>0.05</v>
      </c>
      <c r="T79" s="189">
        <v>0.08</v>
      </c>
      <c r="U79" s="189">
        <v>0.1</v>
      </c>
      <c r="V79" s="189">
        <v>0.12</v>
      </c>
      <c r="W79" s="189">
        <v>0.12</v>
      </c>
      <c r="X79" s="189">
        <v>0.12</v>
      </c>
      <c r="Y79" s="189">
        <v>0.11</v>
      </c>
      <c r="Z79" s="189">
        <v>0.08</v>
      </c>
      <c r="AA79" s="189">
        <v>0.07</v>
      </c>
      <c r="AB79" s="189">
        <v>0.06</v>
      </c>
      <c r="AC79" s="190">
        <v>0.04</v>
      </c>
      <c r="AD79" s="188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1"/>
    </row>
    <row r="80" spans="1:43" ht="15.75" customHeight="1">
      <c r="A80" s="106" t="str">
        <f t="shared" si="4"/>
        <v>Quay ,SAN JON  NM7867</v>
      </c>
      <c r="B80" s="106" t="s">
        <v>162</v>
      </c>
      <c r="C80" s="106" t="s">
        <v>251</v>
      </c>
      <c r="D80" s="1062">
        <v>4.28</v>
      </c>
      <c r="E80" s="184">
        <v>0.43</v>
      </c>
      <c r="F80" s="184">
        <v>0.64</v>
      </c>
      <c r="G80" s="184">
        <v>0.65</v>
      </c>
      <c r="H80" s="184">
        <v>0.98</v>
      </c>
      <c r="I80" s="184">
        <v>1.81</v>
      </c>
      <c r="J80" s="184">
        <v>2.28</v>
      </c>
      <c r="K80" s="184">
        <v>2.71</v>
      </c>
      <c r="L80" s="184">
        <v>3.13</v>
      </c>
      <c r="M80" s="184">
        <v>2.07</v>
      </c>
      <c r="N80" s="184">
        <v>1.27</v>
      </c>
      <c r="O80" s="184">
        <v>0.74</v>
      </c>
      <c r="P80" s="184">
        <v>0.41</v>
      </c>
      <c r="Q80" s="185">
        <f t="shared" si="5"/>
        <v>17.119999999999997</v>
      </c>
      <c r="R80" s="189">
        <v>0.05</v>
      </c>
      <c r="S80" s="189">
        <v>0.05</v>
      </c>
      <c r="T80" s="189">
        <v>0.08</v>
      </c>
      <c r="U80" s="189">
        <v>0.1</v>
      </c>
      <c r="V80" s="189">
        <v>0.12</v>
      </c>
      <c r="W80" s="189">
        <v>0.12</v>
      </c>
      <c r="X80" s="189">
        <v>0.12</v>
      </c>
      <c r="Y80" s="189">
        <v>0.11</v>
      </c>
      <c r="Z80" s="189">
        <v>0.08</v>
      </c>
      <c r="AA80" s="189">
        <v>0.07</v>
      </c>
      <c r="AB80" s="189">
        <v>0.06</v>
      </c>
      <c r="AC80" s="190">
        <v>0.04</v>
      </c>
      <c r="AD80" s="188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1"/>
    </row>
    <row r="81" spans="1:43" ht="15.75" customHeight="1">
      <c r="A81" s="106" t="str">
        <f t="shared" si="4"/>
        <v>Quay ,TUCUMCARI 4 NE  NM9156</v>
      </c>
      <c r="B81" s="106" t="s">
        <v>162</v>
      </c>
      <c r="C81" s="106" t="s">
        <v>252</v>
      </c>
      <c r="D81" s="1062">
        <v>4.1</v>
      </c>
      <c r="E81" s="184">
        <v>0.35</v>
      </c>
      <c r="F81" s="184">
        <v>0.55</v>
      </c>
      <c r="G81" s="184">
        <v>0.67</v>
      </c>
      <c r="H81" s="184">
        <v>0.93</v>
      </c>
      <c r="I81" s="184">
        <v>1.54</v>
      </c>
      <c r="J81" s="184">
        <v>2</v>
      </c>
      <c r="K81" s="184">
        <v>2.56</v>
      </c>
      <c r="L81" s="184">
        <v>2.71</v>
      </c>
      <c r="M81" s="184">
        <v>1.75</v>
      </c>
      <c r="N81" s="184">
        <v>1.16</v>
      </c>
      <c r="O81" s="184">
        <v>0.74</v>
      </c>
      <c r="P81" s="184">
        <v>0.41</v>
      </c>
      <c r="Q81" s="185">
        <f t="shared" si="5"/>
        <v>15.37</v>
      </c>
      <c r="R81" s="189">
        <v>0.05</v>
      </c>
      <c r="S81" s="189">
        <v>0.05</v>
      </c>
      <c r="T81" s="189">
        <v>0.08</v>
      </c>
      <c r="U81" s="189">
        <v>0.1</v>
      </c>
      <c r="V81" s="189">
        <v>0.12</v>
      </c>
      <c r="W81" s="189">
        <v>0.12</v>
      </c>
      <c r="X81" s="189">
        <v>0.12</v>
      </c>
      <c r="Y81" s="189">
        <v>0.11</v>
      </c>
      <c r="Z81" s="189">
        <v>0.08</v>
      </c>
      <c r="AA81" s="189">
        <v>0.07</v>
      </c>
      <c r="AB81" s="189">
        <v>0.06</v>
      </c>
      <c r="AC81" s="190">
        <v>0.04</v>
      </c>
      <c r="AD81" s="188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1"/>
    </row>
    <row r="82" spans="1:43" ht="15.75" customHeight="1">
      <c r="A82" s="106" t="str">
        <f t="shared" si="4"/>
        <v>Rio Arriba, ABIQUIU DAM  NM0041</v>
      </c>
      <c r="B82" s="106" t="s">
        <v>163</v>
      </c>
      <c r="C82" s="106" t="s">
        <v>253</v>
      </c>
      <c r="D82" s="1062">
        <v>1.97</v>
      </c>
      <c r="E82" s="184">
        <v>0.38</v>
      </c>
      <c r="F82" s="184">
        <v>0.25</v>
      </c>
      <c r="G82" s="184">
        <v>0.51</v>
      </c>
      <c r="H82" s="184">
        <v>0.51</v>
      </c>
      <c r="I82" s="184">
        <v>0.82</v>
      </c>
      <c r="J82" s="184">
        <v>0.71</v>
      </c>
      <c r="K82" s="184">
        <v>1.78</v>
      </c>
      <c r="L82" s="184">
        <v>1.98</v>
      </c>
      <c r="M82" s="184">
        <v>1.24</v>
      </c>
      <c r="N82" s="184">
        <v>0.83</v>
      </c>
      <c r="O82" s="184">
        <v>0.47</v>
      </c>
      <c r="P82" s="184">
        <v>0.32</v>
      </c>
      <c r="Q82" s="185">
        <f t="shared" si="5"/>
        <v>9.8</v>
      </c>
      <c r="R82" s="193">
        <v>0.03</v>
      </c>
      <c r="S82" s="193">
        <v>0.04</v>
      </c>
      <c r="T82" s="193">
        <v>0.08</v>
      </c>
      <c r="U82" s="193">
        <v>0.09</v>
      </c>
      <c r="V82" s="193">
        <v>0.13</v>
      </c>
      <c r="W82" s="193">
        <v>0.14</v>
      </c>
      <c r="X82" s="193">
        <v>0.14</v>
      </c>
      <c r="Y82" s="193">
        <v>0.12</v>
      </c>
      <c r="Z82" s="193">
        <v>0.09</v>
      </c>
      <c r="AA82" s="193">
        <v>0.07</v>
      </c>
      <c r="AB82" s="193">
        <v>0.04</v>
      </c>
      <c r="AC82" s="194">
        <v>0.03</v>
      </c>
      <c r="AD82" s="188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1"/>
    </row>
    <row r="83" spans="1:43" ht="15.75" customHeight="1">
      <c r="A83" s="106" t="str">
        <f t="shared" si="4"/>
        <v>Rio Arriba, ALCALDE  NM0245</v>
      </c>
      <c r="B83" s="106" t="s">
        <v>163</v>
      </c>
      <c r="C83" s="106" t="s">
        <v>254</v>
      </c>
      <c r="D83" s="1065"/>
      <c r="E83" s="184">
        <v>0.41</v>
      </c>
      <c r="F83" s="184">
        <v>0.37</v>
      </c>
      <c r="G83" s="184">
        <v>0.39</v>
      </c>
      <c r="H83" s="184">
        <v>0.48</v>
      </c>
      <c r="I83" s="184">
        <v>0.69</v>
      </c>
      <c r="J83" s="184">
        <v>0.79</v>
      </c>
      <c r="K83" s="184">
        <v>1.33</v>
      </c>
      <c r="L83" s="184">
        <v>1.91</v>
      </c>
      <c r="M83" s="184">
        <v>1.44</v>
      </c>
      <c r="N83" s="184">
        <v>0.83</v>
      </c>
      <c r="O83" s="184">
        <v>0.65</v>
      </c>
      <c r="P83" s="184">
        <v>0.36</v>
      </c>
      <c r="Q83" s="185">
        <f t="shared" si="5"/>
        <v>9.65</v>
      </c>
      <c r="R83" s="193">
        <v>0.03</v>
      </c>
      <c r="S83" s="193">
        <v>0.04</v>
      </c>
      <c r="T83" s="193">
        <v>0.08</v>
      </c>
      <c r="U83" s="193">
        <v>0.09</v>
      </c>
      <c r="V83" s="193">
        <v>0.13</v>
      </c>
      <c r="W83" s="193">
        <v>0.14</v>
      </c>
      <c r="X83" s="193">
        <v>0.14</v>
      </c>
      <c r="Y83" s="193">
        <v>0.12</v>
      </c>
      <c r="Z83" s="193">
        <v>0.09</v>
      </c>
      <c r="AA83" s="193">
        <v>0.07</v>
      </c>
      <c r="AB83" s="193">
        <v>0.04</v>
      </c>
      <c r="AC83" s="194">
        <v>0.03</v>
      </c>
      <c r="AD83" s="188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1"/>
    </row>
    <row r="84" spans="1:43" ht="15.75" customHeight="1">
      <c r="A84" s="106" t="str">
        <f t="shared" si="4"/>
        <v>Rio Arriba, CHAMA  NM1664</v>
      </c>
      <c r="B84" s="106" t="s">
        <v>163</v>
      </c>
      <c r="C84" s="106" t="s">
        <v>255</v>
      </c>
      <c r="D84" s="1062">
        <v>2.96</v>
      </c>
      <c r="E84" s="184">
        <v>1.77</v>
      </c>
      <c r="F84" s="184">
        <v>1.61</v>
      </c>
      <c r="G84" s="184">
        <v>2.01</v>
      </c>
      <c r="H84" s="184">
        <v>1.27</v>
      </c>
      <c r="I84" s="184">
        <v>1.15</v>
      </c>
      <c r="J84" s="184">
        <v>1.12</v>
      </c>
      <c r="K84" s="184">
        <v>2.24</v>
      </c>
      <c r="L84" s="184">
        <v>2.82</v>
      </c>
      <c r="M84" s="184">
        <v>2.23</v>
      </c>
      <c r="N84" s="184">
        <v>1.96</v>
      </c>
      <c r="O84" s="184">
        <v>1.72</v>
      </c>
      <c r="P84" s="184">
        <v>1.78</v>
      </c>
      <c r="Q84" s="185">
        <f t="shared" si="5"/>
        <v>21.68</v>
      </c>
      <c r="R84" s="193">
        <v>0.03</v>
      </c>
      <c r="S84" s="193">
        <v>0.04</v>
      </c>
      <c r="T84" s="193">
        <v>0.08</v>
      </c>
      <c r="U84" s="193">
        <v>0.09</v>
      </c>
      <c r="V84" s="193">
        <v>0.13</v>
      </c>
      <c r="W84" s="193">
        <v>0.14</v>
      </c>
      <c r="X84" s="193">
        <v>0.14</v>
      </c>
      <c r="Y84" s="193">
        <v>0.12</v>
      </c>
      <c r="Z84" s="193">
        <v>0.09</v>
      </c>
      <c r="AA84" s="193">
        <v>0.07</v>
      </c>
      <c r="AB84" s="193">
        <v>0.04</v>
      </c>
      <c r="AC84" s="194">
        <v>0.03</v>
      </c>
      <c r="AD84" s="188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1"/>
    </row>
    <row r="85" spans="1:43" ht="15.75" customHeight="1">
      <c r="A85" s="106" t="str">
        <f t="shared" si="4"/>
        <v>Rio Arriba, DULCE  NM2608</v>
      </c>
      <c r="B85" s="106" t="s">
        <v>163</v>
      </c>
      <c r="C85" s="106" t="s">
        <v>256</v>
      </c>
      <c r="D85" s="1062">
        <v>2.54</v>
      </c>
      <c r="E85" s="184">
        <v>1.35</v>
      </c>
      <c r="F85" s="184">
        <v>1.22</v>
      </c>
      <c r="G85" s="184">
        <v>1.63</v>
      </c>
      <c r="H85" s="184">
        <v>1</v>
      </c>
      <c r="I85" s="184">
        <v>1.2</v>
      </c>
      <c r="J85" s="184">
        <v>0.77</v>
      </c>
      <c r="K85" s="184">
        <v>1.85</v>
      </c>
      <c r="L85" s="184">
        <v>2.57</v>
      </c>
      <c r="M85" s="184">
        <v>1.84</v>
      </c>
      <c r="N85" s="184">
        <v>1.6</v>
      </c>
      <c r="O85" s="184">
        <v>1.35</v>
      </c>
      <c r="P85" s="184">
        <v>1.51</v>
      </c>
      <c r="Q85" s="185">
        <f t="shared" si="5"/>
        <v>17.89</v>
      </c>
      <c r="R85" s="193">
        <v>0.03</v>
      </c>
      <c r="S85" s="193">
        <v>0.04</v>
      </c>
      <c r="T85" s="193">
        <v>0.08</v>
      </c>
      <c r="U85" s="193">
        <v>0.09</v>
      </c>
      <c r="V85" s="193">
        <v>0.13</v>
      </c>
      <c r="W85" s="193">
        <v>0.14</v>
      </c>
      <c r="X85" s="193">
        <v>0.14</v>
      </c>
      <c r="Y85" s="193">
        <v>0.12</v>
      </c>
      <c r="Z85" s="193">
        <v>0.09</v>
      </c>
      <c r="AA85" s="193">
        <v>0.07</v>
      </c>
      <c r="AB85" s="193">
        <v>0.04</v>
      </c>
      <c r="AC85" s="194">
        <v>0.03</v>
      </c>
      <c r="AD85" s="188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1"/>
    </row>
    <row r="86" spans="1:43" ht="15.75" customHeight="1">
      <c r="A86" s="106" t="str">
        <f t="shared" si="4"/>
        <v>Rio Arriba, EL RITO  NM2820</v>
      </c>
      <c r="B86" s="106" t="s">
        <v>163</v>
      </c>
      <c r="C86" s="106" t="s">
        <v>257</v>
      </c>
      <c r="D86" s="1062">
        <v>2.3</v>
      </c>
      <c r="E86" s="184">
        <v>0.7</v>
      </c>
      <c r="F86" s="184">
        <v>0.63</v>
      </c>
      <c r="G86" s="184">
        <v>0.74</v>
      </c>
      <c r="H86" s="184">
        <v>0.71</v>
      </c>
      <c r="I86" s="184">
        <v>0.79</v>
      </c>
      <c r="J86" s="184">
        <v>0.88</v>
      </c>
      <c r="K86" s="184">
        <v>1.76</v>
      </c>
      <c r="L86" s="184">
        <v>2.2</v>
      </c>
      <c r="M86" s="184">
        <v>1.33</v>
      </c>
      <c r="N86" s="184">
        <v>1.1</v>
      </c>
      <c r="O86" s="184">
        <v>0.79</v>
      </c>
      <c r="P86" s="184">
        <v>0.6</v>
      </c>
      <c r="Q86" s="185">
        <f t="shared" si="5"/>
        <v>12.229999999999999</v>
      </c>
      <c r="R86" s="193">
        <v>0.03</v>
      </c>
      <c r="S86" s="193">
        <v>0.04</v>
      </c>
      <c r="T86" s="193">
        <v>0.08</v>
      </c>
      <c r="U86" s="193">
        <v>0.09</v>
      </c>
      <c r="V86" s="193">
        <v>0.13</v>
      </c>
      <c r="W86" s="193">
        <v>0.14</v>
      </c>
      <c r="X86" s="193">
        <v>0.14</v>
      </c>
      <c r="Y86" s="193">
        <v>0.12</v>
      </c>
      <c r="Z86" s="193">
        <v>0.09</v>
      </c>
      <c r="AA86" s="193">
        <v>0.07</v>
      </c>
      <c r="AB86" s="193">
        <v>0.04</v>
      </c>
      <c r="AC86" s="194">
        <v>0.03</v>
      </c>
      <c r="AD86" s="188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1"/>
    </row>
    <row r="87" spans="1:43" ht="15.75" customHeight="1">
      <c r="A87" s="106" t="str">
        <f t="shared" si="4"/>
        <v>Rio Arriba, EL VADO DAM  NM2837</v>
      </c>
      <c r="B87" s="106" t="s">
        <v>163</v>
      </c>
      <c r="C87" s="106" t="s">
        <v>258</v>
      </c>
      <c r="D87" s="1062">
        <v>2.35</v>
      </c>
      <c r="E87" s="184">
        <v>0.94</v>
      </c>
      <c r="F87" s="184">
        <v>0.82</v>
      </c>
      <c r="G87" s="184">
        <v>1.06</v>
      </c>
      <c r="H87" s="184">
        <v>0.78</v>
      </c>
      <c r="I87" s="184">
        <v>1.02</v>
      </c>
      <c r="J87" s="184">
        <v>0.87</v>
      </c>
      <c r="K87" s="184">
        <v>1.95</v>
      </c>
      <c r="L87" s="184">
        <v>2.71</v>
      </c>
      <c r="M87" s="184">
        <v>1.72</v>
      </c>
      <c r="N87" s="184">
        <v>1.32</v>
      </c>
      <c r="O87" s="184">
        <v>1.01</v>
      </c>
      <c r="P87" s="184">
        <v>0.94</v>
      </c>
      <c r="Q87" s="185">
        <f t="shared" si="5"/>
        <v>15.139999999999999</v>
      </c>
      <c r="R87" s="193">
        <v>0.03</v>
      </c>
      <c r="S87" s="193">
        <v>0.04</v>
      </c>
      <c r="T87" s="193">
        <v>0.08</v>
      </c>
      <c r="U87" s="193">
        <v>0.09</v>
      </c>
      <c r="V87" s="193">
        <v>0.13</v>
      </c>
      <c r="W87" s="193">
        <v>0.14</v>
      </c>
      <c r="X87" s="193">
        <v>0.14</v>
      </c>
      <c r="Y87" s="193">
        <v>0.12</v>
      </c>
      <c r="Z87" s="193">
        <v>0.09</v>
      </c>
      <c r="AA87" s="193">
        <v>0.07</v>
      </c>
      <c r="AB87" s="193">
        <v>0.04</v>
      </c>
      <c r="AC87" s="194">
        <v>0.03</v>
      </c>
      <c r="AD87" s="188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1"/>
    </row>
    <row r="88" spans="1:43" ht="15.75" customHeight="1">
      <c r="A88" s="106" t="str">
        <f t="shared" si="4"/>
        <v>Rio Arriba, ESPANOLA  NM3031</v>
      </c>
      <c r="B88" s="106" t="s">
        <v>163</v>
      </c>
      <c r="C88" s="106" t="s">
        <v>259</v>
      </c>
      <c r="D88" s="1062">
        <v>2.34</v>
      </c>
      <c r="E88" s="184">
        <v>0.44</v>
      </c>
      <c r="F88" s="184">
        <v>0.42</v>
      </c>
      <c r="G88" s="184">
        <v>0.6</v>
      </c>
      <c r="H88" s="184">
        <v>0.6</v>
      </c>
      <c r="I88" s="184">
        <v>0.71</v>
      </c>
      <c r="J88" s="184">
        <v>0.61</v>
      </c>
      <c r="K88" s="184">
        <v>1.35</v>
      </c>
      <c r="L88" s="184">
        <v>1.88</v>
      </c>
      <c r="M88" s="184">
        <v>1.21</v>
      </c>
      <c r="N88" s="184">
        <v>0.8</v>
      </c>
      <c r="O88" s="184">
        <v>0.47</v>
      </c>
      <c r="P88" s="184">
        <v>0.55</v>
      </c>
      <c r="Q88" s="185">
        <f t="shared" si="5"/>
        <v>9.640000000000002</v>
      </c>
      <c r="R88" s="193">
        <v>0.03</v>
      </c>
      <c r="S88" s="193">
        <v>0.04</v>
      </c>
      <c r="T88" s="193">
        <v>0.08</v>
      </c>
      <c r="U88" s="193">
        <v>0.09</v>
      </c>
      <c r="V88" s="193">
        <v>0.13</v>
      </c>
      <c r="W88" s="193">
        <v>0.14</v>
      </c>
      <c r="X88" s="193">
        <v>0.14</v>
      </c>
      <c r="Y88" s="193">
        <v>0.12</v>
      </c>
      <c r="Z88" s="193">
        <v>0.09</v>
      </c>
      <c r="AA88" s="193">
        <v>0.07</v>
      </c>
      <c r="AB88" s="193">
        <v>0.04</v>
      </c>
      <c r="AC88" s="194">
        <v>0.03</v>
      </c>
      <c r="AD88" s="188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1"/>
    </row>
    <row r="89" spans="1:43" ht="15.75" customHeight="1">
      <c r="A89" s="106" t="str">
        <f t="shared" si="4"/>
        <v>Rio Arriba, LYBROOK  NM5290</v>
      </c>
      <c r="B89" s="106" t="s">
        <v>163</v>
      </c>
      <c r="C89" s="106" t="s">
        <v>260</v>
      </c>
      <c r="D89" s="1062">
        <v>2.27</v>
      </c>
      <c r="E89" s="184">
        <v>0.57</v>
      </c>
      <c r="F89" s="184">
        <v>0.68</v>
      </c>
      <c r="G89" s="184">
        <v>0.7</v>
      </c>
      <c r="H89" s="184">
        <v>0.35</v>
      </c>
      <c r="I89" s="184">
        <v>0.49</v>
      </c>
      <c r="J89" s="184">
        <v>0.48</v>
      </c>
      <c r="K89" s="184">
        <v>1.29</v>
      </c>
      <c r="L89" s="184">
        <v>1.99</v>
      </c>
      <c r="M89" s="184">
        <v>1.39</v>
      </c>
      <c r="N89" s="184">
        <v>1.04</v>
      </c>
      <c r="O89" s="184">
        <v>0.79</v>
      </c>
      <c r="P89" s="184">
        <v>0.74</v>
      </c>
      <c r="Q89" s="185">
        <f t="shared" si="5"/>
        <v>10.51</v>
      </c>
      <c r="R89" s="193">
        <v>0.03</v>
      </c>
      <c r="S89" s="193">
        <v>0.04</v>
      </c>
      <c r="T89" s="193">
        <v>0.08</v>
      </c>
      <c r="U89" s="193">
        <v>0.09</v>
      </c>
      <c r="V89" s="193">
        <v>0.13</v>
      </c>
      <c r="W89" s="193">
        <v>0.14</v>
      </c>
      <c r="X89" s="193">
        <v>0.14</v>
      </c>
      <c r="Y89" s="193">
        <v>0.12</v>
      </c>
      <c r="Z89" s="193">
        <v>0.09</v>
      </c>
      <c r="AA89" s="193">
        <v>0.07</v>
      </c>
      <c r="AB89" s="193">
        <v>0.04</v>
      </c>
      <c r="AC89" s="194">
        <v>0.03</v>
      </c>
      <c r="AD89" s="188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1"/>
    </row>
    <row r="90" spans="1:43" ht="15.75" customHeight="1">
      <c r="A90" s="106" t="str">
        <f t="shared" si="4"/>
        <v>Rio Arriba, TIERRA AMARILLA 4 N  NM8845</v>
      </c>
      <c r="B90" s="106" t="s">
        <v>163</v>
      </c>
      <c r="C90" s="106" t="s">
        <v>261</v>
      </c>
      <c r="D90" s="1062">
        <v>2.51</v>
      </c>
      <c r="E90" s="184">
        <v>0.93</v>
      </c>
      <c r="F90" s="184">
        <v>1</v>
      </c>
      <c r="G90" s="184">
        <v>1.06</v>
      </c>
      <c r="H90" s="184">
        <v>0.79</v>
      </c>
      <c r="I90" s="184">
        <v>0.87</v>
      </c>
      <c r="J90" s="184">
        <v>0.77</v>
      </c>
      <c r="K90" s="184">
        <v>2.11</v>
      </c>
      <c r="L90" s="184">
        <v>2.67</v>
      </c>
      <c r="M90" s="184">
        <v>1.93</v>
      </c>
      <c r="N90" s="184">
        <v>1.38</v>
      </c>
      <c r="O90" s="184">
        <v>1.09</v>
      </c>
      <c r="P90" s="184">
        <v>0.98</v>
      </c>
      <c r="Q90" s="185">
        <f t="shared" si="5"/>
        <v>15.579999999999998</v>
      </c>
      <c r="R90" s="193">
        <v>0.03</v>
      </c>
      <c r="S90" s="193">
        <v>0.04</v>
      </c>
      <c r="T90" s="193">
        <v>0.08</v>
      </c>
      <c r="U90" s="193">
        <v>0.09</v>
      </c>
      <c r="V90" s="193">
        <v>0.13</v>
      </c>
      <c r="W90" s="193">
        <v>0.14</v>
      </c>
      <c r="X90" s="193">
        <v>0.14</v>
      </c>
      <c r="Y90" s="193">
        <v>0.12</v>
      </c>
      <c r="Z90" s="193">
        <v>0.09</v>
      </c>
      <c r="AA90" s="193">
        <v>0.07</v>
      </c>
      <c r="AB90" s="193">
        <v>0.04</v>
      </c>
      <c r="AC90" s="194">
        <v>0.03</v>
      </c>
      <c r="AD90" s="188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1"/>
    </row>
    <row r="91" spans="1:43" ht="15.75" customHeight="1">
      <c r="A91" s="106" t="str">
        <f t="shared" si="4"/>
        <v>Rio Arriba, TRES PIEDRAS  NM9085</v>
      </c>
      <c r="B91" s="106" t="s">
        <v>163</v>
      </c>
      <c r="C91" s="106" t="s">
        <v>262</v>
      </c>
      <c r="D91" s="1062">
        <v>2.47</v>
      </c>
      <c r="E91" s="184">
        <v>0.5</v>
      </c>
      <c r="F91" s="184">
        <v>0.54</v>
      </c>
      <c r="G91" s="184">
        <v>0.83</v>
      </c>
      <c r="H91" s="184">
        <v>0.65</v>
      </c>
      <c r="I91" s="184">
        <v>0.78</v>
      </c>
      <c r="J91" s="184">
        <v>1.13</v>
      </c>
      <c r="K91" s="184">
        <v>2.15</v>
      </c>
      <c r="L91" s="184">
        <v>2.37</v>
      </c>
      <c r="M91" s="184">
        <v>1.43</v>
      </c>
      <c r="N91" s="184">
        <v>1.14</v>
      </c>
      <c r="O91" s="184">
        <v>0.76</v>
      </c>
      <c r="P91" s="184">
        <v>0.64</v>
      </c>
      <c r="Q91" s="185">
        <f t="shared" si="5"/>
        <v>12.92</v>
      </c>
      <c r="R91" s="193">
        <v>0.03</v>
      </c>
      <c r="S91" s="193">
        <v>0.04</v>
      </c>
      <c r="T91" s="193">
        <v>0.08</v>
      </c>
      <c r="U91" s="193">
        <v>0.09</v>
      </c>
      <c r="V91" s="193">
        <v>0.13</v>
      </c>
      <c r="W91" s="193">
        <v>0.14</v>
      </c>
      <c r="X91" s="193">
        <v>0.14</v>
      </c>
      <c r="Y91" s="193">
        <v>0.12</v>
      </c>
      <c r="Z91" s="193">
        <v>0.09</v>
      </c>
      <c r="AA91" s="193">
        <v>0.07</v>
      </c>
      <c r="AB91" s="193">
        <v>0.04</v>
      </c>
      <c r="AC91" s="194">
        <v>0.03</v>
      </c>
      <c r="AD91" s="188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1"/>
    </row>
    <row r="92" spans="1:43" ht="15.75" customHeight="1">
      <c r="A92" s="106" t="str">
        <f t="shared" si="4"/>
        <v>Roosevelt, ELIDA  NM2854</v>
      </c>
      <c r="B92" s="106" t="s">
        <v>164</v>
      </c>
      <c r="C92" s="106" t="s">
        <v>263</v>
      </c>
      <c r="D92" s="1062">
        <v>4.23</v>
      </c>
      <c r="E92" s="184">
        <v>0.4</v>
      </c>
      <c r="F92" s="184">
        <v>0.44</v>
      </c>
      <c r="G92" s="184">
        <v>0.42</v>
      </c>
      <c r="H92" s="184">
        <v>0.64</v>
      </c>
      <c r="I92" s="184">
        <v>1.25</v>
      </c>
      <c r="J92" s="184">
        <v>2.07</v>
      </c>
      <c r="K92" s="184">
        <v>2.42</v>
      </c>
      <c r="L92" s="184">
        <v>2.48</v>
      </c>
      <c r="M92" s="184">
        <v>2.13</v>
      </c>
      <c r="N92" s="184">
        <v>1.1</v>
      </c>
      <c r="O92" s="184">
        <v>0.73</v>
      </c>
      <c r="P92" s="184">
        <v>0.45</v>
      </c>
      <c r="Q92" s="185">
        <f t="shared" si="5"/>
        <v>14.53</v>
      </c>
      <c r="R92" s="186">
        <v>0.03</v>
      </c>
      <c r="S92" s="186">
        <v>0.04</v>
      </c>
      <c r="T92" s="186">
        <v>0.08</v>
      </c>
      <c r="U92" s="186">
        <v>0.1</v>
      </c>
      <c r="V92" s="186">
        <v>0.12</v>
      </c>
      <c r="W92" s="186">
        <v>0.14</v>
      </c>
      <c r="X92" s="186">
        <v>0.13</v>
      </c>
      <c r="Y92" s="186">
        <v>0.12</v>
      </c>
      <c r="Z92" s="186">
        <v>0.09</v>
      </c>
      <c r="AA92" s="186">
        <v>0.07</v>
      </c>
      <c r="AB92" s="186">
        <v>0.05</v>
      </c>
      <c r="AC92" s="187">
        <v>0.03</v>
      </c>
      <c r="AD92" s="188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1"/>
    </row>
    <row r="93" spans="1:43" ht="15.75" customHeight="1">
      <c r="A93" s="106" t="str">
        <f t="shared" si="4"/>
        <v>Roosevelt, PORTALES  NM7008</v>
      </c>
      <c r="B93" s="106" t="s">
        <v>164</v>
      </c>
      <c r="C93" s="106" t="s">
        <v>264</v>
      </c>
      <c r="D93" s="1062">
        <v>4.45</v>
      </c>
      <c r="E93" s="184">
        <v>0.48</v>
      </c>
      <c r="F93" s="184">
        <v>0.49</v>
      </c>
      <c r="G93" s="184">
        <v>0.51</v>
      </c>
      <c r="H93" s="184">
        <v>0.6</v>
      </c>
      <c r="I93" s="184">
        <v>1.54</v>
      </c>
      <c r="J93" s="184">
        <v>2.53</v>
      </c>
      <c r="K93" s="184">
        <v>2.55</v>
      </c>
      <c r="L93" s="184">
        <v>2.95</v>
      </c>
      <c r="M93" s="184">
        <v>2.12</v>
      </c>
      <c r="N93" s="184">
        <v>1.28</v>
      </c>
      <c r="O93" s="184">
        <v>0.75</v>
      </c>
      <c r="P93" s="184">
        <v>0.49</v>
      </c>
      <c r="Q93" s="185">
        <f t="shared" si="5"/>
        <v>16.29</v>
      </c>
      <c r="R93" s="186">
        <v>0.03</v>
      </c>
      <c r="S93" s="186">
        <v>0.04</v>
      </c>
      <c r="T93" s="186">
        <v>0.08</v>
      </c>
      <c r="U93" s="186">
        <v>0.1</v>
      </c>
      <c r="V93" s="186">
        <v>0.12</v>
      </c>
      <c r="W93" s="186">
        <v>0.14</v>
      </c>
      <c r="X93" s="186">
        <v>0.13</v>
      </c>
      <c r="Y93" s="186">
        <v>0.12</v>
      </c>
      <c r="Z93" s="186">
        <v>0.09</v>
      </c>
      <c r="AA93" s="186">
        <v>0.07</v>
      </c>
      <c r="AB93" s="186">
        <v>0.05</v>
      </c>
      <c r="AC93" s="187">
        <v>0.03</v>
      </c>
      <c r="AD93" s="188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1"/>
    </row>
    <row r="94" spans="1:43" ht="15.75" customHeight="1">
      <c r="A94" s="106" t="str">
        <f t="shared" si="4"/>
        <v>San Juan, AZTEC RUINS NATL MONUME  NM0692</v>
      </c>
      <c r="B94" s="106" t="s">
        <v>165</v>
      </c>
      <c r="C94" s="106" t="s">
        <v>265</v>
      </c>
      <c r="D94" s="1062">
        <v>2.06</v>
      </c>
      <c r="E94" s="184">
        <v>0.87</v>
      </c>
      <c r="F94" s="184">
        <v>0.79</v>
      </c>
      <c r="G94" s="184">
        <v>0.89</v>
      </c>
      <c r="H94" s="184">
        <v>0.68</v>
      </c>
      <c r="I94" s="184">
        <v>0.6</v>
      </c>
      <c r="J94" s="184">
        <v>0.36</v>
      </c>
      <c r="K94" s="184">
        <v>0.99</v>
      </c>
      <c r="L94" s="184">
        <v>1.17</v>
      </c>
      <c r="M94" s="184">
        <v>1.03</v>
      </c>
      <c r="N94" s="184">
        <v>1.17</v>
      </c>
      <c r="O94" s="184">
        <v>0.89</v>
      </c>
      <c r="P94" s="184">
        <v>0.87</v>
      </c>
      <c r="Q94" s="185">
        <f t="shared" si="5"/>
        <v>10.31</v>
      </c>
      <c r="R94" s="193">
        <v>0.03</v>
      </c>
      <c r="S94" s="193">
        <v>0.05</v>
      </c>
      <c r="T94" s="193">
        <v>0.08</v>
      </c>
      <c r="U94" s="193">
        <v>0.1</v>
      </c>
      <c r="V94" s="193">
        <v>0.12</v>
      </c>
      <c r="W94" s="193">
        <v>0.14</v>
      </c>
      <c r="X94" s="193">
        <v>0.14</v>
      </c>
      <c r="Y94" s="193">
        <v>0.12</v>
      </c>
      <c r="Z94" s="193">
        <v>0.09</v>
      </c>
      <c r="AA94" s="193">
        <v>0.06</v>
      </c>
      <c r="AB94" s="193">
        <v>0.04</v>
      </c>
      <c r="AC94" s="194">
        <v>0.03</v>
      </c>
      <c r="AD94" s="188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1"/>
    </row>
    <row r="95" spans="1:43" ht="15.75" customHeight="1">
      <c r="A95" s="106" t="str">
        <f t="shared" si="4"/>
        <v>San Juan, BLOOMFIELD 3 SE  NM1063</v>
      </c>
      <c r="B95" s="106" t="s">
        <v>165</v>
      </c>
      <c r="C95" s="106" t="s">
        <v>266</v>
      </c>
      <c r="D95" s="1062">
        <v>1.99</v>
      </c>
      <c r="E95" s="184">
        <v>0.59</v>
      </c>
      <c r="F95" s="184">
        <v>0.64</v>
      </c>
      <c r="G95" s="184">
        <v>0.85</v>
      </c>
      <c r="H95" s="184">
        <v>0.61</v>
      </c>
      <c r="I95" s="184">
        <v>0.52</v>
      </c>
      <c r="J95" s="184">
        <v>0.41</v>
      </c>
      <c r="K95" s="184">
        <v>1.06</v>
      </c>
      <c r="L95" s="184">
        <v>1.3</v>
      </c>
      <c r="M95" s="184">
        <v>1.04</v>
      </c>
      <c r="N95" s="184">
        <v>1.14</v>
      </c>
      <c r="O95" s="184">
        <v>0.79</v>
      </c>
      <c r="P95" s="184">
        <v>0.66</v>
      </c>
      <c r="Q95" s="185">
        <f t="shared" si="5"/>
        <v>9.61</v>
      </c>
      <c r="R95" s="193">
        <v>0.03</v>
      </c>
      <c r="S95" s="193">
        <v>0.05</v>
      </c>
      <c r="T95" s="193">
        <v>0.08</v>
      </c>
      <c r="U95" s="193">
        <v>0.1</v>
      </c>
      <c r="V95" s="193">
        <v>0.12</v>
      </c>
      <c r="W95" s="193">
        <v>0.14</v>
      </c>
      <c r="X95" s="193">
        <v>0.14</v>
      </c>
      <c r="Y95" s="193">
        <v>0.12</v>
      </c>
      <c r="Z95" s="193">
        <v>0.09</v>
      </c>
      <c r="AA95" s="193">
        <v>0.06</v>
      </c>
      <c r="AB95" s="193">
        <v>0.04</v>
      </c>
      <c r="AC95" s="194">
        <v>0.03</v>
      </c>
      <c r="AD95" s="188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1"/>
    </row>
    <row r="96" spans="1:43" ht="15.75" customHeight="1">
      <c r="A96" s="106" t="str">
        <f t="shared" si="4"/>
        <v>San Juan, CHACO CANYON NATL MON  NM1647</v>
      </c>
      <c r="B96" s="106" t="s">
        <v>165</v>
      </c>
      <c r="C96" s="106" t="s">
        <v>267</v>
      </c>
      <c r="D96" s="1062">
        <v>2.04</v>
      </c>
      <c r="E96" s="184">
        <v>0.48</v>
      </c>
      <c r="F96" s="184">
        <v>0.54</v>
      </c>
      <c r="G96" s="184">
        <v>0.62</v>
      </c>
      <c r="H96" s="184">
        <v>0.42</v>
      </c>
      <c r="I96" s="184">
        <v>0.62</v>
      </c>
      <c r="J96" s="184">
        <v>0.47</v>
      </c>
      <c r="K96" s="184">
        <v>1.22</v>
      </c>
      <c r="L96" s="184">
        <v>1.25</v>
      </c>
      <c r="M96" s="184">
        <v>1.28</v>
      </c>
      <c r="N96" s="184">
        <v>1.08</v>
      </c>
      <c r="O96" s="184">
        <v>0.7</v>
      </c>
      <c r="P96" s="184">
        <v>0.65</v>
      </c>
      <c r="Q96" s="185">
        <f t="shared" si="5"/>
        <v>9.33</v>
      </c>
      <c r="R96" s="193">
        <v>0.03</v>
      </c>
      <c r="S96" s="193">
        <v>0.05</v>
      </c>
      <c r="T96" s="193">
        <v>0.08</v>
      </c>
      <c r="U96" s="193">
        <v>0.1</v>
      </c>
      <c r="V96" s="193">
        <v>0.12</v>
      </c>
      <c r="W96" s="193">
        <v>0.14</v>
      </c>
      <c r="X96" s="193">
        <v>0.14</v>
      </c>
      <c r="Y96" s="193">
        <v>0.12</v>
      </c>
      <c r="Z96" s="193">
        <v>0.09</v>
      </c>
      <c r="AA96" s="193">
        <v>0.06</v>
      </c>
      <c r="AB96" s="193">
        <v>0.04</v>
      </c>
      <c r="AC96" s="194">
        <v>0.03</v>
      </c>
      <c r="AD96" s="188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1"/>
    </row>
    <row r="97" spans="1:43" ht="15.75" customHeight="1">
      <c r="A97" s="106" t="str">
        <f t="shared" si="4"/>
        <v>San Juan, FRUITLAND 2 E  NM3340</v>
      </c>
      <c r="B97" s="106" t="s">
        <v>165</v>
      </c>
      <c r="C97" s="106" t="s">
        <v>268</v>
      </c>
      <c r="D97" s="1062">
        <v>1.88</v>
      </c>
      <c r="E97" s="184">
        <v>0.62</v>
      </c>
      <c r="F97" s="184">
        <v>0.61</v>
      </c>
      <c r="G97" s="184">
        <v>0.74</v>
      </c>
      <c r="H97" s="184">
        <v>0.57</v>
      </c>
      <c r="I97" s="184">
        <v>0.41</v>
      </c>
      <c r="J97" s="184">
        <v>0.26</v>
      </c>
      <c r="K97" s="184">
        <v>0.77</v>
      </c>
      <c r="L97" s="184">
        <v>0.94</v>
      </c>
      <c r="M97" s="184">
        <v>0.98</v>
      </c>
      <c r="N97" s="184">
        <v>0.95</v>
      </c>
      <c r="O97" s="184">
        <v>0.76</v>
      </c>
      <c r="P97" s="184">
        <v>0.71</v>
      </c>
      <c r="Q97" s="185">
        <f t="shared" si="5"/>
        <v>8.32</v>
      </c>
      <c r="R97" s="193">
        <v>0.03</v>
      </c>
      <c r="S97" s="193">
        <v>0.05</v>
      </c>
      <c r="T97" s="193">
        <v>0.08</v>
      </c>
      <c r="U97" s="193">
        <v>0.1</v>
      </c>
      <c r="V97" s="193">
        <v>0.12</v>
      </c>
      <c r="W97" s="193">
        <v>0.14</v>
      </c>
      <c r="X97" s="193">
        <v>0.14</v>
      </c>
      <c r="Y97" s="193">
        <v>0.12</v>
      </c>
      <c r="Z97" s="193">
        <v>0.09</v>
      </c>
      <c r="AA97" s="193">
        <v>0.06</v>
      </c>
      <c r="AB97" s="193">
        <v>0.04</v>
      </c>
      <c r="AC97" s="194">
        <v>0.03</v>
      </c>
      <c r="AD97" s="188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1"/>
    </row>
    <row r="98" spans="1:43" ht="15.75" customHeight="1">
      <c r="A98" s="106" t="str">
        <f aca="true" t="shared" si="6" ref="A98:A129">CONCATENATE(B98,C98)</f>
        <v>San Juan, NAVAJO DAM  NM6061</v>
      </c>
      <c r="B98" s="106" t="s">
        <v>165</v>
      </c>
      <c r="C98" s="106" t="s">
        <v>269</v>
      </c>
      <c r="D98" s="1065"/>
      <c r="E98" s="184">
        <v>1.06</v>
      </c>
      <c r="F98" s="184">
        <v>0.98</v>
      </c>
      <c r="G98" s="184">
        <v>1.32</v>
      </c>
      <c r="H98" s="184">
        <v>1</v>
      </c>
      <c r="I98" s="184">
        <v>0.89</v>
      </c>
      <c r="J98" s="184">
        <v>0.55</v>
      </c>
      <c r="K98" s="184">
        <v>1.19</v>
      </c>
      <c r="L98" s="184">
        <v>1.75</v>
      </c>
      <c r="M98" s="184">
        <v>1.15</v>
      </c>
      <c r="N98" s="184">
        <v>1.28</v>
      </c>
      <c r="O98" s="184">
        <v>1.15</v>
      </c>
      <c r="P98" s="184">
        <v>1.23</v>
      </c>
      <c r="Q98" s="185">
        <f aca="true" t="shared" si="7" ref="Q98:Q129">SUM(E98:P98)</f>
        <v>13.55</v>
      </c>
      <c r="R98" s="193">
        <v>0.03</v>
      </c>
      <c r="S98" s="193">
        <v>0.05</v>
      </c>
      <c r="T98" s="193">
        <v>0.08</v>
      </c>
      <c r="U98" s="193">
        <v>0.1</v>
      </c>
      <c r="V98" s="193">
        <v>0.12</v>
      </c>
      <c r="W98" s="193">
        <v>0.14</v>
      </c>
      <c r="X98" s="193">
        <v>0.14</v>
      </c>
      <c r="Y98" s="193">
        <v>0.12</v>
      </c>
      <c r="Z98" s="193">
        <v>0.09</v>
      </c>
      <c r="AA98" s="193">
        <v>0.06</v>
      </c>
      <c r="AB98" s="193">
        <v>0.04</v>
      </c>
      <c r="AC98" s="194">
        <v>0.03</v>
      </c>
      <c r="AD98" s="188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1"/>
    </row>
    <row r="99" spans="1:43" ht="15.75" customHeight="1">
      <c r="A99" s="106" t="str">
        <f t="shared" si="6"/>
        <v>San Juan, OTIS  NM6465</v>
      </c>
      <c r="B99" s="106" t="s">
        <v>165</v>
      </c>
      <c r="C99" s="106" t="s">
        <v>270</v>
      </c>
      <c r="D99" s="1062">
        <v>2.25</v>
      </c>
      <c r="E99" s="184">
        <v>0.59</v>
      </c>
      <c r="F99" s="184">
        <v>0.52</v>
      </c>
      <c r="G99" s="184">
        <v>0.67</v>
      </c>
      <c r="H99" s="184">
        <v>0.49</v>
      </c>
      <c r="I99" s="184">
        <v>0.56</v>
      </c>
      <c r="J99" s="184">
        <v>0.66</v>
      </c>
      <c r="K99" s="184">
        <v>1.47</v>
      </c>
      <c r="L99" s="184">
        <v>1.68</v>
      </c>
      <c r="M99" s="184">
        <v>1.08</v>
      </c>
      <c r="N99" s="184">
        <v>1.09</v>
      </c>
      <c r="O99" s="184">
        <v>0.69</v>
      </c>
      <c r="P99" s="184">
        <v>0.61</v>
      </c>
      <c r="Q99" s="185">
        <f t="shared" si="7"/>
        <v>10.11</v>
      </c>
      <c r="R99" s="193">
        <v>0.03</v>
      </c>
      <c r="S99" s="193">
        <v>0.05</v>
      </c>
      <c r="T99" s="193">
        <v>0.08</v>
      </c>
      <c r="U99" s="193">
        <v>0.1</v>
      </c>
      <c r="V99" s="193">
        <v>0.12</v>
      </c>
      <c r="W99" s="193">
        <v>0.14</v>
      </c>
      <c r="X99" s="193">
        <v>0.14</v>
      </c>
      <c r="Y99" s="193">
        <v>0.12</v>
      </c>
      <c r="Z99" s="193">
        <v>0.09</v>
      </c>
      <c r="AA99" s="193">
        <v>0.06</v>
      </c>
      <c r="AB99" s="193">
        <v>0.04</v>
      </c>
      <c r="AC99" s="194">
        <v>0.03</v>
      </c>
      <c r="AD99" s="188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1"/>
    </row>
    <row r="100" spans="1:43" ht="15.75" customHeight="1">
      <c r="A100" s="106" t="str">
        <f t="shared" si="6"/>
        <v>San Juan, SHIPROCK  NM8284</v>
      </c>
      <c r="B100" s="106" t="s">
        <v>165</v>
      </c>
      <c r="C100" s="106" t="s">
        <v>271</v>
      </c>
      <c r="D100" s="1062">
        <v>1.91</v>
      </c>
      <c r="E100" s="184">
        <v>0.49</v>
      </c>
      <c r="F100" s="184">
        <v>0.43</v>
      </c>
      <c r="G100" s="184">
        <v>0.47</v>
      </c>
      <c r="H100" s="184">
        <v>0.4</v>
      </c>
      <c r="I100" s="184">
        <v>0.51</v>
      </c>
      <c r="J100" s="184">
        <v>0.26</v>
      </c>
      <c r="K100" s="184">
        <v>0.56</v>
      </c>
      <c r="L100" s="184">
        <v>1.05</v>
      </c>
      <c r="M100" s="184">
        <v>0.72</v>
      </c>
      <c r="N100" s="184">
        <v>0.87</v>
      </c>
      <c r="O100" s="184">
        <v>0.66</v>
      </c>
      <c r="P100" s="184">
        <v>0.62</v>
      </c>
      <c r="Q100" s="185">
        <f t="shared" si="7"/>
        <v>7.04</v>
      </c>
      <c r="R100" s="193">
        <v>0.03</v>
      </c>
      <c r="S100" s="193">
        <v>0.05</v>
      </c>
      <c r="T100" s="193">
        <v>0.08</v>
      </c>
      <c r="U100" s="193">
        <v>0.1</v>
      </c>
      <c r="V100" s="193">
        <v>0.12</v>
      </c>
      <c r="W100" s="193">
        <v>0.14</v>
      </c>
      <c r="X100" s="193">
        <v>0.14</v>
      </c>
      <c r="Y100" s="193">
        <v>0.12</v>
      </c>
      <c r="Z100" s="193">
        <v>0.09</v>
      </c>
      <c r="AA100" s="193">
        <v>0.06</v>
      </c>
      <c r="AB100" s="193">
        <v>0.04</v>
      </c>
      <c r="AC100" s="194">
        <v>0.03</v>
      </c>
      <c r="AD100" s="188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1"/>
    </row>
    <row r="101" spans="1:43" ht="15.75" customHeight="1">
      <c r="A101" s="106" t="str">
        <f t="shared" si="6"/>
        <v>San Miguel, BELL RANCH  NM0858</v>
      </c>
      <c r="B101" s="106" t="s">
        <v>166</v>
      </c>
      <c r="C101" s="106" t="s">
        <v>272</v>
      </c>
      <c r="D101" s="1062">
        <v>4.18</v>
      </c>
      <c r="E101" s="184">
        <v>0.28</v>
      </c>
      <c r="F101" s="184">
        <v>0.32</v>
      </c>
      <c r="G101" s="184">
        <v>0.48</v>
      </c>
      <c r="H101" s="184">
        <v>0.65</v>
      </c>
      <c r="I101" s="184">
        <v>1.44</v>
      </c>
      <c r="J101" s="184">
        <v>2.03</v>
      </c>
      <c r="K101" s="184">
        <v>2.66</v>
      </c>
      <c r="L101" s="184">
        <v>2.66</v>
      </c>
      <c r="M101" s="184">
        <v>1.75</v>
      </c>
      <c r="N101" s="184">
        <v>0.95</v>
      </c>
      <c r="O101" s="184">
        <v>0.69</v>
      </c>
      <c r="P101" s="184">
        <v>0.36</v>
      </c>
      <c r="Q101" s="185">
        <f t="shared" si="7"/>
        <v>14.269999999999998</v>
      </c>
      <c r="R101" s="186">
        <v>0.03</v>
      </c>
      <c r="S101" s="186">
        <v>0.04</v>
      </c>
      <c r="T101" s="186">
        <v>0.07</v>
      </c>
      <c r="U101" s="186">
        <v>0.1</v>
      </c>
      <c r="V101" s="186">
        <v>0.12</v>
      </c>
      <c r="W101" s="186">
        <v>0.14</v>
      </c>
      <c r="X101" s="186">
        <v>0.14</v>
      </c>
      <c r="Y101" s="186">
        <v>0.12</v>
      </c>
      <c r="Z101" s="186">
        <v>0.1</v>
      </c>
      <c r="AA101" s="186">
        <v>0.07</v>
      </c>
      <c r="AB101" s="186">
        <v>0.04</v>
      </c>
      <c r="AC101" s="187">
        <v>0.03</v>
      </c>
      <c r="AD101" s="188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1"/>
    </row>
    <row r="102" spans="1:43" ht="15.75" customHeight="1">
      <c r="A102" s="106" t="str">
        <f t="shared" si="6"/>
        <v>San Miguel, CONCHAS DAM  NM2030</v>
      </c>
      <c r="B102" s="106" t="s">
        <v>166</v>
      </c>
      <c r="C102" s="106" t="s">
        <v>273</v>
      </c>
      <c r="D102" s="1062">
        <v>4.05</v>
      </c>
      <c r="E102" s="184">
        <v>0.38</v>
      </c>
      <c r="F102" s="184">
        <v>0.44</v>
      </c>
      <c r="G102" s="184">
        <v>0.58</v>
      </c>
      <c r="H102" s="184">
        <v>0.79</v>
      </c>
      <c r="I102" s="184">
        <v>1.32</v>
      </c>
      <c r="J102" s="184">
        <v>1.82</v>
      </c>
      <c r="K102" s="184">
        <v>2.41</v>
      </c>
      <c r="L102" s="184">
        <v>2.47</v>
      </c>
      <c r="M102" s="184">
        <v>1.62</v>
      </c>
      <c r="N102" s="184">
        <v>1.01</v>
      </c>
      <c r="O102" s="184">
        <v>0.63</v>
      </c>
      <c r="P102" s="184">
        <v>0.38</v>
      </c>
      <c r="Q102" s="185">
        <f t="shared" si="7"/>
        <v>13.850000000000003</v>
      </c>
      <c r="R102" s="186">
        <v>0.03</v>
      </c>
      <c r="S102" s="186">
        <v>0.04</v>
      </c>
      <c r="T102" s="186">
        <v>0.07</v>
      </c>
      <c r="U102" s="186">
        <v>0.1</v>
      </c>
      <c r="V102" s="186">
        <v>0.12</v>
      </c>
      <c r="W102" s="186">
        <v>0.14</v>
      </c>
      <c r="X102" s="186">
        <v>0.14</v>
      </c>
      <c r="Y102" s="186">
        <v>0.12</v>
      </c>
      <c r="Z102" s="186">
        <v>0.1</v>
      </c>
      <c r="AA102" s="186">
        <v>0.07</v>
      </c>
      <c r="AB102" s="186">
        <v>0.04</v>
      </c>
      <c r="AC102" s="187">
        <v>0.03</v>
      </c>
      <c r="AD102" s="188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1"/>
    </row>
    <row r="103" spans="1:43" ht="15.75" customHeight="1">
      <c r="A103" s="106" t="str">
        <f t="shared" si="6"/>
        <v>San Miguel, LAS VEGAS FAA AIRPORT  NM4856</v>
      </c>
      <c r="B103" s="106" t="s">
        <v>166</v>
      </c>
      <c r="C103" s="106" t="s">
        <v>274</v>
      </c>
      <c r="D103" s="1062">
        <v>3.48</v>
      </c>
      <c r="E103" s="184">
        <v>0.33</v>
      </c>
      <c r="F103" s="184">
        <v>0.4</v>
      </c>
      <c r="G103" s="184">
        <v>0.58</v>
      </c>
      <c r="H103" s="184">
        <v>0.88</v>
      </c>
      <c r="I103" s="184">
        <v>1.68</v>
      </c>
      <c r="J103" s="184">
        <v>1.92</v>
      </c>
      <c r="K103" s="184">
        <v>3.42</v>
      </c>
      <c r="L103" s="184">
        <v>3.71</v>
      </c>
      <c r="M103" s="184">
        <v>2.07</v>
      </c>
      <c r="N103" s="184">
        <v>0.97</v>
      </c>
      <c r="O103" s="184">
        <v>0.68</v>
      </c>
      <c r="P103" s="184">
        <v>0.47</v>
      </c>
      <c r="Q103" s="185">
        <f t="shared" si="7"/>
        <v>17.110000000000003</v>
      </c>
      <c r="R103" s="186">
        <v>0.03</v>
      </c>
      <c r="S103" s="186">
        <v>0.04</v>
      </c>
      <c r="T103" s="186">
        <v>0.07</v>
      </c>
      <c r="U103" s="186">
        <v>0.1</v>
      </c>
      <c r="V103" s="186">
        <v>0.12</v>
      </c>
      <c r="W103" s="186">
        <v>0.14</v>
      </c>
      <c r="X103" s="186">
        <v>0.14</v>
      </c>
      <c r="Y103" s="186">
        <v>0.12</v>
      </c>
      <c r="Z103" s="186">
        <v>0.1</v>
      </c>
      <c r="AA103" s="186">
        <v>0.07</v>
      </c>
      <c r="AB103" s="186">
        <v>0.04</v>
      </c>
      <c r="AC103" s="187">
        <v>0.03</v>
      </c>
      <c r="AD103" s="188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1"/>
    </row>
    <row r="104" spans="1:43" ht="15.75" customHeight="1">
      <c r="A104" s="106" t="str">
        <f t="shared" si="6"/>
        <v>San Miguel, PECOS RANGER STN  NM6676</v>
      </c>
      <c r="B104" s="106" t="s">
        <v>166</v>
      </c>
      <c r="C104" s="106" t="s">
        <v>275</v>
      </c>
      <c r="D104" s="1062">
        <v>2.87</v>
      </c>
      <c r="E104" s="184">
        <v>0.68</v>
      </c>
      <c r="F104" s="184">
        <v>0.73</v>
      </c>
      <c r="G104" s="184">
        <v>0.89</v>
      </c>
      <c r="H104" s="184">
        <v>0.79</v>
      </c>
      <c r="I104" s="184">
        <v>1.02</v>
      </c>
      <c r="J104" s="184">
        <v>1.19</v>
      </c>
      <c r="K104" s="184">
        <v>2.88</v>
      </c>
      <c r="L104" s="184">
        <v>3.47</v>
      </c>
      <c r="M104" s="184">
        <v>2.07</v>
      </c>
      <c r="N104" s="184">
        <v>1.07</v>
      </c>
      <c r="O104" s="184">
        <v>0.92</v>
      </c>
      <c r="P104" s="184">
        <v>0.68</v>
      </c>
      <c r="Q104" s="185">
        <f t="shared" si="7"/>
        <v>16.39</v>
      </c>
      <c r="R104" s="186">
        <v>0.03</v>
      </c>
      <c r="S104" s="186">
        <v>0.04</v>
      </c>
      <c r="T104" s="186">
        <v>0.07</v>
      </c>
      <c r="U104" s="186">
        <v>0.1</v>
      </c>
      <c r="V104" s="186">
        <v>0.12</v>
      </c>
      <c r="W104" s="186">
        <v>0.14</v>
      </c>
      <c r="X104" s="186">
        <v>0.14</v>
      </c>
      <c r="Y104" s="186">
        <v>0.12</v>
      </c>
      <c r="Z104" s="186">
        <v>0.1</v>
      </c>
      <c r="AA104" s="186">
        <v>0.07</v>
      </c>
      <c r="AB104" s="186">
        <v>0.04</v>
      </c>
      <c r="AC104" s="187">
        <v>0.03</v>
      </c>
      <c r="AD104" s="188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1"/>
    </row>
    <row r="105" spans="1:43" ht="15.75" customHeight="1">
      <c r="A105" s="106" t="str">
        <f t="shared" si="6"/>
        <v>Sandoval, CUBA  NM2241</v>
      </c>
      <c r="B105" s="106" t="s">
        <v>167</v>
      </c>
      <c r="C105" s="106" t="s">
        <v>276</v>
      </c>
      <c r="D105" s="1062">
        <v>2.35</v>
      </c>
      <c r="E105" s="184">
        <v>0.85</v>
      </c>
      <c r="F105" s="184">
        <v>0.6</v>
      </c>
      <c r="G105" s="184">
        <v>0.86</v>
      </c>
      <c r="H105" s="184">
        <v>0.5</v>
      </c>
      <c r="I105" s="184">
        <v>0.76</v>
      </c>
      <c r="J105" s="184">
        <v>0.87</v>
      </c>
      <c r="K105" s="184">
        <v>2.13</v>
      </c>
      <c r="L105" s="184">
        <v>2.21</v>
      </c>
      <c r="M105" s="184">
        <v>1.62</v>
      </c>
      <c r="N105" s="184">
        <v>1.17</v>
      </c>
      <c r="O105" s="184">
        <v>0.87</v>
      </c>
      <c r="P105" s="184">
        <v>0.66</v>
      </c>
      <c r="Q105" s="185">
        <f t="shared" si="7"/>
        <v>13.100000000000001</v>
      </c>
      <c r="R105" s="193">
        <v>0.03</v>
      </c>
      <c r="S105" s="193">
        <v>0.04</v>
      </c>
      <c r="T105" s="193">
        <v>0.08</v>
      </c>
      <c r="U105" s="193">
        <v>0.1</v>
      </c>
      <c r="V105" s="193">
        <v>0.13</v>
      </c>
      <c r="W105" s="193">
        <v>0.14</v>
      </c>
      <c r="X105" s="193">
        <v>0.14</v>
      </c>
      <c r="Y105" s="193">
        <v>0.12</v>
      </c>
      <c r="Z105" s="193">
        <v>0.09</v>
      </c>
      <c r="AA105" s="193">
        <v>0.06</v>
      </c>
      <c r="AB105" s="193">
        <v>0.04</v>
      </c>
      <c r="AC105" s="194">
        <v>0.03</v>
      </c>
      <c r="AD105" s="188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1"/>
    </row>
    <row r="106" spans="1:43" ht="15.75" customHeight="1">
      <c r="A106" s="106" t="str">
        <f t="shared" si="6"/>
        <v>Sandoval, JEMEZ SPRINGS  NM4369</v>
      </c>
      <c r="B106" s="106" t="s">
        <v>167</v>
      </c>
      <c r="C106" s="106" t="s">
        <v>277</v>
      </c>
      <c r="D106" s="1062">
        <v>3.12</v>
      </c>
      <c r="E106" s="184">
        <v>1.02</v>
      </c>
      <c r="F106" s="184">
        <v>0.86</v>
      </c>
      <c r="G106" s="184">
        <v>1.07</v>
      </c>
      <c r="H106" s="184">
        <v>0.89</v>
      </c>
      <c r="I106" s="184">
        <v>1.03</v>
      </c>
      <c r="J106" s="184">
        <v>1.08</v>
      </c>
      <c r="K106" s="184">
        <v>2.58</v>
      </c>
      <c r="L106" s="184">
        <v>3.16</v>
      </c>
      <c r="M106" s="184">
        <v>1.87</v>
      </c>
      <c r="N106" s="184">
        <v>1.39</v>
      </c>
      <c r="O106" s="184">
        <v>1.04</v>
      </c>
      <c r="P106" s="184">
        <v>1.03</v>
      </c>
      <c r="Q106" s="185">
        <f t="shared" si="7"/>
        <v>17.020000000000003</v>
      </c>
      <c r="R106" s="193">
        <v>0.03</v>
      </c>
      <c r="S106" s="193">
        <v>0.04</v>
      </c>
      <c r="T106" s="193">
        <v>0.08</v>
      </c>
      <c r="U106" s="193">
        <v>0.1</v>
      </c>
      <c r="V106" s="193">
        <v>0.13</v>
      </c>
      <c r="W106" s="193">
        <v>0.14</v>
      </c>
      <c r="X106" s="193">
        <v>0.14</v>
      </c>
      <c r="Y106" s="193">
        <v>0.12</v>
      </c>
      <c r="Z106" s="193">
        <v>0.09</v>
      </c>
      <c r="AA106" s="193">
        <v>0.06</v>
      </c>
      <c r="AB106" s="193">
        <v>0.04</v>
      </c>
      <c r="AC106" s="194">
        <v>0.03</v>
      </c>
      <c r="AD106" s="188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1"/>
    </row>
    <row r="107" spans="1:43" ht="15.75" customHeight="1">
      <c r="A107" s="106" t="str">
        <f t="shared" si="6"/>
        <v>Sandoval, TORREON NAVAJO MISSION  NM9031</v>
      </c>
      <c r="B107" s="106" t="s">
        <v>167</v>
      </c>
      <c r="C107" s="106" t="s">
        <v>278</v>
      </c>
      <c r="D107" s="1062">
        <v>2.24</v>
      </c>
      <c r="E107" s="184">
        <v>0.55</v>
      </c>
      <c r="F107" s="184">
        <v>0.46</v>
      </c>
      <c r="G107" s="184">
        <v>0.6</v>
      </c>
      <c r="H107" s="184">
        <v>0.54</v>
      </c>
      <c r="I107" s="184">
        <v>0.68</v>
      </c>
      <c r="J107" s="184">
        <v>0.57</v>
      </c>
      <c r="K107" s="184">
        <v>1.45</v>
      </c>
      <c r="L107" s="184">
        <v>1.75</v>
      </c>
      <c r="M107" s="184">
        <v>1.27</v>
      </c>
      <c r="N107" s="184">
        <v>1.04</v>
      </c>
      <c r="O107" s="184">
        <v>0.66</v>
      </c>
      <c r="P107" s="184">
        <v>0.54</v>
      </c>
      <c r="Q107" s="185">
        <f t="shared" si="7"/>
        <v>10.11</v>
      </c>
      <c r="R107" s="193">
        <v>0.03</v>
      </c>
      <c r="S107" s="193">
        <v>0.04</v>
      </c>
      <c r="T107" s="193">
        <v>0.08</v>
      </c>
      <c r="U107" s="193">
        <v>0.1</v>
      </c>
      <c r="V107" s="193">
        <v>0.13</v>
      </c>
      <c r="W107" s="193">
        <v>0.14</v>
      </c>
      <c r="X107" s="193">
        <v>0.14</v>
      </c>
      <c r="Y107" s="193">
        <v>0.12</v>
      </c>
      <c r="Z107" s="193">
        <v>0.09</v>
      </c>
      <c r="AA107" s="193">
        <v>0.06</v>
      </c>
      <c r="AB107" s="193">
        <v>0.04</v>
      </c>
      <c r="AC107" s="194">
        <v>0.03</v>
      </c>
      <c r="AD107" s="188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1"/>
    </row>
    <row r="108" spans="1:43" ht="15.75" customHeight="1">
      <c r="A108" s="106" t="str">
        <f t="shared" si="6"/>
        <v>Sandoval, WOLF CANYON  NM9820</v>
      </c>
      <c r="B108" s="106" t="s">
        <v>167</v>
      </c>
      <c r="C108" s="106" t="s">
        <v>279</v>
      </c>
      <c r="D108" s="1062">
        <v>3.02</v>
      </c>
      <c r="E108" s="184">
        <v>1.75</v>
      </c>
      <c r="F108" s="184">
        <v>1.68</v>
      </c>
      <c r="G108" s="184">
        <v>2.03</v>
      </c>
      <c r="H108" s="184">
        <v>1.28</v>
      </c>
      <c r="I108" s="184">
        <v>1.24</v>
      </c>
      <c r="J108" s="184">
        <v>1.32</v>
      </c>
      <c r="K108" s="184">
        <v>3.49</v>
      </c>
      <c r="L108" s="184">
        <v>3.7</v>
      </c>
      <c r="M108" s="184">
        <v>2.07</v>
      </c>
      <c r="N108" s="184">
        <v>1.77</v>
      </c>
      <c r="O108" s="184">
        <v>1.56</v>
      </c>
      <c r="P108" s="184">
        <v>1.66</v>
      </c>
      <c r="Q108" s="185">
        <f t="shared" si="7"/>
        <v>23.549999999999997</v>
      </c>
      <c r="R108" s="193">
        <v>0.03</v>
      </c>
      <c r="S108" s="193">
        <v>0.04</v>
      </c>
      <c r="T108" s="193">
        <v>0.08</v>
      </c>
      <c r="U108" s="193">
        <v>0.09</v>
      </c>
      <c r="V108" s="193">
        <v>0.11</v>
      </c>
      <c r="W108" s="193">
        <v>0.15</v>
      </c>
      <c r="X108" s="193">
        <v>0.14</v>
      </c>
      <c r="Y108" s="193">
        <v>0.11</v>
      </c>
      <c r="Z108" s="193">
        <v>0.1</v>
      </c>
      <c r="AA108" s="193">
        <v>0.08</v>
      </c>
      <c r="AB108" s="193">
        <v>0.04</v>
      </c>
      <c r="AC108" s="194">
        <v>0.03</v>
      </c>
      <c r="AD108" s="188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1"/>
    </row>
    <row r="109" spans="1:43" ht="15.75" customHeight="1">
      <c r="A109" s="106" t="str">
        <f t="shared" si="6"/>
        <v>Santa Fe, STANLEY 1 NNE  NM8518</v>
      </c>
      <c r="B109" s="106" t="s">
        <v>168</v>
      </c>
      <c r="C109" s="106" t="s">
        <v>280</v>
      </c>
      <c r="D109" s="1062">
        <v>2.61</v>
      </c>
      <c r="E109" s="184">
        <v>0.42</v>
      </c>
      <c r="F109" s="184">
        <v>0.43</v>
      </c>
      <c r="G109" s="184">
        <v>0.5</v>
      </c>
      <c r="H109" s="184">
        <v>0.52</v>
      </c>
      <c r="I109" s="184">
        <v>0.84</v>
      </c>
      <c r="J109" s="184">
        <v>1.13</v>
      </c>
      <c r="K109" s="184">
        <v>2.17</v>
      </c>
      <c r="L109" s="184">
        <v>2.4</v>
      </c>
      <c r="M109" s="184">
        <v>1.59</v>
      </c>
      <c r="N109" s="184">
        <v>1.18</v>
      </c>
      <c r="O109" s="184">
        <v>0.57</v>
      </c>
      <c r="P109" s="184">
        <v>0.47</v>
      </c>
      <c r="Q109" s="185">
        <f t="shared" si="7"/>
        <v>12.22</v>
      </c>
      <c r="R109" s="193">
        <v>0.03</v>
      </c>
      <c r="S109" s="193">
        <v>0.04</v>
      </c>
      <c r="T109" s="193">
        <v>0.08</v>
      </c>
      <c r="U109" s="193">
        <v>0.09</v>
      </c>
      <c r="V109" s="193">
        <v>0.11</v>
      </c>
      <c r="W109" s="193">
        <v>0.15</v>
      </c>
      <c r="X109" s="193">
        <v>0.14</v>
      </c>
      <c r="Y109" s="193">
        <v>0.11</v>
      </c>
      <c r="Z109" s="193">
        <v>0.1</v>
      </c>
      <c r="AA109" s="193">
        <v>0.08</v>
      </c>
      <c r="AB109" s="193">
        <v>0.04</v>
      </c>
      <c r="AC109" s="194">
        <v>0.03</v>
      </c>
      <c r="AD109" s="188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1"/>
    </row>
    <row r="110" spans="1:43" ht="15.75" customHeight="1">
      <c r="A110" s="106" t="str">
        <f t="shared" si="6"/>
        <v>Sierra, ALEMAN RANCH  NM0268</v>
      </c>
      <c r="B110" s="106" t="s">
        <v>169</v>
      </c>
      <c r="C110" s="106" t="s">
        <v>281</v>
      </c>
      <c r="D110" s="1062">
        <v>2.67</v>
      </c>
      <c r="E110" s="184">
        <v>0.4</v>
      </c>
      <c r="F110" s="184">
        <v>0.34</v>
      </c>
      <c r="G110" s="184">
        <v>0.27</v>
      </c>
      <c r="H110" s="184">
        <v>0.19</v>
      </c>
      <c r="I110" s="184">
        <v>0.36</v>
      </c>
      <c r="J110" s="184">
        <v>0.78</v>
      </c>
      <c r="K110" s="184">
        <v>2.11</v>
      </c>
      <c r="L110" s="184">
        <v>2.14</v>
      </c>
      <c r="M110" s="184">
        <v>1.51</v>
      </c>
      <c r="N110" s="184">
        <v>0.97</v>
      </c>
      <c r="O110" s="184">
        <v>0.61</v>
      </c>
      <c r="P110" s="184">
        <v>0.74</v>
      </c>
      <c r="Q110" s="185">
        <f t="shared" si="7"/>
        <v>10.42</v>
      </c>
      <c r="R110" s="189">
        <v>0.03</v>
      </c>
      <c r="S110" s="189">
        <v>0.04</v>
      </c>
      <c r="T110" s="189">
        <v>0.08</v>
      </c>
      <c r="U110" s="189">
        <v>0.11</v>
      </c>
      <c r="V110" s="189">
        <v>0.13</v>
      </c>
      <c r="W110" s="189">
        <v>0.14</v>
      </c>
      <c r="X110" s="189">
        <v>0.13</v>
      </c>
      <c r="Y110" s="189">
        <v>0.11</v>
      </c>
      <c r="Z110" s="189">
        <v>0.09</v>
      </c>
      <c r="AA110" s="189">
        <v>0.07</v>
      </c>
      <c r="AB110" s="189">
        <v>0.04</v>
      </c>
      <c r="AC110" s="190">
        <v>0.03</v>
      </c>
      <c r="AD110" s="188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1"/>
    </row>
    <row r="111" spans="1:43" ht="15.75" customHeight="1">
      <c r="A111" s="106" t="str">
        <f t="shared" si="6"/>
        <v>Sierra, CABALLO DAM  NM1286</v>
      </c>
      <c r="B111" s="106" t="s">
        <v>169</v>
      </c>
      <c r="C111" s="106" t="s">
        <v>282</v>
      </c>
      <c r="D111" s="1062">
        <v>2.74</v>
      </c>
      <c r="E111" s="184">
        <v>0.43</v>
      </c>
      <c r="F111" s="184">
        <v>0.29</v>
      </c>
      <c r="G111" s="184">
        <v>0.22</v>
      </c>
      <c r="H111" s="184">
        <v>0.11</v>
      </c>
      <c r="I111" s="184">
        <v>0.28</v>
      </c>
      <c r="J111" s="184">
        <v>0.68</v>
      </c>
      <c r="K111" s="184">
        <v>1.93</v>
      </c>
      <c r="L111" s="184">
        <v>2.2</v>
      </c>
      <c r="M111" s="184">
        <v>1.69</v>
      </c>
      <c r="N111" s="184">
        <v>0.95</v>
      </c>
      <c r="O111" s="184">
        <v>0.6</v>
      </c>
      <c r="P111" s="184">
        <v>0.68</v>
      </c>
      <c r="Q111" s="185">
        <f t="shared" si="7"/>
        <v>10.059999999999999</v>
      </c>
      <c r="R111" s="189">
        <v>0.03</v>
      </c>
      <c r="S111" s="189">
        <v>0.04</v>
      </c>
      <c r="T111" s="189">
        <v>0.08</v>
      </c>
      <c r="U111" s="189">
        <v>0.11</v>
      </c>
      <c r="V111" s="189">
        <v>0.13</v>
      </c>
      <c r="W111" s="189">
        <v>0.14</v>
      </c>
      <c r="X111" s="189">
        <v>0.13</v>
      </c>
      <c r="Y111" s="189">
        <v>0.11</v>
      </c>
      <c r="Z111" s="189">
        <v>0.09</v>
      </c>
      <c r="AA111" s="189">
        <v>0.07</v>
      </c>
      <c r="AB111" s="189">
        <v>0.04</v>
      </c>
      <c r="AC111" s="190">
        <v>0.03</v>
      </c>
      <c r="AD111" s="188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1"/>
    </row>
    <row r="112" spans="1:43" ht="15.75" customHeight="1">
      <c r="A112" s="106" t="str">
        <f t="shared" si="6"/>
        <v>Sierra, CHLORIDE RANGER STN  NM9806</v>
      </c>
      <c r="B112" s="106" t="s">
        <v>169</v>
      </c>
      <c r="C112" s="106" t="s">
        <v>283</v>
      </c>
      <c r="D112" s="1065"/>
      <c r="E112" s="184">
        <v>0.38</v>
      </c>
      <c r="F112" s="184">
        <v>0.32</v>
      </c>
      <c r="G112" s="184">
        <v>0.19</v>
      </c>
      <c r="H112" s="184">
        <v>0.19</v>
      </c>
      <c r="I112" s="184">
        <v>0.53</v>
      </c>
      <c r="J112" s="184">
        <v>0.78</v>
      </c>
      <c r="K112" s="184">
        <v>2.81</v>
      </c>
      <c r="L112" s="184">
        <v>3.16</v>
      </c>
      <c r="M112" s="184">
        <v>2.54</v>
      </c>
      <c r="N112" s="184">
        <v>1.18</v>
      </c>
      <c r="O112" s="184">
        <v>0.46</v>
      </c>
      <c r="P112" s="184">
        <v>0.6</v>
      </c>
      <c r="Q112" s="185">
        <f t="shared" si="7"/>
        <v>13.139999999999999</v>
      </c>
      <c r="R112" s="189">
        <v>0.03</v>
      </c>
      <c r="S112" s="189">
        <v>0.04</v>
      </c>
      <c r="T112" s="189">
        <v>0.08</v>
      </c>
      <c r="U112" s="189">
        <v>0.11</v>
      </c>
      <c r="V112" s="189">
        <v>0.13</v>
      </c>
      <c r="W112" s="189">
        <v>0.14</v>
      </c>
      <c r="X112" s="189">
        <v>0.13</v>
      </c>
      <c r="Y112" s="189">
        <v>0.11</v>
      </c>
      <c r="Z112" s="189">
        <v>0.09</v>
      </c>
      <c r="AA112" s="189">
        <v>0.07</v>
      </c>
      <c r="AB112" s="189">
        <v>0.04</v>
      </c>
      <c r="AC112" s="190">
        <v>0.03</v>
      </c>
      <c r="AD112" s="188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1"/>
    </row>
    <row r="113" spans="1:43" ht="15.75" customHeight="1">
      <c r="A113" s="106" t="str">
        <f t="shared" si="6"/>
        <v>Sierra, ELEPHANT BUTTE DAM  NM2848</v>
      </c>
      <c r="B113" s="106" t="s">
        <v>169</v>
      </c>
      <c r="C113" s="106" t="s">
        <v>284</v>
      </c>
      <c r="D113" s="1062">
        <v>2.69</v>
      </c>
      <c r="E113" s="184">
        <v>0.39</v>
      </c>
      <c r="F113" s="184">
        <v>0.29</v>
      </c>
      <c r="G113" s="184">
        <v>0.26</v>
      </c>
      <c r="H113" s="184">
        <v>0.15</v>
      </c>
      <c r="I113" s="184">
        <v>0.39</v>
      </c>
      <c r="J113" s="184">
        <v>0.64</v>
      </c>
      <c r="K113" s="184">
        <v>1.57</v>
      </c>
      <c r="L113" s="184">
        <v>2.13</v>
      </c>
      <c r="M113" s="184">
        <v>1.59</v>
      </c>
      <c r="N113" s="184">
        <v>1</v>
      </c>
      <c r="O113" s="184">
        <v>0.63</v>
      </c>
      <c r="P113" s="184">
        <v>0.63</v>
      </c>
      <c r="Q113" s="185">
        <f t="shared" si="7"/>
        <v>9.670000000000002</v>
      </c>
      <c r="R113" s="189">
        <v>0.03</v>
      </c>
      <c r="S113" s="189">
        <v>0.04</v>
      </c>
      <c r="T113" s="189">
        <v>0.08</v>
      </c>
      <c r="U113" s="189">
        <v>0.11</v>
      </c>
      <c r="V113" s="189">
        <v>0.13</v>
      </c>
      <c r="W113" s="189">
        <v>0.14</v>
      </c>
      <c r="X113" s="189">
        <v>0.13</v>
      </c>
      <c r="Y113" s="189">
        <v>0.11</v>
      </c>
      <c r="Z113" s="189">
        <v>0.09</v>
      </c>
      <c r="AA113" s="189">
        <v>0.07</v>
      </c>
      <c r="AB113" s="189">
        <v>0.04</v>
      </c>
      <c r="AC113" s="190">
        <v>0.03</v>
      </c>
      <c r="AD113" s="188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1"/>
    </row>
    <row r="114" spans="1:43" ht="15.75" customHeight="1">
      <c r="A114" s="106" t="str">
        <f t="shared" si="6"/>
        <v>Sierra, HILLSBORO  NM4009</v>
      </c>
      <c r="B114" s="106" t="s">
        <v>169</v>
      </c>
      <c r="C114" s="106" t="s">
        <v>285</v>
      </c>
      <c r="D114" s="1062">
        <v>2.98</v>
      </c>
      <c r="E114" s="184">
        <v>0.57</v>
      </c>
      <c r="F114" s="184">
        <v>0.46</v>
      </c>
      <c r="G114" s="184">
        <v>0.26</v>
      </c>
      <c r="H114" s="184">
        <v>0.22</v>
      </c>
      <c r="I114" s="184">
        <v>0.44</v>
      </c>
      <c r="J114" s="184">
        <v>0.73</v>
      </c>
      <c r="K114" s="184">
        <v>2.66</v>
      </c>
      <c r="L114" s="184">
        <v>2.78</v>
      </c>
      <c r="M114" s="184">
        <v>2.45</v>
      </c>
      <c r="N114" s="184">
        <v>1.37</v>
      </c>
      <c r="O114" s="184">
        <v>0.72</v>
      </c>
      <c r="P114" s="184">
        <v>1.02</v>
      </c>
      <c r="Q114" s="185">
        <f t="shared" si="7"/>
        <v>13.680000000000001</v>
      </c>
      <c r="R114" s="189">
        <v>0.03</v>
      </c>
      <c r="S114" s="189">
        <v>0.04</v>
      </c>
      <c r="T114" s="189">
        <v>0.08</v>
      </c>
      <c r="U114" s="189">
        <v>0.11</v>
      </c>
      <c r="V114" s="189">
        <v>0.13</v>
      </c>
      <c r="W114" s="189">
        <v>0.14</v>
      </c>
      <c r="X114" s="189">
        <v>0.13</v>
      </c>
      <c r="Y114" s="189">
        <v>0.11</v>
      </c>
      <c r="Z114" s="189">
        <v>0.09</v>
      </c>
      <c r="AA114" s="189">
        <v>0.07</v>
      </c>
      <c r="AB114" s="189">
        <v>0.04</v>
      </c>
      <c r="AC114" s="190">
        <v>0.03</v>
      </c>
      <c r="AD114" s="188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1"/>
    </row>
    <row r="115" spans="1:43" ht="15.75" customHeight="1">
      <c r="A115" s="106" t="str">
        <f t="shared" si="6"/>
        <v>Socorro, AUGUSTINE 2 E  NM0640</v>
      </c>
      <c r="B115" s="106" t="s">
        <v>170</v>
      </c>
      <c r="C115" s="106" t="s">
        <v>286</v>
      </c>
      <c r="D115" s="1062">
        <v>2.43</v>
      </c>
      <c r="E115" s="184">
        <v>0.44</v>
      </c>
      <c r="F115" s="184">
        <v>0.41</v>
      </c>
      <c r="G115" s="184">
        <v>0.31</v>
      </c>
      <c r="H115" s="184">
        <v>0.2</v>
      </c>
      <c r="I115" s="184">
        <v>0.45</v>
      </c>
      <c r="J115" s="184">
        <v>0.49</v>
      </c>
      <c r="K115" s="184">
        <v>2.27</v>
      </c>
      <c r="L115" s="184">
        <v>2.6</v>
      </c>
      <c r="M115" s="184">
        <v>1.67</v>
      </c>
      <c r="N115" s="184">
        <v>1.19</v>
      </c>
      <c r="O115" s="184">
        <v>0.44</v>
      </c>
      <c r="P115" s="184">
        <v>0.45</v>
      </c>
      <c r="Q115" s="185">
        <f t="shared" si="7"/>
        <v>10.919999999999998</v>
      </c>
      <c r="R115" s="189">
        <v>0.03</v>
      </c>
      <c r="S115" s="189">
        <v>0.04</v>
      </c>
      <c r="T115" s="189">
        <v>0.08</v>
      </c>
      <c r="U115" s="189">
        <v>0.11</v>
      </c>
      <c r="V115" s="189">
        <v>0.13</v>
      </c>
      <c r="W115" s="189">
        <v>0.14</v>
      </c>
      <c r="X115" s="189">
        <v>0.13</v>
      </c>
      <c r="Y115" s="189">
        <v>0.11</v>
      </c>
      <c r="Z115" s="189">
        <v>0.09</v>
      </c>
      <c r="AA115" s="189">
        <v>0.07</v>
      </c>
      <c r="AB115" s="189">
        <v>0.04</v>
      </c>
      <c r="AC115" s="190">
        <v>0.03</v>
      </c>
      <c r="AD115" s="188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1"/>
    </row>
    <row r="116" spans="1:43" ht="15.75" customHeight="1">
      <c r="A116" s="106" t="str">
        <f t="shared" si="6"/>
        <v>Socorro, BERNARDO  NM0915</v>
      </c>
      <c r="B116" s="106" t="s">
        <v>170</v>
      </c>
      <c r="C116" s="106" t="s">
        <v>287</v>
      </c>
      <c r="D116" s="1065"/>
      <c r="E116" s="184">
        <v>0.31</v>
      </c>
      <c r="F116" s="184">
        <v>0.31</v>
      </c>
      <c r="G116" s="184">
        <v>0.25</v>
      </c>
      <c r="H116" s="184">
        <v>0.34</v>
      </c>
      <c r="I116" s="184">
        <v>0.4</v>
      </c>
      <c r="J116" s="184">
        <v>0.46</v>
      </c>
      <c r="K116" s="184">
        <v>1.18</v>
      </c>
      <c r="L116" s="184">
        <v>1.75</v>
      </c>
      <c r="M116" s="184">
        <v>1.28</v>
      </c>
      <c r="N116" s="184">
        <v>1</v>
      </c>
      <c r="O116" s="184">
        <v>0.36</v>
      </c>
      <c r="P116" s="184">
        <v>0.44</v>
      </c>
      <c r="Q116" s="185">
        <f t="shared" si="7"/>
        <v>8.08</v>
      </c>
      <c r="R116" s="189">
        <v>0.03</v>
      </c>
      <c r="S116" s="189">
        <v>0.04</v>
      </c>
      <c r="T116" s="189">
        <v>0.08</v>
      </c>
      <c r="U116" s="189">
        <v>0.11</v>
      </c>
      <c r="V116" s="189">
        <v>0.13</v>
      </c>
      <c r="W116" s="189">
        <v>0.14</v>
      </c>
      <c r="X116" s="189">
        <v>0.13</v>
      </c>
      <c r="Y116" s="189">
        <v>0.11</v>
      </c>
      <c r="Z116" s="189">
        <v>0.09</v>
      </c>
      <c r="AA116" s="189">
        <v>0.07</v>
      </c>
      <c r="AB116" s="189">
        <v>0.04</v>
      </c>
      <c r="AC116" s="190">
        <v>0.03</v>
      </c>
      <c r="AD116" s="188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1"/>
    </row>
    <row r="117" spans="1:43" ht="15.75" customHeight="1">
      <c r="A117" s="106" t="str">
        <f t="shared" si="6"/>
        <v>Socorro, BINGHAM 2 NE  NM0983</v>
      </c>
      <c r="B117" s="106" t="s">
        <v>170</v>
      </c>
      <c r="C117" s="106" t="s">
        <v>288</v>
      </c>
      <c r="D117" s="1062">
        <v>2.69</v>
      </c>
      <c r="E117" s="184">
        <v>0.32</v>
      </c>
      <c r="F117" s="184">
        <v>0.32</v>
      </c>
      <c r="G117" s="184">
        <v>0.4</v>
      </c>
      <c r="H117" s="184">
        <v>0.33</v>
      </c>
      <c r="I117" s="184">
        <v>0.34</v>
      </c>
      <c r="J117" s="184">
        <v>0.7</v>
      </c>
      <c r="K117" s="184">
        <v>2.35</v>
      </c>
      <c r="L117" s="184">
        <v>2.47</v>
      </c>
      <c r="M117" s="184">
        <v>1.56</v>
      </c>
      <c r="N117" s="184">
        <v>1.25</v>
      </c>
      <c r="O117" s="184">
        <v>0.54</v>
      </c>
      <c r="P117" s="184">
        <v>0.56</v>
      </c>
      <c r="Q117" s="185">
        <f t="shared" si="7"/>
        <v>11.140000000000002</v>
      </c>
      <c r="R117" s="189">
        <v>0.03</v>
      </c>
      <c r="S117" s="189">
        <v>0.04</v>
      </c>
      <c r="T117" s="189">
        <v>0.08</v>
      </c>
      <c r="U117" s="189">
        <v>0.11</v>
      </c>
      <c r="V117" s="189">
        <v>0.13</v>
      </c>
      <c r="W117" s="189">
        <v>0.14</v>
      </c>
      <c r="X117" s="189">
        <v>0.13</v>
      </c>
      <c r="Y117" s="189">
        <v>0.11</v>
      </c>
      <c r="Z117" s="189">
        <v>0.09</v>
      </c>
      <c r="AA117" s="189">
        <v>0.07</v>
      </c>
      <c r="AB117" s="189">
        <v>0.04</v>
      </c>
      <c r="AC117" s="190">
        <v>0.03</v>
      </c>
      <c r="AD117" s="188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1"/>
    </row>
    <row r="118" spans="1:43" ht="15.75" customHeight="1">
      <c r="A118" s="106" t="str">
        <f t="shared" si="6"/>
        <v>Socorro, BOSQUE DEL APACHE  NM1138</v>
      </c>
      <c r="B118" s="106" t="s">
        <v>170</v>
      </c>
      <c r="C118" s="106" t="s">
        <v>289</v>
      </c>
      <c r="D118" s="1062">
        <v>2.93</v>
      </c>
      <c r="E118" s="184">
        <v>0.33</v>
      </c>
      <c r="F118" s="184">
        <v>0.44</v>
      </c>
      <c r="G118" s="184">
        <v>0.29</v>
      </c>
      <c r="H118" s="184">
        <v>0.29</v>
      </c>
      <c r="I118" s="184">
        <v>0.48</v>
      </c>
      <c r="J118" s="184">
        <v>0.69</v>
      </c>
      <c r="K118" s="184">
        <v>1.41</v>
      </c>
      <c r="L118" s="184">
        <v>1.77</v>
      </c>
      <c r="M118" s="184">
        <v>1.56</v>
      </c>
      <c r="N118" s="184">
        <v>1.17</v>
      </c>
      <c r="O118" s="184">
        <v>0.46</v>
      </c>
      <c r="P118" s="184">
        <v>0.61</v>
      </c>
      <c r="Q118" s="185">
        <f t="shared" si="7"/>
        <v>9.5</v>
      </c>
      <c r="R118" s="189">
        <v>0.03</v>
      </c>
      <c r="S118" s="189">
        <v>0.04</v>
      </c>
      <c r="T118" s="189">
        <v>0.08</v>
      </c>
      <c r="U118" s="189">
        <v>0.11</v>
      </c>
      <c r="V118" s="189">
        <v>0.13</v>
      </c>
      <c r="W118" s="189">
        <v>0.14</v>
      </c>
      <c r="X118" s="189">
        <v>0.13</v>
      </c>
      <c r="Y118" s="189">
        <v>0.11</v>
      </c>
      <c r="Z118" s="189">
        <v>0.09</v>
      </c>
      <c r="AA118" s="189">
        <v>0.07</v>
      </c>
      <c r="AB118" s="189">
        <v>0.04</v>
      </c>
      <c r="AC118" s="190">
        <v>0.03</v>
      </c>
      <c r="AD118" s="188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1"/>
    </row>
    <row r="119" spans="1:43" ht="15.75" customHeight="1">
      <c r="A119" s="106" t="str">
        <f t="shared" si="6"/>
        <v>Socorro, MAGDALENA  NM5353</v>
      </c>
      <c r="B119" s="106" t="s">
        <v>170</v>
      </c>
      <c r="C119" s="106" t="s">
        <v>290</v>
      </c>
      <c r="D119" s="1062">
        <v>2.67</v>
      </c>
      <c r="E119" s="184">
        <v>0.5</v>
      </c>
      <c r="F119" s="184">
        <v>0.5</v>
      </c>
      <c r="G119" s="184">
        <v>0.45</v>
      </c>
      <c r="H119" s="184">
        <v>0.29</v>
      </c>
      <c r="I119" s="184">
        <v>0.52</v>
      </c>
      <c r="J119" s="184">
        <v>0.67</v>
      </c>
      <c r="K119" s="184">
        <v>2.75</v>
      </c>
      <c r="L119" s="184">
        <v>2.69</v>
      </c>
      <c r="M119" s="184">
        <v>2.22</v>
      </c>
      <c r="N119" s="184">
        <v>1.1</v>
      </c>
      <c r="O119" s="184">
        <v>0.36</v>
      </c>
      <c r="P119" s="184">
        <v>0.54</v>
      </c>
      <c r="Q119" s="185">
        <f t="shared" si="7"/>
        <v>12.59</v>
      </c>
      <c r="R119" s="189">
        <v>0.03</v>
      </c>
      <c r="S119" s="189">
        <v>0.04</v>
      </c>
      <c r="T119" s="189">
        <v>0.08</v>
      </c>
      <c r="U119" s="189">
        <v>0.11</v>
      </c>
      <c r="V119" s="189">
        <v>0.13</v>
      </c>
      <c r="W119" s="189">
        <v>0.14</v>
      </c>
      <c r="X119" s="189">
        <v>0.13</v>
      </c>
      <c r="Y119" s="189">
        <v>0.11</v>
      </c>
      <c r="Z119" s="189">
        <v>0.09</v>
      </c>
      <c r="AA119" s="189">
        <v>0.07</v>
      </c>
      <c r="AB119" s="189">
        <v>0.04</v>
      </c>
      <c r="AC119" s="190">
        <v>0.03</v>
      </c>
      <c r="AD119" s="188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1"/>
    </row>
    <row r="120" spans="1:43" ht="15.75" customHeight="1">
      <c r="A120" s="106" t="str">
        <f t="shared" si="6"/>
        <v>Socorro, SOCORRO  NM8387</v>
      </c>
      <c r="B120" s="106" t="s">
        <v>170</v>
      </c>
      <c r="C120" s="106" t="s">
        <v>291</v>
      </c>
      <c r="D120" s="1062">
        <v>2.63</v>
      </c>
      <c r="E120" s="184">
        <v>0.37</v>
      </c>
      <c r="F120" s="184">
        <v>0.39</v>
      </c>
      <c r="G120" s="184">
        <v>0.27</v>
      </c>
      <c r="H120" s="184">
        <v>0.36</v>
      </c>
      <c r="I120" s="184">
        <v>0.45</v>
      </c>
      <c r="J120" s="184">
        <v>0.57</v>
      </c>
      <c r="K120" s="184">
        <v>1.42</v>
      </c>
      <c r="L120" s="184">
        <v>1.92</v>
      </c>
      <c r="M120" s="184">
        <v>1.53</v>
      </c>
      <c r="N120" s="184">
        <v>1.07</v>
      </c>
      <c r="O120" s="184">
        <v>0.48</v>
      </c>
      <c r="P120" s="184">
        <v>0.57</v>
      </c>
      <c r="Q120" s="185">
        <f t="shared" si="7"/>
        <v>9.4</v>
      </c>
      <c r="R120" s="189">
        <v>0.03</v>
      </c>
      <c r="S120" s="189">
        <v>0.04</v>
      </c>
      <c r="T120" s="189">
        <v>0.08</v>
      </c>
      <c r="U120" s="189">
        <v>0.11</v>
      </c>
      <c r="V120" s="189">
        <v>0.13</v>
      </c>
      <c r="W120" s="189">
        <v>0.14</v>
      </c>
      <c r="X120" s="189">
        <v>0.13</v>
      </c>
      <c r="Y120" s="189">
        <v>0.11</v>
      </c>
      <c r="Z120" s="189">
        <v>0.09</v>
      </c>
      <c r="AA120" s="189">
        <v>0.07</v>
      </c>
      <c r="AB120" s="189">
        <v>0.04</v>
      </c>
      <c r="AC120" s="190">
        <v>0.03</v>
      </c>
      <c r="AD120" s="188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1"/>
    </row>
    <row r="121" spans="1:43" ht="15.75" customHeight="1">
      <c r="A121" s="106" t="str">
        <f t="shared" si="6"/>
        <v>Taos, CERRO  NM1630</v>
      </c>
      <c r="B121" s="106" t="s">
        <v>171</v>
      </c>
      <c r="C121" s="106" t="s">
        <v>292</v>
      </c>
      <c r="D121" s="1062">
        <v>2.29</v>
      </c>
      <c r="E121" s="184">
        <v>0.61</v>
      </c>
      <c r="F121" s="184">
        <v>0.51</v>
      </c>
      <c r="G121" s="184">
        <v>0.84</v>
      </c>
      <c r="H121" s="184">
        <v>0.68</v>
      </c>
      <c r="I121" s="184">
        <v>0.82</v>
      </c>
      <c r="J121" s="184">
        <v>1.02</v>
      </c>
      <c r="K121" s="184">
        <v>1.98</v>
      </c>
      <c r="L121" s="184">
        <v>2.06</v>
      </c>
      <c r="M121" s="184">
        <v>1.43</v>
      </c>
      <c r="N121" s="184">
        <v>0.93</v>
      </c>
      <c r="O121" s="184">
        <v>0.67</v>
      </c>
      <c r="P121" s="184">
        <v>0.8</v>
      </c>
      <c r="Q121" s="185">
        <f t="shared" si="7"/>
        <v>12.350000000000001</v>
      </c>
      <c r="R121" s="193">
        <v>0.03</v>
      </c>
      <c r="S121" s="193">
        <v>0.04</v>
      </c>
      <c r="T121" s="193">
        <v>0.08</v>
      </c>
      <c r="U121" s="193">
        <v>0.09</v>
      </c>
      <c r="V121" s="193">
        <v>0.11</v>
      </c>
      <c r="W121" s="193">
        <v>0.15</v>
      </c>
      <c r="X121" s="193">
        <v>0.14</v>
      </c>
      <c r="Y121" s="193">
        <v>0.11</v>
      </c>
      <c r="Z121" s="193">
        <v>0.1</v>
      </c>
      <c r="AA121" s="193">
        <v>0.08</v>
      </c>
      <c r="AB121" s="193">
        <v>0.04</v>
      </c>
      <c r="AC121" s="194">
        <v>0.03</v>
      </c>
      <c r="AD121" s="188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1"/>
    </row>
    <row r="122" spans="1:43" ht="15.75" customHeight="1">
      <c r="A122" s="106" t="str">
        <f t="shared" si="6"/>
        <v>Taos, RED RIVER  NM7323</v>
      </c>
      <c r="B122" s="106" t="s">
        <v>171</v>
      </c>
      <c r="C122" s="106" t="s">
        <v>293</v>
      </c>
      <c r="D122" s="1062">
        <v>2.83</v>
      </c>
      <c r="E122" s="184">
        <v>1.06</v>
      </c>
      <c r="F122" s="184">
        <v>1.09</v>
      </c>
      <c r="G122" s="184">
        <v>1.86</v>
      </c>
      <c r="H122" s="184">
        <v>1.6</v>
      </c>
      <c r="I122" s="184">
        <v>1.56</v>
      </c>
      <c r="J122" s="184">
        <v>1.6</v>
      </c>
      <c r="K122" s="184">
        <v>2.84</v>
      </c>
      <c r="L122" s="184">
        <v>3.13</v>
      </c>
      <c r="M122" s="184">
        <v>1.87</v>
      </c>
      <c r="N122" s="184">
        <v>1.54</v>
      </c>
      <c r="O122" s="184">
        <v>1.4</v>
      </c>
      <c r="P122" s="184">
        <v>1.39</v>
      </c>
      <c r="Q122" s="185">
        <f t="shared" si="7"/>
        <v>20.94</v>
      </c>
      <c r="R122" s="193">
        <v>0.03</v>
      </c>
      <c r="S122" s="193">
        <v>0.04</v>
      </c>
      <c r="T122" s="193">
        <v>0.08</v>
      </c>
      <c r="U122" s="193">
        <v>0.09</v>
      </c>
      <c r="V122" s="193">
        <v>0.11</v>
      </c>
      <c r="W122" s="193">
        <v>0.15</v>
      </c>
      <c r="X122" s="193">
        <v>0.14</v>
      </c>
      <c r="Y122" s="193">
        <v>0.11</v>
      </c>
      <c r="Z122" s="193">
        <v>0.1</v>
      </c>
      <c r="AA122" s="193">
        <v>0.08</v>
      </c>
      <c r="AB122" s="193">
        <v>0.04</v>
      </c>
      <c r="AC122" s="194">
        <v>0.03</v>
      </c>
      <c r="AD122" s="188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1"/>
    </row>
    <row r="123" spans="1:43" ht="15.75" customHeight="1">
      <c r="A123" s="106" t="str">
        <f t="shared" si="6"/>
        <v>Taos, TAOS  NM8668</v>
      </c>
      <c r="B123" s="106" t="s">
        <v>171</v>
      </c>
      <c r="C123" s="106" t="s">
        <v>294</v>
      </c>
      <c r="D123" s="1062">
        <v>2.28</v>
      </c>
      <c r="E123" s="184">
        <v>0.62</v>
      </c>
      <c r="F123" s="184">
        <v>0.56</v>
      </c>
      <c r="G123" s="184">
        <v>0.82</v>
      </c>
      <c r="H123" s="184">
        <v>0.81</v>
      </c>
      <c r="I123" s="184">
        <v>0.92</v>
      </c>
      <c r="J123" s="184">
        <v>1.06</v>
      </c>
      <c r="K123" s="184">
        <v>1.62</v>
      </c>
      <c r="L123" s="184">
        <v>1.96</v>
      </c>
      <c r="M123" s="184">
        <v>1.48</v>
      </c>
      <c r="N123" s="184">
        <v>1.07</v>
      </c>
      <c r="O123" s="184">
        <v>0.8</v>
      </c>
      <c r="P123" s="184">
        <v>0.76</v>
      </c>
      <c r="Q123" s="185">
        <f t="shared" si="7"/>
        <v>12.480000000000002</v>
      </c>
      <c r="R123" s="193">
        <v>0.03</v>
      </c>
      <c r="S123" s="193">
        <v>0.04</v>
      </c>
      <c r="T123" s="193">
        <v>0.08</v>
      </c>
      <c r="U123" s="193">
        <v>0.09</v>
      </c>
      <c r="V123" s="193">
        <v>0.11</v>
      </c>
      <c r="W123" s="193">
        <v>0.15</v>
      </c>
      <c r="X123" s="193">
        <v>0.14</v>
      </c>
      <c r="Y123" s="193">
        <v>0.11</v>
      </c>
      <c r="Z123" s="193">
        <v>0.1</v>
      </c>
      <c r="AA123" s="193">
        <v>0.08</v>
      </c>
      <c r="AB123" s="193">
        <v>0.04</v>
      </c>
      <c r="AC123" s="194">
        <v>0.03</v>
      </c>
      <c r="AD123" s="188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1"/>
    </row>
    <row r="124" spans="1:43" ht="15.75" customHeight="1">
      <c r="A124" s="106" t="str">
        <f t="shared" si="6"/>
        <v>Torrance, CLINES CORNERS 7 SE  NM1918</v>
      </c>
      <c r="B124" s="106" t="s">
        <v>172</v>
      </c>
      <c r="C124" s="106" t="s">
        <v>295</v>
      </c>
      <c r="D124" s="1062">
        <v>3.47</v>
      </c>
      <c r="E124" s="184">
        <v>0.93</v>
      </c>
      <c r="F124" s="184">
        <v>0.88</v>
      </c>
      <c r="G124" s="184">
        <v>1.02</v>
      </c>
      <c r="H124" s="184">
        <v>1.03</v>
      </c>
      <c r="I124" s="184">
        <v>1.47</v>
      </c>
      <c r="J124" s="184">
        <v>1.81</v>
      </c>
      <c r="K124" s="184">
        <v>3.04</v>
      </c>
      <c r="L124" s="184">
        <v>3.26</v>
      </c>
      <c r="M124" s="184">
        <v>2.21</v>
      </c>
      <c r="N124" s="184">
        <v>1.61</v>
      </c>
      <c r="O124" s="184">
        <v>1.05</v>
      </c>
      <c r="P124" s="184">
        <v>0.9</v>
      </c>
      <c r="Q124" s="185">
        <f t="shared" si="7"/>
        <v>19.209999999999997</v>
      </c>
      <c r="R124" s="189">
        <v>0.03</v>
      </c>
      <c r="S124" s="189">
        <v>0.04</v>
      </c>
      <c r="T124" s="189">
        <v>0.07</v>
      </c>
      <c r="U124" s="189">
        <v>0.11</v>
      </c>
      <c r="V124" s="189">
        <v>0.13</v>
      </c>
      <c r="W124" s="189">
        <v>0.14</v>
      </c>
      <c r="X124" s="189">
        <v>0.14</v>
      </c>
      <c r="Y124" s="189">
        <v>0.12</v>
      </c>
      <c r="Z124" s="189">
        <v>0.09</v>
      </c>
      <c r="AA124" s="189">
        <v>0.06</v>
      </c>
      <c r="AB124" s="189">
        <v>0.04</v>
      </c>
      <c r="AC124" s="190">
        <v>0.03</v>
      </c>
      <c r="AD124" s="188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1"/>
    </row>
    <row r="125" spans="1:43" ht="15.75" customHeight="1">
      <c r="A125" s="106" t="str">
        <f t="shared" si="6"/>
        <v>Torrance, ESTANCIA  NM3060</v>
      </c>
      <c r="B125" s="106" t="s">
        <v>172</v>
      </c>
      <c r="C125" s="106" t="s">
        <v>296</v>
      </c>
      <c r="D125" s="1062">
        <v>2.77</v>
      </c>
      <c r="E125" s="184">
        <v>0.58</v>
      </c>
      <c r="F125" s="184">
        <v>0.6</v>
      </c>
      <c r="G125" s="184">
        <v>0.64</v>
      </c>
      <c r="H125" s="184">
        <v>0.61</v>
      </c>
      <c r="I125" s="184">
        <v>0.96</v>
      </c>
      <c r="J125" s="184">
        <v>0.82</v>
      </c>
      <c r="K125" s="184">
        <v>2.13</v>
      </c>
      <c r="L125" s="184">
        <v>2.31</v>
      </c>
      <c r="M125" s="184">
        <v>1.66</v>
      </c>
      <c r="N125" s="184">
        <v>1.13</v>
      </c>
      <c r="O125" s="184">
        <v>0.74</v>
      </c>
      <c r="P125" s="184">
        <v>0.87</v>
      </c>
      <c r="Q125" s="185">
        <f t="shared" si="7"/>
        <v>13.05</v>
      </c>
      <c r="R125" s="189">
        <v>0.03</v>
      </c>
      <c r="S125" s="189">
        <v>0.04</v>
      </c>
      <c r="T125" s="189">
        <v>0.07</v>
      </c>
      <c r="U125" s="189">
        <v>0.11</v>
      </c>
      <c r="V125" s="189">
        <v>0.13</v>
      </c>
      <c r="W125" s="189">
        <v>0.14</v>
      </c>
      <c r="X125" s="189">
        <v>0.14</v>
      </c>
      <c r="Y125" s="189">
        <v>0.12</v>
      </c>
      <c r="Z125" s="189">
        <v>0.09</v>
      </c>
      <c r="AA125" s="189">
        <v>0.06</v>
      </c>
      <c r="AB125" s="189">
        <v>0.04</v>
      </c>
      <c r="AC125" s="190">
        <v>0.03</v>
      </c>
      <c r="AD125" s="188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1"/>
    </row>
    <row r="126" spans="1:43" ht="15.75" customHeight="1">
      <c r="A126" s="106" t="str">
        <f t="shared" si="6"/>
        <v>Torrance, GRAN QUIVIRA NATL MON  NM3649</v>
      </c>
      <c r="B126" s="106" t="s">
        <v>172</v>
      </c>
      <c r="C126" s="106" t="s">
        <v>297</v>
      </c>
      <c r="D126" s="1062">
        <v>3.04</v>
      </c>
      <c r="E126" s="184">
        <v>0.7</v>
      </c>
      <c r="F126" s="184">
        <v>0.79</v>
      </c>
      <c r="G126" s="184">
        <v>0.72</v>
      </c>
      <c r="H126" s="184">
        <v>0.64</v>
      </c>
      <c r="I126" s="184">
        <v>0.82</v>
      </c>
      <c r="J126" s="184">
        <v>1.01</v>
      </c>
      <c r="K126" s="184">
        <v>2.81</v>
      </c>
      <c r="L126" s="184">
        <v>3.27</v>
      </c>
      <c r="M126" s="184">
        <v>1.95</v>
      </c>
      <c r="N126" s="184">
        <v>1.27</v>
      </c>
      <c r="O126" s="184">
        <v>0.91</v>
      </c>
      <c r="P126" s="184">
        <v>1.1</v>
      </c>
      <c r="Q126" s="185">
        <f t="shared" si="7"/>
        <v>15.989999999999998</v>
      </c>
      <c r="R126" s="189">
        <v>0.03</v>
      </c>
      <c r="S126" s="189">
        <v>0.04</v>
      </c>
      <c r="T126" s="189">
        <v>0.07</v>
      </c>
      <c r="U126" s="189">
        <v>0.11</v>
      </c>
      <c r="V126" s="189">
        <v>0.13</v>
      </c>
      <c r="W126" s="189">
        <v>0.14</v>
      </c>
      <c r="X126" s="189">
        <v>0.14</v>
      </c>
      <c r="Y126" s="189">
        <v>0.12</v>
      </c>
      <c r="Z126" s="189">
        <v>0.09</v>
      </c>
      <c r="AA126" s="189">
        <v>0.06</v>
      </c>
      <c r="AB126" s="189">
        <v>0.04</v>
      </c>
      <c r="AC126" s="190">
        <v>0.03</v>
      </c>
      <c r="AD126" s="188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1"/>
    </row>
    <row r="127" spans="1:43" ht="15.75" customHeight="1">
      <c r="A127" s="106" t="str">
        <f t="shared" si="6"/>
        <v>Torrance, MOUNTAINAIR  NM5965</v>
      </c>
      <c r="B127" s="106" t="s">
        <v>172</v>
      </c>
      <c r="C127" s="106" t="s">
        <v>298</v>
      </c>
      <c r="D127" s="1062">
        <v>3.17</v>
      </c>
      <c r="E127" s="184">
        <v>0.72</v>
      </c>
      <c r="F127" s="184">
        <v>0.88</v>
      </c>
      <c r="G127" s="184">
        <v>0.67</v>
      </c>
      <c r="H127" s="184">
        <v>0.67</v>
      </c>
      <c r="I127" s="184">
        <v>0.69</v>
      </c>
      <c r="J127" s="184">
        <v>0.67</v>
      </c>
      <c r="K127" s="184">
        <v>2.38</v>
      </c>
      <c r="L127" s="184">
        <v>2.57</v>
      </c>
      <c r="M127" s="184">
        <v>2.03</v>
      </c>
      <c r="N127" s="184">
        <v>1.17</v>
      </c>
      <c r="O127" s="184">
        <v>0.65</v>
      </c>
      <c r="P127" s="184">
        <v>1.01</v>
      </c>
      <c r="Q127" s="185">
        <f t="shared" si="7"/>
        <v>14.11</v>
      </c>
      <c r="R127" s="189">
        <v>0.03</v>
      </c>
      <c r="S127" s="189">
        <v>0.04</v>
      </c>
      <c r="T127" s="189">
        <v>0.07</v>
      </c>
      <c r="U127" s="189">
        <v>0.11</v>
      </c>
      <c r="V127" s="189">
        <v>0.13</v>
      </c>
      <c r="W127" s="189">
        <v>0.14</v>
      </c>
      <c r="X127" s="189">
        <v>0.14</v>
      </c>
      <c r="Y127" s="189">
        <v>0.12</v>
      </c>
      <c r="Z127" s="189">
        <v>0.09</v>
      </c>
      <c r="AA127" s="189">
        <v>0.06</v>
      </c>
      <c r="AB127" s="189">
        <v>0.04</v>
      </c>
      <c r="AC127" s="190">
        <v>0.03</v>
      </c>
      <c r="AD127" s="188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1"/>
    </row>
    <row r="128" spans="1:43" ht="15.75" customHeight="1">
      <c r="A128" s="106" t="str">
        <f t="shared" si="6"/>
        <v>Torrance, PEDERNAL 4 E  NM6687</v>
      </c>
      <c r="B128" s="106" t="s">
        <v>172</v>
      </c>
      <c r="C128" s="106" t="s">
        <v>299</v>
      </c>
      <c r="D128" s="1062">
        <v>3.11</v>
      </c>
      <c r="E128" s="184">
        <v>0.3</v>
      </c>
      <c r="F128" s="184">
        <v>0.41</v>
      </c>
      <c r="G128" s="184">
        <v>0.36</v>
      </c>
      <c r="H128" s="184">
        <v>0.41</v>
      </c>
      <c r="I128" s="184">
        <v>0.71</v>
      </c>
      <c r="J128" s="184">
        <v>1.21</v>
      </c>
      <c r="K128" s="184">
        <v>1.94</v>
      </c>
      <c r="L128" s="184">
        <v>2.82</v>
      </c>
      <c r="M128" s="184">
        <v>1.25</v>
      </c>
      <c r="N128" s="184">
        <v>0.92</v>
      </c>
      <c r="O128" s="184">
        <v>0.46</v>
      </c>
      <c r="P128" s="184">
        <v>0.51</v>
      </c>
      <c r="Q128" s="185">
        <f t="shared" si="7"/>
        <v>11.3</v>
      </c>
      <c r="R128" s="189">
        <v>0.03</v>
      </c>
      <c r="S128" s="189">
        <v>0.04</v>
      </c>
      <c r="T128" s="189">
        <v>0.07</v>
      </c>
      <c r="U128" s="189">
        <v>0.11</v>
      </c>
      <c r="V128" s="189">
        <v>0.13</v>
      </c>
      <c r="W128" s="189">
        <v>0.14</v>
      </c>
      <c r="X128" s="189">
        <v>0.14</v>
      </c>
      <c r="Y128" s="189">
        <v>0.12</v>
      </c>
      <c r="Z128" s="189">
        <v>0.09</v>
      </c>
      <c r="AA128" s="189">
        <v>0.06</v>
      </c>
      <c r="AB128" s="189">
        <v>0.04</v>
      </c>
      <c r="AC128" s="190">
        <v>0.03</v>
      </c>
      <c r="AD128" s="188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1"/>
    </row>
    <row r="129" spans="1:43" ht="15.75" customHeight="1">
      <c r="A129" s="106" t="str">
        <f t="shared" si="6"/>
        <v>Union, AMISTAD 3 ESE  NM0377</v>
      </c>
      <c r="B129" s="106" t="s">
        <v>173</v>
      </c>
      <c r="C129" s="106" t="s">
        <v>677</v>
      </c>
      <c r="D129" s="1062">
        <v>4.1</v>
      </c>
      <c r="E129" s="184">
        <v>0.24</v>
      </c>
      <c r="F129" s="184">
        <v>0.3</v>
      </c>
      <c r="G129" s="184">
        <v>0.59</v>
      </c>
      <c r="H129" s="184">
        <v>0.8</v>
      </c>
      <c r="I129" s="184">
        <v>2.01</v>
      </c>
      <c r="J129" s="184">
        <v>1.99</v>
      </c>
      <c r="K129" s="184">
        <v>2.78</v>
      </c>
      <c r="L129" s="184">
        <v>2.63</v>
      </c>
      <c r="M129" s="184">
        <v>1.86</v>
      </c>
      <c r="N129" s="184">
        <v>0.91</v>
      </c>
      <c r="O129" s="184">
        <v>0.66</v>
      </c>
      <c r="P129" s="184">
        <v>0.35</v>
      </c>
      <c r="Q129" s="185">
        <f t="shared" si="7"/>
        <v>15.12</v>
      </c>
      <c r="R129" s="193">
        <v>0.03</v>
      </c>
      <c r="S129" s="193">
        <v>0.04</v>
      </c>
      <c r="T129" s="193">
        <v>0.07</v>
      </c>
      <c r="U129" s="193">
        <v>0.1</v>
      </c>
      <c r="V129" s="193">
        <v>0.12</v>
      </c>
      <c r="W129" s="193">
        <v>0.14</v>
      </c>
      <c r="X129" s="193">
        <v>0.14</v>
      </c>
      <c r="Y129" s="193">
        <v>0.13</v>
      </c>
      <c r="Z129" s="193">
        <v>0.1</v>
      </c>
      <c r="AA129" s="193">
        <v>0.07</v>
      </c>
      <c r="AB129" s="193">
        <v>0.03</v>
      </c>
      <c r="AC129" s="194">
        <v>0.03</v>
      </c>
      <c r="AD129" s="188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1"/>
    </row>
    <row r="130" spans="1:43" ht="15.75" customHeight="1">
      <c r="A130" s="106" t="str">
        <f>CONCATENATE(B130,C130)</f>
        <v>Union, CLAYTON WSO AIRPORT  NM1887</v>
      </c>
      <c r="B130" s="106" t="s">
        <v>173</v>
      </c>
      <c r="C130" s="106" t="s">
        <v>300</v>
      </c>
      <c r="D130" s="1062">
        <v>4.22</v>
      </c>
      <c r="E130" s="184">
        <v>0.24</v>
      </c>
      <c r="F130" s="184">
        <v>0.31</v>
      </c>
      <c r="G130" s="184">
        <v>0.53</v>
      </c>
      <c r="H130" s="184">
        <v>0.94</v>
      </c>
      <c r="I130" s="184">
        <v>1.99</v>
      </c>
      <c r="J130" s="184">
        <v>2.27</v>
      </c>
      <c r="K130" s="184">
        <v>2.69</v>
      </c>
      <c r="L130" s="184">
        <v>2.61</v>
      </c>
      <c r="M130" s="184">
        <v>1.77</v>
      </c>
      <c r="N130" s="184">
        <v>0.9</v>
      </c>
      <c r="O130" s="184">
        <v>0.52</v>
      </c>
      <c r="P130" s="184">
        <v>0.3</v>
      </c>
      <c r="Q130" s="185">
        <f>SUM(E130:P130)</f>
        <v>15.069999999999999</v>
      </c>
      <c r="R130" s="193">
        <v>0.03</v>
      </c>
      <c r="S130" s="193">
        <v>0.04</v>
      </c>
      <c r="T130" s="193">
        <v>0.07</v>
      </c>
      <c r="U130" s="193">
        <v>0.1</v>
      </c>
      <c r="V130" s="193">
        <v>0.12</v>
      </c>
      <c r="W130" s="193">
        <v>0.14</v>
      </c>
      <c r="X130" s="193">
        <v>0.14</v>
      </c>
      <c r="Y130" s="193">
        <v>0.13</v>
      </c>
      <c r="Z130" s="193">
        <v>0.1</v>
      </c>
      <c r="AA130" s="193">
        <v>0.07</v>
      </c>
      <c r="AB130" s="193">
        <v>0.03</v>
      </c>
      <c r="AC130" s="194">
        <v>0.03</v>
      </c>
      <c r="AD130" s="188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1"/>
    </row>
    <row r="131" spans="1:43" ht="15.75" customHeight="1">
      <c r="A131" s="106" t="str">
        <f>CONCATENATE(B131,C131)</f>
        <v>Union, DES MOINES  NM2453</v>
      </c>
      <c r="B131" s="106" t="s">
        <v>173</v>
      </c>
      <c r="C131" s="106" t="s">
        <v>301</v>
      </c>
      <c r="D131" s="1062">
        <v>4.13</v>
      </c>
      <c r="E131" s="184">
        <v>0.4</v>
      </c>
      <c r="F131" s="184">
        <v>0.56</v>
      </c>
      <c r="G131" s="184">
        <v>0.89</v>
      </c>
      <c r="H131" s="184">
        <v>1.01</v>
      </c>
      <c r="I131" s="184">
        <v>2.3</v>
      </c>
      <c r="J131" s="184">
        <v>2.11</v>
      </c>
      <c r="K131" s="184">
        <v>3.25</v>
      </c>
      <c r="L131" s="184">
        <v>2.56</v>
      </c>
      <c r="M131" s="184">
        <v>2.22</v>
      </c>
      <c r="N131" s="184">
        <v>0.97</v>
      </c>
      <c r="O131" s="184">
        <v>0.68</v>
      </c>
      <c r="P131" s="184">
        <v>0.48</v>
      </c>
      <c r="Q131" s="185">
        <f>SUM(E131:P131)</f>
        <v>17.43</v>
      </c>
      <c r="R131" s="193">
        <v>0.03</v>
      </c>
      <c r="S131" s="193">
        <v>0.04</v>
      </c>
      <c r="T131" s="193">
        <v>0.07</v>
      </c>
      <c r="U131" s="193">
        <v>0.1</v>
      </c>
      <c r="V131" s="193">
        <v>0.12</v>
      </c>
      <c r="W131" s="193">
        <v>0.14</v>
      </c>
      <c r="X131" s="193">
        <v>0.14</v>
      </c>
      <c r="Y131" s="193">
        <v>0.13</v>
      </c>
      <c r="Z131" s="193">
        <v>0.1</v>
      </c>
      <c r="AA131" s="193">
        <v>0.07</v>
      </c>
      <c r="AB131" s="193">
        <v>0.03</v>
      </c>
      <c r="AC131" s="194">
        <v>0.03</v>
      </c>
      <c r="AD131" s="188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1"/>
    </row>
    <row r="132" spans="1:43" ht="15.75" customHeight="1">
      <c r="A132" s="106" t="str">
        <f>CONCATENATE(B132,C132)</f>
        <v>Union, GRENVILLE  NM3706</v>
      </c>
      <c r="B132" s="106" t="s">
        <v>173</v>
      </c>
      <c r="C132" s="106" t="s">
        <v>302</v>
      </c>
      <c r="D132" s="1065"/>
      <c r="E132" s="184">
        <v>0.23</v>
      </c>
      <c r="F132" s="184">
        <v>0.36</v>
      </c>
      <c r="G132" s="184">
        <v>0.62</v>
      </c>
      <c r="H132" s="184">
        <v>0.97</v>
      </c>
      <c r="I132" s="184">
        <v>2.37</v>
      </c>
      <c r="J132" s="184">
        <v>2.4</v>
      </c>
      <c r="K132" s="184">
        <v>3.23</v>
      </c>
      <c r="L132" s="184">
        <v>2.55</v>
      </c>
      <c r="M132" s="184">
        <v>2.02</v>
      </c>
      <c r="N132" s="184">
        <v>0.78</v>
      </c>
      <c r="O132" s="184">
        <v>0.54</v>
      </c>
      <c r="P132" s="184">
        <v>0.3</v>
      </c>
      <c r="Q132" s="185">
        <f>SUM(E132:P132)</f>
        <v>16.37</v>
      </c>
      <c r="R132" s="193">
        <v>0.03</v>
      </c>
      <c r="S132" s="193">
        <v>0.04</v>
      </c>
      <c r="T132" s="193">
        <v>0.07</v>
      </c>
      <c r="U132" s="193">
        <v>0.1</v>
      </c>
      <c r="V132" s="193">
        <v>0.12</v>
      </c>
      <c r="W132" s="193">
        <v>0.14</v>
      </c>
      <c r="X132" s="193">
        <v>0.14</v>
      </c>
      <c r="Y132" s="193">
        <v>0.13</v>
      </c>
      <c r="Z132" s="193">
        <v>0.1</v>
      </c>
      <c r="AA132" s="193">
        <v>0.07</v>
      </c>
      <c r="AB132" s="193">
        <v>0.03</v>
      </c>
      <c r="AC132" s="194">
        <v>0.03</v>
      </c>
      <c r="AD132" s="188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1"/>
    </row>
    <row r="133" spans="1:43" ht="15.75" customHeight="1">
      <c r="A133" s="106" t="str">
        <f>CONCATENATE(B133,C133)</f>
        <v>Union, PASAMONTE  NM6619</v>
      </c>
      <c r="B133" s="106" t="s">
        <v>173</v>
      </c>
      <c r="C133" s="106" t="s">
        <v>303</v>
      </c>
      <c r="D133" s="1062">
        <v>4.09</v>
      </c>
      <c r="E133" s="184">
        <v>0.24</v>
      </c>
      <c r="F133" s="184">
        <v>0.34</v>
      </c>
      <c r="G133" s="184">
        <v>0.56</v>
      </c>
      <c r="H133" s="184">
        <v>0.79</v>
      </c>
      <c r="I133" s="184">
        <v>2.07</v>
      </c>
      <c r="J133" s="184">
        <v>2.2</v>
      </c>
      <c r="K133" s="184">
        <v>3.05</v>
      </c>
      <c r="L133" s="184">
        <v>3.04</v>
      </c>
      <c r="M133" s="184">
        <v>1.88</v>
      </c>
      <c r="N133" s="184">
        <v>0.86</v>
      </c>
      <c r="O133" s="184">
        <v>0.58</v>
      </c>
      <c r="P133" s="184">
        <v>0.29</v>
      </c>
      <c r="Q133" s="185">
        <f>SUM(E133:P133)</f>
        <v>15.899999999999997</v>
      </c>
      <c r="R133" s="193">
        <v>0.03</v>
      </c>
      <c r="S133" s="193">
        <v>0.04</v>
      </c>
      <c r="T133" s="193">
        <v>0.07</v>
      </c>
      <c r="U133" s="193">
        <v>0.1</v>
      </c>
      <c r="V133" s="193">
        <v>0.12</v>
      </c>
      <c r="W133" s="193">
        <v>0.14</v>
      </c>
      <c r="X133" s="193">
        <v>0.14</v>
      </c>
      <c r="Y133" s="193">
        <v>0.13</v>
      </c>
      <c r="Z133" s="193">
        <v>0.1</v>
      </c>
      <c r="AA133" s="193">
        <v>0.07</v>
      </c>
      <c r="AB133" s="193">
        <v>0.03</v>
      </c>
      <c r="AC133" s="194">
        <v>0.03</v>
      </c>
      <c r="AD133" s="188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1"/>
    </row>
    <row r="134" spans="1:30" ht="18" customHeight="1">
      <c r="A134" s="106" t="str">
        <f>CONCATENATE(B134,C134)</f>
        <v>Valencia, LOS LUNAS 3 SSW  NM5150</v>
      </c>
      <c r="B134" s="106" t="s">
        <v>174</v>
      </c>
      <c r="C134" s="106" t="s">
        <v>304</v>
      </c>
      <c r="D134" s="1062">
        <v>2.23</v>
      </c>
      <c r="E134" s="184">
        <v>0.34</v>
      </c>
      <c r="F134" s="184">
        <v>0.46</v>
      </c>
      <c r="G134" s="184">
        <v>0.4</v>
      </c>
      <c r="H134" s="184">
        <v>0.46</v>
      </c>
      <c r="I134" s="184">
        <v>0.46</v>
      </c>
      <c r="J134" s="184">
        <v>0.56</v>
      </c>
      <c r="K134" s="184">
        <v>1.24</v>
      </c>
      <c r="L134" s="184">
        <v>1.8</v>
      </c>
      <c r="M134" s="184">
        <v>1.3</v>
      </c>
      <c r="N134" s="184">
        <v>0.97</v>
      </c>
      <c r="O134" s="184">
        <v>0.45</v>
      </c>
      <c r="P134" s="184">
        <v>0.46</v>
      </c>
      <c r="Q134" s="185">
        <f>SUM(E134:P134)</f>
        <v>8.9</v>
      </c>
      <c r="R134" s="189">
        <v>0.03</v>
      </c>
      <c r="S134" s="189">
        <v>0.04</v>
      </c>
      <c r="T134" s="189">
        <v>0.07</v>
      </c>
      <c r="U134" s="189">
        <v>0.11</v>
      </c>
      <c r="V134" s="189">
        <v>0.13</v>
      </c>
      <c r="W134" s="189">
        <v>0.14</v>
      </c>
      <c r="X134" s="189">
        <v>0.14</v>
      </c>
      <c r="Y134" s="189">
        <v>0.12</v>
      </c>
      <c r="Z134" s="189">
        <v>0.09</v>
      </c>
      <c r="AA134" s="189">
        <v>0.06</v>
      </c>
      <c r="AB134" s="189">
        <v>0.04</v>
      </c>
      <c r="AC134" s="190">
        <v>0.03</v>
      </c>
      <c r="AD134" s="188"/>
    </row>
  </sheetData>
  <sheetProtection/>
  <printOptions/>
  <pageMargins left="0.56" right="0.39" top="1" bottom="1" header="0.5" footer="0.5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Sporcic</dc:creator>
  <cp:keywords/>
  <dc:description/>
  <cp:lastModifiedBy>atiq.syed</cp:lastModifiedBy>
  <cp:lastPrinted>2008-06-25T14:46:35Z</cp:lastPrinted>
  <dcterms:created xsi:type="dcterms:W3CDTF">2002-07-17T15:34:29Z</dcterms:created>
  <dcterms:modified xsi:type="dcterms:W3CDTF">2008-10-02T15:09:00Z</dcterms:modified>
  <cp:category/>
  <cp:version/>
  <cp:contentType/>
  <cp:contentStatus/>
</cp:coreProperties>
</file>