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542" activeTab="0"/>
  </bookViews>
  <sheets>
    <sheet name="Sheet1" sheetId="1" r:id="rId1"/>
    <sheet name="data" sheetId="2" r:id="rId2"/>
  </sheets>
  <definedNames>
    <definedName name="pCi_to_Ci">'Sheet1'!$I$7</definedName>
    <definedName name="_xlnm.Print_Area" localSheetId="0">'Sheet1'!$A$1:$I$77</definedName>
    <definedName name="_xlnm.Print_Area">'Sheet1'!$A$10:$A$51</definedName>
    <definedName name="_xlnm.Print_Titles" localSheetId="0">'Sheet1'!$A:$A,'Sheet1'!$1:$4</definedName>
    <definedName name="Pu238_DCF">'Sheet1'!$I$8</definedName>
    <definedName name="Soil_Density">'Sheet1'!$I$5</definedName>
    <definedName name="Soil_Density__g_cm3">'Sheet1'!$I$5</definedName>
    <definedName name="yd3_to_cm3">'Sheet1'!$I$6</definedName>
  </definedNames>
  <calcPr fullCalcOnLoad="1"/>
</workbook>
</file>

<file path=xl/sharedStrings.xml><?xml version="1.0" encoding="utf-8"?>
<sst xmlns="http://schemas.openxmlformats.org/spreadsheetml/2006/main" count="136" uniqueCount="116">
  <si>
    <t>Radio</t>
  </si>
  <si>
    <t>Isotope</t>
  </si>
  <si>
    <t>Nuclide</t>
  </si>
  <si>
    <t>Ci</t>
  </si>
  <si>
    <t>AC227</t>
  </si>
  <si>
    <t>CS137</t>
  </si>
  <si>
    <t>PA231</t>
  </si>
  <si>
    <t>RA226</t>
  </si>
  <si>
    <t>TH228</t>
  </si>
  <si>
    <t>TH230</t>
  </si>
  <si>
    <t>TH232</t>
  </si>
  <si>
    <t>U234</t>
  </si>
  <si>
    <t>Y 90</t>
  </si>
  <si>
    <t>ZR 93</t>
  </si>
  <si>
    <t>DCF</t>
  </si>
  <si>
    <t>Rem/Ci</t>
  </si>
  <si>
    <t>Pu238</t>
  </si>
  <si>
    <t>Equivalent</t>
  </si>
  <si>
    <t>DCF Ratio</t>
  </si>
  <si>
    <t>Pu238 Inhaled 50-year CEDE DCF (Rem/Ci) =</t>
  </si>
  <si>
    <t>Parent</t>
  </si>
  <si>
    <t>note 1</t>
  </si>
  <si>
    <t>Note 2: Per J. Stapleton email, KR85 and BA137M are not included in DCF.</t>
  </si>
  <si>
    <t>Soils</t>
  </si>
  <si>
    <t>pCi/g</t>
  </si>
  <si>
    <t>Soil</t>
  </si>
  <si>
    <t>Volume</t>
  </si>
  <si>
    <t>yd3</t>
  </si>
  <si>
    <t>Content</t>
  </si>
  <si>
    <t>C060</t>
  </si>
  <si>
    <t>PU238</t>
  </si>
  <si>
    <t>pCi -&gt; Ci = pCi *</t>
  </si>
  <si>
    <t>Equiv.</t>
  </si>
  <si>
    <t>AM241</t>
  </si>
  <si>
    <t>Soil Density (g/cm3) =</t>
  </si>
  <si>
    <t>SUBJECT:</t>
  </si>
  <si>
    <t>(C * G)</t>
  </si>
  <si>
    <t>(D * G)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</si>
  <si>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</si>
  <si>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</si>
  <si>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</si>
  <si>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</si>
  <si>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</si>
  <si>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</si>
  <si>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</si>
  <si>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</si>
  <si>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</si>
  <si>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(F / 4.6E+08)</t>
  </si>
  <si>
    <t>(See Note 3)</t>
  </si>
  <si>
    <t xml:space="preserve">DATE: </t>
  </si>
  <si>
    <t>Isotopics</t>
  </si>
  <si>
    <t>(See Note 4)</t>
  </si>
  <si>
    <t>Note 1: Parent data supplied by J. Stapleton, 5/10/00. Blank DCFs bounded by Parent Isotopes.</t>
  </si>
  <si>
    <t>cm3 per yd = yd3 *</t>
  </si>
  <si>
    <t>Note 3:  ColB * cm3_per_yd3 * Soil_Density(in g/cm3) * pCi_to_Ci * ColC</t>
  </si>
  <si>
    <t>X / Pu238</t>
  </si>
  <si>
    <t>data</t>
  </si>
  <si>
    <t>entry</t>
  </si>
  <si>
    <t>U238</t>
  </si>
  <si>
    <t>Note 4:  Volume is in-ground. Density adjusted to 1.6 g/cc for in-ground soil.</t>
  </si>
  <si>
    <t>Pu238 Equiv. pCi/g</t>
  </si>
  <si>
    <t>Density</t>
  </si>
  <si>
    <t>Convert</t>
  </si>
  <si>
    <t>pCi/</t>
  </si>
  <si>
    <t>gm/</t>
  </si>
  <si>
    <t>cm3/</t>
  </si>
  <si>
    <t>Ci/</t>
  </si>
  <si>
    <t>gm</t>
  </si>
  <si>
    <t>cm3</t>
  </si>
  <si>
    <t>pCi</t>
  </si>
  <si>
    <t>allowed</t>
  </si>
  <si>
    <t>Equiv Conc</t>
  </si>
  <si>
    <t>J</t>
  </si>
  <si>
    <t>K</t>
  </si>
  <si>
    <t>L</t>
  </si>
  <si>
    <t>M</t>
  </si>
  <si>
    <t>N</t>
  </si>
  <si>
    <t>O</t>
  </si>
  <si>
    <t>O=J/(K*L*M*N)</t>
  </si>
  <si>
    <t>Categorization ValidationTable</t>
  </si>
  <si>
    <t>Max.</t>
  </si>
  <si>
    <t>Soil Staging</t>
  </si>
  <si>
    <t>Equiv. volume (yd3) to yield 10 Ci Pu238 Equiv. @ 1.25 g/cm3</t>
  </si>
  <si>
    <t>Equiv. volume (yd3) to yield 10 Ci Pu238 Equiv. @ 1.6 g/cm3</t>
  </si>
  <si>
    <t>Total Remediation Activity Less than 10 Ci Pu-238 Equiv. (Pass/Fail):</t>
  </si>
  <si>
    <t>Maximum Concentration Equivalency to Remain &lt;=1 Ci Pu-238 Equiv.</t>
  </si>
  <si>
    <t>Typical Individual Handling Activities</t>
  </si>
  <si>
    <t>Hauler (24 yd3):</t>
  </si>
  <si>
    <t>Intermodal (20 yd3):</t>
  </si>
  <si>
    <t>Trackhoe Bucket (3 yd3):</t>
  </si>
  <si>
    <t>Front Loader Bucket (7 yd3):</t>
  </si>
  <si>
    <t>Excavated (yd3):</t>
  </si>
  <si>
    <t>In-ground (yd3):</t>
  </si>
  <si>
    <t>Container (3 yd3):</t>
  </si>
  <si>
    <t>DOE Approval: MB-0392-03</t>
  </si>
  <si>
    <t xml:space="preserve">MLM-3948, Issue 2, Hazard Categorization For Soil and Demoliton Debris Handling Operations, September 01, 2003. </t>
  </si>
  <si>
    <r>
      <t xml:space="preserve">MLM-3948, Issue 3, </t>
    </r>
    <r>
      <rPr>
        <b/>
        <i/>
        <sz val="10"/>
        <rFont val="Arial"/>
        <family val="2"/>
      </rPr>
      <t>Hazard Categorization For Soil and Demoliton Debris Handling Operations</t>
    </r>
  </si>
  <si>
    <t>cu yd</t>
  </si>
  <si>
    <t>Pu-238</t>
  </si>
  <si>
    <t>Am-241</t>
  </si>
  <si>
    <t>weighted avg</t>
  </si>
  <si>
    <t>total vol</t>
  </si>
  <si>
    <t>Ac-227</t>
  </si>
  <si>
    <t>Cs-137</t>
  </si>
  <si>
    <t>Co-60</t>
  </si>
  <si>
    <t>Ra-226</t>
  </si>
  <si>
    <t>Th-228</t>
  </si>
  <si>
    <t>Th-230</t>
  </si>
  <si>
    <t>Th-232</t>
  </si>
  <si>
    <t>UGL haulers</t>
  </si>
  <si>
    <t>Pa-231</t>
  </si>
  <si>
    <t>U-238</t>
  </si>
  <si>
    <t>PRS 154</t>
  </si>
  <si>
    <t>PRS 153</t>
  </si>
  <si>
    <t>101904-01thru04</t>
  </si>
  <si>
    <t xml:space="preserve">PRS11 Drum Debris (25% soil)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</si>
</sst>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E+00_)"/>
    <numFmt numFmtId="166" formatCode="0.00000"/>
    <numFmt numFmtId="167" formatCode="0.0E+00"/>
    <numFmt numFmtId="168" formatCode="0.0"/>
    <numFmt numFmtId="169" formatCode="0.000E+00"/>
    <numFmt numFmtId="170" formatCode="0.000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 diagonalDown="1"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11" fontId="5" fillId="2" borderId="1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 vertical="center"/>
      <protection/>
    </xf>
    <xf numFmtId="11" fontId="0" fillId="2" borderId="2" xfId="0" applyNumberFormat="1" applyFont="1" applyFill="1" applyBorder="1" applyAlignment="1" applyProtection="1">
      <alignment horizontal="center"/>
      <protection/>
    </xf>
    <xf numFmtId="11" fontId="2" fillId="2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1" fontId="2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11" fontId="0" fillId="2" borderId="8" xfId="0" applyNumberFormat="1" applyFill="1" applyBorder="1" applyAlignment="1">
      <alignment horizontal="center"/>
    </xf>
    <xf numFmtId="11" fontId="2" fillId="2" borderId="2" xfId="0" applyNumberFormat="1" applyFont="1" applyFill="1" applyBorder="1" applyAlignment="1" applyProtection="1">
      <alignment horizontal="center"/>
      <protection/>
    </xf>
    <xf numFmtId="11" fontId="2" fillId="2" borderId="9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164" fontId="11" fillId="0" borderId="20" xfId="0" applyNumberFormat="1" applyFont="1" applyBorder="1" applyAlignment="1" applyProtection="1">
      <alignment horizontal="center"/>
      <protection/>
    </xf>
    <xf numFmtId="164" fontId="11" fillId="0" borderId="21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64" fontId="11" fillId="0" borderId="24" xfId="0" applyNumberFormat="1" applyFont="1" applyBorder="1" applyAlignment="1" applyProtection="1">
      <alignment horizontal="center"/>
      <protection/>
    </xf>
    <xf numFmtId="11" fontId="6" fillId="0" borderId="0" xfId="0" applyNumberFormat="1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164" fontId="11" fillId="0" borderId="29" xfId="0" applyNumberFormat="1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11" fontId="5" fillId="2" borderId="31" xfId="0" applyNumberFormat="1" applyFont="1" applyFill="1" applyBorder="1" applyAlignment="1">
      <alignment horizontal="center"/>
    </xf>
    <xf numFmtId="11" fontId="7" fillId="2" borderId="32" xfId="0" applyNumberFormat="1" applyFont="1" applyFill="1" applyBorder="1" applyAlignment="1" applyProtection="1">
      <alignment horizontal="center"/>
      <protection/>
    </xf>
    <xf numFmtId="11" fontId="5" fillId="2" borderId="33" xfId="0" applyNumberFormat="1" applyFont="1" applyFill="1" applyBorder="1" applyAlignment="1">
      <alignment horizontal="center"/>
    </xf>
    <xf numFmtId="11" fontId="7" fillId="2" borderId="34" xfId="0" applyNumberFormat="1" applyFont="1" applyFill="1" applyBorder="1" applyAlignment="1" applyProtection="1">
      <alignment horizontal="center"/>
      <protection/>
    </xf>
    <xf numFmtId="0" fontId="5" fillId="0" borderId="3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1" fontId="5" fillId="2" borderId="42" xfId="0" applyNumberFormat="1" applyFont="1" applyFill="1" applyBorder="1" applyAlignment="1">
      <alignment horizontal="center"/>
    </xf>
    <xf numFmtId="11" fontId="0" fillId="2" borderId="43" xfId="0" applyNumberFormat="1" applyFill="1" applyBorder="1" applyAlignment="1">
      <alignment horizontal="center"/>
    </xf>
    <xf numFmtId="11" fontId="0" fillId="2" borderId="43" xfId="0" applyNumberFormat="1" applyFont="1" applyFill="1" applyBorder="1" applyAlignment="1">
      <alignment horizontal="center"/>
    </xf>
    <xf numFmtId="11" fontId="0" fillId="2" borderId="44" xfId="0" applyNumberFormat="1" applyFill="1" applyBorder="1" applyAlignment="1">
      <alignment horizontal="center"/>
    </xf>
    <xf numFmtId="0" fontId="4" fillId="0" borderId="35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164" fontId="11" fillId="0" borderId="45" xfId="0" applyNumberFormat="1" applyFont="1" applyBorder="1" applyAlignment="1" applyProtection="1">
      <alignment horizontal="center"/>
      <protection/>
    </xf>
    <xf numFmtId="164" fontId="11" fillId="0" borderId="36" xfId="0" applyNumberFormat="1" applyFont="1" applyBorder="1" applyAlignment="1" applyProtection="1">
      <alignment horizontal="center"/>
      <protection/>
    </xf>
    <xf numFmtId="164" fontId="11" fillId="0" borderId="39" xfId="0" applyNumberFormat="1" applyFont="1" applyBorder="1" applyAlignment="1" applyProtection="1">
      <alignment horizontal="center"/>
      <protection/>
    </xf>
    <xf numFmtId="164" fontId="11" fillId="0" borderId="46" xfId="0" applyNumberFormat="1" applyFont="1" applyBorder="1" applyAlignment="1" applyProtection="1">
      <alignment horizontal="center"/>
      <protection/>
    </xf>
    <xf numFmtId="164" fontId="11" fillId="0" borderId="40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" fillId="2" borderId="35" xfId="0" applyFont="1" applyFill="1" applyBorder="1" applyAlignment="1" applyProtection="1">
      <alignment/>
      <protection/>
    </xf>
    <xf numFmtId="1" fontId="2" fillId="0" borderId="45" xfId="0" applyNumberFormat="1" applyFont="1" applyBorder="1" applyAlignment="1" applyProtection="1">
      <alignment horizontal="center"/>
      <protection/>
    </xf>
    <xf numFmtId="168" fontId="2" fillId="0" borderId="45" xfId="0" applyNumberFormat="1" applyFont="1" applyBorder="1" applyAlignment="1" applyProtection="1">
      <alignment horizontal="center"/>
      <protection/>
    </xf>
    <xf numFmtId="11" fontId="5" fillId="2" borderId="45" xfId="0" applyNumberFormat="1" applyFont="1" applyFill="1" applyBorder="1" applyAlignment="1">
      <alignment horizontal="center"/>
    </xf>
    <xf numFmtId="11" fontId="0" fillId="2" borderId="45" xfId="0" applyNumberFormat="1" applyFill="1" applyBorder="1" applyAlignment="1">
      <alignment horizontal="center"/>
    </xf>
    <xf numFmtId="11" fontId="2" fillId="2" borderId="45" xfId="0" applyNumberFormat="1" applyFont="1" applyFill="1" applyBorder="1" applyAlignment="1" applyProtection="1">
      <alignment horizontal="center"/>
      <protection/>
    </xf>
    <xf numFmtId="11" fontId="5" fillId="2" borderId="40" xfId="0" applyNumberFormat="1" applyFont="1" applyFill="1" applyBorder="1" applyAlignment="1">
      <alignment horizontal="center"/>
    </xf>
    <xf numFmtId="11" fontId="7" fillId="2" borderId="4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169" fontId="5" fillId="0" borderId="0" xfId="0" applyNumberFormat="1" applyFont="1" applyAlignment="1">
      <alignment horizontal="left" vertical="center"/>
    </xf>
    <xf numFmtId="0" fontId="2" fillId="2" borderId="10" xfId="0" applyFont="1" applyFill="1" applyBorder="1" applyAlignment="1" applyProtection="1">
      <alignment vertical="center"/>
      <protection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9" fontId="5" fillId="2" borderId="47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 applyProtection="1">
      <alignment vertical="center"/>
      <protection/>
    </xf>
    <xf numFmtId="0" fontId="0" fillId="2" borderId="20" xfId="0" applyFill="1" applyBorder="1" applyAlignment="1">
      <alignment vertical="center"/>
    </xf>
    <xf numFmtId="0" fontId="1" fillId="2" borderId="20" xfId="0" applyFont="1" applyFill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164" fontId="13" fillId="0" borderId="19" xfId="0" applyNumberFormat="1" applyFont="1" applyBorder="1" applyAlignment="1" applyProtection="1">
      <alignment horizontal="center"/>
      <protection/>
    </xf>
    <xf numFmtId="0" fontId="14" fillId="2" borderId="4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/>
    </xf>
    <xf numFmtId="14" fontId="1" fillId="0" borderId="0" xfId="0" applyNumberFormat="1" applyFont="1" applyAlignment="1" applyProtection="1">
      <alignment horizontal="left" vertical="center"/>
      <protection/>
    </xf>
    <xf numFmtId="11" fontId="0" fillId="2" borderId="8" xfId="0" applyNumberFormat="1" applyFont="1" applyFill="1" applyBorder="1" applyAlignment="1">
      <alignment horizontal="center"/>
    </xf>
    <xf numFmtId="11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2" fontId="2" fillId="0" borderId="50" xfId="0" applyNumberFormat="1" applyFont="1" applyBorder="1" applyAlignment="1" applyProtection="1">
      <alignment horizontal="center"/>
      <protection/>
    </xf>
    <xf numFmtId="11" fontId="5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1" fontId="7" fillId="0" borderId="0" xfId="0" applyNumberFormat="1" applyFont="1" applyFill="1" applyBorder="1" applyAlignment="1" applyProtection="1">
      <alignment horizontal="center" vertical="center"/>
      <protection/>
    </xf>
    <xf numFmtId="11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right"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1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2" fontId="2" fillId="0" borderId="51" xfId="0" applyNumberFormat="1" applyFont="1" applyBorder="1" applyAlignment="1" applyProtection="1">
      <alignment horizontal="center"/>
      <protection/>
    </xf>
    <xf numFmtId="169" fontId="1" fillId="2" borderId="52" xfId="0" applyNumberFormat="1" applyFont="1" applyFill="1" applyBorder="1" applyAlignment="1" applyProtection="1">
      <alignment horizontal="left" vertical="center"/>
      <protection/>
    </xf>
    <xf numFmtId="169" fontId="1" fillId="2" borderId="53" xfId="0" applyNumberFormat="1" applyFont="1" applyFill="1" applyBorder="1" applyAlignment="1" applyProtection="1">
      <alignment horizontal="left" vertical="center"/>
      <protection/>
    </xf>
    <xf numFmtId="169" fontId="2" fillId="2" borderId="3" xfId="0" applyNumberFormat="1" applyFont="1" applyFill="1" applyBorder="1" applyAlignment="1" applyProtection="1">
      <alignment horizontal="center"/>
      <protection/>
    </xf>
    <xf numFmtId="169" fontId="0" fillId="2" borderId="31" xfId="0" applyNumberFormat="1" applyFont="1" applyFill="1" applyBorder="1" applyAlignment="1">
      <alignment horizontal="center"/>
    </xf>
    <xf numFmtId="169" fontId="0" fillId="2" borderId="32" xfId="0" applyNumberFormat="1" applyFont="1" applyFill="1" applyBorder="1" applyAlignment="1" applyProtection="1">
      <alignment horizontal="center"/>
      <protection/>
    </xf>
    <xf numFmtId="169" fontId="0" fillId="2" borderId="3" xfId="0" applyNumberFormat="1" applyFont="1" applyFill="1" applyBorder="1" applyAlignment="1" applyProtection="1">
      <alignment horizontal="center"/>
      <protection/>
    </xf>
    <xf numFmtId="169" fontId="1" fillId="2" borderId="40" xfId="0" applyNumberFormat="1" applyFont="1" applyFill="1" applyBorder="1" applyAlignment="1" applyProtection="1">
      <alignment horizontal="center" vertical="center"/>
      <protection/>
    </xf>
    <xf numFmtId="169" fontId="7" fillId="2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1" fontId="7" fillId="3" borderId="54" xfId="0" applyNumberFormat="1" applyFont="1" applyFill="1" applyBorder="1" applyAlignment="1">
      <alignment horizontal="center"/>
    </xf>
    <xf numFmtId="2" fontId="7" fillId="3" borderId="55" xfId="0" applyNumberFormat="1" applyFont="1" applyFill="1" applyBorder="1" applyAlignment="1">
      <alignment horizontal="center"/>
    </xf>
    <xf numFmtId="169" fontId="8" fillId="3" borderId="55" xfId="0" applyNumberFormat="1" applyFont="1" applyFill="1" applyBorder="1" applyAlignment="1">
      <alignment horizontal="center"/>
    </xf>
    <xf numFmtId="167" fontId="0" fillId="3" borderId="55" xfId="0" applyNumberFormat="1" applyFill="1" applyBorder="1" applyAlignment="1">
      <alignment horizontal="center"/>
    </xf>
    <xf numFmtId="11" fontId="0" fillId="3" borderId="55" xfId="0" applyNumberFormat="1" applyFill="1" applyBorder="1" applyAlignment="1">
      <alignment horizontal="center"/>
    </xf>
    <xf numFmtId="0" fontId="2" fillId="3" borderId="55" xfId="0" applyFont="1" applyFill="1" applyBorder="1" applyAlignment="1" applyProtection="1">
      <alignment horizontal="right" vertical="center"/>
      <protection/>
    </xf>
    <xf numFmtId="165" fontId="1" fillId="3" borderId="55" xfId="0" applyNumberFormat="1" applyFont="1" applyFill="1" applyBorder="1" applyAlignment="1" applyProtection="1">
      <alignment horizontal="right" vertical="center"/>
      <protection/>
    </xf>
    <xf numFmtId="11" fontId="5" fillId="3" borderId="56" xfId="0" applyNumberFormat="1" applyFont="1" applyFill="1" applyBorder="1" applyAlignment="1" applyProtection="1">
      <alignment horizontal="center" vertical="center"/>
      <protection/>
    </xf>
    <xf numFmtId="2" fontId="17" fillId="3" borderId="55" xfId="0" applyNumberFormat="1" applyFont="1" applyFill="1" applyBorder="1" applyAlignment="1">
      <alignment horizontal="center"/>
    </xf>
    <xf numFmtId="167" fontId="8" fillId="3" borderId="55" xfId="0" applyNumberFormat="1" applyFont="1" applyFill="1" applyBorder="1" applyAlignment="1">
      <alignment horizontal="center"/>
    </xf>
    <xf numFmtId="49" fontId="0" fillId="3" borderId="55" xfId="0" applyNumberFormat="1" applyFill="1" applyBorder="1" applyAlignment="1">
      <alignment/>
    </xf>
    <xf numFmtId="0" fontId="0" fillId="3" borderId="55" xfId="0" applyFill="1" applyBorder="1" applyAlignment="1">
      <alignment/>
    </xf>
    <xf numFmtId="0" fontId="5" fillId="4" borderId="57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61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68" fontId="5" fillId="4" borderId="65" xfId="0" applyNumberFormat="1" applyFont="1" applyFill="1" applyBorder="1" applyAlignment="1">
      <alignment horizontal="center"/>
    </xf>
    <xf numFmtId="169" fontId="5" fillId="4" borderId="66" xfId="0" applyNumberFormat="1" applyFont="1" applyFill="1" applyBorder="1" applyAlignment="1">
      <alignment horizontal="center"/>
    </xf>
    <xf numFmtId="168" fontId="5" fillId="4" borderId="67" xfId="0" applyNumberFormat="1" applyFont="1" applyFill="1" applyBorder="1" applyAlignment="1">
      <alignment horizontal="center"/>
    </xf>
    <xf numFmtId="169" fontId="5" fillId="4" borderId="68" xfId="0" applyNumberFormat="1" applyFont="1" applyFill="1" applyBorder="1" applyAlignment="1">
      <alignment horizontal="center"/>
    </xf>
    <xf numFmtId="11" fontId="7" fillId="4" borderId="69" xfId="0" applyNumberFormat="1" applyFont="1" applyFill="1" applyBorder="1" applyAlignment="1">
      <alignment horizontal="left"/>
    </xf>
    <xf numFmtId="2" fontId="7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1" fontId="0" fillId="4" borderId="0" xfId="0" applyNumberForma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right" vertical="center"/>
      <protection/>
    </xf>
    <xf numFmtId="0" fontId="9" fillId="4" borderId="0" xfId="0" applyFont="1" applyFill="1" applyBorder="1" applyAlignment="1">
      <alignment horizontal="right"/>
    </xf>
    <xf numFmtId="11" fontId="7" fillId="4" borderId="69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65" fontId="1" fillId="4" borderId="0" xfId="0" applyNumberFormat="1" applyFont="1" applyFill="1" applyBorder="1" applyAlignment="1" applyProtection="1">
      <alignment horizontal="right" vertical="center"/>
      <protection/>
    </xf>
    <xf numFmtId="11" fontId="7" fillId="4" borderId="70" xfId="0" applyNumberFormat="1" applyFont="1" applyFill="1" applyBorder="1" applyAlignment="1">
      <alignment horizontal="center"/>
    </xf>
    <xf numFmtId="2" fontId="7" fillId="4" borderId="71" xfId="0" applyNumberFormat="1" applyFont="1" applyFill="1" applyBorder="1" applyAlignment="1">
      <alignment horizontal="center"/>
    </xf>
    <xf numFmtId="169" fontId="0" fillId="4" borderId="71" xfId="0" applyNumberFormat="1" applyFill="1" applyBorder="1" applyAlignment="1">
      <alignment horizontal="center"/>
    </xf>
    <xf numFmtId="167" fontId="0" fillId="4" borderId="71" xfId="0" applyNumberFormat="1" applyFill="1" applyBorder="1" applyAlignment="1">
      <alignment horizontal="center"/>
    </xf>
    <xf numFmtId="11" fontId="0" fillId="4" borderId="71" xfId="0" applyNumberFormat="1" applyFill="1" applyBorder="1" applyAlignment="1">
      <alignment horizontal="center"/>
    </xf>
    <xf numFmtId="0" fontId="2" fillId="4" borderId="71" xfId="0" applyFont="1" applyFill="1" applyBorder="1" applyAlignment="1" applyProtection="1">
      <alignment horizontal="right" vertical="center"/>
      <protection/>
    </xf>
    <xf numFmtId="165" fontId="1" fillId="4" borderId="71" xfId="0" applyNumberFormat="1" applyFont="1" applyFill="1" applyBorder="1" applyAlignment="1" applyProtection="1">
      <alignment horizontal="right" vertical="center"/>
      <protection/>
    </xf>
    <xf numFmtId="11" fontId="5" fillId="4" borderId="69" xfId="0" applyNumberFormat="1" applyFont="1" applyFill="1" applyBorder="1" applyAlignment="1">
      <alignment horizontal="left"/>
    </xf>
    <xf numFmtId="169" fontId="5" fillId="5" borderId="72" xfId="0" applyNumberFormat="1" applyFont="1" applyFill="1" applyBorder="1" applyAlignment="1">
      <alignment horizontal="center"/>
    </xf>
    <xf numFmtId="169" fontId="5" fillId="5" borderId="72" xfId="0" applyNumberFormat="1" applyFont="1" applyFill="1" applyBorder="1" applyAlignment="1" applyProtection="1">
      <alignment horizontal="center" vertical="center"/>
      <protection/>
    </xf>
    <xf numFmtId="0" fontId="0" fillId="5" borderId="72" xfId="0" applyFont="1" applyFill="1" applyBorder="1" applyAlignment="1">
      <alignment/>
    </xf>
    <xf numFmtId="11" fontId="5" fillId="5" borderId="72" xfId="0" applyNumberFormat="1" applyFont="1" applyFill="1" applyBorder="1" applyAlignment="1" applyProtection="1">
      <alignment horizontal="center" vertical="center"/>
      <protection/>
    </xf>
    <xf numFmtId="11" fontId="5" fillId="5" borderId="73" xfId="0" applyNumberFormat="1" applyFont="1" applyFill="1" applyBorder="1" applyAlignment="1" applyProtection="1">
      <alignment horizontal="center" vertical="center"/>
      <protection/>
    </xf>
    <xf numFmtId="169" fontId="5" fillId="4" borderId="74" xfId="0" applyNumberFormat="1" applyFont="1" applyFill="1" applyBorder="1" applyAlignment="1">
      <alignment horizontal="center"/>
    </xf>
    <xf numFmtId="169" fontId="5" fillId="4" borderId="75" xfId="0" applyNumberFormat="1" applyFont="1" applyFill="1" applyBorder="1" applyAlignment="1">
      <alignment horizontal="center"/>
    </xf>
    <xf numFmtId="2" fontId="0" fillId="0" borderId="50" xfId="0" applyNumberFormat="1" applyFont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center"/>
      <protection/>
    </xf>
    <xf numFmtId="11" fontId="0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 indent="2"/>
    </xf>
    <xf numFmtId="169" fontId="0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7"/>
  <sheetViews>
    <sheetView showZeros="0" tabSelected="1" defaultGridColor="0" colorId="22" workbookViewId="0" topLeftCell="A1">
      <selection activeCell="B5" sqref="B5"/>
    </sheetView>
  </sheetViews>
  <sheetFormatPr defaultColWidth="8.7109375" defaultRowHeight="12.75"/>
  <cols>
    <col min="1" max="1" width="9.8515625" style="0" customWidth="1"/>
    <col min="2" max="2" width="12.421875" style="6" customWidth="1"/>
    <col min="3" max="3" width="12.00390625" style="6" customWidth="1"/>
    <col min="4" max="4" width="12.7109375" style="0" customWidth="1"/>
    <col min="5" max="5" width="11.00390625" style="0" customWidth="1"/>
    <col min="6" max="9" width="12.7109375" style="0" customWidth="1"/>
    <col min="10" max="10" width="12.00390625" style="0" customWidth="1"/>
    <col min="11" max="11" width="10.8515625" style="0" customWidth="1"/>
    <col min="13" max="13" width="9.00390625" style="0" bestFit="1" customWidth="1"/>
  </cols>
  <sheetData>
    <row r="1" spans="1:11" s="9" customFormat="1" ht="30" customHeight="1">
      <c r="A1" s="7" t="s">
        <v>79</v>
      </c>
      <c r="B1" s="8"/>
      <c r="C1" s="8"/>
      <c r="K1" s="12"/>
    </row>
    <row r="2" spans="1:11" s="133" customFormat="1" ht="15.75" customHeight="1">
      <c r="A2" s="131" t="s">
        <v>96</v>
      </c>
      <c r="B2" s="132"/>
      <c r="C2" s="132"/>
      <c r="K2" s="134"/>
    </row>
    <row r="3" spans="1:9" ht="24" customHeight="1">
      <c r="A3" s="1" t="s">
        <v>35</v>
      </c>
      <c r="B3" s="104" t="s">
        <v>115</v>
      </c>
      <c r="C3" s="5"/>
      <c r="D3" s="2"/>
      <c r="E3" s="2"/>
      <c r="F3" s="2"/>
      <c r="G3" s="2"/>
      <c r="H3" s="2"/>
      <c r="I3" s="4"/>
    </row>
    <row r="4" spans="1:7" ht="24" customHeight="1" thickBot="1">
      <c r="A4" s="1" t="s">
        <v>49</v>
      </c>
      <c r="B4" s="105">
        <v>38581</v>
      </c>
      <c r="C4" s="5"/>
      <c r="D4" s="2"/>
      <c r="E4" s="2"/>
      <c r="F4" s="2"/>
      <c r="G4" s="2"/>
    </row>
    <row r="5" spans="1:9" s="9" customFormat="1" ht="15.75" customHeight="1" thickTop="1">
      <c r="A5" s="1"/>
      <c r="B5" s="5"/>
      <c r="C5" s="5"/>
      <c r="D5" s="2"/>
      <c r="E5" s="86"/>
      <c r="F5" s="99" t="s">
        <v>51</v>
      </c>
      <c r="G5" s="87"/>
      <c r="H5" s="88" t="s">
        <v>34</v>
      </c>
      <c r="I5" s="124">
        <v>1.6</v>
      </c>
    </row>
    <row r="6" spans="1:9" s="9" customFormat="1" ht="15.75" customHeight="1" thickBot="1">
      <c r="A6" s="1"/>
      <c r="B6" s="5"/>
      <c r="C6" s="5"/>
      <c r="D6" s="2"/>
      <c r="E6" s="89"/>
      <c r="F6" s="90"/>
      <c r="G6" s="90"/>
      <c r="H6" s="91" t="s">
        <v>53</v>
      </c>
      <c r="I6" s="92">
        <v>764700</v>
      </c>
    </row>
    <row r="7" spans="1:9" s="9" customFormat="1" ht="15.75" customHeight="1" thickTop="1">
      <c r="A7" s="1"/>
      <c r="B7" s="100" t="s">
        <v>56</v>
      </c>
      <c r="C7" s="101" t="s">
        <v>56</v>
      </c>
      <c r="D7" s="2"/>
      <c r="E7" s="89"/>
      <c r="F7" s="90"/>
      <c r="G7" s="90"/>
      <c r="H7" s="91" t="s">
        <v>31</v>
      </c>
      <c r="I7" s="92">
        <v>1E-12</v>
      </c>
    </row>
    <row r="8" spans="2:9" s="9" customFormat="1" ht="15.75" customHeight="1" thickBot="1">
      <c r="B8" s="102" t="s">
        <v>57</v>
      </c>
      <c r="C8" s="103" t="s">
        <v>57</v>
      </c>
      <c r="D8" s="2"/>
      <c r="E8" s="93"/>
      <c r="F8" s="94"/>
      <c r="G8" s="94"/>
      <c r="H8" s="95" t="s">
        <v>19</v>
      </c>
      <c r="I8" s="123">
        <v>460000000</v>
      </c>
    </row>
    <row r="9" spans="1:9" s="9" customFormat="1" ht="15" customHeight="1" thickBot="1" thickTop="1">
      <c r="A9" s="52" t="s">
        <v>38</v>
      </c>
      <c r="B9" s="55" t="s">
        <v>39</v>
      </c>
      <c r="C9" s="56" t="s">
        <v>40</v>
      </c>
      <c r="D9" s="57" t="s">
        <v>41</v>
      </c>
      <c r="E9" s="58" t="s">
        <v>42</v>
      </c>
      <c r="F9" s="59" t="s">
        <v>43</v>
      </c>
      <c r="G9" s="60" t="s">
        <v>44</v>
      </c>
      <c r="H9" s="61" t="s">
        <v>45</v>
      </c>
      <c r="I9" s="62" t="s">
        <v>46</v>
      </c>
    </row>
    <row r="10" spans="1:9" ht="13.5" thickTop="1">
      <c r="A10" s="24" t="s">
        <v>0</v>
      </c>
      <c r="B10" s="53" t="s">
        <v>23</v>
      </c>
      <c r="C10" s="54" t="s">
        <v>25</v>
      </c>
      <c r="D10" s="17" t="s">
        <v>1</v>
      </c>
      <c r="E10" s="96" t="s">
        <v>20</v>
      </c>
      <c r="F10" s="30" t="s">
        <v>1</v>
      </c>
      <c r="G10" s="38" t="s">
        <v>18</v>
      </c>
      <c r="H10" s="42" t="s">
        <v>30</v>
      </c>
      <c r="I10" s="43" t="s">
        <v>16</v>
      </c>
    </row>
    <row r="11" spans="1:9" ht="12.75">
      <c r="A11" s="25" t="s">
        <v>2</v>
      </c>
      <c r="B11" s="18" t="s">
        <v>26</v>
      </c>
      <c r="C11" s="31" t="s">
        <v>50</v>
      </c>
      <c r="D11" s="3" t="s">
        <v>28</v>
      </c>
      <c r="E11" s="97" t="s">
        <v>1</v>
      </c>
      <c r="F11" s="32" t="s">
        <v>14</v>
      </c>
      <c r="G11" s="39" t="s">
        <v>55</v>
      </c>
      <c r="H11" s="44" t="s">
        <v>32</v>
      </c>
      <c r="I11" s="45" t="s">
        <v>17</v>
      </c>
    </row>
    <row r="12" spans="1:9" ht="12.75">
      <c r="A12" s="25"/>
      <c r="B12" s="18" t="s">
        <v>27</v>
      </c>
      <c r="C12" s="31" t="s">
        <v>24</v>
      </c>
      <c r="D12" s="3" t="s">
        <v>3</v>
      </c>
      <c r="E12" s="97" t="s">
        <v>21</v>
      </c>
      <c r="F12" s="32" t="s">
        <v>15</v>
      </c>
      <c r="G12" s="39"/>
      <c r="H12" s="44" t="s">
        <v>24</v>
      </c>
      <c r="I12" s="45" t="s">
        <v>3</v>
      </c>
    </row>
    <row r="13" spans="1:9" ht="13.5" thickBot="1">
      <c r="A13" s="33"/>
      <c r="B13" s="35" t="s">
        <v>51</v>
      </c>
      <c r="C13" s="34"/>
      <c r="D13" s="36" t="s">
        <v>48</v>
      </c>
      <c r="E13" s="98"/>
      <c r="F13" s="37"/>
      <c r="G13" s="40" t="s">
        <v>47</v>
      </c>
      <c r="H13" s="46" t="s">
        <v>36</v>
      </c>
      <c r="I13" s="47" t="s">
        <v>37</v>
      </c>
    </row>
    <row r="14" spans="1:9" ht="3.75" customHeight="1" thickBot="1" thickTop="1">
      <c r="A14" s="67"/>
      <c r="B14" s="68"/>
      <c r="C14" s="69"/>
      <c r="D14" s="70"/>
      <c r="E14" s="71"/>
      <c r="F14" s="72"/>
      <c r="G14" s="73"/>
      <c r="H14" s="74"/>
      <c r="I14" s="75"/>
    </row>
    <row r="15" spans="1:9" ht="13.5" customHeight="1" thickTop="1">
      <c r="A15" s="20" t="s">
        <v>4</v>
      </c>
      <c r="B15" s="188">
        <f>H$54</f>
        <v>180</v>
      </c>
      <c r="C15" s="110"/>
      <c r="D15" s="189">
        <f>B15*yd3_to_cm3*Soil_Density*pCi_to_Ci*C15</f>
        <v>0</v>
      </c>
      <c r="E15" s="21" t="s">
        <v>6</v>
      </c>
      <c r="F15" s="22">
        <v>6700000000</v>
      </c>
      <c r="G15" s="125">
        <f>F15/Pu238_DCF</f>
        <v>14.565217391304348</v>
      </c>
      <c r="H15" s="126">
        <f>C15*G15</f>
        <v>0</v>
      </c>
      <c r="I15" s="127">
        <f>G15*D15</f>
        <v>0</v>
      </c>
    </row>
    <row r="16" spans="1:9" ht="13.5" customHeight="1" hidden="1">
      <c r="A16" s="20"/>
      <c r="B16" s="188"/>
      <c r="C16" s="110"/>
      <c r="D16" s="189"/>
      <c r="E16" s="21"/>
      <c r="F16" s="22"/>
      <c r="G16" s="125"/>
      <c r="H16" s="126"/>
      <c r="I16" s="127"/>
    </row>
    <row r="17" spans="1:9" ht="13.5" customHeight="1">
      <c r="A17" s="26" t="s">
        <v>33</v>
      </c>
      <c r="B17" s="188">
        <f>H$54</f>
        <v>180</v>
      </c>
      <c r="C17" s="185"/>
      <c r="D17" s="189">
        <f>B17*yd3_to_cm3*Soil_Density*pCi_to_Ci*C17</f>
        <v>0</v>
      </c>
      <c r="E17" s="65"/>
      <c r="F17" s="15">
        <v>520000000</v>
      </c>
      <c r="G17" s="128">
        <f>F17/Pu238_DCF</f>
        <v>1.1304347826086956</v>
      </c>
      <c r="H17" s="126">
        <f>C17*G17</f>
        <v>0</v>
      </c>
      <c r="I17" s="127">
        <f>G17*D17</f>
        <v>0</v>
      </c>
    </row>
    <row r="18" spans="1:9" ht="13.5" customHeight="1" hidden="1">
      <c r="A18" s="26"/>
      <c r="B18" s="188"/>
      <c r="C18" s="185"/>
      <c r="D18" s="189"/>
      <c r="E18" s="65"/>
      <c r="F18" s="15"/>
      <c r="G18" s="128"/>
      <c r="H18" s="126"/>
      <c r="I18" s="127"/>
    </row>
    <row r="19" spans="1:9" ht="13.5" customHeight="1" hidden="1">
      <c r="A19" s="26"/>
      <c r="B19" s="188"/>
      <c r="C19" s="185"/>
      <c r="D19" s="189"/>
      <c r="E19" s="65"/>
      <c r="F19" s="15"/>
      <c r="G19" s="128"/>
      <c r="H19" s="126"/>
      <c r="I19" s="127"/>
    </row>
    <row r="20" spans="1:9" ht="13.5" customHeight="1" hidden="1">
      <c r="A20" s="26"/>
      <c r="B20" s="188"/>
      <c r="C20" s="185"/>
      <c r="D20" s="189"/>
      <c r="E20" s="65"/>
      <c r="F20" s="15"/>
      <c r="G20" s="128"/>
      <c r="H20" s="126"/>
      <c r="I20" s="127"/>
    </row>
    <row r="21" spans="1:9" ht="13.5" customHeight="1">
      <c r="A21" s="26" t="s">
        <v>29</v>
      </c>
      <c r="B21" s="188">
        <f>H$54</f>
        <v>180</v>
      </c>
      <c r="C21" s="185"/>
      <c r="D21" s="189">
        <f>B21*yd3_to_cm3*Soil_Density*pCi_to_Ci*C21</f>
        <v>0</v>
      </c>
      <c r="E21" s="65"/>
      <c r="F21" s="15">
        <v>30000</v>
      </c>
      <c r="G21" s="128">
        <f>F21/Pu238_DCF</f>
        <v>6.521739130434782E-05</v>
      </c>
      <c r="H21" s="126">
        <f>C21*G21</f>
        <v>0</v>
      </c>
      <c r="I21" s="127">
        <f>G21*D21</f>
        <v>0</v>
      </c>
    </row>
    <row r="22" spans="1:9" ht="13.5" customHeight="1">
      <c r="A22" s="26" t="s">
        <v>5</v>
      </c>
      <c r="B22" s="188">
        <f>H$54</f>
        <v>180</v>
      </c>
      <c r="C22" s="185"/>
      <c r="D22" s="189">
        <f>B22*yd3_to_cm3*Soil_Density*pCi_to_Ci*C22</f>
        <v>0</v>
      </c>
      <c r="E22" s="65"/>
      <c r="F22" s="15">
        <v>32000</v>
      </c>
      <c r="G22" s="128">
        <f>F22/Pu238_DCF</f>
        <v>6.956521739130434E-05</v>
      </c>
      <c r="H22" s="126">
        <f>C22*G22</f>
        <v>0</v>
      </c>
      <c r="I22" s="127">
        <f>G22*D22</f>
        <v>0</v>
      </c>
    </row>
    <row r="23" spans="1:9" ht="13.5" customHeight="1" hidden="1">
      <c r="A23" s="26"/>
      <c r="B23" s="188"/>
      <c r="C23" s="185">
        <f>data!G15</f>
        <v>7.299999999999999</v>
      </c>
      <c r="D23" s="189"/>
      <c r="E23" s="65"/>
      <c r="F23" s="15"/>
      <c r="G23" s="128"/>
      <c r="H23" s="126"/>
      <c r="I23" s="127"/>
    </row>
    <row r="24" spans="1:9" ht="13.5" customHeight="1" hidden="1">
      <c r="A24" s="26"/>
      <c r="B24" s="188"/>
      <c r="C24" s="185">
        <f>data!G16</f>
        <v>0.75</v>
      </c>
      <c r="D24" s="189"/>
      <c r="E24" s="65"/>
      <c r="F24" s="15"/>
      <c r="G24" s="128"/>
      <c r="H24" s="126"/>
      <c r="I24" s="127"/>
    </row>
    <row r="25" spans="1:9" ht="13.5" customHeight="1" hidden="1">
      <c r="A25" s="26"/>
      <c r="B25" s="188"/>
      <c r="C25" s="185" t="e">
        <f>data!#REF!</f>
        <v>#REF!</v>
      </c>
      <c r="D25" s="189"/>
      <c r="E25" s="65"/>
      <c r="F25" s="15"/>
      <c r="G25" s="128"/>
      <c r="H25" s="126"/>
      <c r="I25" s="127"/>
    </row>
    <row r="26" spans="1:9" ht="13.5" customHeight="1" hidden="1">
      <c r="A26" s="26"/>
      <c r="B26" s="188"/>
      <c r="C26" s="185">
        <f>data!G17</f>
        <v>0</v>
      </c>
      <c r="D26" s="189"/>
      <c r="E26" s="65"/>
      <c r="F26" s="15"/>
      <c r="G26" s="128"/>
      <c r="H26" s="126"/>
      <c r="I26" s="127"/>
    </row>
    <row r="27" spans="1:9" ht="13.5" customHeight="1">
      <c r="A27" s="26" t="s">
        <v>6</v>
      </c>
      <c r="B27" s="188">
        <f>H$54</f>
        <v>180</v>
      </c>
      <c r="C27" s="185"/>
      <c r="D27" s="191">
        <f>B27*yd3_to_cm3*Soil_Density*pCi_to_Ci*C27</f>
        <v>0</v>
      </c>
      <c r="E27" s="65"/>
      <c r="F27" s="15">
        <v>1300000000</v>
      </c>
      <c r="G27" s="128">
        <f>F27/Pu238_DCF</f>
        <v>2.8260869565217392</v>
      </c>
      <c r="H27" s="126">
        <f>C27*G27</f>
        <v>0</v>
      </c>
      <c r="I27" s="127">
        <f>G27*D27</f>
        <v>0</v>
      </c>
    </row>
    <row r="28" spans="1:9" ht="13.5" customHeight="1" hidden="1">
      <c r="A28" s="26"/>
      <c r="B28" s="188"/>
      <c r="C28" s="185">
        <f>data!G19</f>
        <v>0</v>
      </c>
      <c r="D28" s="189"/>
      <c r="E28" s="65"/>
      <c r="F28" s="15"/>
      <c r="G28" s="128"/>
      <c r="H28" s="126"/>
      <c r="I28" s="127"/>
    </row>
    <row r="29" ht="13.5" customHeight="1" hidden="1"/>
    <row r="30" spans="1:9" ht="13.5" customHeight="1">
      <c r="A30" s="26" t="s">
        <v>30</v>
      </c>
      <c r="B30" s="188">
        <f>H$54</f>
        <v>180</v>
      </c>
      <c r="C30" s="185"/>
      <c r="D30" s="189">
        <f>B30*yd3_to_cm3*Soil_Density*pCi_to_Ci*C30</f>
        <v>0</v>
      </c>
      <c r="E30" s="65"/>
      <c r="F30" s="15">
        <v>460000000</v>
      </c>
      <c r="G30" s="128">
        <f>F30/Pu238_DCF</f>
        <v>1</v>
      </c>
      <c r="H30" s="126">
        <f>C30*G30</f>
        <v>0</v>
      </c>
      <c r="I30" s="127">
        <f>G30*D30</f>
        <v>0</v>
      </c>
    </row>
    <row r="31" spans="1:9" ht="13.5" customHeight="1" hidden="1">
      <c r="A31" s="26"/>
      <c r="B31" s="188"/>
      <c r="C31" s="185">
        <f>data!G21</f>
        <v>0</v>
      </c>
      <c r="D31" s="189"/>
      <c r="E31" s="106"/>
      <c r="F31" s="15"/>
      <c r="G31" s="128"/>
      <c r="H31" s="126"/>
      <c r="I31" s="127"/>
    </row>
    <row r="32" spans="1:9" ht="13.5" customHeight="1" hidden="1">
      <c r="A32" s="26"/>
      <c r="B32" s="188"/>
      <c r="C32" s="185">
        <f>data!G22</f>
        <v>0</v>
      </c>
      <c r="D32" s="189"/>
      <c r="E32" s="106"/>
      <c r="F32" s="15"/>
      <c r="G32" s="128"/>
      <c r="H32" s="126"/>
      <c r="I32" s="127"/>
    </row>
    <row r="33" spans="1:9" ht="13.5" customHeight="1" hidden="1">
      <c r="A33" s="26"/>
      <c r="B33" s="188"/>
      <c r="C33" s="185">
        <f>data!G23</f>
        <v>0</v>
      </c>
      <c r="D33" s="189"/>
      <c r="E33" s="106"/>
      <c r="F33" s="15"/>
      <c r="G33" s="128"/>
      <c r="H33" s="126"/>
      <c r="I33" s="127"/>
    </row>
    <row r="34" spans="1:9" ht="13.5" customHeight="1" hidden="1">
      <c r="A34" s="26"/>
      <c r="B34" s="188"/>
      <c r="C34" s="185">
        <f>data!G24</f>
        <v>0</v>
      </c>
      <c r="D34" s="189"/>
      <c r="E34" s="106"/>
      <c r="F34" s="15"/>
      <c r="G34" s="128"/>
      <c r="H34" s="126"/>
      <c r="I34" s="127"/>
    </row>
    <row r="35" spans="1:9" ht="13.5" customHeight="1" hidden="1">
      <c r="A35" s="26"/>
      <c r="B35" s="188"/>
      <c r="C35" s="185">
        <f>data!G25</f>
        <v>0</v>
      </c>
      <c r="D35" s="189"/>
      <c r="E35" s="106"/>
      <c r="F35" s="15"/>
      <c r="G35" s="128"/>
      <c r="H35" s="126"/>
      <c r="I35" s="127"/>
    </row>
    <row r="36" spans="1:9" ht="13.5" customHeight="1">
      <c r="A36" s="26" t="s">
        <v>7</v>
      </c>
      <c r="B36" s="188">
        <f>H$54</f>
        <v>180</v>
      </c>
      <c r="C36" s="185">
        <v>77</v>
      </c>
      <c r="D36" s="189">
        <f>B36*yd3_to_cm3*Soil_Density*pCi_to_Ci*C36</f>
        <v>0.0169579872</v>
      </c>
      <c r="E36" s="106" t="s">
        <v>11</v>
      </c>
      <c r="F36" s="15">
        <v>7900000</v>
      </c>
      <c r="G36" s="128">
        <f>F36/Pu238_DCF</f>
        <v>0.01717391304347826</v>
      </c>
      <c r="H36" s="126">
        <f>C36*G36</f>
        <v>1.3223913043478261</v>
      </c>
      <c r="I36" s="127">
        <f>G36*D36</f>
        <v>0.0002912349975652174</v>
      </c>
    </row>
    <row r="37" spans="1:9" ht="13.5" customHeight="1" hidden="1">
      <c r="A37" s="26"/>
      <c r="B37" s="188"/>
      <c r="C37" s="185">
        <f>data!G27</f>
        <v>0</v>
      </c>
      <c r="D37" s="189"/>
      <c r="E37" s="106"/>
      <c r="F37" s="15"/>
      <c r="G37" s="128"/>
      <c r="H37" s="126"/>
      <c r="I37" s="127"/>
    </row>
    <row r="38" spans="1:9" ht="13.5" customHeight="1" hidden="1">
      <c r="A38" s="26"/>
      <c r="B38" s="188"/>
      <c r="C38" s="185">
        <f>data!G28</f>
        <v>0</v>
      </c>
      <c r="D38" s="189"/>
      <c r="E38" s="106"/>
      <c r="F38" s="15"/>
      <c r="G38" s="128"/>
      <c r="H38" s="126"/>
      <c r="I38" s="127"/>
    </row>
    <row r="39" spans="1:9" ht="13.5" customHeight="1">
      <c r="A39" s="26" t="s">
        <v>8</v>
      </c>
      <c r="B39" s="188">
        <f>H$54</f>
        <v>180</v>
      </c>
      <c r="C39" s="185"/>
      <c r="D39" s="189">
        <f>B39*yd3_to_cm3*Soil_Density*pCi_to_Ci*C39</f>
        <v>0</v>
      </c>
      <c r="E39" s="65"/>
      <c r="F39" s="15">
        <v>250000000</v>
      </c>
      <c r="G39" s="128">
        <f>F39/Pu238_DCF</f>
        <v>0.5434782608695652</v>
      </c>
      <c r="H39" s="126">
        <f aca="true" t="shared" si="0" ref="H39:H49">C39*G39</f>
        <v>0</v>
      </c>
      <c r="I39" s="127">
        <f aca="true" t="shared" si="1" ref="I39:I49">G39*D39</f>
        <v>0</v>
      </c>
    </row>
    <row r="40" spans="1:9" ht="13.5" customHeight="1" hidden="1">
      <c r="A40" s="26"/>
      <c r="B40" s="188"/>
      <c r="C40" s="185">
        <f>data!G30</f>
        <v>0</v>
      </c>
      <c r="D40" s="189"/>
      <c r="E40" s="65"/>
      <c r="F40" s="15"/>
      <c r="G40" s="128"/>
      <c r="H40" s="126"/>
      <c r="I40" s="127"/>
    </row>
    <row r="41" spans="1:9" ht="13.5" customHeight="1">
      <c r="A41" s="26" t="s">
        <v>9</v>
      </c>
      <c r="B41" s="188">
        <f>H$54</f>
        <v>180</v>
      </c>
      <c r="C41" s="185"/>
      <c r="D41" s="189">
        <f>B41*yd3_to_cm3*Soil_Density*pCi_to_Ci*C41</f>
        <v>0</v>
      </c>
      <c r="E41" s="65"/>
      <c r="F41" s="15">
        <v>320000000</v>
      </c>
      <c r="G41" s="128">
        <f>F41/Pu238_DCF</f>
        <v>0.6956521739130435</v>
      </c>
      <c r="H41" s="126">
        <f t="shared" si="0"/>
        <v>0</v>
      </c>
      <c r="I41" s="127">
        <f t="shared" si="1"/>
        <v>0</v>
      </c>
    </row>
    <row r="42" spans="1:9" ht="13.5" customHeight="1">
      <c r="A42" s="26" t="s">
        <v>10</v>
      </c>
      <c r="B42" s="188">
        <f>H$54</f>
        <v>180</v>
      </c>
      <c r="C42" s="185">
        <v>417</v>
      </c>
      <c r="D42" s="189">
        <f>B42*yd3_to_cm3*Soil_Density*pCi_to_Ci*C42</f>
        <v>0.0918374112</v>
      </c>
      <c r="E42" s="65"/>
      <c r="F42" s="15">
        <v>1600000000</v>
      </c>
      <c r="G42" s="128">
        <f>F42/Pu238_DCF</f>
        <v>3.4782608695652173</v>
      </c>
      <c r="H42" s="126">
        <f t="shared" si="0"/>
        <v>1450.4347826086955</v>
      </c>
      <c r="I42" s="127">
        <f t="shared" si="1"/>
        <v>0.3194344737391304</v>
      </c>
    </row>
    <row r="43" spans="1:9" ht="13.5" customHeight="1" hidden="1">
      <c r="A43" s="26"/>
      <c r="B43" s="188"/>
      <c r="C43" s="185"/>
      <c r="D43" s="189"/>
      <c r="E43" s="65"/>
      <c r="F43" s="15"/>
      <c r="G43" s="128"/>
      <c r="H43" s="126"/>
      <c r="I43" s="127"/>
    </row>
    <row r="44" spans="1:9" ht="13.5" customHeight="1" hidden="1">
      <c r="A44" s="26"/>
      <c r="B44" s="188"/>
      <c r="C44" s="185"/>
      <c r="D44" s="189"/>
      <c r="E44" s="65"/>
      <c r="F44" s="15"/>
      <c r="G44" s="128"/>
      <c r="H44" s="126"/>
      <c r="I44" s="127"/>
    </row>
    <row r="45" spans="1:9" ht="13.5" customHeight="1" hidden="1">
      <c r="A45" s="26"/>
      <c r="B45" s="188"/>
      <c r="C45" s="185"/>
      <c r="D45" s="189"/>
      <c r="E45" s="65"/>
      <c r="F45" s="15"/>
      <c r="G45" s="128"/>
      <c r="H45" s="126"/>
      <c r="I45" s="127"/>
    </row>
    <row r="46" spans="1:9" ht="13.5" customHeight="1" hidden="1">
      <c r="A46" s="26"/>
      <c r="B46" s="188"/>
      <c r="C46" s="185"/>
      <c r="D46" s="189"/>
      <c r="E46" s="65"/>
      <c r="F46" s="15"/>
      <c r="G46" s="128"/>
      <c r="H46" s="126"/>
      <c r="I46" s="127"/>
    </row>
    <row r="47" spans="1:9" ht="13.5" customHeight="1" thickBot="1">
      <c r="A47" s="26" t="s">
        <v>58</v>
      </c>
      <c r="B47" s="188">
        <f>H$54</f>
        <v>180</v>
      </c>
      <c r="C47" s="185">
        <v>72</v>
      </c>
      <c r="D47" s="189">
        <f>B47*yd3_to_cm3*Soil_Density*pCi_to_Ci*C47</f>
        <v>0.0158568192</v>
      </c>
      <c r="E47" s="65"/>
      <c r="F47" s="15">
        <v>6200000</v>
      </c>
      <c r="G47" s="128">
        <f>F47/Pu238_DCF</f>
        <v>0.013478260869565217</v>
      </c>
      <c r="H47" s="126">
        <f>C47*G47</f>
        <v>0.9704347826086956</v>
      </c>
      <c r="I47" s="127">
        <f>G47*D47</f>
        <v>0.00021372234573913042</v>
      </c>
    </row>
    <row r="48" spans="1:9" ht="13.5" customHeight="1" hidden="1">
      <c r="A48" s="20" t="s">
        <v>12</v>
      </c>
      <c r="B48" s="28"/>
      <c r="C48" s="110"/>
      <c r="D48" s="13">
        <f>B48*yd3_to_cm3*Soil_Density*pCi_to_Ci*C48</f>
        <v>0</v>
      </c>
      <c r="E48" s="64"/>
      <c r="F48" s="22">
        <v>8200</v>
      </c>
      <c r="G48" s="16">
        <f>F48/Pu238_DCF</f>
        <v>1.7826086956521738E-05</v>
      </c>
      <c r="H48" s="48">
        <f t="shared" si="0"/>
        <v>0</v>
      </c>
      <c r="I48" s="49">
        <f t="shared" si="1"/>
        <v>0</v>
      </c>
    </row>
    <row r="49" spans="1:9" ht="15.75" customHeight="1" hidden="1" thickBot="1">
      <c r="A49" s="27" t="s">
        <v>13</v>
      </c>
      <c r="B49" s="29"/>
      <c r="C49" s="122"/>
      <c r="D49" s="63">
        <f>B49*yd3_to_cm3*Soil_Density*pCi_to_Ci*C49</f>
        <v>0</v>
      </c>
      <c r="E49" s="66"/>
      <c r="F49" s="23">
        <v>320000</v>
      </c>
      <c r="G49" s="19">
        <f>F49/Pu238_DCF</f>
        <v>0.0006956521739130435</v>
      </c>
      <c r="H49" s="50">
        <f t="shared" si="0"/>
        <v>0</v>
      </c>
      <c r="I49" s="51">
        <f t="shared" si="1"/>
        <v>0</v>
      </c>
    </row>
    <row r="50" spans="1:9" ht="3.75" customHeight="1" thickBot="1" thickTop="1">
      <c r="A50" s="76"/>
      <c r="B50" s="77"/>
      <c r="C50" s="78"/>
      <c r="D50" s="79"/>
      <c r="E50" s="80"/>
      <c r="F50" s="81"/>
      <c r="G50" s="81"/>
      <c r="H50" s="82"/>
      <c r="I50" s="83"/>
    </row>
    <row r="51" spans="1:9" ht="15.75" customHeight="1" thickBot="1" thickTop="1">
      <c r="A51" s="2"/>
      <c r="B51" s="10"/>
      <c r="C51" s="10"/>
      <c r="D51" s="14"/>
      <c r="E51" s="14"/>
      <c r="F51" s="11"/>
      <c r="G51" s="114" t="s">
        <v>60</v>
      </c>
      <c r="H51" s="129">
        <f>SUM(H15:H49)</f>
        <v>1452.727608695652</v>
      </c>
      <c r="I51" s="130">
        <f>SUM(I15:I49)</f>
        <v>0.3199394310824348</v>
      </c>
    </row>
    <row r="52" spans="1:11" ht="15.75" customHeight="1" thickBot="1" thickTop="1">
      <c r="A52" s="2"/>
      <c r="B52" s="10"/>
      <c r="C52" s="10"/>
      <c r="D52" s="14"/>
      <c r="E52" s="14"/>
      <c r="F52" s="11"/>
      <c r="G52" s="41"/>
      <c r="H52" s="112"/>
      <c r="I52" s="113"/>
      <c r="J52" s="107"/>
      <c r="K52" s="111"/>
    </row>
    <row r="53" spans="1:11" ht="15.75" customHeight="1" thickBot="1">
      <c r="A53" s="147" t="s">
        <v>72</v>
      </c>
      <c r="B53" s="148" t="s">
        <v>73</v>
      </c>
      <c r="C53" s="148" t="s">
        <v>74</v>
      </c>
      <c r="D53" s="148" t="s">
        <v>75</v>
      </c>
      <c r="E53" s="148" t="s">
        <v>76</v>
      </c>
      <c r="F53" s="149" t="s">
        <v>77</v>
      </c>
      <c r="G53" s="115"/>
      <c r="H53" s="186"/>
      <c r="I53" s="116"/>
      <c r="J53" s="107"/>
      <c r="K53" s="111"/>
    </row>
    <row r="54" spans="1:11" ht="15.75" customHeight="1">
      <c r="A54" s="147" t="s">
        <v>80</v>
      </c>
      <c r="B54" s="148" t="s">
        <v>71</v>
      </c>
      <c r="C54" s="148" t="s">
        <v>61</v>
      </c>
      <c r="D54" s="148" t="s">
        <v>62</v>
      </c>
      <c r="E54" s="148" t="s">
        <v>62</v>
      </c>
      <c r="F54" s="149" t="s">
        <v>26</v>
      </c>
      <c r="G54" s="115"/>
      <c r="H54" s="187">
        <v>180</v>
      </c>
      <c r="I54" s="116" t="s">
        <v>97</v>
      </c>
      <c r="J54" s="107"/>
      <c r="K54" s="111"/>
    </row>
    <row r="55" spans="1:11" ht="15.75" customHeight="1">
      <c r="A55" s="150" t="s">
        <v>3</v>
      </c>
      <c r="B55" s="151" t="s">
        <v>63</v>
      </c>
      <c r="C55" s="151" t="s">
        <v>64</v>
      </c>
      <c r="D55" s="151" t="s">
        <v>65</v>
      </c>
      <c r="E55" s="151" t="s">
        <v>66</v>
      </c>
      <c r="F55" s="152" t="s">
        <v>27</v>
      </c>
      <c r="G55" s="115"/>
      <c r="H55" s="112"/>
      <c r="I55" s="116"/>
      <c r="J55" s="107"/>
      <c r="K55" s="111"/>
    </row>
    <row r="56" spans="1:11" ht="15.75" customHeight="1" thickBot="1">
      <c r="A56" s="153" t="s">
        <v>28</v>
      </c>
      <c r="B56" s="154" t="s">
        <v>67</v>
      </c>
      <c r="C56" s="154" t="s">
        <v>68</v>
      </c>
      <c r="D56" s="154" t="s">
        <v>27</v>
      </c>
      <c r="E56" s="154" t="s">
        <v>69</v>
      </c>
      <c r="F56" s="155" t="s">
        <v>70</v>
      </c>
      <c r="G56" s="115"/>
      <c r="H56" s="112"/>
      <c r="I56" s="116"/>
      <c r="J56" s="107"/>
      <c r="K56" s="111"/>
    </row>
    <row r="57" spans="1:11" ht="15.75" customHeight="1">
      <c r="A57" s="156">
        <v>10</v>
      </c>
      <c r="B57" s="157">
        <f>H51</f>
        <v>1452.727608695652</v>
      </c>
      <c r="C57" s="157">
        <v>1.25</v>
      </c>
      <c r="D57" s="157">
        <f>yd3_to_cm3</f>
        <v>764700</v>
      </c>
      <c r="E57" s="157">
        <f>pCi_to_Ci</f>
        <v>1E-12</v>
      </c>
      <c r="F57" s="183">
        <f>A57/(B57*C57*D57*E57)</f>
        <v>7201.363058642052</v>
      </c>
      <c r="G57" s="115"/>
      <c r="H57" s="112"/>
      <c r="I57" s="116"/>
      <c r="J57" s="107"/>
      <c r="K57" s="111"/>
    </row>
    <row r="58" spans="1:11" ht="15.75" customHeight="1" thickBot="1">
      <c r="A58" s="158">
        <v>10</v>
      </c>
      <c r="B58" s="159">
        <f>H51</f>
        <v>1452.727608695652</v>
      </c>
      <c r="C58" s="159">
        <v>1.6</v>
      </c>
      <c r="D58" s="159">
        <f>yd3_to_cm3</f>
        <v>764700</v>
      </c>
      <c r="E58" s="159">
        <f>pCi_to_Ci</f>
        <v>1E-12</v>
      </c>
      <c r="F58" s="184">
        <f>A58/(B58*C58*D58*E58)</f>
        <v>5626.0648895641025</v>
      </c>
      <c r="G58" s="108"/>
      <c r="H58" s="112"/>
      <c r="I58" s="113"/>
      <c r="J58" s="107"/>
      <c r="K58" s="111"/>
    </row>
    <row r="59" spans="1:11" ht="15.75" customHeight="1" thickBot="1">
      <c r="A59" s="117"/>
      <c r="B59" s="118"/>
      <c r="C59" s="118"/>
      <c r="D59" s="119"/>
      <c r="E59" s="120"/>
      <c r="F59" s="121" t="s">
        <v>78</v>
      </c>
      <c r="G59" s="108"/>
      <c r="H59" s="112"/>
      <c r="J59" s="107"/>
      <c r="K59" s="111"/>
    </row>
    <row r="60" spans="1:11" ht="15.75" customHeight="1" thickBot="1">
      <c r="A60" s="135"/>
      <c r="B60" s="136"/>
      <c r="C60" s="143"/>
      <c r="D60" s="137" t="s">
        <v>81</v>
      </c>
      <c r="E60" s="144"/>
      <c r="F60" s="145"/>
      <c r="G60" s="140"/>
      <c r="H60" s="146"/>
      <c r="I60" s="142"/>
      <c r="J60" s="107"/>
      <c r="K60" s="111"/>
    </row>
    <row r="61" spans="1:11" ht="15.75" customHeight="1">
      <c r="A61" s="177" t="s">
        <v>82</v>
      </c>
      <c r="B61" s="161"/>
      <c r="C61" s="161"/>
      <c r="D61" s="162"/>
      <c r="E61" s="163"/>
      <c r="F61" s="164"/>
      <c r="G61" s="165"/>
      <c r="H61" s="166" t="s">
        <v>91</v>
      </c>
      <c r="I61" s="178">
        <f>F57</f>
        <v>7201.363058642052</v>
      </c>
      <c r="J61" s="107"/>
      <c r="K61" s="111"/>
    </row>
    <row r="62" spans="1:11" ht="15.75" customHeight="1">
      <c r="A62" s="177" t="s">
        <v>83</v>
      </c>
      <c r="B62" s="161"/>
      <c r="C62" s="161"/>
      <c r="D62" s="162"/>
      <c r="E62" s="163"/>
      <c r="F62" s="164"/>
      <c r="G62" s="165"/>
      <c r="H62" s="166" t="s">
        <v>92</v>
      </c>
      <c r="I62" s="179">
        <f>F58</f>
        <v>5626.0648895641025</v>
      </c>
      <c r="J62" s="107"/>
      <c r="K62" s="111"/>
    </row>
    <row r="63" spans="1:11" ht="15.75" customHeight="1">
      <c r="A63" s="167"/>
      <c r="B63" s="161"/>
      <c r="C63" s="161"/>
      <c r="D63" s="162"/>
      <c r="E63" s="163"/>
      <c r="F63" s="164"/>
      <c r="G63" s="165"/>
      <c r="H63" s="168"/>
      <c r="I63" s="180"/>
      <c r="J63" s="107"/>
      <c r="K63" s="111"/>
    </row>
    <row r="64" spans="1:11" ht="15.75" customHeight="1" thickBot="1">
      <c r="A64" s="167"/>
      <c r="B64" s="161"/>
      <c r="C64" s="161"/>
      <c r="D64" s="168"/>
      <c r="E64" s="163"/>
      <c r="F64" s="164"/>
      <c r="G64" s="165"/>
      <c r="H64" s="169" t="s">
        <v>84</v>
      </c>
      <c r="I64" s="181" t="str">
        <f>IF(NOT(I51=0),IF(AND(I51&lt;=10,I51&gt;0),"PASS","FAIL"),"null")</f>
        <v>PASS</v>
      </c>
      <c r="J64" s="107"/>
      <c r="K64" s="111"/>
    </row>
    <row r="65" spans="1:11" ht="15.75" customHeight="1" thickBot="1">
      <c r="A65" s="135"/>
      <c r="B65" s="136"/>
      <c r="C65" s="136"/>
      <c r="D65" s="137" t="s">
        <v>86</v>
      </c>
      <c r="E65" s="138"/>
      <c r="F65" s="139"/>
      <c r="G65" s="140"/>
      <c r="H65" s="141"/>
      <c r="I65" s="142" t="s">
        <v>24</v>
      </c>
      <c r="J65" s="107"/>
      <c r="K65" s="111"/>
    </row>
    <row r="66" spans="1:11" ht="15.75" customHeight="1">
      <c r="A66" s="177" t="s">
        <v>85</v>
      </c>
      <c r="B66" s="161"/>
      <c r="C66" s="161"/>
      <c r="D66" s="162"/>
      <c r="E66" s="163"/>
      <c r="F66" s="164"/>
      <c r="G66" s="165"/>
      <c r="H66" s="169" t="s">
        <v>90</v>
      </c>
      <c r="I66" s="181">
        <f>1045000/7</f>
        <v>149285.7142857143</v>
      </c>
      <c r="J66" s="107"/>
      <c r="K66" s="111"/>
    </row>
    <row r="67" spans="1:11" ht="15.75" customHeight="1">
      <c r="A67" s="160"/>
      <c r="B67" s="161"/>
      <c r="C67" s="161"/>
      <c r="D67" s="162"/>
      <c r="E67" s="163"/>
      <c r="F67" s="164"/>
      <c r="G67" s="165"/>
      <c r="H67" s="169" t="s">
        <v>89</v>
      </c>
      <c r="I67" s="181">
        <f>1045000/3</f>
        <v>348333.3333333333</v>
      </c>
      <c r="J67" s="107"/>
      <c r="K67" s="111"/>
    </row>
    <row r="68" spans="1:11" ht="15.75" customHeight="1">
      <c r="A68" s="167"/>
      <c r="B68" s="161"/>
      <c r="C68" s="161"/>
      <c r="D68" s="162"/>
      <c r="E68" s="163"/>
      <c r="F68" s="164"/>
      <c r="G68" s="165"/>
      <c r="H68" s="169" t="s">
        <v>93</v>
      </c>
      <c r="I68" s="181">
        <f>1045000/3</f>
        <v>348333.3333333333</v>
      </c>
      <c r="J68" s="107"/>
      <c r="K68" s="111"/>
    </row>
    <row r="69" spans="1:11" ht="15.75" customHeight="1">
      <c r="A69" s="167"/>
      <c r="B69" s="161"/>
      <c r="C69" s="161"/>
      <c r="D69" s="162"/>
      <c r="E69" s="163"/>
      <c r="F69" s="164"/>
      <c r="G69" s="165"/>
      <c r="H69" s="169" t="s">
        <v>88</v>
      </c>
      <c r="I69" s="181">
        <f>1045000/20</f>
        <v>52250</v>
      </c>
      <c r="J69" s="107"/>
      <c r="K69" s="111"/>
    </row>
    <row r="70" spans="1:11" ht="15.75" customHeight="1" thickBot="1">
      <c r="A70" s="170"/>
      <c r="B70" s="171"/>
      <c r="C70" s="171"/>
      <c r="D70" s="172"/>
      <c r="E70" s="173"/>
      <c r="F70" s="174"/>
      <c r="G70" s="175"/>
      <c r="H70" s="176" t="s">
        <v>87</v>
      </c>
      <c r="I70" s="182">
        <f>1045000/24</f>
        <v>43541.666666666664</v>
      </c>
      <c r="J70" s="107"/>
      <c r="K70" s="111"/>
    </row>
    <row r="71" spans="1:3" s="9" customFormat="1" ht="15.75" customHeight="1">
      <c r="A71" s="9" t="s">
        <v>95</v>
      </c>
      <c r="B71" s="8"/>
      <c r="C71" s="8"/>
    </row>
    <row r="72" spans="2:3" s="9" customFormat="1" ht="15.75" customHeight="1">
      <c r="B72" s="109" t="s">
        <v>94</v>
      </c>
      <c r="C72" s="8"/>
    </row>
    <row r="73" spans="1:7" s="9" customFormat="1" ht="15.75" customHeight="1">
      <c r="A73" s="9" t="s">
        <v>52</v>
      </c>
      <c r="B73" s="8"/>
      <c r="C73" s="8"/>
      <c r="G73" s="12"/>
    </row>
    <row r="74" spans="1:3" s="9" customFormat="1" ht="15.75" customHeight="1">
      <c r="A74" s="9" t="s">
        <v>22</v>
      </c>
      <c r="B74" s="8"/>
      <c r="C74" s="8"/>
    </row>
    <row r="75" spans="1:5" s="9" customFormat="1" ht="15.75" customHeight="1">
      <c r="A75" s="9" t="s">
        <v>54</v>
      </c>
      <c r="B75" s="8"/>
      <c r="C75" s="84"/>
      <c r="D75" s="85"/>
      <c r="E75" s="85"/>
    </row>
    <row r="76" spans="1:3" s="9" customFormat="1" ht="15.75" customHeight="1">
      <c r="A76" s="9" t="s">
        <v>59</v>
      </c>
      <c r="B76" s="8"/>
      <c r="C76" s="8"/>
    </row>
    <row r="77" spans="2:3" s="9" customFormat="1" ht="12.75">
      <c r="B77" s="8"/>
      <c r="C77" s="8"/>
    </row>
  </sheetData>
  <printOptions/>
  <pageMargins left="0.5" right="0.5" top="0.5" bottom="0.75" header="0.5" footer="0.5"/>
  <pageSetup horizontalDpi="300" verticalDpi="300" orientation="portrait" scale="80" r:id="rId1"/>
  <headerFooter alignWithMargins="0">
    <oddFooter xml:space="preserve">&amp;L&amp;F&amp;RPrint: &amp;D,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9" sqref="C19"/>
    </sheetView>
  </sheetViews>
  <sheetFormatPr defaultColWidth="9.140625" defaultRowHeight="12.75"/>
  <cols>
    <col min="3" max="3" width="13.57421875" style="0" customWidth="1"/>
    <col min="4" max="4" width="12.7109375" style="0" customWidth="1"/>
    <col min="7" max="7" width="11.57421875" style="0" customWidth="1"/>
  </cols>
  <sheetData>
    <row r="2" ht="12.75">
      <c r="B2" t="s">
        <v>109</v>
      </c>
    </row>
    <row r="3" ht="12.75">
      <c r="B3" s="192">
        <f>Sheet1!B4</f>
        <v>38581</v>
      </c>
    </row>
    <row r="4" spans="3:5" ht="12.75">
      <c r="C4" t="s">
        <v>112</v>
      </c>
      <c r="E4" t="s">
        <v>113</v>
      </c>
    </row>
    <row r="5" spans="3:9" ht="12.75">
      <c r="C5" t="s">
        <v>114</v>
      </c>
      <c r="G5" t="s">
        <v>100</v>
      </c>
      <c r="I5" t="s">
        <v>101</v>
      </c>
    </row>
    <row r="6" spans="2:10" ht="12.75">
      <c r="B6" t="s">
        <v>97</v>
      </c>
      <c r="C6">
        <v>42.9</v>
      </c>
      <c r="G6" t="s">
        <v>24</v>
      </c>
      <c r="I6">
        <f>SUM(C6:H6)</f>
        <v>42.9</v>
      </c>
      <c r="J6" t="s">
        <v>97</v>
      </c>
    </row>
    <row r="8" spans="1:7" ht="12.75">
      <c r="A8" t="s">
        <v>24</v>
      </c>
      <c r="B8" t="s">
        <v>102</v>
      </c>
      <c r="C8">
        <v>0.56</v>
      </c>
      <c r="G8" s="190">
        <f aca="true" t="shared" si="0" ref="G8:G18">(C8*C$6+D8*D$6+E8*E$6)/I$6</f>
        <v>0.56</v>
      </c>
    </row>
    <row r="9" spans="2:7" ht="12.75">
      <c r="B9" t="s">
        <v>99</v>
      </c>
      <c r="C9">
        <v>0.08</v>
      </c>
      <c r="G9" s="190">
        <f t="shared" si="0"/>
        <v>0.08</v>
      </c>
    </row>
    <row r="10" spans="2:7" ht="12.75">
      <c r="B10" t="s">
        <v>103</v>
      </c>
      <c r="C10">
        <v>0.05</v>
      </c>
      <c r="G10" s="190">
        <f t="shared" si="0"/>
        <v>0.05</v>
      </c>
    </row>
    <row r="11" spans="2:7" ht="12.75">
      <c r="B11" t="s">
        <v>104</v>
      </c>
      <c r="C11">
        <v>0.06</v>
      </c>
      <c r="G11" s="190">
        <f t="shared" si="0"/>
        <v>0.06</v>
      </c>
    </row>
    <row r="12" spans="2:7" ht="12.75">
      <c r="B12" t="s">
        <v>98</v>
      </c>
      <c r="C12">
        <v>14.32</v>
      </c>
      <c r="G12" s="190">
        <f t="shared" si="0"/>
        <v>14.32</v>
      </c>
    </row>
    <row r="13" spans="2:7" ht="12.75">
      <c r="B13" t="s">
        <v>105</v>
      </c>
      <c r="C13">
        <v>1.4</v>
      </c>
      <c r="G13" s="190">
        <f t="shared" si="0"/>
        <v>1.4</v>
      </c>
    </row>
    <row r="14" spans="2:7" ht="12.75">
      <c r="B14" t="s">
        <v>106</v>
      </c>
      <c r="C14">
        <v>0.75</v>
      </c>
      <c r="G14" s="190">
        <f t="shared" si="0"/>
        <v>0.75</v>
      </c>
    </row>
    <row r="15" spans="2:7" ht="12.75">
      <c r="B15" t="s">
        <v>107</v>
      </c>
      <c r="C15">
        <v>7.3</v>
      </c>
      <c r="G15" s="190">
        <f t="shared" si="0"/>
        <v>7.299999999999999</v>
      </c>
    </row>
    <row r="16" spans="2:7" ht="12.75">
      <c r="B16" t="s">
        <v>108</v>
      </c>
      <c r="C16">
        <v>0.75</v>
      </c>
      <c r="G16" s="190">
        <f t="shared" si="0"/>
        <v>0.75</v>
      </c>
    </row>
    <row r="17" spans="2:7" ht="12.75">
      <c r="B17" t="s">
        <v>110</v>
      </c>
      <c r="G17" s="190">
        <f t="shared" si="0"/>
        <v>0</v>
      </c>
    </row>
    <row r="18" spans="2:7" ht="12.75">
      <c r="B18" t="s">
        <v>111</v>
      </c>
      <c r="G18" s="190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Babcock &amp; Wilcox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Henderson</dc:creator>
  <cp:keywords/>
  <dc:description/>
  <cp:lastModifiedBy>david.hincks</cp:lastModifiedBy>
  <cp:lastPrinted>2005-06-13T17:32:28Z</cp:lastPrinted>
  <dcterms:created xsi:type="dcterms:W3CDTF">1999-02-24T19:51:08Z</dcterms:created>
  <dcterms:modified xsi:type="dcterms:W3CDTF">2006-08-08T20:15:04Z</dcterms:modified>
  <cp:category/>
  <cp:version/>
  <cp:contentType/>
  <cp:contentStatus/>
</cp:coreProperties>
</file>