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60" windowHeight="4440" activeTab="0"/>
  </bookViews>
  <sheets>
    <sheet name="pro forma" sheetId="1" r:id="rId1"/>
    <sheet name="data" sheetId="2" r:id="rId2"/>
  </sheets>
  <definedNames>
    <definedName name="_xlnm.Print_Area" localSheetId="1">'data'!$A$1:$N$47</definedName>
    <definedName name="_xlnm.Print_Area" localSheetId="0">'pro forma'!$A$2:$I$59</definedName>
    <definedName name="_xlnm.Print_Titles" localSheetId="0">'pro forma'!$A:$A</definedName>
  </definedNames>
  <calcPr fullCalcOnLoad="1"/>
</workbook>
</file>

<file path=xl/sharedStrings.xml><?xml version="1.0" encoding="utf-8"?>
<sst xmlns="http://schemas.openxmlformats.org/spreadsheetml/2006/main" count="257" uniqueCount="167">
  <si>
    <t>Year 2</t>
  </si>
  <si>
    <t>Year 3</t>
  </si>
  <si>
    <t>Year 4</t>
  </si>
  <si>
    <t>Year 5</t>
  </si>
  <si>
    <t>Gross Rent ((sf *</t>
  </si>
  <si>
    <t>rent psf)</t>
  </si>
  <si>
    <t>-</t>
  </si>
  <si>
    <t>Vacancy (%</t>
  </si>
  <si>
    <t>vacancy * GR)</t>
  </si>
  <si>
    <t>=</t>
  </si>
  <si>
    <t>Effective Gross</t>
  </si>
  <si>
    <t>Rent (EGR)</t>
  </si>
  <si>
    <t>Operating Expenses</t>
  </si>
  <si>
    <t>4a</t>
  </si>
  <si>
    <t xml:space="preserve"> Utilities</t>
  </si>
  <si>
    <t>4b</t>
  </si>
  <si>
    <t xml:space="preserve"> Maintenance</t>
  </si>
  <si>
    <t>4c</t>
  </si>
  <si>
    <t xml:space="preserve"> Security</t>
  </si>
  <si>
    <t>4d</t>
  </si>
  <si>
    <t xml:space="preserve"> Legal,  Acct, etc.</t>
  </si>
  <si>
    <t>4e</t>
  </si>
  <si>
    <t xml:space="preserve"> Insurance</t>
  </si>
  <si>
    <t>4f</t>
  </si>
  <si>
    <t xml:space="preserve"> Real Estate Taxes</t>
  </si>
  <si>
    <t>4g</t>
  </si>
  <si>
    <t xml:space="preserve"> Management Fees</t>
  </si>
  <si>
    <t>4h</t>
  </si>
  <si>
    <t xml:space="preserve"> Othr Oper Exp</t>
  </si>
  <si>
    <t>Net Oper Inc (NOI)</t>
  </si>
  <si>
    <t>CASH-ON-CASH</t>
  </si>
  <si>
    <t>CF/EQ</t>
  </si>
  <si>
    <t>DEBT COVERAGE RATIO</t>
  </si>
  <si>
    <t>NOI/(D/S)</t>
  </si>
  <si>
    <t>Measures Income cushion</t>
  </si>
  <si>
    <t>BREAK-EVEN POINT</t>
  </si>
  <si>
    <t>1.25 to 1.35</t>
  </si>
  <si>
    <t>(EXP+D/S)/GROSS RENT</t>
  </si>
  <si>
    <t>Prefer 65 to 85% of property needed to be rented</t>
  </si>
  <si>
    <t>up to cover loan (not equity)</t>
  </si>
  <si>
    <t>LOAN TO VALUE RATIO</t>
  </si>
  <si>
    <t>Typically 75%</t>
  </si>
  <si>
    <t>RETURN ON EQUITY</t>
  </si>
  <si>
    <t>cash on cash  =  cf/eq</t>
  </si>
  <si>
    <t>Eq = cf/coc</t>
  </si>
  <si>
    <t>TENANT CONTRIBUTIONS</t>
  </si>
  <si>
    <t>GROSS RENTS</t>
  </si>
  <si>
    <t>+</t>
  </si>
  <si>
    <t>TRIPLE NET LEASE LEASE</t>
  </si>
  <si>
    <t>TOTAL GROSS RENTS</t>
  </si>
  <si>
    <t>*</t>
  </si>
  <si>
    <t>VACANY RATE</t>
  </si>
  <si>
    <t>VACANACY FACTOR</t>
  </si>
  <si>
    <t>VACANCY FACTOR</t>
  </si>
  <si>
    <t>EFFECTIVE GROSS RENTS</t>
  </si>
  <si>
    <t>TENANT CONTRIBUTION EXPENSES</t>
  </si>
  <si>
    <t>OTHER EXPENSES</t>
  </si>
  <si>
    <t>NET PERATING INCOME (NOI)</t>
  </si>
  <si>
    <t>Value (NOI/0.095)</t>
  </si>
  <si>
    <r>
      <t>Market Rent</t>
    </r>
    <r>
      <rPr>
        <sz val="12"/>
        <rFont val="Arial"/>
        <family val="2"/>
      </rPr>
      <t>*</t>
    </r>
  </si>
  <si>
    <t>Net Operation Income (NOI)</t>
  </si>
  <si>
    <t>(KC Str Steel)</t>
  </si>
  <si>
    <t>BROWNFIELD</t>
  </si>
  <si>
    <t>GREENFIELD</t>
  </si>
  <si>
    <t xml:space="preserve"> COMMERCIAL  DEVELOPMENT</t>
  </si>
  <si>
    <t>GENERAL INFORMATION</t>
  </si>
  <si>
    <t>Lot Size (acres)</t>
  </si>
  <si>
    <t>Lot Total Square Feet</t>
  </si>
  <si>
    <t>Floor Area Ratio (FAR) or Density</t>
  </si>
  <si>
    <t>Building Area (total square feet)</t>
  </si>
  <si>
    <t>@</t>
  </si>
  <si>
    <t>Number of owners prior to acquisition</t>
  </si>
  <si>
    <t>DEVELOPMENT COSTS</t>
  </si>
  <si>
    <r>
      <t>Land Acquisition</t>
    </r>
    <r>
      <rPr>
        <sz val="10"/>
        <rFont val="Arial"/>
        <family val="0"/>
      </rPr>
      <t xml:space="preserve"> </t>
    </r>
    <r>
      <rPr>
        <sz val="12"/>
        <rFont val="Arial"/>
        <family val="2"/>
      </rPr>
      <t>*</t>
    </r>
  </si>
  <si>
    <t>p.s.f.</t>
  </si>
  <si>
    <t>Site Preparation</t>
  </si>
  <si>
    <t>Remediation</t>
  </si>
  <si>
    <t>Other Site Preparation</t>
  </si>
  <si>
    <t>Hard Costs (Construction)</t>
  </si>
  <si>
    <t>Building</t>
  </si>
  <si>
    <t>Soft Costs</t>
  </si>
  <si>
    <t>Legal</t>
  </si>
  <si>
    <t>Environmental Consultants</t>
  </si>
  <si>
    <t>Other Soft Costs (architect, planner, etc.)</t>
  </si>
  <si>
    <t>Construction Loan/Carrying Costs</t>
  </si>
  <si>
    <t>Subtotal</t>
  </si>
  <si>
    <t>Total Development Cost</t>
  </si>
  <si>
    <t>Total Development Cost (per building s.f.)</t>
  </si>
  <si>
    <t>OPERATING COSTS (annual)</t>
  </si>
  <si>
    <t>NNN</t>
  </si>
  <si>
    <t>Vacancy</t>
  </si>
  <si>
    <r>
      <t>Security  (pass through CAM)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2"/>
        <rFont val="Arial"/>
        <family val="2"/>
      </rPr>
      <t>+</t>
    </r>
  </si>
  <si>
    <t>Environmental Monitoring</t>
  </si>
  <si>
    <t>Net Profit</t>
  </si>
  <si>
    <t>FINANCING COSTS</t>
  </si>
  <si>
    <r>
      <t xml:space="preserve">Loan to Value Ratio (loan amount) </t>
    </r>
    <r>
      <rPr>
        <sz val="12"/>
        <rFont val="Arial"/>
        <family val="2"/>
      </rPr>
      <t>*</t>
    </r>
    <r>
      <rPr>
        <sz val="10"/>
        <rFont val="Arial"/>
        <family val="0"/>
      </rPr>
      <t xml:space="preserve"> </t>
    </r>
  </si>
  <si>
    <t>Loan Amount (annual debt service)</t>
  </si>
  <si>
    <t>years @</t>
  </si>
  <si>
    <t>Debt Service Coverage Ratio</t>
  </si>
  <si>
    <t>Before-Tax Cash Flow</t>
  </si>
  <si>
    <t>Equity Requirement</t>
  </si>
  <si>
    <t>Return on Equity</t>
  </si>
  <si>
    <t>Notes:</t>
  </si>
  <si>
    <t xml:space="preserve"> + CAM= common area maintenance charge - costs included in CAM will be passed through to tenants</t>
  </si>
  <si>
    <t>p.s.f. = per square foot</t>
  </si>
  <si>
    <t>NNN = triple net, i.e., tenant pays taxes, insurance and utilities</t>
  </si>
  <si>
    <t>Brownfield vs Greenfield</t>
  </si>
  <si>
    <t>Brownfield</t>
  </si>
  <si>
    <t>Greenfield</t>
  </si>
  <si>
    <t>Gov't Asst</t>
  </si>
  <si>
    <t>Alt</t>
  </si>
  <si>
    <t>Site</t>
  </si>
  <si>
    <t>acres</t>
  </si>
  <si>
    <t>Purchase</t>
  </si>
  <si>
    <t>per acre</t>
  </si>
  <si>
    <t>total</t>
  </si>
  <si>
    <t>Consulting</t>
  </si>
  <si>
    <t>TA</t>
  </si>
  <si>
    <t>Tier</t>
  </si>
  <si>
    <t>Construction</t>
  </si>
  <si>
    <t>per ft-shell</t>
  </si>
  <si>
    <t>per ft-office</t>
  </si>
  <si>
    <t>Density</t>
  </si>
  <si>
    <t>Total Sq Ft</t>
  </si>
  <si>
    <t>Const Cost</t>
  </si>
  <si>
    <t>Build out</t>
  </si>
  <si>
    <t>office %</t>
  </si>
  <si>
    <t>Land Cost</t>
  </si>
  <si>
    <t>Total Hard Costs</t>
  </si>
  <si>
    <t>Total Project</t>
  </si>
  <si>
    <t>INCOME ANALYSIS</t>
  </si>
  <si>
    <t>Rental</t>
  </si>
  <si>
    <t>Office</t>
  </si>
  <si>
    <t>per sq ft</t>
  </si>
  <si>
    <t>?</t>
  </si>
  <si>
    <t>mkt</t>
  </si>
  <si>
    <t>Warehouse</t>
  </si>
  <si>
    <t>Income</t>
  </si>
  <si>
    <t>Total Income</t>
  </si>
  <si>
    <t xml:space="preserve"> - vacancy</t>
  </si>
  <si>
    <t>rent space</t>
  </si>
  <si>
    <t>Net Income</t>
  </si>
  <si>
    <t>INVESTMENT ANALYSIS</t>
  </si>
  <si>
    <t>Equity %</t>
  </si>
  <si>
    <t xml:space="preserve">Equity  </t>
  </si>
  <si>
    <t>Mortgage</t>
  </si>
  <si>
    <t>term</t>
  </si>
  <si>
    <t>rate</t>
  </si>
  <si>
    <t>Debt Service</t>
  </si>
  <si>
    <t>Cash Flow</t>
  </si>
  <si>
    <t>R.O.I.</t>
  </si>
  <si>
    <t>2nd mort - gov't</t>
  </si>
  <si>
    <t>2nd mort-remed</t>
  </si>
  <si>
    <t>2nd mo</t>
  </si>
  <si>
    <t>REAL ESTATE</t>
  </si>
  <si>
    <t>PROFORMA INCOME AND EXPENSE STATEMENT</t>
  </si>
  <si>
    <t xml:space="preserve"> </t>
  </si>
  <si>
    <t>Proj Cost</t>
  </si>
  <si>
    <t>Sq Ft</t>
  </si>
  <si>
    <t>Rent</t>
  </si>
  <si>
    <t>Exp</t>
  </si>
  <si>
    <t>Loan</t>
  </si>
  <si>
    <t>principal</t>
  </si>
  <si>
    <t>interest</t>
  </si>
  <si>
    <t>Year 1</t>
  </si>
  <si>
    <t>Gov't Assisted</t>
  </si>
  <si>
    <t>Gov't Assistance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</si>
</sst>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0.00_)"/>
    <numFmt numFmtId="167" formatCode="0.0%"/>
    <numFmt numFmtId="168" formatCode="0.0_)"/>
    <numFmt numFmtId="169" formatCode="mmm\-yy_)"/>
    <numFmt numFmtId="170" formatCode=";;;"/>
    <numFmt numFmtId="171" formatCode="&quot;$&quot;#,##0"/>
    <numFmt numFmtId="172" formatCode="&quot;$&quot;#,##0.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000"/>
    <numFmt numFmtId="176" formatCode="_(* #,##0.0_);_(* \(#,##0.0\);_(* &quot;-&quot;??_);_(@_)"/>
    <numFmt numFmtId="177" formatCode="_(* #,##0_);_(* \(#,##0\);_(* &quot;-&quot;??_);_(@_)"/>
    <numFmt numFmtId="178" formatCode="0.000"/>
    <numFmt numFmtId="179" formatCode="0.0"/>
    <numFmt numFmtId="180" formatCode="#,##0.0_);\(#,##0.0\)"/>
    <numFmt numFmtId="181" formatCode="_(&quot;$&quot;* #,##0.000_);_(&quot;$&quot;* \(#,##0.000\);_(&quot;$&quot;* &quot;-&quot;??_);_(@_)"/>
    <numFmt numFmtId="182" formatCode="_(* #,##0.000_);_(* \(#,##0.000\);_(* &quot;-&quot;???_);_(@_)"/>
    <numFmt numFmtId="183" formatCode="_(* #,##0.0_);_(* \(#,##0.0\);_(* &quot;-&quot;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171" fontId="5" fillId="0" borderId="9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1" fontId="5" fillId="2" borderId="0" xfId="0" applyNumberFormat="1" applyFont="1" applyFill="1" applyBorder="1" applyAlignment="1">
      <alignment/>
    </xf>
    <xf numFmtId="0" fontId="6" fillId="2" borderId="4" xfId="0" applyFont="1" applyFill="1" applyBorder="1" applyAlignment="1" quotePrefix="1">
      <alignment horizontal="center"/>
    </xf>
    <xf numFmtId="0" fontId="6" fillId="2" borderId="0" xfId="0" applyFont="1" applyFill="1" applyAlignment="1" quotePrefix="1">
      <alignment horizontal="center"/>
    </xf>
    <xf numFmtId="171" fontId="5" fillId="2" borderId="9" xfId="0" applyNumberFormat="1" applyFont="1" applyFill="1" applyBorder="1" applyAlignment="1">
      <alignment/>
    </xf>
    <xf numFmtId="171" fontId="5" fillId="2" borderId="4" xfId="0" applyNumberFormat="1" applyFont="1" applyFill="1" applyBorder="1" applyAlignment="1">
      <alignment/>
    </xf>
    <xf numFmtId="171" fontId="5" fillId="2" borderId="0" xfId="0" applyNumberFormat="1" applyFont="1" applyFill="1" applyAlignment="1">
      <alignment/>
    </xf>
    <xf numFmtId="167" fontId="5" fillId="2" borderId="9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3" xfId="0" applyFont="1" applyFill="1" applyBorder="1" applyAlignment="1" quotePrefix="1">
      <alignment horizontal="center"/>
    </xf>
    <xf numFmtId="0" fontId="6" fillId="2" borderId="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/>
    </xf>
    <xf numFmtId="171" fontId="5" fillId="2" borderId="3" xfId="0" applyNumberFormat="1" applyFont="1" applyFill="1" applyBorder="1" applyAlignment="1">
      <alignment/>
    </xf>
    <xf numFmtId="171" fontId="5" fillId="0" borderId="3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171" fontId="5" fillId="0" borderId="3" xfId="0" applyNumberFormat="1" applyFont="1" applyBorder="1" applyAlignment="1">
      <alignment/>
    </xf>
    <xf numFmtId="44" fontId="5" fillId="0" borderId="0" xfId="17" applyFont="1" applyBorder="1" applyAlignment="1">
      <alignment horizontal="center"/>
    </xf>
    <xf numFmtId="174" fontId="5" fillId="0" borderId="0" xfId="17" applyNumberFormat="1" applyFont="1" applyBorder="1" applyAlignment="1">
      <alignment horizontal="center"/>
    </xf>
    <xf numFmtId="167" fontId="5" fillId="2" borderId="3" xfId="0" applyNumberFormat="1" applyFont="1" applyFill="1" applyBorder="1" applyAlignment="1">
      <alignment/>
    </xf>
    <xf numFmtId="167" fontId="5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5" fillId="2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/>
    </xf>
    <xf numFmtId="44" fontId="5" fillId="2" borderId="0" xfId="17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center"/>
    </xf>
    <xf numFmtId="0" fontId="5" fillId="2" borderId="4" xfId="0" applyFont="1" applyFill="1" applyBorder="1" applyAlignment="1" quotePrefix="1">
      <alignment horizontal="center"/>
    </xf>
    <xf numFmtId="0" fontId="5" fillId="2" borderId="0" xfId="0" applyFont="1" applyFill="1" applyAlignment="1" quotePrefix="1">
      <alignment horizontal="center"/>
    </xf>
    <xf numFmtId="0" fontId="5" fillId="2" borderId="3" xfId="0" applyFont="1" applyFill="1" applyBorder="1" applyAlignment="1" quotePrefix="1">
      <alignment horizontal="center"/>
    </xf>
    <xf numFmtId="171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167" fontId="8" fillId="0" borderId="3" xfId="0" applyNumberFormat="1" applyFont="1" applyBorder="1" applyAlignment="1">
      <alignment/>
    </xf>
    <xf numFmtId="167" fontId="8" fillId="0" borderId="9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172" fontId="8" fillId="0" borderId="9" xfId="0" applyNumberFormat="1" applyFont="1" applyBorder="1" applyAlignment="1">
      <alignment/>
    </xf>
    <xf numFmtId="9" fontId="5" fillId="0" borderId="0" xfId="19" applyFont="1" applyBorder="1" applyAlignment="1">
      <alignment horizontal="center"/>
    </xf>
    <xf numFmtId="0" fontId="5" fillId="2" borderId="0" xfId="0" applyFont="1" applyFill="1" applyAlignment="1">
      <alignment/>
    </xf>
    <xf numFmtId="167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0" fillId="0" borderId="0" xfId="0" applyAlignment="1">
      <alignment wrapText="1"/>
    </xf>
    <xf numFmtId="174" fontId="14" fillId="0" borderId="0" xfId="17" applyNumberFormat="1" applyFont="1" applyAlignment="1">
      <alignment/>
    </xf>
    <xf numFmtId="174" fontId="13" fillId="0" borderId="0" xfId="17" applyNumberFormat="1" applyFont="1" applyAlignment="1">
      <alignment/>
    </xf>
    <xf numFmtId="174" fontId="10" fillId="0" borderId="0" xfId="17" applyNumberFormat="1" applyFont="1" applyAlignment="1">
      <alignment/>
    </xf>
    <xf numFmtId="0" fontId="11" fillId="0" borderId="12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14" xfId="0" applyFont="1" applyFill="1" applyBorder="1" applyAlignment="1">
      <alignment horizontal="centerContinuous"/>
    </xf>
    <xf numFmtId="174" fontId="1" fillId="0" borderId="12" xfId="17" applyNumberFormat="1" applyFont="1" applyFill="1" applyBorder="1" applyAlignment="1">
      <alignment horizontal="centerContinuous" wrapText="1"/>
    </xf>
    <xf numFmtId="174" fontId="1" fillId="0" borderId="13" xfId="17" applyNumberFormat="1" applyFont="1" applyFill="1" applyBorder="1" applyAlignment="1">
      <alignment horizontal="centerContinuous" wrapText="1"/>
    </xf>
    <xf numFmtId="174" fontId="1" fillId="0" borderId="14" xfId="17" applyNumberFormat="1" applyFont="1" applyFill="1" applyBorder="1" applyAlignment="1">
      <alignment horizontal="centerContinuous" wrapText="1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4" xfId="17" applyNumberFormat="1" applyFont="1" applyFill="1" applyBorder="1" applyAlignment="1">
      <alignment/>
    </xf>
    <xf numFmtId="179" fontId="10" fillId="0" borderId="4" xfId="15" applyNumberFormat="1" applyFont="1" applyFill="1" applyBorder="1" applyAlignment="1">
      <alignment/>
    </xf>
    <xf numFmtId="177" fontId="0" fillId="0" borderId="4" xfId="15" applyNumberFormat="1" applyFont="1" applyFill="1" applyBorder="1" applyAlignment="1">
      <alignment/>
    </xf>
    <xf numFmtId="39" fontId="13" fillId="0" borderId="4" xfId="17" applyNumberFormat="1" applyFont="1" applyFill="1" applyBorder="1" applyAlignment="1">
      <alignment/>
    </xf>
    <xf numFmtId="39" fontId="10" fillId="0" borderId="4" xfId="17" applyNumberFormat="1" applyFont="1" applyFill="1" applyBorder="1" applyAlignment="1">
      <alignment/>
    </xf>
    <xf numFmtId="44" fontId="10" fillId="0" borderId="0" xfId="17" applyFont="1" applyFill="1" applyBorder="1" applyAlignment="1">
      <alignment/>
    </xf>
    <xf numFmtId="44" fontId="0" fillId="0" borderId="0" xfId="17" applyFont="1" applyFill="1" applyBorder="1" applyAlignment="1">
      <alignment/>
    </xf>
    <xf numFmtId="174" fontId="14" fillId="0" borderId="0" xfId="17" applyNumberFormat="1" applyFont="1" applyFill="1" applyBorder="1" applyAlignment="1">
      <alignment/>
    </xf>
    <xf numFmtId="9" fontId="13" fillId="0" borderId="0" xfId="19" applyFont="1" applyFill="1" applyBorder="1" applyAlignment="1">
      <alignment/>
    </xf>
    <xf numFmtId="174" fontId="0" fillId="0" borderId="15" xfId="17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4" fontId="14" fillId="0" borderId="0" xfId="17" applyFont="1" applyFill="1" applyBorder="1" applyAlignment="1">
      <alignment/>
    </xf>
    <xf numFmtId="9" fontId="0" fillId="0" borderId="0" xfId="19" applyFont="1" applyFill="1" applyBorder="1" applyAlignment="1">
      <alignment/>
    </xf>
    <xf numFmtId="44" fontId="13" fillId="0" borderId="0" xfId="17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3" fillId="0" borderId="3" xfId="0" applyFont="1" applyFill="1" applyBorder="1" applyAlignment="1">
      <alignment/>
    </xf>
    <xf numFmtId="43" fontId="0" fillId="0" borderId="4" xfId="15" applyFont="1" applyFill="1" applyBorder="1" applyAlignment="1">
      <alignment/>
    </xf>
    <xf numFmtId="167" fontId="0" fillId="0" borderId="4" xfId="19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4" fontId="0" fillId="0" borderId="7" xfId="17" applyNumberFormat="1" applyFont="1" applyFill="1" applyBorder="1" applyAlignment="1">
      <alignment/>
    </xf>
    <xf numFmtId="174" fontId="0" fillId="0" borderId="4" xfId="17" applyNumberFormat="1" applyFont="1" applyFill="1" applyBorder="1" applyAlignment="1" quotePrefix="1">
      <alignment/>
    </xf>
    <xf numFmtId="167" fontId="0" fillId="0" borderId="0" xfId="19" applyNumberFormat="1" applyFont="1" applyFill="1" applyBorder="1" applyAlignment="1">
      <alignment/>
    </xf>
    <xf numFmtId="167" fontId="13" fillId="0" borderId="0" xfId="19" applyNumberFormat="1" applyFont="1" applyFill="1" applyBorder="1" applyAlignment="1">
      <alignment/>
    </xf>
    <xf numFmtId="171" fontId="0" fillId="0" borderId="4" xfId="17" applyNumberFormat="1" applyFont="1" applyFill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0" sqref="A30"/>
    </sheetView>
  </sheetViews>
  <sheetFormatPr defaultColWidth="9.140625" defaultRowHeight="12.75"/>
  <cols>
    <col min="1" max="1" width="35.140625" style="0" customWidth="1"/>
    <col min="2" max="2" width="3.140625" style="0" customWidth="1"/>
    <col min="3" max="3" width="8.00390625" style="0" customWidth="1"/>
    <col min="4" max="4" width="7.00390625" style="0" customWidth="1"/>
    <col min="5" max="5" width="15.421875" style="0" customWidth="1"/>
    <col min="6" max="6" width="3.140625" style="0" customWidth="1"/>
    <col min="7" max="7" width="8.8515625" style="0" customWidth="1"/>
    <col min="8" max="8" width="7.00390625" style="0" customWidth="1"/>
    <col min="9" max="9" width="14.421875" style="0" customWidth="1"/>
    <col min="10" max="10" width="4.28125" style="0" customWidth="1"/>
    <col min="11" max="12" width="8.8515625" style="0" customWidth="1"/>
    <col min="13" max="13" width="14.57421875" style="0" customWidth="1"/>
    <col min="14" max="16384" width="8.8515625" style="0" customWidth="1"/>
  </cols>
  <sheetData>
    <row r="1" ht="13.5" thickBot="1">
      <c r="K1" t="s">
        <v>165</v>
      </c>
    </row>
    <row r="2" spans="2:13" ht="16.5" thickBot="1">
      <c r="B2" s="107" t="s">
        <v>62</v>
      </c>
      <c r="C2" s="108"/>
      <c r="D2" s="108"/>
      <c r="E2" s="109" t="s">
        <v>61</v>
      </c>
      <c r="F2" s="107" t="s">
        <v>63</v>
      </c>
      <c r="G2" s="108"/>
      <c r="H2" s="108"/>
      <c r="I2" s="109"/>
      <c r="J2" s="107" t="s">
        <v>62</v>
      </c>
      <c r="K2" s="108"/>
      <c r="L2" s="108"/>
      <c r="M2" s="109" t="s">
        <v>61</v>
      </c>
    </row>
    <row r="3" spans="2:13" ht="26.25" customHeight="1" thickBot="1">
      <c r="B3" s="110" t="s">
        <v>64</v>
      </c>
      <c r="C3" s="111"/>
      <c r="D3" s="111"/>
      <c r="E3" s="112"/>
      <c r="F3" s="110" t="s">
        <v>64</v>
      </c>
      <c r="G3" s="111"/>
      <c r="H3" s="111"/>
      <c r="I3" s="112"/>
      <c r="J3" s="110" t="s">
        <v>64</v>
      </c>
      <c r="K3" s="111"/>
      <c r="L3" s="111"/>
      <c r="M3" s="112"/>
    </row>
    <row r="4" spans="1:13" ht="12.75">
      <c r="A4" s="99" t="s">
        <v>65</v>
      </c>
      <c r="B4" s="113"/>
      <c r="C4" s="114"/>
      <c r="D4" s="114"/>
      <c r="E4" s="115"/>
      <c r="F4" s="113"/>
      <c r="G4" s="114"/>
      <c r="H4" s="114"/>
      <c r="I4" s="115"/>
      <c r="J4" s="113"/>
      <c r="K4" s="114"/>
      <c r="L4" s="114"/>
      <c r="M4" s="115"/>
    </row>
    <row r="5" spans="1:13" ht="12.75">
      <c r="A5" s="46" t="s">
        <v>66</v>
      </c>
      <c r="B5" s="113"/>
      <c r="C5" s="114"/>
      <c r="D5" s="114"/>
      <c r="E5" s="116">
        <v>22</v>
      </c>
      <c r="F5" s="113"/>
      <c r="G5" s="114"/>
      <c r="H5" s="114"/>
      <c r="I5" s="116">
        <v>22</v>
      </c>
      <c r="J5" s="113"/>
      <c r="K5" s="114"/>
      <c r="L5" s="114"/>
      <c r="M5" s="116">
        <v>22</v>
      </c>
    </row>
    <row r="6" spans="1:13" ht="12.75">
      <c r="A6" s="46" t="s">
        <v>67</v>
      </c>
      <c r="B6" s="113"/>
      <c r="C6" s="114"/>
      <c r="D6" s="114"/>
      <c r="E6" s="117">
        <f>+(E5*43560)</f>
        <v>958320</v>
      </c>
      <c r="F6" s="113"/>
      <c r="G6" s="114"/>
      <c r="H6" s="114"/>
      <c r="I6" s="117">
        <f>+(I5*43560)</f>
        <v>958320</v>
      </c>
      <c r="J6" s="113"/>
      <c r="K6" s="114"/>
      <c r="L6" s="114"/>
      <c r="M6" s="117">
        <f>+(M5*43560)</f>
        <v>958320</v>
      </c>
    </row>
    <row r="7" spans="1:13" ht="12.75">
      <c r="A7" s="46" t="s">
        <v>68</v>
      </c>
      <c r="B7" s="114"/>
      <c r="C7" s="114"/>
      <c r="D7" s="114"/>
      <c r="E7" s="118">
        <v>3</v>
      </c>
      <c r="F7" s="114"/>
      <c r="G7" s="114"/>
      <c r="H7" s="114"/>
      <c r="I7" s="118">
        <v>1</v>
      </c>
      <c r="J7" s="114"/>
      <c r="K7" s="114"/>
      <c r="L7" s="114"/>
      <c r="M7" s="118">
        <v>3</v>
      </c>
    </row>
    <row r="8" spans="1:13" ht="12.75">
      <c r="A8" s="46"/>
      <c r="B8" s="114"/>
      <c r="C8" s="114"/>
      <c r="D8" s="114"/>
      <c r="E8" s="119"/>
      <c r="F8" s="114"/>
      <c r="G8" s="114"/>
      <c r="H8" s="114"/>
      <c r="I8" s="119"/>
      <c r="J8" s="114"/>
      <c r="K8" s="114"/>
      <c r="L8" s="114"/>
      <c r="M8" s="119"/>
    </row>
    <row r="9" spans="1:13" ht="12.75">
      <c r="A9" s="46" t="s">
        <v>69</v>
      </c>
      <c r="B9" s="113"/>
      <c r="C9" s="114"/>
      <c r="D9" s="114"/>
      <c r="E9" s="117">
        <f>+(E7*E6)</f>
        <v>2874960</v>
      </c>
      <c r="F9" s="113"/>
      <c r="G9" s="114"/>
      <c r="H9" s="114"/>
      <c r="I9" s="117">
        <f>+(I7*I6)</f>
        <v>958320</v>
      </c>
      <c r="J9" s="113"/>
      <c r="K9" s="114"/>
      <c r="L9" s="114"/>
      <c r="M9" s="117">
        <f>+(M7*M6)</f>
        <v>2874960</v>
      </c>
    </row>
    <row r="10" spans="1:13" ht="12.75">
      <c r="A10" s="46" t="s">
        <v>71</v>
      </c>
      <c r="B10" s="113"/>
      <c r="C10" s="114"/>
      <c r="D10" s="114"/>
      <c r="E10" s="117">
        <v>1</v>
      </c>
      <c r="F10" s="113"/>
      <c r="G10" s="114"/>
      <c r="H10" s="114"/>
      <c r="I10" s="117">
        <v>1</v>
      </c>
      <c r="J10" s="113"/>
      <c r="K10" s="114"/>
      <c r="L10" s="114"/>
      <c r="M10" s="117">
        <v>1</v>
      </c>
    </row>
    <row r="11" spans="1:13" ht="12.75">
      <c r="A11" s="46"/>
      <c r="B11" s="113"/>
      <c r="C11" s="114"/>
      <c r="D11" s="114"/>
      <c r="E11" s="117"/>
      <c r="F11" s="113"/>
      <c r="G11" s="114"/>
      <c r="H11" s="114"/>
      <c r="I11" s="117"/>
      <c r="J11" s="113"/>
      <c r="K11" s="114"/>
      <c r="L11" s="114"/>
      <c r="M11" s="117"/>
    </row>
    <row r="12" spans="1:13" ht="12.75">
      <c r="A12" s="46"/>
      <c r="B12" s="113"/>
      <c r="C12" s="114"/>
      <c r="D12" s="114"/>
      <c r="E12" s="115"/>
      <c r="F12" s="113"/>
      <c r="G12" s="114"/>
      <c r="H12" s="114"/>
      <c r="I12" s="115"/>
      <c r="J12" s="113"/>
      <c r="K12" s="114"/>
      <c r="L12" s="114"/>
      <c r="M12" s="115"/>
    </row>
    <row r="13" spans="1:13" ht="12.75">
      <c r="A13" s="100" t="s">
        <v>72</v>
      </c>
      <c r="B13" s="113"/>
      <c r="C13" s="114"/>
      <c r="D13" s="114"/>
      <c r="E13" s="115"/>
      <c r="F13" s="113"/>
      <c r="G13" s="114"/>
      <c r="H13" s="114"/>
      <c r="I13" s="115"/>
      <c r="J13" s="113"/>
      <c r="K13" s="114"/>
      <c r="L13" s="114"/>
      <c r="M13" s="115"/>
    </row>
    <row r="14" spans="1:13" ht="12.75">
      <c r="A14" s="46"/>
      <c r="B14" s="113"/>
      <c r="C14" s="114"/>
      <c r="D14" s="114"/>
      <c r="E14" s="115"/>
      <c r="F14" s="113"/>
      <c r="G14" s="114"/>
      <c r="H14" s="114"/>
      <c r="I14" s="115"/>
      <c r="J14" s="113"/>
      <c r="K14" s="114"/>
      <c r="L14" s="114"/>
      <c r="M14" s="115"/>
    </row>
    <row r="15" spans="1:13" ht="15">
      <c r="A15" s="101" t="s">
        <v>73</v>
      </c>
      <c r="B15" s="113"/>
      <c r="C15" s="120">
        <v>2.5</v>
      </c>
      <c r="D15" s="114" t="s">
        <v>74</v>
      </c>
      <c r="E15" s="115">
        <f>+(E6*C15)</f>
        <v>2395800</v>
      </c>
      <c r="F15" s="113" t="s">
        <v>70</v>
      </c>
      <c r="G15" s="120">
        <v>4</v>
      </c>
      <c r="H15" s="114" t="s">
        <v>74</v>
      </c>
      <c r="I15" s="115">
        <f>+(I6*G15)</f>
        <v>3833280</v>
      </c>
      <c r="J15" s="113"/>
      <c r="K15" s="120">
        <v>2.5</v>
      </c>
      <c r="L15" s="114" t="s">
        <v>74</v>
      </c>
      <c r="M15" s="115">
        <f>+(M6*K15)</f>
        <v>2395800</v>
      </c>
    </row>
    <row r="16" spans="1:13" ht="12.75">
      <c r="A16" s="46"/>
      <c r="B16" s="113"/>
      <c r="C16" s="114"/>
      <c r="D16" s="114"/>
      <c r="E16" s="115"/>
      <c r="F16" s="113"/>
      <c r="G16" s="114"/>
      <c r="H16" s="114"/>
      <c r="I16" s="115"/>
      <c r="J16" s="113"/>
      <c r="K16" s="114"/>
      <c r="L16" s="114"/>
      <c r="M16" s="115"/>
    </row>
    <row r="17" spans="1:13" ht="12.75">
      <c r="A17" s="101" t="s">
        <v>75</v>
      </c>
      <c r="B17" s="113"/>
      <c r="C17" s="114"/>
      <c r="D17" s="114"/>
      <c r="E17" s="115"/>
      <c r="F17" s="113"/>
      <c r="G17" s="114"/>
      <c r="H17" s="114"/>
      <c r="I17" s="115"/>
      <c r="J17" s="113"/>
      <c r="K17" s="114"/>
      <c r="L17" s="114"/>
      <c r="M17" s="115"/>
    </row>
    <row r="18" spans="1:13" ht="12.75">
      <c r="A18" s="46" t="s">
        <v>76</v>
      </c>
      <c r="B18" s="113" t="s">
        <v>70</v>
      </c>
      <c r="C18" s="120">
        <v>0.5</v>
      </c>
      <c r="D18" s="114" t="s">
        <v>74</v>
      </c>
      <c r="E18" s="115">
        <f>+(E6*C18)</f>
        <v>479160</v>
      </c>
      <c r="F18" s="113" t="s">
        <v>70</v>
      </c>
      <c r="G18" s="120">
        <v>0</v>
      </c>
      <c r="H18" s="114" t="s">
        <v>74</v>
      </c>
      <c r="I18" s="115">
        <f>+(I6*G18)</f>
        <v>0</v>
      </c>
      <c r="J18" s="113" t="s">
        <v>70</v>
      </c>
      <c r="K18" s="120">
        <v>0.5</v>
      </c>
      <c r="L18" s="114" t="s">
        <v>74</v>
      </c>
      <c r="M18" s="115">
        <f>+(M6*K18)</f>
        <v>479160</v>
      </c>
    </row>
    <row r="19" spans="1:13" ht="12.75">
      <c r="A19" s="46" t="s">
        <v>77</v>
      </c>
      <c r="B19" s="113" t="s">
        <v>70</v>
      </c>
      <c r="C19" s="121">
        <v>1.5</v>
      </c>
      <c r="D19" s="114" t="s">
        <v>74</v>
      </c>
      <c r="E19" s="115">
        <f>+(E6*C19)</f>
        <v>1437480</v>
      </c>
      <c r="F19" s="113" t="s">
        <v>70</v>
      </c>
      <c r="G19" s="121">
        <v>2</v>
      </c>
      <c r="H19" s="114" t="s">
        <v>74</v>
      </c>
      <c r="I19" s="115">
        <f>+(I6*G19)</f>
        <v>1916640</v>
      </c>
      <c r="J19" s="113" t="s">
        <v>70</v>
      </c>
      <c r="K19" s="121">
        <v>1.5</v>
      </c>
      <c r="L19" s="114" t="s">
        <v>74</v>
      </c>
      <c r="M19" s="115">
        <f>+(M6*K19)</f>
        <v>1437480</v>
      </c>
    </row>
    <row r="20" spans="1:13" ht="12.75">
      <c r="A20" s="46"/>
      <c r="B20" s="113"/>
      <c r="C20" s="114"/>
      <c r="D20" s="114"/>
      <c r="E20" s="115"/>
      <c r="F20" s="113"/>
      <c r="G20" s="114"/>
      <c r="H20" s="114"/>
      <c r="I20" s="115"/>
      <c r="J20" s="113"/>
      <c r="K20" s="114"/>
      <c r="L20" s="114"/>
      <c r="M20" s="115"/>
    </row>
    <row r="21" spans="1:13" ht="12.75">
      <c r="A21" s="101" t="s">
        <v>78</v>
      </c>
      <c r="B21" s="113"/>
      <c r="C21" s="114"/>
      <c r="D21" s="114"/>
      <c r="E21" s="115"/>
      <c r="F21" s="113"/>
      <c r="G21" s="114"/>
      <c r="H21" s="114"/>
      <c r="I21" s="115"/>
      <c r="J21" s="113"/>
      <c r="K21" s="114"/>
      <c r="L21" s="114"/>
      <c r="M21" s="115"/>
    </row>
    <row r="22" spans="1:13" ht="12.75">
      <c r="A22" s="46" t="s">
        <v>79</v>
      </c>
      <c r="B22" s="113" t="s">
        <v>70</v>
      </c>
      <c r="C22" s="122">
        <v>85</v>
      </c>
      <c r="D22" s="114" t="s">
        <v>74</v>
      </c>
      <c r="E22" s="115">
        <f>+(E9*C22)</f>
        <v>244371600</v>
      </c>
      <c r="F22" s="113" t="s">
        <v>70</v>
      </c>
      <c r="G22" s="122">
        <v>85</v>
      </c>
      <c r="H22" s="114" t="s">
        <v>74</v>
      </c>
      <c r="I22" s="115">
        <f>+(I9*G22)</f>
        <v>81457200</v>
      </c>
      <c r="J22" s="113" t="s">
        <v>70</v>
      </c>
      <c r="K22" s="122">
        <v>85</v>
      </c>
      <c r="L22" s="114" t="s">
        <v>74</v>
      </c>
      <c r="M22" s="115">
        <f>+(M9*K22)</f>
        <v>244371600</v>
      </c>
    </row>
    <row r="23" spans="1:13" ht="12.75">
      <c r="A23" s="46"/>
      <c r="B23" s="113"/>
      <c r="C23" s="114"/>
      <c r="D23" s="114"/>
      <c r="E23" s="115"/>
      <c r="F23" s="113"/>
      <c r="G23" s="114"/>
      <c r="H23" s="114"/>
      <c r="I23" s="115"/>
      <c r="J23" s="113"/>
      <c r="K23" s="114"/>
      <c r="L23" s="114"/>
      <c r="M23" s="115"/>
    </row>
    <row r="24" spans="1:13" ht="12.75">
      <c r="A24" s="101" t="s">
        <v>80</v>
      </c>
      <c r="B24" s="113"/>
      <c r="C24" s="114"/>
      <c r="D24" s="114"/>
      <c r="E24" s="115"/>
      <c r="F24" s="113"/>
      <c r="G24" s="114"/>
      <c r="H24" s="114"/>
      <c r="I24" s="115"/>
      <c r="J24" s="113"/>
      <c r="K24" s="114"/>
      <c r="L24" s="114"/>
      <c r="M24" s="115"/>
    </row>
    <row r="25" spans="1:14" ht="12.75">
      <c r="A25" s="46" t="s">
        <v>81</v>
      </c>
      <c r="B25" s="113"/>
      <c r="C25" s="141">
        <v>0.025</v>
      </c>
      <c r="D25" s="114"/>
      <c r="E25" s="142">
        <f>+E22*C25</f>
        <v>6109290</v>
      </c>
      <c r="F25" s="113"/>
      <c r="G25" s="141">
        <v>0.025</v>
      </c>
      <c r="H25" s="114"/>
      <c r="I25" s="142">
        <f>+I22*G25</f>
        <v>2036430</v>
      </c>
      <c r="J25" s="113"/>
      <c r="K25" s="141">
        <v>0.025</v>
      </c>
      <c r="L25" s="114"/>
      <c r="M25" s="142">
        <f>+M22*K25</f>
        <v>6109290</v>
      </c>
      <c r="N25" s="115"/>
    </row>
    <row r="26" spans="1:13" ht="12.75">
      <c r="A26" s="46" t="s">
        <v>82</v>
      </c>
      <c r="B26" s="113"/>
      <c r="C26" s="114"/>
      <c r="D26" s="114"/>
      <c r="E26" s="115">
        <v>150000</v>
      </c>
      <c r="F26" s="113"/>
      <c r="G26" s="114"/>
      <c r="H26" s="114"/>
      <c r="I26" s="115">
        <v>15000</v>
      </c>
      <c r="J26" s="113"/>
      <c r="K26" s="114"/>
      <c r="L26" s="114"/>
      <c r="M26" s="115">
        <v>150000</v>
      </c>
    </row>
    <row r="27" spans="1:13" ht="12.75">
      <c r="A27" s="46" t="s">
        <v>83</v>
      </c>
      <c r="B27" s="113" t="s">
        <v>70</v>
      </c>
      <c r="C27" s="123">
        <v>0.2</v>
      </c>
      <c r="D27" s="114"/>
      <c r="E27" s="115">
        <f>E22*C27</f>
        <v>48874320</v>
      </c>
      <c r="F27" s="113" t="s">
        <v>70</v>
      </c>
      <c r="G27" s="123">
        <v>0.2</v>
      </c>
      <c r="H27" s="114"/>
      <c r="I27" s="115">
        <f>I22*G27</f>
        <v>16291440</v>
      </c>
      <c r="J27" s="113" t="s">
        <v>70</v>
      </c>
      <c r="K27" s="123">
        <v>0.2</v>
      </c>
      <c r="L27" s="114"/>
      <c r="M27" s="115">
        <f>M22*K27</f>
        <v>48874320</v>
      </c>
    </row>
    <row r="28" spans="1:13" ht="12.75">
      <c r="A28" s="46" t="s">
        <v>84</v>
      </c>
      <c r="B28" s="113"/>
      <c r="C28" s="141">
        <v>0.09</v>
      </c>
      <c r="D28" s="114"/>
      <c r="E28" s="124">
        <f>C28*E22</f>
        <v>21993444</v>
      </c>
      <c r="F28" s="113"/>
      <c r="G28" s="141">
        <v>0.09</v>
      </c>
      <c r="H28" s="114"/>
      <c r="I28" s="124">
        <f>G28*I22</f>
        <v>7331148</v>
      </c>
      <c r="J28" s="113"/>
      <c r="K28" s="141">
        <v>0.09</v>
      </c>
      <c r="L28" s="114"/>
      <c r="M28" s="124">
        <f>K28*M22</f>
        <v>21993444</v>
      </c>
    </row>
    <row r="29" spans="1:13" ht="12.75">
      <c r="A29" s="46" t="s">
        <v>85</v>
      </c>
      <c r="B29" s="113"/>
      <c r="C29" s="114"/>
      <c r="D29" s="114"/>
      <c r="E29" s="115">
        <f>SUM(E15:E28)</f>
        <v>325811094</v>
      </c>
      <c r="F29" s="113"/>
      <c r="G29" s="114"/>
      <c r="H29" s="114"/>
      <c r="I29" s="115">
        <f>SUM(I15:I28)</f>
        <v>112881138</v>
      </c>
      <c r="J29" s="113"/>
      <c r="K29" s="114"/>
      <c r="L29" s="114"/>
      <c r="M29" s="115">
        <f>SUM(M15:M28)</f>
        <v>325811094</v>
      </c>
    </row>
    <row r="30" spans="1:13" ht="12.75">
      <c r="A30" s="143" t="s">
        <v>166</v>
      </c>
      <c r="B30" s="113"/>
      <c r="C30" s="114"/>
      <c r="D30" s="114"/>
      <c r="E30" s="115"/>
      <c r="F30" s="113"/>
      <c r="G30" s="114"/>
      <c r="H30" s="114"/>
      <c r="I30" s="115"/>
      <c r="J30" s="113"/>
      <c r="K30" s="114"/>
      <c r="L30" s="114"/>
      <c r="M30" s="115"/>
    </row>
    <row r="31" spans="1:13" ht="12.75">
      <c r="A31" s="46"/>
      <c r="B31" s="113"/>
      <c r="C31" s="114"/>
      <c r="D31" s="114"/>
      <c r="E31" s="115"/>
      <c r="F31" s="113"/>
      <c r="G31" s="114"/>
      <c r="H31" s="114"/>
      <c r="I31" s="115"/>
      <c r="J31" s="113"/>
      <c r="K31" s="114"/>
      <c r="L31" s="114"/>
      <c r="M31" s="115"/>
    </row>
    <row r="32" spans="1:13" ht="12.75">
      <c r="A32" s="46"/>
      <c r="B32" s="113"/>
      <c r="C32" s="114"/>
      <c r="D32" s="114"/>
      <c r="E32" s="115"/>
      <c r="F32" s="113"/>
      <c r="G32" s="114"/>
      <c r="H32" s="114"/>
      <c r="I32" s="115"/>
      <c r="J32" s="113"/>
      <c r="K32" s="114"/>
      <c r="L32" s="114"/>
      <c r="M32" s="115"/>
    </row>
    <row r="33" spans="1:13" ht="12.75">
      <c r="A33" s="46"/>
      <c r="B33" s="113"/>
      <c r="C33" s="114"/>
      <c r="D33" s="114"/>
      <c r="E33" s="115"/>
      <c r="F33" s="113"/>
      <c r="G33" s="114"/>
      <c r="H33" s="114"/>
      <c r="I33" s="115"/>
      <c r="J33" s="113"/>
      <c r="K33" s="114"/>
      <c r="L33" s="114"/>
      <c r="M33" s="115"/>
    </row>
    <row r="34" spans="1:13" ht="12.75">
      <c r="A34" s="100" t="s">
        <v>86</v>
      </c>
      <c r="B34" s="113"/>
      <c r="C34" s="114"/>
      <c r="D34" s="114"/>
      <c r="E34" s="115">
        <f>SUM(E29:E29)</f>
        <v>325811094</v>
      </c>
      <c r="F34" s="113"/>
      <c r="G34" s="125"/>
      <c r="H34" s="114"/>
      <c r="I34" s="115">
        <f>SUM(I29:I29)</f>
        <v>112881138</v>
      </c>
      <c r="J34" s="113"/>
      <c r="K34" s="114"/>
      <c r="L34" s="114"/>
      <c r="M34" s="115">
        <f>SUM(M29:M29)</f>
        <v>325811094</v>
      </c>
    </row>
    <row r="35" spans="1:13" ht="25.5">
      <c r="A35" s="102" t="s">
        <v>87</v>
      </c>
      <c r="B35" s="126"/>
      <c r="C35" s="127"/>
      <c r="D35" s="127"/>
      <c r="E35" s="115">
        <f>+(E34/E9)</f>
        <v>113.3271746389515</v>
      </c>
      <c r="F35" s="126"/>
      <c r="G35" s="127"/>
      <c r="H35" s="127"/>
      <c r="I35" s="115">
        <f>+(I34/I9)</f>
        <v>117.79065239168546</v>
      </c>
      <c r="J35" s="126"/>
      <c r="K35" s="127"/>
      <c r="L35" s="127"/>
      <c r="M35" s="115">
        <f>+(M34/M9)</f>
        <v>113.3271746389515</v>
      </c>
    </row>
    <row r="36" spans="1:13" ht="12.75">
      <c r="A36" s="46"/>
      <c r="B36" s="113"/>
      <c r="C36" s="114"/>
      <c r="D36" s="114"/>
      <c r="E36" s="115"/>
      <c r="F36" s="113"/>
      <c r="G36" s="114"/>
      <c r="H36" s="114"/>
      <c r="I36" s="115"/>
      <c r="J36" s="113"/>
      <c r="K36" s="114"/>
      <c r="L36" s="114"/>
      <c r="M36" s="115"/>
    </row>
    <row r="37" spans="1:13" ht="12.75">
      <c r="A37" s="100" t="s">
        <v>88</v>
      </c>
      <c r="B37" s="113"/>
      <c r="C37" s="114"/>
      <c r="D37" s="114"/>
      <c r="E37" s="115"/>
      <c r="F37" s="113"/>
      <c r="G37" s="114"/>
      <c r="H37" s="114"/>
      <c r="I37" s="115"/>
      <c r="J37" s="113"/>
      <c r="K37" s="114"/>
      <c r="L37" s="114"/>
      <c r="M37" s="115"/>
    </row>
    <row r="38" spans="1:13" ht="15">
      <c r="A38" s="46" t="s">
        <v>59</v>
      </c>
      <c r="B38" s="113" t="s">
        <v>70</v>
      </c>
      <c r="C38" s="128">
        <v>12</v>
      </c>
      <c r="D38" s="114" t="s">
        <v>89</v>
      </c>
      <c r="E38" s="115">
        <f>+(C38*E9)</f>
        <v>34499520</v>
      </c>
      <c r="F38" s="113" t="s">
        <v>70</v>
      </c>
      <c r="G38" s="128">
        <v>20</v>
      </c>
      <c r="H38" s="114" t="s">
        <v>89</v>
      </c>
      <c r="I38" s="115">
        <f>+(G38*I9)</f>
        <v>19166400</v>
      </c>
      <c r="J38" s="113" t="s">
        <v>70</v>
      </c>
      <c r="K38" s="128">
        <v>12</v>
      </c>
      <c r="L38" s="114" t="s">
        <v>89</v>
      </c>
      <c r="M38" s="115">
        <f>+(K38*M9)</f>
        <v>34499520</v>
      </c>
    </row>
    <row r="39" spans="1:13" ht="12.75">
      <c r="A39" s="46" t="s">
        <v>90</v>
      </c>
      <c r="B39" s="113" t="s">
        <v>70</v>
      </c>
      <c r="C39" s="129">
        <v>0.1</v>
      </c>
      <c r="D39" s="114"/>
      <c r="E39" s="115">
        <f>-(E38*C39)</f>
        <v>-3449952</v>
      </c>
      <c r="F39" s="113" t="s">
        <v>70</v>
      </c>
      <c r="G39" s="129">
        <v>0.1</v>
      </c>
      <c r="H39" s="114"/>
      <c r="I39" s="115">
        <f>-(I38*G39)</f>
        <v>-1916640</v>
      </c>
      <c r="J39" s="113" t="s">
        <v>70</v>
      </c>
      <c r="K39" s="129">
        <v>0.1</v>
      </c>
      <c r="L39" s="114"/>
      <c r="M39" s="115">
        <f>-(M38*K39)</f>
        <v>-3449952</v>
      </c>
    </row>
    <row r="40" spans="1:13" ht="18">
      <c r="A40" s="46" t="s">
        <v>91</v>
      </c>
      <c r="B40" s="113" t="s">
        <v>70</v>
      </c>
      <c r="C40" s="130">
        <v>0.5</v>
      </c>
      <c r="D40" s="114" t="s">
        <v>74</v>
      </c>
      <c r="E40" s="115">
        <f>-(C40*E9)</f>
        <v>-1437480</v>
      </c>
      <c r="F40" s="113" t="s">
        <v>70</v>
      </c>
      <c r="G40" s="130">
        <v>0.25</v>
      </c>
      <c r="H40" s="114" t="s">
        <v>74</v>
      </c>
      <c r="I40" s="115">
        <f>-(G40*I9)</f>
        <v>-239580</v>
      </c>
      <c r="J40" s="113" t="s">
        <v>70</v>
      </c>
      <c r="K40" s="130">
        <v>0.5</v>
      </c>
      <c r="L40" s="114" t="s">
        <v>74</v>
      </c>
      <c r="M40" s="115">
        <f>-(K40*M9)</f>
        <v>-1437480</v>
      </c>
    </row>
    <row r="41" spans="1:13" ht="12.75">
      <c r="A41" s="46" t="s">
        <v>92</v>
      </c>
      <c r="B41" s="113"/>
      <c r="C41" s="114"/>
      <c r="D41" s="114"/>
      <c r="E41" s="124">
        <v>-50000</v>
      </c>
      <c r="F41" s="113"/>
      <c r="G41" s="114"/>
      <c r="H41" s="114"/>
      <c r="I41" s="124">
        <v>0</v>
      </c>
      <c r="J41" s="113"/>
      <c r="K41" s="114"/>
      <c r="L41" s="114"/>
      <c r="M41" s="124">
        <v>-50000</v>
      </c>
    </row>
    <row r="42" spans="1:13" ht="12.75">
      <c r="A42" s="102" t="s">
        <v>60</v>
      </c>
      <c r="B42" s="113"/>
      <c r="C42" s="114"/>
      <c r="D42" s="114"/>
      <c r="E42" s="115">
        <f>+(E38+E39+E41)</f>
        <v>30999568</v>
      </c>
      <c r="F42" s="113"/>
      <c r="G42" s="114"/>
      <c r="H42" s="114"/>
      <c r="I42" s="115">
        <f>+(I38+I39+I41)</f>
        <v>17249760</v>
      </c>
      <c r="J42" s="113"/>
      <c r="K42" s="114"/>
      <c r="L42" s="114"/>
      <c r="M42" s="115">
        <f>+(M38+M39+M41)</f>
        <v>30999568</v>
      </c>
    </row>
    <row r="43" spans="1:13" ht="12.75">
      <c r="A43" s="100" t="s">
        <v>93</v>
      </c>
      <c r="B43" s="113"/>
      <c r="C43" s="114"/>
      <c r="D43" s="114"/>
      <c r="E43" s="115"/>
      <c r="F43" s="113"/>
      <c r="G43" s="114"/>
      <c r="H43" s="114"/>
      <c r="I43" s="115"/>
      <c r="J43" s="113"/>
      <c r="K43" s="114"/>
      <c r="L43" s="114"/>
      <c r="M43" s="115"/>
    </row>
    <row r="44" spans="1:13" ht="12.75">
      <c r="A44" s="46"/>
      <c r="B44" s="113"/>
      <c r="C44" s="114"/>
      <c r="D44" s="114"/>
      <c r="E44" s="115"/>
      <c r="F44" s="113"/>
      <c r="G44" s="114"/>
      <c r="H44" s="114"/>
      <c r="I44" s="115"/>
      <c r="J44" s="113"/>
      <c r="K44" s="114"/>
      <c r="L44" s="114"/>
      <c r="M44" s="115"/>
    </row>
    <row r="45" spans="1:13" ht="12.75">
      <c r="A45" s="100" t="s">
        <v>94</v>
      </c>
      <c r="B45" s="113"/>
      <c r="C45" s="114"/>
      <c r="D45" s="114"/>
      <c r="E45" s="115"/>
      <c r="F45" s="113"/>
      <c r="G45" s="114"/>
      <c r="H45" s="114"/>
      <c r="I45" s="115"/>
      <c r="J45" s="113"/>
      <c r="K45" s="114"/>
      <c r="L45" s="114"/>
      <c r="M45" s="115"/>
    </row>
    <row r="46" spans="1:13" ht="12.75">
      <c r="A46" s="46" t="s">
        <v>58</v>
      </c>
      <c r="B46" s="113"/>
      <c r="C46" s="114"/>
      <c r="D46" s="114"/>
      <c r="E46" s="115">
        <f>+(E42/0.095)</f>
        <v>326311242.1052632</v>
      </c>
      <c r="F46" s="113"/>
      <c r="G46" s="114"/>
      <c r="H46" s="114"/>
      <c r="I46" s="115">
        <f>+(I42/0.095)</f>
        <v>181576421.0526316</v>
      </c>
      <c r="J46" s="113"/>
      <c r="K46" s="114"/>
      <c r="L46" s="114"/>
      <c r="M46" s="115">
        <f>+(M42/0.095)</f>
        <v>326311242.1052632</v>
      </c>
    </row>
    <row r="47" spans="1:13" ht="15">
      <c r="A47" s="46" t="s">
        <v>95</v>
      </c>
      <c r="B47" s="113" t="s">
        <v>70</v>
      </c>
      <c r="C47" s="131">
        <v>0.7</v>
      </c>
      <c r="D47" s="114"/>
      <c r="E47" s="139">
        <f>IF(E46&gt;E34,E34,0)</f>
        <v>325811094</v>
      </c>
      <c r="F47" s="113" t="s">
        <v>70</v>
      </c>
      <c r="G47" s="132">
        <v>0.7</v>
      </c>
      <c r="H47" s="114"/>
      <c r="I47" s="139">
        <f>IF(I46&gt;I34,I34,0)</f>
        <v>112881138</v>
      </c>
      <c r="J47" s="113" t="s">
        <v>70</v>
      </c>
      <c r="K47" s="131">
        <v>0.7</v>
      </c>
      <c r="L47" s="114"/>
      <c r="M47" s="139">
        <f>IF(M46&gt;M34,M34,0)</f>
        <v>325811094</v>
      </c>
    </row>
    <row r="48" spans="1:13" ht="12.75">
      <c r="A48" s="46" t="s">
        <v>96</v>
      </c>
      <c r="B48" s="133">
        <v>20</v>
      </c>
      <c r="C48" s="114" t="s">
        <v>97</v>
      </c>
      <c r="D48" s="140">
        <v>0.075</v>
      </c>
      <c r="E48" s="115">
        <f>-PMT(D48/12,B48*12,E47)*12</f>
        <v>31496543.965208046</v>
      </c>
      <c r="F48" s="133">
        <v>20</v>
      </c>
      <c r="G48" s="114" t="s">
        <v>97</v>
      </c>
      <c r="H48" s="129">
        <v>0.07</v>
      </c>
      <c r="I48" s="115">
        <f>-PMT(H48/12,F48*12,I47)*12</f>
        <v>10501995.13714166</v>
      </c>
      <c r="J48" s="133">
        <v>20</v>
      </c>
      <c r="K48" s="114" t="s">
        <v>97</v>
      </c>
      <c r="L48" s="140">
        <v>0.075</v>
      </c>
      <c r="M48" s="115">
        <f>-PMT(L48/12,J48*12,M47)*12</f>
        <v>31496543.965208046</v>
      </c>
    </row>
    <row r="49" spans="1:13" ht="12.75">
      <c r="A49" s="46" t="s">
        <v>98</v>
      </c>
      <c r="B49" s="113"/>
      <c r="C49" s="114"/>
      <c r="D49" s="114"/>
      <c r="E49" s="134">
        <f>+(E42/E48)</f>
        <v>0.9842212540602227</v>
      </c>
      <c r="F49" s="113"/>
      <c r="G49" s="114"/>
      <c r="H49" s="114"/>
      <c r="I49" s="134">
        <f>+(I42/I48)</f>
        <v>1.6425221850459633</v>
      </c>
      <c r="J49" s="113"/>
      <c r="K49" s="114"/>
      <c r="L49" s="114"/>
      <c r="M49" s="134">
        <f>+(M42/M48)</f>
        <v>0.9842212540602227</v>
      </c>
    </row>
    <row r="50" spans="1:13" ht="12.75">
      <c r="A50" s="46" t="s">
        <v>99</v>
      </c>
      <c r="B50" s="113"/>
      <c r="C50" s="114"/>
      <c r="D50" s="114"/>
      <c r="E50" s="115">
        <f>+(E42-E48)</f>
        <v>-496975.96520804614</v>
      </c>
      <c r="F50" s="113"/>
      <c r="G50" s="114"/>
      <c r="H50" s="114"/>
      <c r="I50" s="115">
        <f>+(I42-I48)</f>
        <v>6747764.86285834</v>
      </c>
      <c r="J50" s="113"/>
      <c r="K50" s="114"/>
      <c r="L50" s="114"/>
      <c r="M50" s="115">
        <f>+(M42-M48)</f>
        <v>-496975.96520804614</v>
      </c>
    </row>
    <row r="51" spans="1:13" ht="12.75">
      <c r="A51" s="46" t="s">
        <v>100</v>
      </c>
      <c r="B51" s="113"/>
      <c r="C51" s="114"/>
      <c r="D51" s="114"/>
      <c r="E51" s="115">
        <f>+(E46*0.3)</f>
        <v>97893372.63157895</v>
      </c>
      <c r="F51" s="113"/>
      <c r="G51" s="114"/>
      <c r="H51" s="114"/>
      <c r="I51" s="115">
        <f>+(I46*0.3)</f>
        <v>54472926.315789476</v>
      </c>
      <c r="J51" s="113"/>
      <c r="K51" s="114"/>
      <c r="L51" s="114"/>
      <c r="M51" s="115">
        <f>+(M46*0.3)</f>
        <v>97893372.63157895</v>
      </c>
    </row>
    <row r="52" spans="1:13" ht="12.75">
      <c r="A52" s="46" t="s">
        <v>101</v>
      </c>
      <c r="B52" s="113"/>
      <c r="C52" s="114"/>
      <c r="D52" s="114"/>
      <c r="E52" s="135">
        <f>+(E50/E51)</f>
        <v>-0.0050767069501059265</v>
      </c>
      <c r="F52" s="113"/>
      <c r="G52" s="114"/>
      <c r="H52" s="114"/>
      <c r="I52" s="135">
        <f>+(I50/I51)</f>
        <v>0.12387373543584419</v>
      </c>
      <c r="J52" s="113"/>
      <c r="K52" s="114"/>
      <c r="L52" s="114"/>
      <c r="M52" s="135">
        <f>+(M50/M51)</f>
        <v>-0.0050767069501059265</v>
      </c>
    </row>
    <row r="53" spans="1:13" ht="13.5" thickBot="1">
      <c r="A53" s="47"/>
      <c r="B53" s="136"/>
      <c r="C53" s="137"/>
      <c r="D53" s="137"/>
      <c r="E53" s="138"/>
      <c r="F53" s="136"/>
      <c r="G53" s="137"/>
      <c r="H53" s="137"/>
      <c r="I53" s="138"/>
      <c r="J53" s="136"/>
      <c r="K53" s="137"/>
      <c r="L53" s="137"/>
      <c r="M53" s="138"/>
    </row>
    <row r="54" ht="12.75">
      <c r="A54" t="s">
        <v>102</v>
      </c>
    </row>
    <row r="55" ht="12.75">
      <c r="A55" s="103"/>
    </row>
    <row r="56" ht="38.25">
      <c r="A56" s="103" t="s">
        <v>103</v>
      </c>
    </row>
    <row r="57" ht="12.75">
      <c r="A57" s="103" t="s">
        <v>104</v>
      </c>
    </row>
    <row r="58" ht="25.5">
      <c r="A58" s="103" t="s">
        <v>105</v>
      </c>
    </row>
    <row r="60" ht="12.75">
      <c r="A60" s="104"/>
    </row>
    <row r="61" ht="12.75">
      <c r="A61" s="105"/>
    </row>
    <row r="62" ht="12.75">
      <c r="A62" s="106"/>
    </row>
  </sheetData>
  <printOptions/>
  <pageMargins left="0.75" right="0.75" top="0.65" bottom="0.62" header="0.5" footer="0.5"/>
  <pageSetup horizontalDpi="300" verticalDpi="300" orientation="portrait" scale="74"/>
  <headerFooter alignWithMargins="0">
    <oddFooter>&amp;CPage &amp;P</oddFooter>
  </headerFooter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0"/>
  <sheetViews>
    <sheetView zoomScale="125" zoomScaleNormal="125" workbookViewId="0" topLeftCell="A1">
      <selection activeCell="A21" sqref="A21"/>
    </sheetView>
  </sheetViews>
  <sheetFormatPr defaultColWidth="9.140625" defaultRowHeight="12.75"/>
  <cols>
    <col min="1" max="1" width="9.8515625" style="0" customWidth="1"/>
    <col min="2" max="2" width="8.8515625" style="0" customWidth="1"/>
    <col min="3" max="3" width="14.28125" style="0" customWidth="1"/>
    <col min="4" max="5" width="9.7109375" style="0" customWidth="1"/>
    <col min="6" max="6" width="4.8515625" style="0" customWidth="1"/>
    <col min="7" max="9" width="9.28125" style="0" customWidth="1"/>
    <col min="10" max="10" width="6.00390625" style="0" customWidth="1"/>
    <col min="11" max="11" width="11.421875" style="0" customWidth="1"/>
    <col min="12" max="12" width="4.421875" style="0" customWidth="1"/>
    <col min="13" max="13" width="11.140625" style="0" customWidth="1"/>
    <col min="14" max="14" width="11.421875" style="0" customWidth="1"/>
    <col min="15" max="16384" width="8.8515625" style="0" customWidth="1"/>
  </cols>
  <sheetData>
    <row r="1" spans="3:13" ht="13.5" thickBot="1">
      <c r="C1" s="19" t="s">
        <v>106</v>
      </c>
      <c r="M1" s="98" t="s">
        <v>107</v>
      </c>
    </row>
    <row r="2" spans="1:14" ht="12.75">
      <c r="A2" s="37"/>
      <c r="B2" s="37"/>
      <c r="C2" s="55" t="s">
        <v>107</v>
      </c>
      <c r="D2" s="30"/>
      <c r="E2" s="30"/>
      <c r="F2" s="31"/>
      <c r="G2" s="20"/>
      <c r="H2" s="55"/>
      <c r="I2" s="30"/>
      <c r="J2" s="30"/>
      <c r="K2" s="42" t="s">
        <v>108</v>
      </c>
      <c r="M2" s="20" t="s">
        <v>109</v>
      </c>
      <c r="N2" s="21" t="s">
        <v>110</v>
      </c>
    </row>
    <row r="3" spans="1:14" ht="12.75">
      <c r="A3" s="33" t="s">
        <v>111</v>
      </c>
      <c r="B3" s="33"/>
      <c r="C3" s="32">
        <v>20</v>
      </c>
      <c r="D3" s="57" t="s">
        <v>112</v>
      </c>
      <c r="E3" s="57"/>
      <c r="F3" s="34"/>
      <c r="G3" s="23"/>
      <c r="H3" s="56"/>
      <c r="I3" s="57"/>
      <c r="J3" s="33"/>
      <c r="K3" s="43">
        <v>20</v>
      </c>
      <c r="L3" s="22"/>
      <c r="M3" s="24"/>
      <c r="N3" s="22">
        <f>+C3-M3</f>
        <v>20</v>
      </c>
    </row>
    <row r="4" spans="1:14" ht="12.75">
      <c r="A4" s="33" t="s">
        <v>113</v>
      </c>
      <c r="B4" s="33"/>
      <c r="C4" s="70">
        <v>25000</v>
      </c>
      <c r="D4" s="57" t="s">
        <v>114</v>
      </c>
      <c r="E4" s="71">
        <f>+(C4/43560)</f>
        <v>0.573921028466483</v>
      </c>
      <c r="F4" s="34" t="s">
        <v>74</v>
      </c>
      <c r="G4" s="23"/>
      <c r="H4" s="56"/>
      <c r="I4" s="71">
        <f>+(K4/43560)</f>
        <v>1.3774104683195592</v>
      </c>
      <c r="J4" s="33" t="s">
        <v>74</v>
      </c>
      <c r="K4" s="44">
        <v>60000</v>
      </c>
      <c r="L4" s="22"/>
      <c r="M4" s="24"/>
      <c r="N4" s="24">
        <f aca="true" t="shared" si="0" ref="N4:N14">+C4-M4</f>
        <v>25000</v>
      </c>
    </row>
    <row r="5" spans="1:14" ht="12.75">
      <c r="A5" s="33"/>
      <c r="B5" s="33"/>
      <c r="C5" s="70">
        <f>+C4*C3</f>
        <v>500000</v>
      </c>
      <c r="D5" s="57" t="s">
        <v>115</v>
      </c>
      <c r="E5" s="57"/>
      <c r="F5" s="34"/>
      <c r="G5" s="23"/>
      <c r="H5" s="56"/>
      <c r="I5" s="57"/>
      <c r="J5" s="33"/>
      <c r="K5" s="44">
        <f>+K4*K3</f>
        <v>1200000</v>
      </c>
      <c r="L5" s="22"/>
      <c r="M5" s="24">
        <v>400000</v>
      </c>
      <c r="N5" s="24">
        <f t="shared" si="0"/>
        <v>100000</v>
      </c>
    </row>
    <row r="6" spans="1:14" ht="12.75">
      <c r="A6" s="33" t="s">
        <v>81</v>
      </c>
      <c r="B6" s="33"/>
      <c r="C6" s="70">
        <v>50000</v>
      </c>
      <c r="D6" s="57"/>
      <c r="E6" s="57"/>
      <c r="F6" s="34"/>
      <c r="G6" s="23"/>
      <c r="H6" s="56"/>
      <c r="I6" s="57"/>
      <c r="J6" s="33"/>
      <c r="K6" s="44">
        <v>25000</v>
      </c>
      <c r="L6" s="22"/>
      <c r="M6" s="24"/>
      <c r="N6" s="24">
        <f t="shared" si="0"/>
        <v>50000</v>
      </c>
    </row>
    <row r="7" spans="1:14" ht="12.75">
      <c r="A7" s="33" t="s">
        <v>116</v>
      </c>
      <c r="B7" s="33"/>
      <c r="C7" s="70">
        <v>300000</v>
      </c>
      <c r="D7" s="57"/>
      <c r="E7" s="57"/>
      <c r="F7" s="34"/>
      <c r="G7" s="23"/>
      <c r="H7" s="56"/>
      <c r="I7" s="57"/>
      <c r="J7" s="33"/>
      <c r="K7" s="44">
        <v>15000</v>
      </c>
      <c r="L7" s="22" t="s">
        <v>117</v>
      </c>
      <c r="M7" s="24">
        <v>100000</v>
      </c>
      <c r="N7" s="24">
        <f t="shared" si="0"/>
        <v>200000</v>
      </c>
    </row>
    <row r="8" spans="1:14" ht="12.75">
      <c r="A8" s="33" t="s">
        <v>76</v>
      </c>
      <c r="B8" s="33"/>
      <c r="C8" s="70">
        <v>2000000</v>
      </c>
      <c r="D8" s="57"/>
      <c r="E8" s="72">
        <f>+(C8/C3)</f>
        <v>100000</v>
      </c>
      <c r="F8" s="34"/>
      <c r="G8" s="23"/>
      <c r="H8" s="56"/>
      <c r="I8" s="57"/>
      <c r="J8" s="33"/>
      <c r="K8" s="44"/>
      <c r="L8" s="22" t="s">
        <v>118</v>
      </c>
      <c r="M8" s="24">
        <v>500000</v>
      </c>
      <c r="N8" s="24">
        <f t="shared" si="0"/>
        <v>1500000</v>
      </c>
    </row>
    <row r="9" spans="1:14" ht="12.75">
      <c r="A9" s="33" t="s">
        <v>119</v>
      </c>
      <c r="B9" s="33"/>
      <c r="C9" s="61">
        <v>25</v>
      </c>
      <c r="D9" s="59" t="s">
        <v>120</v>
      </c>
      <c r="E9" s="59"/>
      <c r="F9" s="49"/>
      <c r="G9" s="50"/>
      <c r="H9" s="58"/>
      <c r="I9" s="59"/>
      <c r="J9" s="60"/>
      <c r="K9" s="51">
        <v>25</v>
      </c>
      <c r="L9" s="95"/>
      <c r="M9" s="53"/>
      <c r="N9" s="53">
        <f t="shared" si="0"/>
        <v>25</v>
      </c>
    </row>
    <row r="10" spans="1:14" ht="12.75">
      <c r="A10" s="33"/>
      <c r="B10" s="33"/>
      <c r="C10" s="61">
        <v>20</v>
      </c>
      <c r="D10" s="59" t="s">
        <v>121</v>
      </c>
      <c r="E10" s="59"/>
      <c r="F10" s="49"/>
      <c r="G10" s="50"/>
      <c r="H10" s="58"/>
      <c r="I10" s="59"/>
      <c r="J10" s="60"/>
      <c r="K10" s="51">
        <v>20</v>
      </c>
      <c r="L10" s="95"/>
      <c r="M10" s="53"/>
      <c r="N10" s="53">
        <f t="shared" si="0"/>
        <v>20</v>
      </c>
    </row>
    <row r="11" spans="1:14" ht="12.75">
      <c r="A11" s="33" t="s">
        <v>122</v>
      </c>
      <c r="B11" s="33"/>
      <c r="C11" s="73">
        <v>0.3</v>
      </c>
      <c r="D11" s="48"/>
      <c r="E11" s="48"/>
      <c r="F11" s="52"/>
      <c r="G11" s="53"/>
      <c r="H11" s="61"/>
      <c r="I11" s="48"/>
      <c r="J11" s="60"/>
      <c r="K11" s="54">
        <v>0.3</v>
      </c>
      <c r="L11" s="95"/>
      <c r="M11" s="53"/>
      <c r="N11" s="96">
        <f t="shared" si="0"/>
        <v>0.3</v>
      </c>
    </row>
    <row r="12" spans="1:14" ht="12.75">
      <c r="A12" s="33" t="s">
        <v>123</v>
      </c>
      <c r="B12" s="33"/>
      <c r="C12" s="76">
        <f>+C11*C3*43560</f>
        <v>261360</v>
      </c>
      <c r="D12" s="77"/>
      <c r="E12" s="77"/>
      <c r="F12" s="78"/>
      <c r="G12" s="79"/>
      <c r="H12" s="80"/>
      <c r="I12" s="77"/>
      <c r="J12" s="60"/>
      <c r="K12" s="81">
        <f>+K11*K3*43560</f>
        <v>261360</v>
      </c>
      <c r="L12" s="95"/>
      <c r="M12" s="53"/>
      <c r="N12" s="97">
        <f t="shared" si="0"/>
        <v>261360</v>
      </c>
    </row>
    <row r="13" spans="1:14" ht="12.75">
      <c r="A13" s="33" t="s">
        <v>124</v>
      </c>
      <c r="B13" s="33"/>
      <c r="C13" s="61">
        <f>+C12*C9+C14*C12*C10</f>
        <v>7056720</v>
      </c>
      <c r="D13" s="77"/>
      <c r="E13" s="82">
        <f>+(C13/C12)</f>
        <v>27</v>
      </c>
      <c r="F13" s="78" t="s">
        <v>74</v>
      </c>
      <c r="G13" s="79"/>
      <c r="H13" s="80"/>
      <c r="I13" s="82">
        <f>+(K13/K12)</f>
        <v>27</v>
      </c>
      <c r="J13" s="60" t="s">
        <v>74</v>
      </c>
      <c r="K13" s="51">
        <f>+K12*K9+K14*K12*K10</f>
        <v>7056720</v>
      </c>
      <c r="L13" s="95"/>
      <c r="M13" s="53"/>
      <c r="N13" s="53">
        <f>+N12*N9+N14*N12*N10</f>
        <v>7056720</v>
      </c>
    </row>
    <row r="14" spans="1:14" ht="12.75">
      <c r="A14" s="33" t="s">
        <v>125</v>
      </c>
      <c r="B14" s="33"/>
      <c r="C14" s="73">
        <v>0.1</v>
      </c>
      <c r="D14" s="83" t="s">
        <v>126</v>
      </c>
      <c r="E14" s="83"/>
      <c r="F14" s="84"/>
      <c r="G14" s="85"/>
      <c r="H14" s="86"/>
      <c r="I14" s="83"/>
      <c r="J14" s="60"/>
      <c r="K14" s="54">
        <v>0.1</v>
      </c>
      <c r="L14" s="95"/>
      <c r="M14" s="53"/>
      <c r="N14" s="96">
        <f t="shared" si="0"/>
        <v>0.1</v>
      </c>
    </row>
    <row r="15" spans="1:14" ht="12.75">
      <c r="A15" s="33" t="s">
        <v>127</v>
      </c>
      <c r="B15" s="33"/>
      <c r="C15" s="70">
        <f>+C5</f>
        <v>500000</v>
      </c>
      <c r="D15" s="63"/>
      <c r="E15" s="63"/>
      <c r="F15" s="35"/>
      <c r="G15" s="26"/>
      <c r="H15" s="62"/>
      <c r="I15" s="63"/>
      <c r="J15" s="33"/>
      <c r="K15" s="44">
        <f>+K5</f>
        <v>1200000</v>
      </c>
      <c r="L15" s="26"/>
      <c r="M15" s="24"/>
      <c r="N15" s="24">
        <f>+N5</f>
        <v>100000</v>
      </c>
    </row>
    <row r="16" spans="1:14" ht="12.75">
      <c r="A16" s="33" t="s">
        <v>128</v>
      </c>
      <c r="B16" s="33"/>
      <c r="C16" s="70">
        <f>+C13+C15</f>
        <v>7556720</v>
      </c>
      <c r="D16" s="63"/>
      <c r="E16" s="63"/>
      <c r="F16" s="35"/>
      <c r="G16" s="26"/>
      <c r="H16" s="62"/>
      <c r="I16" s="63"/>
      <c r="J16" s="33"/>
      <c r="K16" s="44">
        <f>+K13+K15</f>
        <v>8256720</v>
      </c>
      <c r="L16" s="22"/>
      <c r="M16" s="24"/>
      <c r="N16" s="24">
        <f>+N13+N15</f>
        <v>7156720</v>
      </c>
    </row>
    <row r="17" spans="1:14" ht="12.75">
      <c r="A17" s="33" t="s">
        <v>80</v>
      </c>
      <c r="B17" s="33"/>
      <c r="C17" s="70">
        <f>+C8+C7+C6+0.188*C13</f>
        <v>3676663.3600000003</v>
      </c>
      <c r="D17" s="63"/>
      <c r="E17" s="94">
        <f>+(C17/C16)</f>
        <v>0.486542224668904</v>
      </c>
      <c r="F17" s="35"/>
      <c r="G17" s="26"/>
      <c r="H17" s="62"/>
      <c r="I17" s="94">
        <f>+(K17/K16)</f>
        <v>0.16552134019320022</v>
      </c>
      <c r="J17" s="33"/>
      <c r="K17" s="44">
        <f>+K8+K7+K6+0.188*K13</f>
        <v>1366663.36</v>
      </c>
      <c r="L17" s="24"/>
      <c r="M17" s="24"/>
      <c r="N17" s="24">
        <f>+N8+N7+N6+0.188*N13</f>
        <v>3076663.3600000003</v>
      </c>
    </row>
    <row r="18" spans="1:14" ht="12.75">
      <c r="A18" s="33" t="s">
        <v>129</v>
      </c>
      <c r="B18" s="33"/>
      <c r="C18" s="87">
        <f>+C17+C16</f>
        <v>11233383.36</v>
      </c>
      <c r="D18" s="57"/>
      <c r="E18" s="57"/>
      <c r="F18" s="34"/>
      <c r="G18" s="23"/>
      <c r="H18" s="56"/>
      <c r="I18" s="57"/>
      <c r="J18" s="33"/>
      <c r="K18" s="44">
        <f>+K17+K16</f>
        <v>9623383.36</v>
      </c>
      <c r="L18" s="22"/>
      <c r="M18" s="24"/>
      <c r="N18" s="24">
        <f>+N17+N16</f>
        <v>10233383.36</v>
      </c>
    </row>
    <row r="19" spans="1:14" ht="12.75">
      <c r="A19" s="33"/>
      <c r="B19" s="33"/>
      <c r="C19" s="32"/>
      <c r="D19" s="57"/>
      <c r="E19" s="57"/>
      <c r="F19" s="34"/>
      <c r="G19" s="23"/>
      <c r="H19" s="56"/>
      <c r="I19" s="57"/>
      <c r="J19" s="33"/>
      <c r="K19" s="43"/>
      <c r="L19" s="22"/>
      <c r="M19" s="24"/>
      <c r="N19" s="22"/>
    </row>
    <row r="20" spans="1:14" ht="12.75">
      <c r="A20" s="88" t="s">
        <v>130</v>
      </c>
      <c r="B20" s="33"/>
      <c r="C20" s="32"/>
      <c r="D20" s="57"/>
      <c r="E20" s="57"/>
      <c r="F20" s="34"/>
      <c r="G20" s="23"/>
      <c r="H20" s="56"/>
      <c r="I20" s="57"/>
      <c r="J20" s="33"/>
      <c r="K20" s="43"/>
      <c r="L20" s="22"/>
      <c r="M20" s="27"/>
      <c r="N20" s="22"/>
    </row>
    <row r="21" spans="1:14" ht="12.75">
      <c r="A21" s="33" t="s">
        <v>131</v>
      </c>
      <c r="B21" s="36" t="s">
        <v>132</v>
      </c>
      <c r="C21" s="92">
        <v>7.5</v>
      </c>
      <c r="D21" s="57" t="s">
        <v>133</v>
      </c>
      <c r="E21" s="57"/>
      <c r="F21" s="34"/>
      <c r="G21" s="23" t="s">
        <v>134</v>
      </c>
      <c r="H21" s="56"/>
      <c r="I21" s="57"/>
      <c r="J21" s="33"/>
      <c r="K21" s="93">
        <v>9</v>
      </c>
      <c r="L21" s="22" t="s">
        <v>135</v>
      </c>
      <c r="M21" s="27">
        <v>-0.5</v>
      </c>
      <c r="N21" s="27">
        <f>+C21-M21</f>
        <v>8</v>
      </c>
    </row>
    <row r="22" spans="1:14" ht="12.75">
      <c r="A22" s="33"/>
      <c r="B22" s="36" t="s">
        <v>136</v>
      </c>
      <c r="C22" s="92">
        <v>3.75</v>
      </c>
      <c r="D22" s="57" t="s">
        <v>133</v>
      </c>
      <c r="E22" s="57"/>
      <c r="F22" s="34"/>
      <c r="G22" s="23" t="s">
        <v>134</v>
      </c>
      <c r="H22" s="56"/>
      <c r="I22" s="57"/>
      <c r="J22" s="33"/>
      <c r="K22" s="93">
        <v>4.5</v>
      </c>
      <c r="L22" s="22" t="s">
        <v>135</v>
      </c>
      <c r="M22" s="27">
        <v>-0.25</v>
      </c>
      <c r="N22" s="27">
        <f>+C22-M22</f>
        <v>4</v>
      </c>
    </row>
    <row r="23" spans="1:14" ht="12.75">
      <c r="A23" s="33" t="s">
        <v>137</v>
      </c>
      <c r="B23" s="36" t="s">
        <v>132</v>
      </c>
      <c r="C23" s="70">
        <f>C14*C12*C21</f>
        <v>196020</v>
      </c>
      <c r="D23" s="57"/>
      <c r="E23" s="57"/>
      <c r="F23" s="34"/>
      <c r="G23" s="23"/>
      <c r="H23" s="56"/>
      <c r="I23" s="57"/>
      <c r="J23" s="33"/>
      <c r="K23" s="44">
        <f>K14*K12*K21</f>
        <v>235224</v>
      </c>
      <c r="L23" s="22"/>
      <c r="M23" s="24"/>
      <c r="N23" s="24">
        <f>N14*N12*N21</f>
        <v>209088</v>
      </c>
    </row>
    <row r="24" spans="1:14" ht="12.75">
      <c r="A24" s="33"/>
      <c r="B24" s="36" t="s">
        <v>136</v>
      </c>
      <c r="C24" s="70">
        <f>(1-C14)*C12*C22</f>
        <v>882090</v>
      </c>
      <c r="D24" s="57"/>
      <c r="E24" s="57"/>
      <c r="F24" s="34"/>
      <c r="G24" s="23"/>
      <c r="H24" s="56"/>
      <c r="I24" s="57"/>
      <c r="J24" s="33"/>
      <c r="K24" s="44">
        <f>(1-K14)*K12*K22</f>
        <v>1058508</v>
      </c>
      <c r="L24" s="22"/>
      <c r="M24" s="24"/>
      <c r="N24" s="24">
        <f>(1-N14)*N12*N22</f>
        <v>940896</v>
      </c>
    </row>
    <row r="25" spans="1:14" ht="12.75">
      <c r="A25" s="33" t="s">
        <v>138</v>
      </c>
      <c r="B25" s="33"/>
      <c r="C25" s="70">
        <f>+C24+C23</f>
        <v>1078110</v>
      </c>
      <c r="D25" s="57"/>
      <c r="E25" s="57"/>
      <c r="F25" s="34"/>
      <c r="G25" s="23"/>
      <c r="H25" s="56"/>
      <c r="I25" s="57"/>
      <c r="J25" s="33"/>
      <c r="K25" s="44">
        <f>+K24+K23</f>
        <v>1293732</v>
      </c>
      <c r="L25" s="22"/>
      <c r="M25" s="24"/>
      <c r="N25" s="24">
        <f>+N24+N23</f>
        <v>1149984</v>
      </c>
    </row>
    <row r="26" spans="1:14" ht="12.75">
      <c r="A26" s="33" t="s">
        <v>139</v>
      </c>
      <c r="B26" s="91">
        <v>0.2</v>
      </c>
      <c r="C26" s="70">
        <f>-B26*C25</f>
        <v>-215622</v>
      </c>
      <c r="D26" s="57"/>
      <c r="E26" s="57"/>
      <c r="F26" s="34"/>
      <c r="G26" s="23" t="s">
        <v>134</v>
      </c>
      <c r="H26" s="56"/>
      <c r="I26" s="57"/>
      <c r="J26" s="91">
        <v>0.1</v>
      </c>
      <c r="K26" s="44">
        <f>-J26*K25</f>
        <v>-129373.20000000001</v>
      </c>
      <c r="L26" s="28">
        <v>0.1</v>
      </c>
      <c r="M26" s="24" t="s">
        <v>140</v>
      </c>
      <c r="N26" s="24">
        <f>-L26*N25</f>
        <v>-114998.40000000001</v>
      </c>
    </row>
    <row r="27" spans="1:14" ht="12.75">
      <c r="A27" s="33" t="s">
        <v>141</v>
      </c>
      <c r="B27" s="33"/>
      <c r="C27" s="70">
        <f>+C25+C26</f>
        <v>862488</v>
      </c>
      <c r="D27" s="57"/>
      <c r="E27" s="57"/>
      <c r="F27" s="34"/>
      <c r="G27" s="23"/>
      <c r="H27" s="56"/>
      <c r="I27" s="57"/>
      <c r="J27" s="33"/>
      <c r="K27" s="44">
        <f>+K25+K26</f>
        <v>1164358.8</v>
      </c>
      <c r="L27" s="22"/>
      <c r="M27" s="24"/>
      <c r="N27" s="24">
        <f>+N25+N26</f>
        <v>1034985.6</v>
      </c>
    </row>
    <row r="28" spans="1:14" ht="12.75">
      <c r="A28" s="33"/>
      <c r="B28" s="33"/>
      <c r="C28" s="32"/>
      <c r="D28" s="57"/>
      <c r="E28" s="57"/>
      <c r="F28" s="34"/>
      <c r="G28" s="23"/>
      <c r="H28" s="56"/>
      <c r="I28" s="57"/>
      <c r="J28" s="33"/>
      <c r="K28" s="43"/>
      <c r="L28" s="22"/>
      <c r="M28" s="24"/>
      <c r="N28" s="22"/>
    </row>
    <row r="29" spans="1:14" ht="12.75">
      <c r="A29" s="88" t="s">
        <v>142</v>
      </c>
      <c r="B29" s="33"/>
      <c r="C29" s="32"/>
      <c r="D29" s="57"/>
      <c r="E29" s="57"/>
      <c r="F29" s="34"/>
      <c r="G29" s="23"/>
      <c r="H29" s="56"/>
      <c r="I29" s="57"/>
      <c r="J29" s="33"/>
      <c r="K29" s="43"/>
      <c r="L29" s="22"/>
      <c r="M29" s="24"/>
      <c r="N29" s="22"/>
    </row>
    <row r="30" spans="1:14" ht="12.75">
      <c r="A30" s="68" t="s">
        <v>143</v>
      </c>
      <c r="B30" s="33"/>
      <c r="C30" s="89">
        <v>0.3</v>
      </c>
      <c r="D30" s="57"/>
      <c r="E30" s="57"/>
      <c r="F30" s="34"/>
      <c r="G30" s="23" t="s">
        <v>134</v>
      </c>
      <c r="H30" s="56"/>
      <c r="I30" s="57"/>
      <c r="J30" s="33"/>
      <c r="K30" s="90">
        <v>0.2</v>
      </c>
      <c r="L30" s="22"/>
      <c r="M30" s="24"/>
      <c r="N30" s="25">
        <v>0.3</v>
      </c>
    </row>
    <row r="31" spans="1:14" ht="12.75">
      <c r="A31" s="33" t="s">
        <v>144</v>
      </c>
      <c r="B31" s="33"/>
      <c r="C31" s="70">
        <f>+C30*C18</f>
        <v>3370015.008</v>
      </c>
      <c r="D31" s="57"/>
      <c r="E31" s="57"/>
      <c r="F31" s="34"/>
      <c r="G31" s="23"/>
      <c r="H31" s="56"/>
      <c r="I31" s="57"/>
      <c r="J31" s="33"/>
      <c r="K31" s="44">
        <f>+K30*K18</f>
        <v>1924676.672</v>
      </c>
      <c r="L31" s="22"/>
      <c r="M31" s="24"/>
      <c r="N31" s="24">
        <f>+N30*(N18-N40)</f>
        <v>2545015.008</v>
      </c>
    </row>
    <row r="32" spans="1:14" ht="12.75">
      <c r="A32" s="33" t="s">
        <v>145</v>
      </c>
      <c r="B32" s="33"/>
      <c r="C32" s="70">
        <f>+C18-C31</f>
        <v>7863368.352</v>
      </c>
      <c r="D32" s="57"/>
      <c r="E32" s="57"/>
      <c r="F32" s="34"/>
      <c r="G32" s="23"/>
      <c r="H32" s="56"/>
      <c r="I32" s="57"/>
      <c r="J32" s="33"/>
      <c r="K32" s="44">
        <f>+K18-K31</f>
        <v>7698706.687999999</v>
      </c>
      <c r="L32" s="22"/>
      <c r="M32" s="24"/>
      <c r="N32" s="24">
        <f>+N18-N31-N40</f>
        <v>5938368.352</v>
      </c>
    </row>
    <row r="33" spans="1:14" ht="12.75">
      <c r="A33" s="68" t="s">
        <v>145</v>
      </c>
      <c r="B33" s="33" t="s">
        <v>146</v>
      </c>
      <c r="C33" s="32">
        <v>20</v>
      </c>
      <c r="D33" s="57"/>
      <c r="E33" s="57"/>
      <c r="F33" s="34"/>
      <c r="G33" s="23"/>
      <c r="H33" s="56"/>
      <c r="I33" s="57"/>
      <c r="J33" s="33"/>
      <c r="K33" s="43">
        <v>20</v>
      </c>
      <c r="L33" s="22"/>
      <c r="M33" s="24"/>
      <c r="N33" s="22">
        <v>20</v>
      </c>
    </row>
    <row r="34" spans="1:14" ht="12.75">
      <c r="A34" s="33"/>
      <c r="B34" s="33" t="s">
        <v>147</v>
      </c>
      <c r="C34" s="89">
        <v>0.095</v>
      </c>
      <c r="D34" s="57"/>
      <c r="E34" s="57"/>
      <c r="F34" s="34"/>
      <c r="G34" s="23"/>
      <c r="H34" s="56"/>
      <c r="I34" s="57"/>
      <c r="J34" s="33"/>
      <c r="K34" s="90">
        <v>0.09</v>
      </c>
      <c r="L34" s="22"/>
      <c r="M34" s="24"/>
      <c r="N34" s="25">
        <v>0.095</v>
      </c>
    </row>
    <row r="35" spans="1:14" ht="12.75">
      <c r="A35" s="33" t="s">
        <v>148</v>
      </c>
      <c r="B35" s="33"/>
      <c r="C35" s="70">
        <f>PMT(C34/12,C33*12,C32)*12</f>
        <v>-879562.9058786742</v>
      </c>
      <c r="D35" s="57"/>
      <c r="E35" s="57"/>
      <c r="F35" s="34"/>
      <c r="G35" s="23"/>
      <c r="H35" s="56"/>
      <c r="I35" s="57"/>
      <c r="J35" s="33"/>
      <c r="K35" s="44">
        <f>PMT(K34/12,K33*12,K32)*12</f>
        <v>-831207.1480405071</v>
      </c>
      <c r="L35" s="22"/>
      <c r="M35" s="24"/>
      <c r="N35" s="24">
        <f>PMT(N34/12,N33*12,N32)*12+N43</f>
        <v>-776973.1423216796</v>
      </c>
    </row>
    <row r="36" spans="1:14" ht="12.75">
      <c r="A36" s="33" t="s">
        <v>149</v>
      </c>
      <c r="B36" s="33"/>
      <c r="C36" s="70">
        <f>+C27+C35</f>
        <v>-17074.90587867424</v>
      </c>
      <c r="D36" s="57"/>
      <c r="E36" s="57"/>
      <c r="F36" s="34"/>
      <c r="G36" s="23"/>
      <c r="H36" s="56"/>
      <c r="I36" s="57"/>
      <c r="J36" s="33"/>
      <c r="K36" s="44">
        <f>+K27+K35</f>
        <v>333151.65195949294</v>
      </c>
      <c r="L36" s="22"/>
      <c r="M36" s="24"/>
      <c r="N36" s="24">
        <f>+N27+N35</f>
        <v>258012.45767832035</v>
      </c>
    </row>
    <row r="37" spans="1:14" ht="12.75">
      <c r="A37" s="33" t="s">
        <v>150</v>
      </c>
      <c r="B37" s="33"/>
      <c r="C37" s="74">
        <f>+C36/C31</f>
        <v>-0.005066715085286125</v>
      </c>
      <c r="D37" s="57"/>
      <c r="E37" s="57"/>
      <c r="F37" s="34"/>
      <c r="G37" s="23"/>
      <c r="H37" s="56"/>
      <c r="I37" s="57"/>
      <c r="J37" s="33"/>
      <c r="K37" s="45">
        <f>+K36/K31</f>
        <v>0.17309486668911678</v>
      </c>
      <c r="L37" s="22"/>
      <c r="M37" s="24"/>
      <c r="N37" s="25">
        <f>+N36/N31</f>
        <v>0.1013795427010387</v>
      </c>
    </row>
    <row r="38" spans="1:14" ht="12.75">
      <c r="A38" s="33"/>
      <c r="B38" s="33"/>
      <c r="C38" s="32"/>
      <c r="D38" s="57"/>
      <c r="E38" s="57"/>
      <c r="F38" s="34"/>
      <c r="G38" s="23"/>
      <c r="H38" s="56"/>
      <c r="I38" s="57"/>
      <c r="J38" s="33"/>
      <c r="K38" s="43"/>
      <c r="L38" s="22"/>
      <c r="M38" s="22"/>
      <c r="N38" s="22"/>
    </row>
    <row r="39" spans="1:13" ht="12.75">
      <c r="A39" s="69" t="s">
        <v>151</v>
      </c>
      <c r="B39" s="37"/>
      <c r="C39" s="75"/>
      <c r="D39" s="65"/>
      <c r="E39" s="65"/>
      <c r="F39" s="38"/>
      <c r="G39" s="18"/>
      <c r="H39" s="64"/>
      <c r="I39" s="65"/>
      <c r="J39" s="37"/>
      <c r="K39" s="46"/>
      <c r="M39" s="29" t="s">
        <v>152</v>
      </c>
    </row>
    <row r="40" spans="1:14" ht="12.75">
      <c r="A40" s="33" t="s">
        <v>145</v>
      </c>
      <c r="B40" s="33"/>
      <c r="C40" s="75"/>
      <c r="D40" s="65"/>
      <c r="E40" s="65"/>
      <c r="F40" s="38"/>
      <c r="G40" s="18"/>
      <c r="H40" s="64"/>
      <c r="I40" s="65"/>
      <c r="J40" s="37"/>
      <c r="K40" s="46"/>
      <c r="M40" s="17" t="s">
        <v>153</v>
      </c>
      <c r="N40" s="16">
        <f>SUM(N6:N8)</f>
        <v>1750000</v>
      </c>
    </row>
    <row r="41" spans="1:14" ht="12.75">
      <c r="A41" s="68" t="s">
        <v>145</v>
      </c>
      <c r="B41" s="33" t="s">
        <v>146</v>
      </c>
      <c r="C41" s="75"/>
      <c r="D41" s="65"/>
      <c r="E41" s="65"/>
      <c r="F41" s="38"/>
      <c r="G41" s="18"/>
      <c r="H41" s="64"/>
      <c r="I41" s="65"/>
      <c r="J41" s="37"/>
      <c r="K41" s="46"/>
      <c r="N41" s="22">
        <v>30</v>
      </c>
    </row>
    <row r="42" spans="1:14" ht="12.75">
      <c r="A42" s="33"/>
      <c r="B42" s="33" t="s">
        <v>147</v>
      </c>
      <c r="C42" s="75"/>
      <c r="D42" s="65"/>
      <c r="E42" s="65"/>
      <c r="F42" s="38"/>
      <c r="G42" s="18"/>
      <c r="H42" s="64"/>
      <c r="I42" s="65"/>
      <c r="J42" s="37"/>
      <c r="K42" s="46"/>
      <c r="N42" s="25">
        <v>0.05</v>
      </c>
    </row>
    <row r="43" spans="1:14" ht="12.75">
      <c r="A43" s="33" t="s">
        <v>148</v>
      </c>
      <c r="B43" s="37"/>
      <c r="C43" s="75"/>
      <c r="D43" s="65"/>
      <c r="E43" s="65"/>
      <c r="F43" s="38"/>
      <c r="G43" s="18"/>
      <c r="H43" s="64"/>
      <c r="I43" s="65"/>
      <c r="J43" s="37"/>
      <c r="K43" s="46"/>
      <c r="N43" s="24">
        <f>PMT(N42/12,N41*12,N40)*12</f>
        <v>-112732.54083254901</v>
      </c>
    </row>
    <row r="44" spans="1:11" ht="13.5" thickBot="1">
      <c r="A44" s="37"/>
      <c r="B44" s="37"/>
      <c r="C44" s="39"/>
      <c r="D44" s="67"/>
      <c r="E44" s="67"/>
      <c r="F44" s="41"/>
      <c r="G44" s="18"/>
      <c r="H44" s="66"/>
      <c r="I44" s="67"/>
      <c r="J44" s="40"/>
      <c r="K44" s="47"/>
    </row>
    <row r="45" spans="4:9" ht="12.75">
      <c r="D45" s="18"/>
      <c r="E45" s="18"/>
      <c r="F45" s="18"/>
      <c r="G45" s="18"/>
      <c r="H45" s="18"/>
      <c r="I45" s="18"/>
    </row>
    <row r="46" spans="4:9" ht="12.75">
      <c r="D46" s="18"/>
      <c r="E46" s="18"/>
      <c r="F46" s="18"/>
      <c r="G46" s="18"/>
      <c r="H46" s="18"/>
      <c r="I46" s="18"/>
    </row>
    <row r="47" spans="4:9" ht="12.75">
      <c r="D47" s="18"/>
      <c r="E47" s="18"/>
      <c r="F47" s="18"/>
      <c r="G47" s="18"/>
      <c r="H47" s="18"/>
      <c r="I47" s="18"/>
    </row>
    <row r="101" spans="10:16" ht="12.75">
      <c r="J101" s="1" t="s">
        <v>154</v>
      </c>
      <c r="P101" s="2"/>
    </row>
    <row r="102" ht="12.75">
      <c r="J102" s="1" t="s">
        <v>155</v>
      </c>
    </row>
    <row r="104" spans="1:15" ht="12.75">
      <c r="A104" s="1" t="s">
        <v>156</v>
      </c>
      <c r="C104" s="1" t="s">
        <v>157</v>
      </c>
      <c r="J104" s="3">
        <v>700000</v>
      </c>
      <c r="K104" s="3"/>
      <c r="L104" s="3">
        <v>700000</v>
      </c>
      <c r="M104" s="3">
        <v>700000</v>
      </c>
      <c r="N104" s="3">
        <v>700000</v>
      </c>
      <c r="O104" s="3">
        <v>700000</v>
      </c>
    </row>
    <row r="105" spans="3:15" ht="12.75">
      <c r="C105" s="1" t="s">
        <v>158</v>
      </c>
      <c r="J105" s="3">
        <v>20000</v>
      </c>
      <c r="L105" s="3">
        <v>20000</v>
      </c>
      <c r="M105" s="3">
        <v>20000</v>
      </c>
      <c r="N105" s="3">
        <v>20000</v>
      </c>
      <c r="O105" s="3">
        <v>20000</v>
      </c>
    </row>
    <row r="106" spans="3:15" ht="12.75">
      <c r="C106" s="1" t="s">
        <v>159</v>
      </c>
      <c r="J106" s="4">
        <v>8</v>
      </c>
      <c r="K106" s="1" t="s">
        <v>133</v>
      </c>
      <c r="L106" s="4">
        <v>8</v>
      </c>
      <c r="M106" s="4">
        <v>8</v>
      </c>
      <c r="N106" s="4">
        <v>8</v>
      </c>
      <c r="O106" s="4">
        <v>8</v>
      </c>
    </row>
    <row r="107" spans="3:15" ht="12.75">
      <c r="C107" s="1" t="s">
        <v>90</v>
      </c>
      <c r="J107" s="5">
        <v>0.1</v>
      </c>
      <c r="L107" s="5">
        <v>0.1</v>
      </c>
      <c r="M107" s="5">
        <v>0.1</v>
      </c>
      <c r="N107" s="5">
        <v>0.1</v>
      </c>
      <c r="O107" s="5">
        <v>0.1</v>
      </c>
    </row>
    <row r="108" spans="3:10" ht="12.75">
      <c r="C108" s="1" t="s">
        <v>160</v>
      </c>
      <c r="J108" s="3"/>
    </row>
    <row r="109" spans="3:15" ht="12.75">
      <c r="C109" s="1" t="s">
        <v>161</v>
      </c>
      <c r="J109" s="3">
        <v>500000</v>
      </c>
      <c r="K109" s="1" t="s">
        <v>162</v>
      </c>
      <c r="L109" s="3">
        <v>500000</v>
      </c>
      <c r="M109" s="3">
        <v>500000</v>
      </c>
      <c r="N109" s="3">
        <v>400000</v>
      </c>
      <c r="O109" s="3">
        <v>200000</v>
      </c>
    </row>
    <row r="110" spans="10:15" ht="12.75">
      <c r="J110" s="6">
        <v>20</v>
      </c>
      <c r="K110" s="1" t="s">
        <v>146</v>
      </c>
      <c r="L110" s="6">
        <v>10</v>
      </c>
      <c r="M110" s="6">
        <v>20</v>
      </c>
      <c r="N110" s="7">
        <v>20</v>
      </c>
      <c r="O110" s="7">
        <v>30</v>
      </c>
    </row>
    <row r="111" spans="10:15" ht="12.75">
      <c r="J111" s="8">
        <v>0.12</v>
      </c>
      <c r="K111" s="1" t="s">
        <v>163</v>
      </c>
      <c r="L111" s="6">
        <v>0.09</v>
      </c>
      <c r="M111" s="6">
        <v>0.09</v>
      </c>
      <c r="N111" s="6">
        <v>0.09</v>
      </c>
      <c r="O111" s="9">
        <v>0.09</v>
      </c>
    </row>
    <row r="112" ht="12.75">
      <c r="O112" s="2"/>
    </row>
    <row r="113" spans="15:16" ht="12.75">
      <c r="O113" s="3"/>
      <c r="P113" s="3"/>
    </row>
    <row r="114" spans="15:16" ht="12.75">
      <c r="O114" s="3"/>
      <c r="P114" s="3"/>
    </row>
    <row r="115" spans="10:16" ht="12.75">
      <c r="J115" s="1" t="s">
        <v>164</v>
      </c>
      <c r="K115" s="1" t="s">
        <v>0</v>
      </c>
      <c r="L115" s="1" t="s">
        <v>1</v>
      </c>
      <c r="M115" s="1" t="s">
        <v>2</v>
      </c>
      <c r="N115" s="1" t="s">
        <v>3</v>
      </c>
      <c r="O115" s="3"/>
      <c r="P115" s="3"/>
    </row>
    <row r="116" spans="1:16" ht="12.75">
      <c r="A116" s="1" t="s">
        <v>156</v>
      </c>
      <c r="K116" s="3"/>
      <c r="L116" s="3"/>
      <c r="M116" s="3"/>
      <c r="O116" s="3"/>
      <c r="P116" s="3"/>
    </row>
    <row r="117" spans="1:16" ht="12.75">
      <c r="A117" s="6">
        <v>1</v>
      </c>
      <c r="C117" s="1" t="s">
        <v>4</v>
      </c>
      <c r="J117" s="3">
        <f>J105*J106</f>
        <v>160000</v>
      </c>
      <c r="K117" s="3"/>
      <c r="L117" s="3">
        <f>L105*L106</f>
        <v>160000</v>
      </c>
      <c r="M117" s="3">
        <f>M105*M106</f>
        <v>160000</v>
      </c>
      <c r="N117" s="3">
        <f>N105*N106</f>
        <v>160000</v>
      </c>
      <c r="O117" s="3"/>
      <c r="P117" s="3"/>
    </row>
    <row r="118" spans="3:16" ht="12.75">
      <c r="C118" s="1" t="s">
        <v>5</v>
      </c>
      <c r="J118" s="3"/>
      <c r="K118" s="3"/>
      <c r="L118" s="3"/>
      <c r="M118" s="3"/>
      <c r="N118" s="3"/>
      <c r="O118" s="3"/>
      <c r="P118" s="3"/>
    </row>
    <row r="119" spans="1:16" ht="12.75">
      <c r="A119" s="6">
        <v>2</v>
      </c>
      <c r="B119" s="1" t="s">
        <v>6</v>
      </c>
      <c r="C119" s="1" t="s">
        <v>7</v>
      </c>
      <c r="J119" s="3">
        <f>J107*J117</f>
        <v>16000</v>
      </c>
      <c r="K119" s="3"/>
      <c r="L119" s="3">
        <f>L107*L117</f>
        <v>16000</v>
      </c>
      <c r="M119" s="3">
        <f>M107*M117</f>
        <v>16000</v>
      </c>
      <c r="N119" s="3">
        <f>N107*N117</f>
        <v>16000</v>
      </c>
      <c r="O119" s="3"/>
      <c r="P119" s="3"/>
    </row>
    <row r="120" spans="3:16" ht="12.75">
      <c r="C120" s="1" t="s">
        <v>8</v>
      </c>
      <c r="J120" s="3"/>
      <c r="K120" s="3"/>
      <c r="L120" s="3"/>
      <c r="M120" s="3"/>
      <c r="N120" s="3"/>
      <c r="O120" s="3"/>
      <c r="P120" s="3"/>
    </row>
    <row r="121" spans="1:16" ht="12.75">
      <c r="A121" s="6">
        <v>3</v>
      </c>
      <c r="B121" s="1" t="s">
        <v>9</v>
      </c>
      <c r="C121" s="1" t="s">
        <v>10</v>
      </c>
      <c r="J121" s="3">
        <f>J117-J119</f>
        <v>144000</v>
      </c>
      <c r="K121" s="3"/>
      <c r="L121" s="3">
        <f>L117-L119</f>
        <v>144000</v>
      </c>
      <c r="M121" s="3">
        <f>M117-M119</f>
        <v>144000</v>
      </c>
      <c r="N121" s="3">
        <f>N117-N119</f>
        <v>144000</v>
      </c>
      <c r="O121" s="3"/>
      <c r="P121" s="3"/>
    </row>
    <row r="122" spans="3:16" ht="12.75">
      <c r="C122" s="1" t="s">
        <v>11</v>
      </c>
      <c r="J122" s="3"/>
      <c r="K122" s="3"/>
      <c r="L122" s="3"/>
      <c r="M122" s="3"/>
      <c r="N122" s="3"/>
      <c r="O122" s="3"/>
      <c r="P122" s="3"/>
    </row>
    <row r="123" spans="1:16" ht="12.75">
      <c r="A123" s="6">
        <v>4</v>
      </c>
      <c r="B123" s="1" t="s">
        <v>6</v>
      </c>
      <c r="C123" s="1" t="s">
        <v>12</v>
      </c>
      <c r="J123" s="3">
        <v>44000</v>
      </c>
      <c r="K123" s="3"/>
      <c r="L123" s="3">
        <v>44000</v>
      </c>
      <c r="M123" s="3">
        <v>44000</v>
      </c>
      <c r="N123" s="3">
        <v>44000</v>
      </c>
      <c r="O123" s="3"/>
      <c r="P123" s="3"/>
    </row>
    <row r="124" spans="2:16" ht="12.75">
      <c r="B124" s="1" t="s">
        <v>13</v>
      </c>
      <c r="C124" s="1" t="s">
        <v>14</v>
      </c>
      <c r="J124" s="3"/>
      <c r="K124" s="3"/>
      <c r="L124" s="3"/>
      <c r="M124" s="3"/>
      <c r="N124" s="3"/>
      <c r="O124" s="3"/>
      <c r="P124" s="3"/>
    </row>
    <row r="125" spans="2:16" ht="12.75">
      <c r="B125" s="1" t="s">
        <v>15</v>
      </c>
      <c r="C125" s="1" t="s">
        <v>16</v>
      </c>
      <c r="J125" s="3"/>
      <c r="K125" s="3"/>
      <c r="L125" s="3"/>
      <c r="M125" s="3"/>
      <c r="N125" s="3"/>
      <c r="O125" s="3"/>
      <c r="P125" s="3"/>
    </row>
    <row r="126" spans="2:16" ht="12.75">
      <c r="B126" s="1" t="s">
        <v>17</v>
      </c>
      <c r="C126" s="1" t="s">
        <v>18</v>
      </c>
      <c r="J126" s="3"/>
      <c r="K126" s="3"/>
      <c r="L126" s="3"/>
      <c r="M126" s="3"/>
      <c r="N126" s="3"/>
      <c r="O126" s="3"/>
      <c r="P126" s="3"/>
    </row>
    <row r="127" spans="2:16" ht="12.75">
      <c r="B127" s="1" t="s">
        <v>19</v>
      </c>
      <c r="C127" s="1" t="s">
        <v>20</v>
      </c>
      <c r="J127" s="3"/>
      <c r="K127" s="3"/>
      <c r="L127" s="3"/>
      <c r="M127" s="3"/>
      <c r="N127" s="3"/>
      <c r="O127" s="3"/>
      <c r="P127" s="3"/>
    </row>
    <row r="128" spans="2:16" ht="12.75">
      <c r="B128" s="1" t="s">
        <v>21</v>
      </c>
      <c r="C128" s="1" t="s">
        <v>22</v>
      </c>
      <c r="J128" s="3"/>
      <c r="K128" s="3"/>
      <c r="L128" s="3"/>
      <c r="M128" s="3"/>
      <c r="N128" s="3"/>
      <c r="O128" s="3"/>
      <c r="P128" s="3"/>
    </row>
    <row r="129" spans="2:16" ht="12.75">
      <c r="B129" s="1" t="s">
        <v>23</v>
      </c>
      <c r="C129" s="1" t="s">
        <v>24</v>
      </c>
      <c r="J129" s="3"/>
      <c r="K129" s="3"/>
      <c r="L129" s="3"/>
      <c r="M129" s="3"/>
      <c r="N129" s="3"/>
      <c r="O129" s="3"/>
      <c r="P129" s="3"/>
    </row>
    <row r="130" spans="2:16" ht="12.75">
      <c r="B130" s="1" t="s">
        <v>25</v>
      </c>
      <c r="C130" s="1" t="s">
        <v>26</v>
      </c>
      <c r="J130" s="3"/>
      <c r="K130" s="3"/>
      <c r="L130" s="3"/>
      <c r="M130" s="3"/>
      <c r="N130" s="3"/>
      <c r="O130" s="3"/>
      <c r="P130" s="3"/>
    </row>
    <row r="131" spans="2:16" ht="12.75">
      <c r="B131" s="1" t="s">
        <v>27</v>
      </c>
      <c r="C131" s="1" t="s">
        <v>28</v>
      </c>
      <c r="J131" s="3"/>
      <c r="K131" s="3"/>
      <c r="L131" s="3"/>
      <c r="M131" s="3"/>
      <c r="N131" s="3"/>
      <c r="O131" s="3"/>
      <c r="P131" s="3"/>
    </row>
    <row r="132" spans="1:16" ht="12.75">
      <c r="A132" s="6">
        <v>5</v>
      </c>
      <c r="B132" s="1" t="s">
        <v>9</v>
      </c>
      <c r="C132" s="1" t="s">
        <v>29</v>
      </c>
      <c r="J132" s="3">
        <f>J121-J123</f>
        <v>100000</v>
      </c>
      <c r="K132" s="3"/>
      <c r="L132" s="3">
        <f>L121-L123</f>
        <v>100000</v>
      </c>
      <c r="M132" s="3">
        <f>M121-M123</f>
        <v>100000</v>
      </c>
      <c r="N132" s="3">
        <f>N121-N123</f>
        <v>100000</v>
      </c>
      <c r="O132" s="10" t="s">
        <v>156</v>
      </c>
      <c r="P132" s="3"/>
    </row>
    <row r="133" spans="1:16" ht="12.75">
      <c r="A133" s="6">
        <v>6</v>
      </c>
      <c r="B133" s="1" t="s">
        <v>6</v>
      </c>
      <c r="C133" s="1" t="s">
        <v>148</v>
      </c>
      <c r="J133" s="3">
        <f>PMT(J111/12,J110*12,-J109)*12</f>
        <v>66065.16801417657</v>
      </c>
      <c r="K133" s="10" t="s">
        <v>156</v>
      </c>
      <c r="L133" s="3">
        <f>PMT(L111/12,L110*12,-L109)*12</f>
        <v>76005.46425014916</v>
      </c>
      <c r="M133" s="3">
        <f>PMT(M111/12,M110*12,-M109)*12</f>
        <v>53983.55735101017</v>
      </c>
      <c r="N133" s="3">
        <f>(PMT(N111/12,N110*12,-N109)*12)+O133</f>
        <v>62497.78868748288</v>
      </c>
      <c r="O133" s="3">
        <f>PMT(O111/12,O110*12,-O109)*12</f>
        <v>19310.942806674742</v>
      </c>
      <c r="P133" s="3"/>
    </row>
    <row r="134" spans="1:16" ht="12.75">
      <c r="A134" s="6">
        <v>7</v>
      </c>
      <c r="B134" s="1" t="s">
        <v>9</v>
      </c>
      <c r="C134" s="1" t="s">
        <v>149</v>
      </c>
      <c r="J134" s="3">
        <f>J132-J133</f>
        <v>33934.83198582343</v>
      </c>
      <c r="K134" s="3"/>
      <c r="L134" s="3">
        <f>L132-L133</f>
        <v>23994.53574985084</v>
      </c>
      <c r="M134" s="3">
        <f>M132-M133</f>
        <v>46016.44264898983</v>
      </c>
      <c r="N134" s="3">
        <f>N132-N133</f>
        <v>37502.21131251712</v>
      </c>
      <c r="O134" s="10" t="s">
        <v>156</v>
      </c>
      <c r="P134" s="3"/>
    </row>
    <row r="135" spans="10:16" ht="12.75">
      <c r="J135" s="3"/>
      <c r="K135" s="3"/>
      <c r="L135" s="3"/>
      <c r="M135" s="3"/>
      <c r="N135" s="3"/>
      <c r="O135" s="3"/>
      <c r="P135" s="3"/>
    </row>
    <row r="136" spans="1:16" ht="12.75">
      <c r="A136" s="1" t="s">
        <v>30</v>
      </c>
      <c r="J136" s="3"/>
      <c r="K136" s="3"/>
      <c r="L136" s="3"/>
      <c r="M136" s="3"/>
      <c r="N136" s="3"/>
      <c r="O136" s="3"/>
      <c r="P136" s="3"/>
    </row>
    <row r="137" spans="3:16" ht="12.75">
      <c r="C137" s="1" t="s">
        <v>31</v>
      </c>
      <c r="J137" s="11">
        <f>J134/(J104-J109)</f>
        <v>0.16967415992911716</v>
      </c>
      <c r="K137" s="3"/>
      <c r="L137" s="11">
        <f>L134/(L104-L109)</f>
        <v>0.11997267874925419</v>
      </c>
      <c r="M137" s="11">
        <f>M134/(M104-M109)</f>
        <v>0.23008221324494915</v>
      </c>
      <c r="N137" s="11">
        <f>N134/(N104-N109-O109)</f>
        <v>0.37502211312517125</v>
      </c>
      <c r="O137" s="12" t="s">
        <v>156</v>
      </c>
      <c r="P137" s="3"/>
    </row>
    <row r="138" spans="10:16" ht="12.75">
      <c r="J138" s="3"/>
      <c r="K138" s="3"/>
      <c r="L138" s="3"/>
      <c r="M138" s="3"/>
      <c r="N138" s="3"/>
      <c r="O138" s="3"/>
      <c r="P138" s="3"/>
    </row>
    <row r="139" spans="1:16" ht="12.75">
      <c r="A139" s="1" t="s">
        <v>32</v>
      </c>
      <c r="J139" s="3"/>
      <c r="K139" s="3"/>
      <c r="L139" s="3"/>
      <c r="M139" s="3"/>
      <c r="N139" s="3"/>
      <c r="O139" s="3"/>
      <c r="P139" s="3"/>
    </row>
    <row r="140" spans="3:16" ht="12.75">
      <c r="C140" s="1" t="s">
        <v>33</v>
      </c>
      <c r="J140" s="9">
        <f>J132/J133</f>
        <v>1.51365693913836</v>
      </c>
      <c r="K140" s="3"/>
      <c r="L140" s="9">
        <f>L132/L133</f>
        <v>1.3156948778166795</v>
      </c>
      <c r="M140" s="9">
        <f>M132/M133</f>
        <v>1.8524159004524874</v>
      </c>
      <c r="N140" s="9">
        <f>N132/N133</f>
        <v>1.6000566116034136</v>
      </c>
      <c r="O140" s="3"/>
      <c r="P140" s="3"/>
    </row>
    <row r="141" spans="10:16" ht="12.75">
      <c r="J141" s="10" t="s">
        <v>34</v>
      </c>
      <c r="K141" s="3"/>
      <c r="L141" s="3"/>
      <c r="M141" s="3"/>
      <c r="N141" s="3"/>
      <c r="O141" s="3"/>
      <c r="P141" s="3"/>
    </row>
    <row r="142" spans="1:16" ht="12.75">
      <c r="A142" s="1" t="s">
        <v>35</v>
      </c>
      <c r="J142" s="10" t="s">
        <v>36</v>
      </c>
      <c r="K142" s="3"/>
      <c r="L142" s="3"/>
      <c r="M142" s="3"/>
      <c r="N142" s="3"/>
      <c r="O142" s="3"/>
      <c r="P142" s="3"/>
    </row>
    <row r="143" spans="3:16" ht="12.75">
      <c r="C143" s="1" t="s">
        <v>37</v>
      </c>
      <c r="J143" s="11">
        <f>(J123+J133)/J117</f>
        <v>0.6879073000886036</v>
      </c>
      <c r="K143" s="3"/>
      <c r="L143" s="11">
        <f>(L123+L133)/L117</f>
        <v>0.7500341515634322</v>
      </c>
      <c r="M143" s="11">
        <f>(M123+M133)/M117</f>
        <v>0.6123972334438136</v>
      </c>
      <c r="N143" s="11">
        <f>(N123+N133)/N117</f>
        <v>0.665611179296768</v>
      </c>
      <c r="O143" s="3"/>
      <c r="P143" s="3"/>
    </row>
    <row r="144" spans="1:16" ht="12.75">
      <c r="A144" s="1" t="s">
        <v>38</v>
      </c>
      <c r="J144" s="11"/>
      <c r="K144" s="3"/>
      <c r="L144" s="11"/>
      <c r="M144" s="11"/>
      <c r="N144" s="11"/>
      <c r="O144" s="3"/>
      <c r="P144" s="3"/>
    </row>
    <row r="145" spans="1:16" ht="12.75">
      <c r="A145" s="1" t="s">
        <v>39</v>
      </c>
      <c r="O145" s="3"/>
      <c r="P145" s="3"/>
    </row>
    <row r="146" spans="15:16" ht="12.75">
      <c r="O146" s="3"/>
      <c r="P146" s="3"/>
    </row>
    <row r="147" spans="1:16" ht="12.75">
      <c r="A147" s="1" t="s">
        <v>40</v>
      </c>
      <c r="J147" s="11">
        <f>J109/J104</f>
        <v>0.7142857142857143</v>
      </c>
      <c r="K147" s="3"/>
      <c r="L147" s="11">
        <f>L109/L104</f>
        <v>0.7142857142857143</v>
      </c>
      <c r="M147" s="11">
        <f>M109/M104</f>
        <v>0.7142857142857143</v>
      </c>
      <c r="N147" s="11">
        <f>(+N109+O109)/N104</f>
        <v>0.8571428571428571</v>
      </c>
      <c r="O147" s="3"/>
      <c r="P147" s="3"/>
    </row>
    <row r="148" spans="1:16" ht="12.75">
      <c r="A148" s="10" t="s">
        <v>41</v>
      </c>
      <c r="J148" s="11"/>
      <c r="K148" s="3"/>
      <c r="N148" s="3"/>
      <c r="O148" s="3"/>
      <c r="P148" s="3"/>
    </row>
    <row r="149" spans="10:16" ht="12.75">
      <c r="J149" s="11"/>
      <c r="K149" s="3"/>
      <c r="N149" s="3"/>
      <c r="O149" s="3"/>
      <c r="P149" s="3"/>
    </row>
    <row r="150" spans="1:16" ht="12.75">
      <c r="A150" s="1" t="s">
        <v>42</v>
      </c>
      <c r="J150" s="11"/>
      <c r="K150" s="3"/>
      <c r="N150" s="3"/>
      <c r="O150" s="3"/>
      <c r="P150" s="3"/>
    </row>
    <row r="151" spans="10:16" ht="12.75">
      <c r="J151" s="3"/>
      <c r="K151" s="3"/>
      <c r="N151" s="3"/>
      <c r="O151" s="3"/>
      <c r="P151" s="3"/>
    </row>
    <row r="152" spans="3:16" ht="12.75">
      <c r="C152" s="1" t="s">
        <v>156</v>
      </c>
      <c r="J152" s="3"/>
      <c r="K152" s="3"/>
      <c r="N152" s="3"/>
      <c r="O152" s="3"/>
      <c r="P152" s="3"/>
    </row>
    <row r="153" spans="3:16" ht="12.75">
      <c r="C153" s="1" t="s">
        <v>43</v>
      </c>
      <c r="J153" s="3"/>
      <c r="K153" s="3"/>
      <c r="M153" s="3"/>
      <c r="N153" s="3"/>
      <c r="O153" s="3"/>
      <c r="P153" s="3"/>
    </row>
    <row r="154" spans="3:14" ht="12.75">
      <c r="C154" s="1" t="s">
        <v>44</v>
      </c>
      <c r="J154" s="3"/>
      <c r="K154" s="3"/>
      <c r="M154" s="3"/>
      <c r="N154" s="3"/>
    </row>
    <row r="155" spans="10:14" ht="12.75">
      <c r="J155" s="3"/>
      <c r="K155" s="3"/>
      <c r="N155" s="3"/>
    </row>
    <row r="156" spans="10:14" ht="12.75">
      <c r="J156" s="3"/>
      <c r="K156" s="3"/>
      <c r="N156" s="3"/>
    </row>
    <row r="157" spans="10:14" ht="12.75">
      <c r="J157" s="3"/>
      <c r="K157" s="3"/>
      <c r="M157" s="3"/>
      <c r="N157" s="3"/>
    </row>
    <row r="158" spans="10:14" ht="12.75">
      <c r="J158" s="3"/>
      <c r="K158" s="3"/>
      <c r="L158" s="3"/>
      <c r="M158" s="3"/>
      <c r="N158" s="3"/>
    </row>
    <row r="159" spans="10:14" ht="12.75">
      <c r="J159" s="3"/>
      <c r="K159" s="3"/>
      <c r="L159" s="3"/>
      <c r="M159" s="3"/>
      <c r="N159" s="3"/>
    </row>
    <row r="160" spans="10:14" ht="12.75">
      <c r="J160" s="3"/>
      <c r="K160" s="3"/>
      <c r="L160" s="3"/>
      <c r="M160" s="3"/>
      <c r="N160" s="3"/>
    </row>
    <row r="161" spans="3:14" ht="12.75">
      <c r="C161" s="1" t="s">
        <v>45</v>
      </c>
      <c r="J161" s="3"/>
      <c r="K161" s="3"/>
      <c r="L161" s="3"/>
      <c r="M161" s="3"/>
      <c r="N161" s="3"/>
    </row>
    <row r="162" spans="10:14" ht="12.75">
      <c r="J162" s="3"/>
      <c r="K162" s="3"/>
      <c r="L162" s="3"/>
      <c r="M162" s="3"/>
      <c r="N162" s="3"/>
    </row>
    <row r="163" spans="3:14" ht="12.75">
      <c r="C163" s="1" t="s">
        <v>46</v>
      </c>
      <c r="J163" s="3"/>
      <c r="K163" s="3"/>
      <c r="L163" s="3"/>
      <c r="M163" s="3"/>
      <c r="N163" s="3"/>
    </row>
    <row r="164" spans="2:14" ht="12.75">
      <c r="B164" s="1" t="s">
        <v>47</v>
      </c>
      <c r="C164" s="1" t="s">
        <v>45</v>
      </c>
      <c r="J164" s="3"/>
      <c r="K164" s="3"/>
      <c r="L164" s="10" t="s">
        <v>48</v>
      </c>
      <c r="M164" s="3"/>
      <c r="N164" s="3"/>
    </row>
    <row r="165" spans="2:14" ht="12.75">
      <c r="B165" s="1" t="s">
        <v>9</v>
      </c>
      <c r="C165" s="1" t="s">
        <v>49</v>
      </c>
      <c r="J165" s="3"/>
      <c r="K165" s="3"/>
      <c r="L165" s="3"/>
      <c r="M165" s="3"/>
      <c r="N165" s="3"/>
    </row>
    <row r="166" spans="2:14" ht="12.75">
      <c r="B166" s="1" t="s">
        <v>50</v>
      </c>
      <c r="C166" s="1" t="s">
        <v>51</v>
      </c>
      <c r="J166" s="3"/>
      <c r="K166" s="3"/>
      <c r="L166" s="3"/>
      <c r="M166" s="3"/>
      <c r="N166" s="3"/>
    </row>
    <row r="167" spans="3:14" ht="12.75">
      <c r="C167" s="1" t="s">
        <v>52</v>
      </c>
      <c r="J167" s="3"/>
      <c r="K167" s="3"/>
      <c r="L167" s="3"/>
      <c r="M167" s="3"/>
      <c r="N167" s="3"/>
    </row>
    <row r="168" spans="10:14" ht="12.75">
      <c r="J168" s="3"/>
      <c r="K168" s="3"/>
      <c r="L168" s="3"/>
      <c r="M168" s="3"/>
      <c r="N168" s="3"/>
    </row>
    <row r="169" spans="3:14" ht="12.75">
      <c r="C169" s="1" t="s">
        <v>49</v>
      </c>
      <c r="J169" s="3"/>
      <c r="K169" s="3"/>
      <c r="L169" s="3"/>
      <c r="M169" s="3"/>
      <c r="N169" s="3"/>
    </row>
    <row r="170" spans="2:14" ht="12.75">
      <c r="B170" s="1" t="s">
        <v>6</v>
      </c>
      <c r="C170" s="1" t="s">
        <v>53</v>
      </c>
      <c r="J170" s="3"/>
      <c r="K170" s="3"/>
      <c r="L170" s="3"/>
      <c r="M170" s="3"/>
      <c r="N170" s="3"/>
    </row>
    <row r="171" spans="2:14" ht="12.75">
      <c r="B171" s="1" t="s">
        <v>9</v>
      </c>
      <c r="C171" s="1" t="s">
        <v>54</v>
      </c>
      <c r="J171" s="3"/>
      <c r="K171" s="3"/>
      <c r="L171" s="3"/>
      <c r="M171" s="3"/>
      <c r="N171" s="3"/>
    </row>
    <row r="172" spans="2:14" ht="12.75">
      <c r="B172" s="1" t="s">
        <v>6</v>
      </c>
      <c r="C172" s="1" t="s">
        <v>55</v>
      </c>
      <c r="J172" s="3"/>
      <c r="K172" s="3"/>
      <c r="L172" s="3"/>
      <c r="M172" s="3"/>
      <c r="N172" s="3"/>
    </row>
    <row r="173" spans="2:14" ht="12.75">
      <c r="B173" s="1" t="s">
        <v>6</v>
      </c>
      <c r="C173" s="1" t="s">
        <v>56</v>
      </c>
      <c r="J173" s="3"/>
      <c r="K173" s="3"/>
      <c r="L173" s="3"/>
      <c r="M173" s="3"/>
      <c r="N173" s="3"/>
    </row>
    <row r="174" spans="2:14" ht="12.75">
      <c r="B174" s="1" t="s">
        <v>9</v>
      </c>
      <c r="C174" s="1" t="s">
        <v>57</v>
      </c>
      <c r="J174" s="3"/>
      <c r="K174" s="3"/>
      <c r="L174" s="3"/>
      <c r="M174" s="3"/>
      <c r="N174" s="3"/>
    </row>
    <row r="175" spans="10:14" ht="12.75">
      <c r="J175" s="3"/>
      <c r="K175" s="3"/>
      <c r="L175" s="3"/>
      <c r="M175" s="3"/>
      <c r="N175" s="3"/>
    </row>
    <row r="176" spans="10:14" ht="12.75">
      <c r="J176" s="3"/>
      <c r="K176" s="3"/>
      <c r="L176" s="3"/>
      <c r="M176" s="3"/>
      <c r="N176" s="3"/>
    </row>
    <row r="177" spans="10:14" ht="12.75">
      <c r="J177" s="3"/>
      <c r="K177" s="3"/>
      <c r="L177" s="3"/>
      <c r="M177" s="3"/>
      <c r="N177" s="3"/>
    </row>
    <row r="178" spans="11:12" ht="12.75">
      <c r="K178" s="3"/>
      <c r="L178" s="3"/>
    </row>
    <row r="182" spans="11:12" ht="12.75">
      <c r="K182" s="3"/>
      <c r="L182" s="3"/>
    </row>
    <row r="183" spans="11:12" ht="12.75">
      <c r="K183" s="3"/>
      <c r="L183" s="3"/>
    </row>
    <row r="184" spans="11:12" ht="12.75">
      <c r="K184" s="3"/>
      <c r="L184" s="3"/>
    </row>
    <row r="185" spans="11:12" ht="12.75">
      <c r="K185" s="3"/>
      <c r="L185" s="3"/>
    </row>
    <row r="186" ht="12.75">
      <c r="L186" s="3"/>
    </row>
    <row r="187" ht="12.75">
      <c r="L187" s="3"/>
    </row>
    <row r="188" ht="12.75">
      <c r="L188" s="3"/>
    </row>
    <row r="201" ht="12.75">
      <c r="P201" s="2"/>
    </row>
    <row r="204" spans="11:13" ht="12.75">
      <c r="K204" s="13"/>
      <c r="L204" s="13"/>
      <c r="M204" s="13"/>
    </row>
    <row r="205" spans="11:13" ht="12.75">
      <c r="K205" s="13"/>
      <c r="L205" s="13"/>
      <c r="M205" s="13"/>
    </row>
    <row r="206" spans="11:13" ht="12.75">
      <c r="K206" s="13"/>
      <c r="L206" s="13"/>
      <c r="M206" s="13"/>
    </row>
    <row r="207" spans="11:13" ht="12.75">
      <c r="K207" s="13"/>
      <c r="L207" s="13"/>
      <c r="M207" s="13"/>
    </row>
    <row r="208" spans="11:13" ht="12.75">
      <c r="K208" s="13"/>
      <c r="L208" s="13"/>
      <c r="M208" s="13"/>
    </row>
    <row r="209" spans="11:13" ht="12.75">
      <c r="K209" s="13"/>
      <c r="L209" s="13"/>
      <c r="M209" s="13"/>
    </row>
    <row r="210" spans="11:15" ht="12.75">
      <c r="K210" s="13"/>
      <c r="L210" s="13"/>
      <c r="M210" s="13"/>
      <c r="O210" s="14"/>
    </row>
    <row r="211" spans="11:15" ht="12.75">
      <c r="K211" s="13"/>
      <c r="L211" s="13"/>
      <c r="M211" s="13"/>
      <c r="O211" s="2"/>
    </row>
    <row r="212" spans="11:15" ht="12.75">
      <c r="K212" s="13"/>
      <c r="L212" s="13"/>
      <c r="M212" s="13"/>
      <c r="O212" s="14"/>
    </row>
    <row r="213" spans="11:15" ht="12.75">
      <c r="K213" s="13"/>
      <c r="L213" s="13"/>
      <c r="M213" s="13"/>
      <c r="O213" s="14"/>
    </row>
    <row r="214" spans="11:15" ht="12.75">
      <c r="K214" s="13"/>
      <c r="L214" s="13"/>
      <c r="M214" s="13"/>
      <c r="O214" s="14"/>
    </row>
    <row r="215" spans="11:15" ht="12.75">
      <c r="K215" s="13"/>
      <c r="L215" s="13"/>
      <c r="M215" s="13"/>
      <c r="O215" s="14"/>
    </row>
    <row r="216" spans="11:15" ht="12.75">
      <c r="K216" s="13"/>
      <c r="L216" s="13"/>
      <c r="M216" s="13"/>
      <c r="O216" s="14"/>
    </row>
    <row r="217" spans="11:15" ht="12.75">
      <c r="K217" s="13"/>
      <c r="L217" s="13"/>
      <c r="M217" s="13"/>
      <c r="O217" s="14"/>
    </row>
    <row r="218" spans="11:15" ht="12.75">
      <c r="K218" s="13"/>
      <c r="L218" s="13"/>
      <c r="M218" s="13"/>
      <c r="O218" s="14"/>
    </row>
    <row r="219" spans="11:15" ht="12.75">
      <c r="K219" s="13"/>
      <c r="L219" s="13"/>
      <c r="M219" s="13"/>
      <c r="O219" s="14"/>
    </row>
    <row r="220" spans="11:15" ht="12.75">
      <c r="K220" s="13"/>
      <c r="L220" s="13"/>
      <c r="M220" s="13"/>
      <c r="O220" s="14"/>
    </row>
    <row r="221" spans="11:15" ht="12.75">
      <c r="K221" s="13"/>
      <c r="L221" s="13"/>
      <c r="M221" s="13"/>
      <c r="O221" s="14"/>
    </row>
    <row r="222" spans="11:15" ht="12.75">
      <c r="K222" s="13"/>
      <c r="L222" s="13"/>
      <c r="M222" s="13"/>
      <c r="O222" s="14"/>
    </row>
    <row r="223" spans="11:15" ht="12.75">
      <c r="K223" s="13"/>
      <c r="L223" s="13"/>
      <c r="M223" s="13"/>
      <c r="O223" s="2"/>
    </row>
    <row r="224" spans="11:15" ht="12.75">
      <c r="K224" s="13"/>
      <c r="L224" s="13"/>
      <c r="M224" s="13"/>
      <c r="O224" s="14"/>
    </row>
    <row r="225" ht="12.75">
      <c r="O225" s="14"/>
    </row>
    <row r="226" ht="12.75">
      <c r="O226" s="2"/>
    </row>
    <row r="228" ht="12.75">
      <c r="O228" s="2"/>
    </row>
    <row r="230" spans="13:15" ht="12.75">
      <c r="M230" s="3"/>
      <c r="O230" s="2"/>
    </row>
    <row r="231" spans="13:15" ht="12.75">
      <c r="M231" s="3"/>
      <c r="O231" s="2"/>
    </row>
    <row r="234" spans="12:16" ht="12.75">
      <c r="L234" s="13"/>
      <c r="P234" s="13"/>
    </row>
    <row r="235" spans="12:16" ht="12.75">
      <c r="L235" s="13"/>
      <c r="P235" s="13"/>
    </row>
    <row r="236" spans="12:16" ht="12.75">
      <c r="L236" s="13"/>
      <c r="P236" s="13"/>
    </row>
    <row r="237" spans="12:16" ht="12.75">
      <c r="L237" s="13"/>
      <c r="P237" s="13"/>
    </row>
    <row r="238" ht="12.75">
      <c r="M238" s="15"/>
    </row>
    <row r="239" ht="12.75">
      <c r="L239" s="3"/>
    </row>
    <row r="240" ht="12.75">
      <c r="L240" s="3"/>
    </row>
  </sheetData>
  <printOptions/>
  <pageMargins left="0.75" right="0.75" top="1" bottom="1" header="0.5" footer="0.5"/>
  <pageSetup fitToHeight="1" fitToWidth="1" horizontalDpi="600" verticalDpi="600" orientation="portrait" scale="6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GOLDFARB</dc:creator>
  <cp:keywords/>
  <dc:description/>
  <cp:lastModifiedBy>Eugene Goldfarb</cp:lastModifiedBy>
  <cp:lastPrinted>2006-07-16T17:53:19Z</cp:lastPrinted>
  <dcterms:created xsi:type="dcterms:W3CDTF">1999-01-05T22:55:08Z</dcterms:created>
  <dcterms:modified xsi:type="dcterms:W3CDTF">2007-08-09T14:15:25Z</dcterms:modified>
  <cp:category/>
  <cp:version/>
  <cp:contentType/>
  <cp:contentStatus/>
</cp:coreProperties>
</file>