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2"/>
  </bookViews>
  <sheets>
    <sheet name="Model" sheetId="1" r:id="rId1"/>
    <sheet name="Calculation" sheetId="2" r:id="rId2"/>
    <sheet name="Temperature profile" sheetId="3" r:id="rId3"/>
  </sheets>
  <externalReferences>
    <externalReference r:id="rId6"/>
  </externalReferences>
  <definedNames>
    <definedName name="DT_Nom">'Temperature profile'!$I$18</definedName>
    <definedName name="DT_of_DP">'Temperature profile'!$I$15</definedName>
    <definedName name="DT_Ulti">'Model'!$AN$20</definedName>
    <definedName name="fT">'Calculation'!$D$6</definedName>
    <definedName name="HTML_CodePage" hidden="1">1252</definedName>
    <definedName name="HTML_Control" hidden="1">{"'Temperature profile'!$AC$33","'Temperature profile'!$F$4:$L$18","'Temperature profile'!$A$1:$AC$33"}</definedName>
    <definedName name="HTML_Description" hidden="1">""</definedName>
    <definedName name="HTML_Email" hidden="1">""</definedName>
    <definedName name="HTML_Header" hidden="1">"Temperature profile"</definedName>
    <definedName name="HTML_LastUpdate" hidden="1">"2/24/00"</definedName>
    <definedName name="HTML_LineAfter" hidden="1">FALSE</definedName>
    <definedName name="HTML_LineBefore" hidden="1">FALSE</definedName>
    <definedName name="HTML_Name" hidden="1">"Valued Gateway Customer"</definedName>
    <definedName name="HTML_OBDlg2" hidden="1">TRUE</definedName>
    <definedName name="HTML_OBDlg4" hidden="1">TRUE</definedName>
    <definedName name="HTML_OS" hidden="1">0</definedName>
    <definedName name="HTML_PathFile" hidden="1">"T:\huang\Predicted_TII.htm"</definedName>
    <definedName name="HTML_Title" hidden="1">"Module1234"</definedName>
    <definedName name="Q_nominal">'Model'!$AN$1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<sst xmlns="http://schemas.openxmlformats.org/spreadsheetml/2006/main" count="196" uniqueCount="94">
  <si>
    <t>[cm]</t>
  </si>
  <si>
    <t>Top</t>
  </si>
  <si>
    <t>Bottom</t>
  </si>
  <si>
    <t>HXTU Temperature profile within pressurized He II, Yuenian Huang, 2/16/00</t>
  </si>
  <si>
    <t>(All dimensions are in cm, except listed.)</t>
  </si>
  <si>
    <t>cm</t>
  </si>
  <si>
    <t>Heater</t>
  </si>
  <si>
    <t>Thermometer</t>
  </si>
  <si>
    <t>1/f(T)</t>
  </si>
  <si>
    <t>[W]</t>
  </si>
  <si>
    <t>[cm^2]</t>
  </si>
  <si>
    <t>[W^3/cm^5-K]</t>
  </si>
  <si>
    <t>[mK]</t>
  </si>
  <si>
    <t>Q</t>
  </si>
  <si>
    <t>L</t>
  </si>
  <si>
    <t>DT</t>
  </si>
  <si>
    <t>PRESSURE</t>
  </si>
  <si>
    <t>TEMP</t>
  </si>
  <si>
    <t>DENSITY</t>
  </si>
  <si>
    <t>SFTC</t>
  </si>
  <si>
    <t>[bar]</t>
  </si>
  <si>
    <t>[K]</t>
  </si>
  <si>
    <t>[g/cm3]</t>
  </si>
  <si>
    <t>[W3/cm5-g]</t>
  </si>
  <si>
    <t>[W3/cm5-K]</t>
  </si>
  <si>
    <t>x-section A</t>
  </si>
  <si>
    <t>DT1</t>
  </si>
  <si>
    <t>DT2</t>
  </si>
  <si>
    <t>OD (corru)</t>
  </si>
  <si>
    <t>Left side</t>
  </si>
  <si>
    <t>Right side</t>
  </si>
  <si>
    <t>DT3</t>
  </si>
  <si>
    <t>DT4</t>
  </si>
  <si>
    <t>q1</t>
  </si>
  <si>
    <t>L1</t>
  </si>
  <si>
    <t>[W/cm^2]</t>
  </si>
  <si>
    <t>q2</t>
  </si>
  <si>
    <t>L2</t>
  </si>
  <si>
    <t>q3</t>
  </si>
  <si>
    <t>L3</t>
  </si>
  <si>
    <t>q4</t>
  </si>
  <si>
    <t>L4</t>
  </si>
  <si>
    <t>Equation</t>
  </si>
  <si>
    <t>q is constant</t>
  </si>
  <si>
    <t>q is proportional to x</t>
  </si>
  <si>
    <t>Total heater's power Q, Total length L, Vapor velocity at HX exit V, Total pressure drop DP and Temperature drop DT</t>
  </si>
  <si>
    <t>Saturated helium side pressure drop and temperature difference.</t>
  </si>
  <si>
    <t>[m]</t>
  </si>
  <si>
    <t>[m/s]</t>
  </si>
  <si>
    <t>[Pa]</t>
  </si>
  <si>
    <t>V</t>
  </si>
  <si>
    <t>DP</t>
  </si>
  <si>
    <t>Q_section</t>
  </si>
  <si>
    <t>DT_section</t>
  </si>
  <si>
    <t>Module 1</t>
  </si>
  <si>
    <t>Module 2&amp;3</t>
  </si>
  <si>
    <t>Module 4</t>
  </si>
  <si>
    <t>ID_1</t>
  </si>
  <si>
    <t>A1</t>
  </si>
  <si>
    <t>ID_2</t>
  </si>
  <si>
    <t>A2</t>
  </si>
  <si>
    <t>ID_3</t>
  </si>
  <si>
    <t>A3</t>
  </si>
  <si>
    <t>ID_4</t>
  </si>
  <si>
    <t>A4</t>
  </si>
  <si>
    <t>Total DT right</t>
  </si>
  <si>
    <t>Total DT left</t>
  </si>
  <si>
    <t>[W/cm]</t>
  </si>
  <si>
    <t>Q_SSHX</t>
  </si>
  <si>
    <t>Point 5</t>
  </si>
  <si>
    <t>Point 4</t>
  </si>
  <si>
    <t>Module 2</t>
  </si>
  <si>
    <t xml:space="preserve"> </t>
  </si>
  <si>
    <t>Wetted fraction</t>
  </si>
  <si>
    <t>[-]</t>
  </si>
  <si>
    <t>INPUT DATA</t>
  </si>
  <si>
    <t>q=Q/L</t>
  </si>
  <si>
    <t>SSHX Length</t>
  </si>
  <si>
    <t>Thermal resistance</t>
  </si>
  <si>
    <t>T_bath</t>
  </si>
  <si>
    <t>1/T_bath^3</t>
  </si>
  <si>
    <t>[K^-3]</t>
  </si>
  <si>
    <t>[mK/W]</t>
  </si>
  <si>
    <t>This value is imported from previous sheet</t>
  </si>
  <si>
    <t>You can change the wetted fraction of the corrugated pipe</t>
  </si>
  <si>
    <t>This value is calculated by Tom Peterson</t>
  </si>
  <si>
    <t>Module 3</t>
  </si>
  <si>
    <t>Liquid fraction</t>
  </si>
  <si>
    <t>Mass flow rate</t>
  </si>
  <si>
    <t>[g/s]</t>
  </si>
  <si>
    <t>Q in each module</t>
  </si>
  <si>
    <t>DT of DP</t>
  </si>
  <si>
    <t>Caused by vapor pressure drop</t>
  </si>
  <si>
    <t>Calculated temperature at each location, Y. Huang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</si>
</sst>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0"/>
    <numFmt numFmtId="170" formatCode="0.000000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5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1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3" fillId="6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14" xfId="0" applyFill="1" applyBorder="1" applyAlignment="1">
      <alignment/>
    </xf>
    <xf numFmtId="0" fontId="3" fillId="8" borderId="0" xfId="0" applyFont="1" applyFill="1" applyBorder="1" applyAlignment="1">
      <alignment/>
    </xf>
    <xf numFmtId="165" fontId="0" fillId="0" borderId="8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5" fontId="1" fillId="0" borderId="14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8" fontId="6" fillId="3" borderId="16" xfId="0" applyNumberFormat="1" applyFont="1" applyFill="1" applyBorder="1" applyAlignment="1">
      <alignment horizontal="center"/>
    </xf>
    <xf numFmtId="168" fontId="7" fillId="3" borderId="17" xfId="0" applyNumberFormat="1" applyFont="1" applyFill="1" applyBorder="1" applyAlignment="1">
      <alignment horizontal="center"/>
    </xf>
    <xf numFmtId="168" fontId="6" fillId="3" borderId="0" xfId="0" applyNumberFormat="1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center"/>
    </xf>
    <xf numFmtId="168" fontId="7" fillId="3" borderId="18" xfId="0" applyNumberFormat="1" applyFont="1" applyFill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8" fontId="5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2" fontId="4" fillId="3" borderId="0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8" fontId="11" fillId="3" borderId="22" xfId="0" applyNumberFormat="1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5" borderId="0" xfId="0" applyFill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9" fontId="4" fillId="0" borderId="15" xfId="19" applyFont="1" applyBorder="1" applyAlignment="1">
      <alignment/>
    </xf>
    <xf numFmtId="0" fontId="4" fillId="0" borderId="15" xfId="19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9" fontId="6" fillId="0" borderId="15" xfId="19" applyFont="1" applyBorder="1" applyAlignment="1">
      <alignment/>
    </xf>
    <xf numFmtId="164" fontId="6" fillId="0" borderId="15" xfId="0" applyNumberFormat="1" applyFont="1" applyBorder="1" applyAlignment="1">
      <alignment/>
    </xf>
    <xf numFmtId="165" fontId="4" fillId="0" borderId="15" xfId="19" applyNumberFormat="1" applyFont="1" applyBorder="1" applyAlignment="1">
      <alignment/>
    </xf>
    <xf numFmtId="168" fontId="11" fillId="3" borderId="24" xfId="0" applyNumberFormat="1" applyFont="1" applyFill="1" applyBorder="1" applyAlignment="1">
      <alignment horizontal="center"/>
    </xf>
    <xf numFmtId="168" fontId="11" fillId="3" borderId="23" xfId="0" applyNumberFormat="1" applyFont="1" applyFill="1" applyBorder="1" applyAlignment="1">
      <alignment horizontal="center"/>
    </xf>
    <xf numFmtId="168" fontId="11" fillId="3" borderId="25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8" fontId="9" fillId="3" borderId="0" xfId="0" applyNumberFormat="1" applyFont="1" applyFill="1" applyBorder="1" applyAlignment="1">
      <alignment horizontal="center"/>
    </xf>
    <xf numFmtId="168" fontId="11" fillId="3" borderId="26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/>
    </xf>
    <xf numFmtId="165" fontId="11" fillId="3" borderId="23" xfId="0" applyNumberFormat="1" applyFont="1" applyFill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11" fillId="3" borderId="22" xfId="0" applyNumberFormat="1" applyFont="1" applyFill="1" applyBorder="1" applyAlignment="1">
      <alignment horizontal="center"/>
    </xf>
    <xf numFmtId="2" fontId="7" fillId="3" borderId="2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2" fontId="4" fillId="3" borderId="2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eng\huang\He%20II%20HX%20design\Thermal%20Analysis\Modul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alculation"/>
      <sheetName val="Helium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44"/>
  <sheetViews>
    <sheetView workbookViewId="0" topLeftCell="A1">
      <selection activeCell="AL11" sqref="AL11"/>
    </sheetView>
  </sheetViews>
  <sheetFormatPr defaultColWidth="9.140625" defaultRowHeight="12.75"/>
  <cols>
    <col min="1" max="1" width="1.1484375" style="0" customWidth="1"/>
    <col min="2" max="2" width="4.8515625" style="0" customWidth="1"/>
    <col min="3" max="3" width="2.7109375" style="0" customWidth="1"/>
    <col min="4" max="4" width="1.57421875" style="0" customWidth="1"/>
    <col min="5" max="5" width="0.5625" style="0" customWidth="1"/>
    <col min="6" max="6" width="1.8515625" style="0" customWidth="1"/>
    <col min="7" max="7" width="2.57421875" style="0" customWidth="1"/>
    <col min="8" max="8" width="9.28125" style="0" customWidth="1"/>
    <col min="9" max="9" width="2.8515625" style="0" customWidth="1"/>
    <col min="10" max="10" width="4.8515625" style="0" customWidth="1"/>
    <col min="11" max="11" width="8.140625" style="0" customWidth="1"/>
    <col min="12" max="12" width="7.28125" style="0" customWidth="1"/>
    <col min="13" max="13" width="7.7109375" style="0" customWidth="1"/>
    <col min="14" max="14" width="0.5625" style="0" customWidth="1"/>
    <col min="15" max="15" width="6.140625" style="0" customWidth="1"/>
    <col min="16" max="16" width="9.57421875" style="0" customWidth="1"/>
    <col min="17" max="17" width="11.28125" style="0" customWidth="1"/>
    <col min="18" max="18" width="7.57421875" style="0" customWidth="1"/>
    <col min="19" max="19" width="3.00390625" style="0" customWidth="1"/>
    <col min="20" max="20" width="3.7109375" style="0" customWidth="1"/>
    <col min="21" max="21" width="4.421875" style="0" customWidth="1"/>
    <col min="22" max="22" width="5.140625" style="0" customWidth="1"/>
    <col min="23" max="23" width="2.7109375" style="0" customWidth="1"/>
    <col min="24" max="24" width="1.7109375" style="0" customWidth="1"/>
    <col min="25" max="25" width="0.5625" style="0" customWidth="1"/>
    <col min="26" max="26" width="1.57421875" style="0" customWidth="1"/>
    <col min="27" max="27" width="3.00390625" style="0" customWidth="1"/>
    <col min="28" max="28" width="1.7109375" style="0" customWidth="1"/>
    <col min="29" max="29" width="4.140625" style="0" customWidth="1"/>
    <col min="30" max="31" width="0.71875" style="0" customWidth="1"/>
  </cols>
  <sheetData>
    <row r="1" spans="33:37" ht="12.75">
      <c r="AG1" t="s">
        <v>16</v>
      </c>
      <c r="AH1" t="s">
        <v>17</v>
      </c>
      <c r="AI1" t="s">
        <v>18</v>
      </c>
      <c r="AJ1" t="s">
        <v>19</v>
      </c>
      <c r="AK1" s="51" t="s">
        <v>8</v>
      </c>
    </row>
    <row r="2" spans="2:37" ht="12.75">
      <c r="B2" s="22" t="s">
        <v>3</v>
      </c>
      <c r="S2" s="49"/>
      <c r="T2" s="49"/>
      <c r="V2" s="49"/>
      <c r="AG2" t="s">
        <v>20</v>
      </c>
      <c r="AH2" t="s">
        <v>21</v>
      </c>
      <c r="AI2" t="s">
        <v>22</v>
      </c>
      <c r="AJ2" t="s">
        <v>23</v>
      </c>
      <c r="AK2" s="51" t="s">
        <v>24</v>
      </c>
    </row>
    <row r="3" spans="2:40" s="51" customFormat="1" ht="13.5" customHeight="1">
      <c r="B3" s="51" t="s">
        <v>4</v>
      </c>
      <c r="S3" s="49"/>
      <c r="AG3">
        <v>1.45</v>
      </c>
      <c r="AH3">
        <v>1.8</v>
      </c>
      <c r="AI3">
        <v>0.148</v>
      </c>
      <c r="AJ3">
        <v>1.155</v>
      </c>
      <c r="AK3" s="51">
        <f aca="true" t="shared" si="0" ref="AK3:AK23">AJ3*1000</f>
        <v>1155</v>
      </c>
      <c r="AL3"/>
      <c r="AM3"/>
      <c r="AN3"/>
    </row>
    <row r="4" spans="19:40" s="51" customFormat="1" ht="13.5" customHeight="1">
      <c r="S4" s="49"/>
      <c r="AG4">
        <v>1.45</v>
      </c>
      <c r="AH4">
        <v>1.81</v>
      </c>
      <c r="AI4">
        <v>0.148</v>
      </c>
      <c r="AJ4">
        <v>1.21</v>
      </c>
      <c r="AK4" s="51">
        <f t="shared" si="0"/>
        <v>1210</v>
      </c>
      <c r="AL4"/>
      <c r="AM4"/>
      <c r="AN4"/>
    </row>
    <row r="5" spans="11:40" s="51" customFormat="1" ht="13.5" customHeight="1">
      <c r="K5" s="61" t="s">
        <v>1</v>
      </c>
      <c r="L5" s="62">
        <f>B14+C14+H14+O14+U14</f>
        <v>753.3132</v>
      </c>
      <c r="M5" s="50" t="s">
        <v>5</v>
      </c>
      <c r="R5" s="60"/>
      <c r="S5" s="49"/>
      <c r="T5" s="49"/>
      <c r="U5" s="60"/>
      <c r="V5" s="49"/>
      <c r="AG5">
        <v>1.45</v>
      </c>
      <c r="AH5">
        <v>1.82</v>
      </c>
      <c r="AI5">
        <v>0.148</v>
      </c>
      <c r="AJ5">
        <v>1.263</v>
      </c>
      <c r="AK5" s="51">
        <f t="shared" si="0"/>
        <v>1263</v>
      </c>
      <c r="AL5"/>
      <c r="AM5"/>
      <c r="AN5"/>
    </row>
    <row r="6" spans="11:40" s="51" customFormat="1" ht="13.5" customHeight="1">
      <c r="K6" s="38" t="s">
        <v>2</v>
      </c>
      <c r="L6" s="56">
        <f>C34/2+H34+I34+J34+O34+S34+T34+U34+V34+W34</f>
        <v>753.3386</v>
      </c>
      <c r="M6" s="39" t="s">
        <v>5</v>
      </c>
      <c r="R6" s="60"/>
      <c r="S6" s="49"/>
      <c r="T6" s="49"/>
      <c r="U6" s="60"/>
      <c r="V6" s="49"/>
      <c r="AG6">
        <v>1.45</v>
      </c>
      <c r="AH6">
        <v>1.83</v>
      </c>
      <c r="AI6">
        <v>0.148</v>
      </c>
      <c r="AJ6">
        <v>1.316</v>
      </c>
      <c r="AK6" s="51">
        <f t="shared" si="0"/>
        <v>1316</v>
      </c>
      <c r="AL6"/>
      <c r="AM6"/>
      <c r="AN6"/>
    </row>
    <row r="7" spans="2:37" ht="13.5" customHeight="1">
      <c r="B7" s="22"/>
      <c r="AG7">
        <v>1.45</v>
      </c>
      <c r="AH7">
        <v>1.84</v>
      </c>
      <c r="AI7">
        <v>0.148</v>
      </c>
      <c r="AJ7">
        <v>1.367</v>
      </c>
      <c r="AK7" s="51">
        <f t="shared" si="0"/>
        <v>1367</v>
      </c>
    </row>
    <row r="8" spans="2:37" ht="13.5" customHeight="1">
      <c r="B8" s="22"/>
      <c r="E8" s="53"/>
      <c r="F8" s="136">
        <f>C14/2+H14</f>
        <v>331.7875</v>
      </c>
      <c r="G8" s="137"/>
      <c r="H8" s="137"/>
      <c r="I8" s="137"/>
      <c r="J8" s="137"/>
      <c r="K8" s="137"/>
      <c r="L8" s="137"/>
      <c r="M8" s="137"/>
      <c r="N8" s="53"/>
      <c r="O8" s="137">
        <f>O14+U14+V14+W14/2</f>
        <v>421.5257</v>
      </c>
      <c r="P8" s="137"/>
      <c r="Q8" s="137"/>
      <c r="R8" s="137"/>
      <c r="S8" s="137"/>
      <c r="T8" s="137"/>
      <c r="U8" s="137"/>
      <c r="V8" s="137"/>
      <c r="W8" s="137"/>
      <c r="X8" s="138"/>
      <c r="Y8" s="53"/>
      <c r="Z8" s="2"/>
      <c r="AG8">
        <v>1.45</v>
      </c>
      <c r="AH8">
        <v>1.85</v>
      </c>
      <c r="AI8">
        <v>0.148</v>
      </c>
      <c r="AJ8">
        <v>1.415</v>
      </c>
      <c r="AK8" s="51">
        <f t="shared" si="0"/>
        <v>1415</v>
      </c>
    </row>
    <row r="9" spans="2:37" ht="13.5" customHeight="1">
      <c r="B9" s="22"/>
      <c r="E9" s="53"/>
      <c r="F9" s="44"/>
      <c r="G9" s="45"/>
      <c r="H9" s="45"/>
      <c r="I9" s="45"/>
      <c r="J9" s="45"/>
      <c r="K9" s="45"/>
      <c r="L9" s="45"/>
      <c r="M9" s="45"/>
      <c r="N9" s="53"/>
      <c r="O9" s="45"/>
      <c r="P9" s="45"/>
      <c r="Q9" s="45"/>
      <c r="R9" s="45"/>
      <c r="S9" s="45"/>
      <c r="T9" s="45"/>
      <c r="U9" s="45"/>
      <c r="V9" s="45"/>
      <c r="W9" s="45"/>
      <c r="X9" s="45"/>
      <c r="Y9" s="53"/>
      <c r="Z9" s="2"/>
      <c r="AG9">
        <v>1.45</v>
      </c>
      <c r="AH9">
        <v>1.86</v>
      </c>
      <c r="AI9">
        <v>0.148</v>
      </c>
      <c r="AJ9">
        <v>1.462</v>
      </c>
      <c r="AK9" s="51">
        <f t="shared" si="0"/>
        <v>1462</v>
      </c>
    </row>
    <row r="10" spans="2:37" ht="13.5" customHeight="1">
      <c r="B10" s="22"/>
      <c r="E10" s="53"/>
      <c r="F10" s="136">
        <f>C34/2+H34+I34</f>
        <v>60.998099999999994</v>
      </c>
      <c r="G10" s="137"/>
      <c r="H10" s="137"/>
      <c r="I10" s="138"/>
      <c r="J10" s="44"/>
      <c r="K10" s="45"/>
      <c r="L10" s="45"/>
      <c r="M10" s="45"/>
      <c r="N10" s="2"/>
      <c r="O10" s="45"/>
      <c r="P10" s="45"/>
      <c r="Q10" s="45"/>
      <c r="R10" s="45"/>
      <c r="S10" s="136">
        <f>S34+T34+U34+V34+W34</f>
        <v>57.6453</v>
      </c>
      <c r="T10" s="140"/>
      <c r="U10" s="140"/>
      <c r="V10" s="140"/>
      <c r="W10" s="140"/>
      <c r="X10" s="133"/>
      <c r="Y10" s="53"/>
      <c r="Z10" s="2"/>
      <c r="AG10">
        <v>1.45</v>
      </c>
      <c r="AH10">
        <v>1.87</v>
      </c>
      <c r="AI10">
        <v>0.1481</v>
      </c>
      <c r="AJ10">
        <v>1.505</v>
      </c>
      <c r="AK10" s="51">
        <f t="shared" si="0"/>
        <v>1505</v>
      </c>
    </row>
    <row r="11" spans="2:37" ht="13.5" customHeight="1">
      <c r="B11" s="22"/>
      <c r="E11" s="53"/>
      <c r="F11" s="1"/>
      <c r="G11" s="2"/>
      <c r="H11" s="2"/>
      <c r="I11" s="2"/>
      <c r="J11" s="1"/>
      <c r="K11" s="2"/>
      <c r="L11" s="2"/>
      <c r="M11" s="2"/>
      <c r="N11" s="2"/>
      <c r="O11" s="2"/>
      <c r="P11" s="2"/>
      <c r="Q11" s="2"/>
      <c r="R11" s="2"/>
      <c r="S11" s="1"/>
      <c r="T11" s="2"/>
      <c r="U11" s="2"/>
      <c r="V11" s="2"/>
      <c r="W11" s="2"/>
      <c r="X11" s="2"/>
      <c r="Y11" s="53"/>
      <c r="Z11" s="2"/>
      <c r="AG11">
        <v>1.45</v>
      </c>
      <c r="AH11">
        <v>1.88</v>
      </c>
      <c r="AI11">
        <v>0.1481</v>
      </c>
      <c r="AJ11">
        <v>1.544</v>
      </c>
      <c r="AK11" s="51">
        <f t="shared" si="0"/>
        <v>1544</v>
      </c>
    </row>
    <row r="12" spans="33:37" ht="12.75">
      <c r="AG12">
        <v>1.45</v>
      </c>
      <c r="AH12">
        <v>1.89</v>
      </c>
      <c r="AI12">
        <v>0.1481</v>
      </c>
      <c r="AJ12">
        <v>1.579</v>
      </c>
      <c r="AK12" s="51">
        <f t="shared" si="0"/>
        <v>1579</v>
      </c>
    </row>
    <row r="13" spans="2:37" ht="12.75">
      <c r="B13" s="22"/>
      <c r="AG13">
        <v>1.45</v>
      </c>
      <c r="AH13">
        <v>1.9</v>
      </c>
      <c r="AI13">
        <v>0.1481</v>
      </c>
      <c r="AJ13">
        <v>1.608</v>
      </c>
      <c r="AK13" s="51">
        <f t="shared" si="0"/>
        <v>1608</v>
      </c>
    </row>
    <row r="14" spans="2:37" ht="12.75">
      <c r="B14" s="42">
        <f>2.54*4.06</f>
        <v>10.312399999999998</v>
      </c>
      <c r="C14" s="141">
        <f>2.54*11.25</f>
        <v>28.575</v>
      </c>
      <c r="D14" s="142"/>
      <c r="E14" s="142"/>
      <c r="F14" s="142"/>
      <c r="G14" s="143"/>
      <c r="H14" s="139">
        <f>2.54*125</f>
        <v>317.5</v>
      </c>
      <c r="I14" s="140"/>
      <c r="J14" s="140"/>
      <c r="K14" s="140"/>
      <c r="L14" s="140"/>
      <c r="M14" s="140"/>
      <c r="N14" s="53"/>
      <c r="O14" s="137">
        <f>2.54*150.96</f>
        <v>383.4384</v>
      </c>
      <c r="P14" s="137"/>
      <c r="Q14" s="137"/>
      <c r="R14" s="137"/>
      <c r="S14" s="137"/>
      <c r="T14" s="138"/>
      <c r="U14" s="58">
        <f>2.54*5.31</f>
        <v>13.4874</v>
      </c>
      <c r="V14" s="43">
        <f>2.54*6.31</f>
        <v>16.0274</v>
      </c>
      <c r="W14" s="136">
        <f>2.54*6.75</f>
        <v>17.145</v>
      </c>
      <c r="X14" s="137"/>
      <c r="Y14" s="137"/>
      <c r="Z14" s="137"/>
      <c r="AA14" s="138"/>
      <c r="AB14" s="1"/>
      <c r="AG14">
        <v>1.45</v>
      </c>
      <c r="AH14">
        <v>1.91</v>
      </c>
      <c r="AI14">
        <v>0.1481</v>
      </c>
      <c r="AJ14">
        <v>1.632</v>
      </c>
      <c r="AK14" s="51">
        <f t="shared" si="0"/>
        <v>1632</v>
      </c>
    </row>
    <row r="15" spans="2:37" ht="12.75">
      <c r="B15" s="41"/>
      <c r="C15" s="41"/>
      <c r="H15" s="1"/>
      <c r="N15" s="53"/>
      <c r="U15" s="4"/>
      <c r="V15" s="1"/>
      <c r="W15" s="1"/>
      <c r="AB15" s="1"/>
      <c r="AG15">
        <v>1.45</v>
      </c>
      <c r="AH15">
        <v>1.92</v>
      </c>
      <c r="AI15">
        <v>0.1481</v>
      </c>
      <c r="AJ15">
        <v>1.65</v>
      </c>
      <c r="AK15" s="51">
        <f t="shared" si="0"/>
        <v>1650</v>
      </c>
    </row>
    <row r="16" spans="33:37" ht="12.75">
      <c r="AG16">
        <v>1.45</v>
      </c>
      <c r="AH16">
        <v>1.93</v>
      </c>
      <c r="AI16">
        <v>0.1482</v>
      </c>
      <c r="AJ16">
        <v>1.66</v>
      </c>
      <c r="AK16" s="51">
        <f t="shared" si="0"/>
        <v>1660</v>
      </c>
    </row>
    <row r="17" spans="2:37" ht="12.7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G17">
        <v>1.45</v>
      </c>
      <c r="AH17">
        <v>1.94</v>
      </c>
      <c r="AI17">
        <v>0.1482</v>
      </c>
      <c r="AJ17">
        <v>1.662</v>
      </c>
      <c r="AK17" s="22">
        <f t="shared" si="0"/>
        <v>1662</v>
      </c>
    </row>
    <row r="18" spans="2:37" ht="8.2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G18">
        <v>1.45</v>
      </c>
      <c r="AH18">
        <v>1.95</v>
      </c>
      <c r="AI18">
        <v>0.1482</v>
      </c>
      <c r="AJ18">
        <v>1.656</v>
      </c>
      <c r="AK18" s="51">
        <f t="shared" si="0"/>
        <v>1656</v>
      </c>
    </row>
    <row r="19" spans="2:37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  <c r="AG19">
        <v>1.45</v>
      </c>
      <c r="AH19">
        <v>1.96</v>
      </c>
      <c r="AI19">
        <v>0.1482</v>
      </c>
      <c r="AJ19">
        <v>1.641</v>
      </c>
      <c r="AK19" s="51">
        <f t="shared" si="0"/>
        <v>1641</v>
      </c>
    </row>
    <row r="20" spans="2:37" ht="6.7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G20">
        <v>1.45</v>
      </c>
      <c r="AH20">
        <v>1.97</v>
      </c>
      <c r="AI20">
        <v>0.1482</v>
      </c>
      <c r="AJ20">
        <v>1.617</v>
      </c>
      <c r="AK20" s="51">
        <f t="shared" si="0"/>
        <v>1617</v>
      </c>
    </row>
    <row r="21" spans="2:37" ht="6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G21">
        <v>1.45</v>
      </c>
      <c r="AH21">
        <v>1.98</v>
      </c>
      <c r="AI21">
        <v>0.1483</v>
      </c>
      <c r="AJ21">
        <v>1.582</v>
      </c>
      <c r="AK21" s="51">
        <f t="shared" si="0"/>
        <v>1582</v>
      </c>
    </row>
    <row r="22" spans="2:37" ht="6" customHeight="1"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  <c r="AG22">
        <v>1.45</v>
      </c>
      <c r="AH22">
        <v>1.99</v>
      </c>
      <c r="AI22">
        <v>0.1483</v>
      </c>
      <c r="AJ22">
        <v>1.522</v>
      </c>
      <c r="AK22" s="51">
        <f t="shared" si="0"/>
        <v>1522</v>
      </c>
    </row>
    <row r="23" spans="2:37" ht="3.75" customHeight="1">
      <c r="B23" s="12"/>
      <c r="C23" s="9"/>
      <c r="D23" s="9"/>
      <c r="E23" s="34"/>
      <c r="F23" s="9"/>
      <c r="G23" s="9"/>
      <c r="H23" s="9"/>
      <c r="I23" s="9"/>
      <c r="J23" s="9"/>
      <c r="K23" s="9"/>
      <c r="L23" s="9"/>
      <c r="M23" s="9"/>
      <c r="N23" s="34"/>
      <c r="O23" s="9"/>
      <c r="P23" s="9"/>
      <c r="Q23" s="9"/>
      <c r="R23" s="9"/>
      <c r="S23" s="9"/>
      <c r="T23" s="9"/>
      <c r="U23" s="9"/>
      <c r="V23" s="9"/>
      <c r="W23" s="9"/>
      <c r="X23" s="9"/>
      <c r="Y23" s="34"/>
      <c r="Z23" s="9"/>
      <c r="AA23" s="13"/>
      <c r="AG23">
        <v>1.45</v>
      </c>
      <c r="AH23">
        <v>2</v>
      </c>
      <c r="AI23">
        <v>0.1483</v>
      </c>
      <c r="AJ23">
        <v>1.441</v>
      </c>
      <c r="AK23" s="51">
        <f t="shared" si="0"/>
        <v>1441</v>
      </c>
    </row>
    <row r="24" spans="2:30" ht="3.75" customHeight="1">
      <c r="B24" s="14"/>
      <c r="C24" s="15"/>
      <c r="D24" s="9"/>
      <c r="E24" s="9"/>
      <c r="F24" s="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9"/>
      <c r="Y24" s="9"/>
      <c r="Z24" s="9"/>
      <c r="AA24" s="16"/>
      <c r="AC24" s="47"/>
      <c r="AD24" s="47"/>
    </row>
    <row r="25" spans="4:30" ht="6.75" customHeight="1">
      <c r="D25" s="12"/>
      <c r="E25" s="9"/>
      <c r="F25" s="13"/>
      <c r="G25" s="18"/>
      <c r="H25" s="18"/>
      <c r="X25" s="12"/>
      <c r="Y25" s="9"/>
      <c r="Z25" s="13"/>
      <c r="AA25" s="18"/>
      <c r="AC25" s="132">
        <f>2.54*(5.88-6.625/2)</f>
        <v>6.52145</v>
      </c>
      <c r="AD25" s="48"/>
    </row>
    <row r="26" spans="4:30" ht="7.5" customHeight="1">
      <c r="D26" s="12"/>
      <c r="E26" s="9"/>
      <c r="F26" s="13"/>
      <c r="G26" s="18"/>
      <c r="H26" s="18"/>
      <c r="X26" s="14"/>
      <c r="Y26" s="15"/>
      <c r="Z26" s="16"/>
      <c r="AA26" s="18"/>
      <c r="AC26" s="133"/>
      <c r="AD26" s="3"/>
    </row>
    <row r="27" spans="4:30" ht="12.75">
      <c r="D27" s="8"/>
      <c r="E27" s="10"/>
      <c r="F27" s="11"/>
      <c r="G27" s="18"/>
      <c r="H27" s="18"/>
      <c r="J27" s="8"/>
      <c r="K27" s="10"/>
      <c r="L27" s="10"/>
      <c r="M27" s="10"/>
      <c r="N27" s="10"/>
      <c r="O27" s="10"/>
      <c r="P27" s="10"/>
      <c r="Q27" s="10"/>
      <c r="R27" s="11"/>
      <c r="X27" s="12"/>
      <c r="Y27" s="9"/>
      <c r="Z27" s="13"/>
      <c r="AA27" s="18"/>
      <c r="AC27" s="67">
        <f>2.54*(3+3/8-3.5/2)</f>
        <v>4.1275</v>
      </c>
      <c r="AD27" s="68"/>
    </row>
    <row r="28" spans="2:30" ht="9" customHeight="1">
      <c r="B28" s="28"/>
      <c r="C28" s="10"/>
      <c r="D28" s="9"/>
      <c r="E28" s="9"/>
      <c r="F28" s="9"/>
      <c r="G28" s="10"/>
      <c r="H28" s="28"/>
      <c r="I28" s="28"/>
      <c r="J28" s="23"/>
      <c r="K28" s="23"/>
      <c r="L28" s="23"/>
      <c r="M28" s="23"/>
      <c r="N28" s="23"/>
      <c r="O28" s="23"/>
      <c r="P28" s="23"/>
      <c r="Q28" s="23"/>
      <c r="R28" s="23"/>
      <c r="S28" s="28"/>
      <c r="T28" s="28"/>
      <c r="U28" s="28"/>
      <c r="V28" s="28"/>
      <c r="W28" s="10"/>
      <c r="X28" s="9"/>
      <c r="Y28" s="9"/>
      <c r="Z28" s="9"/>
      <c r="AA28" s="11"/>
      <c r="AD28" s="2"/>
    </row>
    <row r="29" spans="2:27" ht="3.75" customHeight="1">
      <c r="B29" s="17"/>
      <c r="C29" s="9"/>
      <c r="D29" s="9"/>
      <c r="E29" s="34"/>
      <c r="F29" s="9"/>
      <c r="G29" s="9"/>
      <c r="H29" s="17"/>
      <c r="I29" s="17"/>
      <c r="J29" s="24"/>
      <c r="K29" s="24"/>
      <c r="L29" s="24"/>
      <c r="M29" s="24"/>
      <c r="N29" s="33"/>
      <c r="O29" s="24"/>
      <c r="P29" s="24"/>
      <c r="Q29" s="24"/>
      <c r="R29" s="24"/>
      <c r="S29" s="17"/>
      <c r="T29" s="17"/>
      <c r="U29" s="17"/>
      <c r="V29" s="17"/>
      <c r="W29" s="9"/>
      <c r="X29" s="9"/>
      <c r="Y29" s="34"/>
      <c r="Z29" s="9"/>
      <c r="AA29" s="13"/>
    </row>
    <row r="30" spans="2:27" ht="3.75" customHeight="1">
      <c r="B30" s="17"/>
      <c r="C30" s="9"/>
      <c r="D30" s="9"/>
      <c r="E30" s="9"/>
      <c r="F30" s="9"/>
      <c r="G30" s="9"/>
      <c r="H30" s="17"/>
      <c r="I30" s="17"/>
      <c r="J30" s="23"/>
      <c r="K30" s="23"/>
      <c r="L30" s="23"/>
      <c r="M30" s="23"/>
      <c r="N30" s="52"/>
      <c r="O30" s="23"/>
      <c r="P30" s="23"/>
      <c r="Q30" s="23"/>
      <c r="R30" s="23"/>
      <c r="S30" s="17"/>
      <c r="T30" s="17"/>
      <c r="U30" s="17"/>
      <c r="V30" s="17"/>
      <c r="W30" s="9"/>
      <c r="X30" s="9"/>
      <c r="Y30" s="9"/>
      <c r="Z30" s="9"/>
      <c r="AA30" s="13"/>
    </row>
    <row r="31" spans="2:27" ht="3.75" customHeight="1">
      <c r="B31" s="29"/>
      <c r="C31" s="15"/>
      <c r="D31" s="15"/>
      <c r="E31" s="15"/>
      <c r="F31" s="15"/>
      <c r="G31" s="15"/>
      <c r="H31" s="29"/>
      <c r="I31" s="29"/>
      <c r="J31" s="23"/>
      <c r="K31" s="23"/>
      <c r="L31" s="23"/>
      <c r="M31" s="23"/>
      <c r="N31" s="55"/>
      <c r="O31" s="23"/>
      <c r="P31" s="23"/>
      <c r="Q31" s="23"/>
      <c r="R31" s="23"/>
      <c r="S31" s="29"/>
      <c r="T31" s="29"/>
      <c r="U31" s="29"/>
      <c r="V31" s="29"/>
      <c r="W31" s="15"/>
      <c r="X31" s="15"/>
      <c r="Y31" s="15"/>
      <c r="Z31" s="15"/>
      <c r="AA31" s="16"/>
    </row>
    <row r="32" spans="10:18" ht="12.75">
      <c r="J32" s="14"/>
      <c r="K32" s="15"/>
      <c r="L32" s="15"/>
      <c r="M32" s="15"/>
      <c r="N32" s="15"/>
      <c r="O32" s="15"/>
      <c r="P32" s="15"/>
      <c r="Q32" s="15"/>
      <c r="R32" s="16"/>
    </row>
    <row r="33" ht="12.75">
      <c r="V33" s="2"/>
    </row>
    <row r="34" spans="2:27" ht="12.75">
      <c r="B34" s="3">
        <f>2.54*6.31</f>
        <v>16.0274</v>
      </c>
      <c r="C34" s="136">
        <f>2.54*6.75</f>
        <v>17.145</v>
      </c>
      <c r="D34" s="137"/>
      <c r="E34" s="137"/>
      <c r="F34" s="137"/>
      <c r="G34" s="138"/>
      <c r="H34" s="46">
        <f>2.54*15.64</f>
        <v>39.7256</v>
      </c>
      <c r="I34" s="3">
        <f>2.54*5</f>
        <v>12.7</v>
      </c>
      <c r="J34" s="136">
        <f>2.54*105.99</f>
        <v>269.2146</v>
      </c>
      <c r="K34" s="137"/>
      <c r="L34" s="137"/>
      <c r="M34" s="138"/>
      <c r="N34" s="54"/>
      <c r="O34" s="136">
        <f>2.54*143.89</f>
        <v>365.4806</v>
      </c>
      <c r="P34" s="137"/>
      <c r="Q34" s="137"/>
      <c r="R34" s="138"/>
      <c r="S34" s="57">
        <f>2.54*5</f>
        <v>12.7</v>
      </c>
      <c r="T34" s="43">
        <f>2.54*2.7</f>
        <v>6.8580000000000005</v>
      </c>
      <c r="U34" s="43">
        <f>2.54*5.31</f>
        <v>13.4874</v>
      </c>
      <c r="V34" s="43">
        <f>2.54*6.31</f>
        <v>16.0274</v>
      </c>
      <c r="W34" s="139">
        <f>2.54*3.375</f>
        <v>8.5725</v>
      </c>
      <c r="X34" s="133"/>
      <c r="Y34" s="54"/>
      <c r="Z34" s="1"/>
      <c r="AA34" s="2"/>
    </row>
    <row r="35" spans="2:27" ht="12.75">
      <c r="B35" s="1"/>
      <c r="C35" s="1"/>
      <c r="H35" s="1"/>
      <c r="I35" s="1"/>
      <c r="J35" s="1"/>
      <c r="N35" s="53"/>
      <c r="O35" s="1"/>
      <c r="S35" s="1"/>
      <c r="T35" s="1"/>
      <c r="U35" s="1"/>
      <c r="V35" s="1"/>
      <c r="W35" s="1"/>
      <c r="Y35" s="53"/>
      <c r="Z35" s="1"/>
      <c r="AA35" s="2"/>
    </row>
    <row r="36" spans="2:27" ht="12.75">
      <c r="B36" s="2"/>
      <c r="C36" s="2"/>
      <c r="H36" s="2"/>
      <c r="I36" s="2"/>
      <c r="J36" s="2"/>
      <c r="N36" s="2"/>
      <c r="O36" s="2"/>
      <c r="S36" s="2"/>
      <c r="T36" s="2"/>
      <c r="U36" s="2"/>
      <c r="V36" s="2"/>
      <c r="W36" s="2"/>
      <c r="Y36" s="2"/>
      <c r="Z36" s="2"/>
      <c r="AA36" s="2"/>
    </row>
    <row r="37" spans="5:26" ht="12.75">
      <c r="E37" s="53"/>
      <c r="F37" s="136">
        <f>C34/2+H34+I34+J34</f>
        <v>330.21270000000004</v>
      </c>
      <c r="G37" s="137"/>
      <c r="H37" s="137"/>
      <c r="I37" s="137"/>
      <c r="J37" s="137"/>
      <c r="K37" s="137"/>
      <c r="L37" s="137"/>
      <c r="M37" s="138"/>
      <c r="N37" s="54"/>
      <c r="O37" s="136">
        <f>O34+S34+T34+U34+V34+W34</f>
        <v>423.12589999999994</v>
      </c>
      <c r="P37" s="137"/>
      <c r="Q37" s="137"/>
      <c r="R37" s="137"/>
      <c r="S37" s="137"/>
      <c r="T37" s="137"/>
      <c r="U37" s="137"/>
      <c r="V37" s="137"/>
      <c r="W37" s="137"/>
      <c r="X37" s="138"/>
      <c r="Y37" s="54"/>
      <c r="Z37" s="1"/>
    </row>
    <row r="38" spans="5:26" ht="12.75">
      <c r="E38" s="53"/>
      <c r="F38" s="1"/>
      <c r="N38" s="53"/>
      <c r="Y38" s="53"/>
      <c r="Z38" s="1"/>
    </row>
    <row r="40" spans="8:12" ht="7.5" customHeight="1">
      <c r="H40" s="135" t="s">
        <v>7</v>
      </c>
      <c r="I40" s="135"/>
      <c r="J40" s="135"/>
      <c r="K40" s="59"/>
      <c r="L40" s="49"/>
    </row>
    <row r="41" spans="5:12" ht="3.75" customHeight="1">
      <c r="E41" s="34"/>
      <c r="H41" s="135"/>
      <c r="I41" s="135"/>
      <c r="J41" s="135"/>
      <c r="K41" s="59"/>
      <c r="L41" s="49"/>
    </row>
    <row r="42" spans="8:10" ht="9" customHeight="1">
      <c r="H42" s="135"/>
      <c r="I42" s="135"/>
      <c r="J42" s="135"/>
    </row>
    <row r="43" spans="5:10" ht="12.75">
      <c r="E43" s="53"/>
      <c r="H43" s="134" t="s">
        <v>6</v>
      </c>
      <c r="I43" s="134"/>
      <c r="J43" s="134"/>
    </row>
    <row r="44" spans="5:10" ht="12.75">
      <c r="E44" s="53"/>
      <c r="H44" s="134"/>
      <c r="I44" s="134"/>
      <c r="J44" s="134"/>
    </row>
  </sheetData>
  <mergeCells count="17">
    <mergeCell ref="H14:M14"/>
    <mergeCell ref="C14:G14"/>
    <mergeCell ref="O14:T14"/>
    <mergeCell ref="W14:AA14"/>
    <mergeCell ref="F10:I10"/>
    <mergeCell ref="S10:X10"/>
    <mergeCell ref="F8:M8"/>
    <mergeCell ref="O8:X8"/>
    <mergeCell ref="AC25:AC26"/>
    <mergeCell ref="H43:J44"/>
    <mergeCell ref="H40:J42"/>
    <mergeCell ref="O34:R34"/>
    <mergeCell ref="W34:X34"/>
    <mergeCell ref="F37:M37"/>
    <mergeCell ref="O37:X37"/>
    <mergeCell ref="C34:G34"/>
    <mergeCell ref="J34:M3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5"/>
  <sheetViews>
    <sheetView workbookViewId="0" topLeftCell="A1">
      <selection activeCell="D8" sqref="D8"/>
    </sheetView>
  </sheetViews>
  <sheetFormatPr defaultColWidth="9.140625" defaultRowHeight="12.75"/>
  <cols>
    <col min="1" max="1" width="2.28125" style="0" customWidth="1"/>
    <col min="2" max="2" width="11.421875" style="0" customWidth="1"/>
    <col min="3" max="3" width="12.28125" style="0" customWidth="1"/>
    <col min="4" max="4" width="8.7109375" style="0" customWidth="1"/>
    <col min="5" max="5" width="12.7109375" style="22" customWidth="1"/>
    <col min="6" max="6" width="12.57421875" style="0" customWidth="1"/>
    <col min="7" max="7" width="2.00390625" style="0" customWidth="1"/>
    <col min="8" max="8" width="11.57421875" style="0" customWidth="1"/>
    <col min="9" max="9" width="10.28125" style="0" customWidth="1"/>
    <col min="11" max="11" width="11.8515625" style="0" customWidth="1"/>
  </cols>
  <sheetData>
    <row r="1" spans="2:9" ht="12.75">
      <c r="B1" t="s">
        <v>42</v>
      </c>
      <c r="E1" t="s">
        <v>43</v>
      </c>
      <c r="G1" s="22"/>
      <c r="I1" t="s">
        <v>44</v>
      </c>
    </row>
    <row r="2" spans="6:7" ht="12.75">
      <c r="F2" s="22"/>
      <c r="G2" s="22"/>
    </row>
    <row r="3" spans="6:7" ht="12.75">
      <c r="F3" s="22"/>
      <c r="G3" s="22"/>
    </row>
    <row r="4" spans="6:7" ht="12.75">
      <c r="F4" s="22"/>
      <c r="G4" s="22"/>
    </row>
    <row r="5" spans="6:7" ht="12.75">
      <c r="F5" s="22"/>
      <c r="G5" s="22"/>
    </row>
    <row r="6" spans="2:7" ht="12.75">
      <c r="B6" s="70" t="s">
        <v>8</v>
      </c>
      <c r="C6" s="71" t="s">
        <v>11</v>
      </c>
      <c r="D6" s="72">
        <v>1200</v>
      </c>
      <c r="F6" s="22"/>
      <c r="G6" s="22"/>
    </row>
    <row r="7" spans="2:12" ht="12.75">
      <c r="B7" s="22" t="s">
        <v>29</v>
      </c>
      <c r="D7" s="22" t="s">
        <v>54</v>
      </c>
      <c r="E7" s="22" t="s">
        <v>55</v>
      </c>
      <c r="F7" s="22" t="s">
        <v>56</v>
      </c>
      <c r="G7" s="4"/>
      <c r="H7" s="22" t="s">
        <v>30</v>
      </c>
      <c r="J7" s="22" t="s">
        <v>54</v>
      </c>
      <c r="K7" s="22" t="s">
        <v>55</v>
      </c>
      <c r="L7" s="22" t="s">
        <v>56</v>
      </c>
    </row>
    <row r="8" spans="2:12" ht="12.75">
      <c r="B8" s="22" t="s">
        <v>13</v>
      </c>
      <c r="C8" s="22" t="s">
        <v>9</v>
      </c>
      <c r="D8" s="22">
        <f>'Temperature profile'!I5</f>
        <v>50</v>
      </c>
      <c r="E8" s="51">
        <f aca="true" t="shared" si="0" ref="E8:F12">D8</f>
        <v>50</v>
      </c>
      <c r="F8" s="51">
        <f t="shared" si="0"/>
        <v>50</v>
      </c>
      <c r="G8" s="131"/>
      <c r="H8" s="51" t="s">
        <v>13</v>
      </c>
      <c r="I8" s="51" t="s">
        <v>9</v>
      </c>
      <c r="J8" s="51">
        <f>D8</f>
        <v>50</v>
      </c>
      <c r="K8" s="51">
        <f>E8</f>
        <v>50</v>
      </c>
      <c r="L8" s="51">
        <f>F8</f>
        <v>50</v>
      </c>
    </row>
    <row r="9" spans="2:12" ht="12.75">
      <c r="B9" s="51" t="s">
        <v>57</v>
      </c>
      <c r="C9" s="51" t="s">
        <v>0</v>
      </c>
      <c r="D9" s="76">
        <f>(5.563-2*0.134)*2.54</f>
        <v>13.4493</v>
      </c>
      <c r="E9" s="63">
        <f t="shared" si="0"/>
        <v>13.4493</v>
      </c>
      <c r="F9" s="63">
        <f t="shared" si="0"/>
        <v>13.4493</v>
      </c>
      <c r="G9" s="4"/>
      <c r="H9" s="51" t="s">
        <v>57</v>
      </c>
      <c r="I9" s="51" t="s">
        <v>0</v>
      </c>
      <c r="J9" s="76">
        <f>(5.563-2*0.134)*2.54</f>
        <v>13.4493</v>
      </c>
      <c r="K9" s="63">
        <f aca="true" t="shared" si="1" ref="K9:L12">J9</f>
        <v>13.4493</v>
      </c>
      <c r="L9" s="63">
        <f t="shared" si="1"/>
        <v>13.4493</v>
      </c>
    </row>
    <row r="10" spans="2:12" ht="12.75">
      <c r="B10" s="51" t="s">
        <v>58</v>
      </c>
      <c r="C10" s="51" t="s">
        <v>10</v>
      </c>
      <c r="D10" s="73">
        <f>PI()*D9^2/4</f>
        <v>142.0657025914352</v>
      </c>
      <c r="E10" s="63">
        <f t="shared" si="0"/>
        <v>142.0657025914352</v>
      </c>
      <c r="F10" s="63">
        <f t="shared" si="0"/>
        <v>142.0657025914352</v>
      </c>
      <c r="G10" s="4"/>
      <c r="H10" s="51" t="s">
        <v>58</v>
      </c>
      <c r="I10" s="51" t="s">
        <v>10</v>
      </c>
      <c r="J10" s="73">
        <f>PI()*J9^2/4</f>
        <v>142.0657025914352</v>
      </c>
      <c r="K10" s="63">
        <f t="shared" si="1"/>
        <v>142.0657025914352</v>
      </c>
      <c r="L10" s="63">
        <f t="shared" si="1"/>
        <v>142.0657025914352</v>
      </c>
    </row>
    <row r="11" spans="2:12" ht="12.75">
      <c r="B11" s="51" t="s">
        <v>6</v>
      </c>
      <c r="C11" s="51" t="s">
        <v>10</v>
      </c>
      <c r="D11" s="73">
        <f>(5.563-2*0.134)*0.25*2.54*2.54</f>
        <v>8.540305499999999</v>
      </c>
      <c r="E11" s="63">
        <f t="shared" si="0"/>
        <v>8.540305499999999</v>
      </c>
      <c r="F11" s="63">
        <f t="shared" si="0"/>
        <v>8.540305499999999</v>
      </c>
      <c r="G11" s="4"/>
      <c r="H11" s="51" t="s">
        <v>6</v>
      </c>
      <c r="I11" s="51" t="s">
        <v>10</v>
      </c>
      <c r="J11" s="73">
        <f>(5.563-2*0.134)*0.25*2.54*2.54</f>
        <v>8.540305499999999</v>
      </c>
      <c r="K11" s="63">
        <f t="shared" si="1"/>
        <v>8.540305499999999</v>
      </c>
      <c r="L11" s="63">
        <f t="shared" si="1"/>
        <v>8.540305499999999</v>
      </c>
    </row>
    <row r="12" spans="2:12" ht="12.75">
      <c r="B12" s="51" t="s">
        <v>25</v>
      </c>
      <c r="C12" s="51" t="s">
        <v>10</v>
      </c>
      <c r="D12" s="75">
        <f>D10-D11</f>
        <v>133.52539709143522</v>
      </c>
      <c r="E12" s="63">
        <f t="shared" si="0"/>
        <v>133.52539709143522</v>
      </c>
      <c r="F12" s="63">
        <f t="shared" si="0"/>
        <v>133.52539709143522</v>
      </c>
      <c r="G12" s="4"/>
      <c r="H12" s="51" t="s">
        <v>25</v>
      </c>
      <c r="I12" s="51" t="s">
        <v>10</v>
      </c>
      <c r="J12" s="75">
        <f>J10-J11</f>
        <v>133.52539709143522</v>
      </c>
      <c r="K12" s="63">
        <f t="shared" si="1"/>
        <v>133.52539709143522</v>
      </c>
      <c r="L12" s="63">
        <f t="shared" si="1"/>
        <v>133.52539709143522</v>
      </c>
    </row>
    <row r="13" spans="2:12" ht="12.75">
      <c r="B13" s="51" t="s">
        <v>33</v>
      </c>
      <c r="C13" s="51" t="s">
        <v>35</v>
      </c>
      <c r="D13" s="64">
        <f>D8/D12/2</f>
        <v>0.1872302988388086</v>
      </c>
      <c r="E13" s="64">
        <f>E8/E12/2</f>
        <v>0.1872302988388086</v>
      </c>
      <c r="F13" s="64">
        <f>F8/F12/2</f>
        <v>0.1872302988388086</v>
      </c>
      <c r="G13" s="4"/>
      <c r="H13" s="51" t="s">
        <v>33</v>
      </c>
      <c r="I13" s="51" t="s">
        <v>35</v>
      </c>
      <c r="J13" s="64">
        <f>J8/J12/2</f>
        <v>0.1872302988388086</v>
      </c>
      <c r="K13" s="69">
        <f>K8/K12/2</f>
        <v>0.1872302988388086</v>
      </c>
      <c r="L13" s="69">
        <f>L8/L12/2</f>
        <v>0.1872302988388086</v>
      </c>
    </row>
    <row r="14" spans="2:12" ht="12.75">
      <c r="B14" s="51" t="s">
        <v>34</v>
      </c>
      <c r="C14" s="51" t="s">
        <v>0</v>
      </c>
      <c r="D14" s="77">
        <f>Model!J34</f>
        <v>269.2146</v>
      </c>
      <c r="E14" s="63">
        <f>D14</f>
        <v>269.2146</v>
      </c>
      <c r="F14" s="63">
        <f>E14</f>
        <v>269.2146</v>
      </c>
      <c r="G14" s="4"/>
      <c r="H14" s="51" t="s">
        <v>34</v>
      </c>
      <c r="I14" s="51" t="s">
        <v>0</v>
      </c>
      <c r="J14" s="77">
        <f>Model!O34</f>
        <v>365.4806</v>
      </c>
      <c r="K14" s="63">
        <f>J14</f>
        <v>365.4806</v>
      </c>
      <c r="L14" s="63">
        <f>K14</f>
        <v>365.4806</v>
      </c>
    </row>
    <row r="15" spans="2:12" ht="12.75">
      <c r="B15" s="51" t="s">
        <v>26</v>
      </c>
      <c r="C15" t="s">
        <v>12</v>
      </c>
      <c r="D15" s="63">
        <f>D13^3*D14/fT*1000/4</f>
        <v>0.3681169057344433</v>
      </c>
      <c r="E15" s="65">
        <f>E13^3*E14/fT*1000/4</f>
        <v>0.3681169057344433</v>
      </c>
      <c r="F15" s="63">
        <f>F13^3*F14/fT*1000/4</f>
        <v>0.3681169057344433</v>
      </c>
      <c r="G15" s="4"/>
      <c r="H15" s="51" t="s">
        <v>26</v>
      </c>
      <c r="I15" t="s">
        <v>12</v>
      </c>
      <c r="J15" s="63">
        <f>J13^3*J14/fT*1000/4</f>
        <v>0.4997484816126902</v>
      </c>
      <c r="K15" s="65">
        <f>K13^3*K14/fT*1000/4</f>
        <v>0.4997484816126902</v>
      </c>
      <c r="L15" s="63">
        <f>L13^3*L14/fT*1000/4</f>
        <v>0.4997484816126902</v>
      </c>
    </row>
    <row r="16" spans="6:12" ht="12.75">
      <c r="F16" s="22"/>
      <c r="G16" s="4"/>
      <c r="K16" s="22"/>
      <c r="L16" s="22"/>
    </row>
    <row r="17" spans="2:12" ht="12.75">
      <c r="B17" s="51" t="s">
        <v>59</v>
      </c>
      <c r="C17" s="51" t="s">
        <v>0</v>
      </c>
      <c r="D17" s="76">
        <f>(3.5-2*0.12)*2.54</f>
        <v>8.2804</v>
      </c>
      <c r="E17" s="63">
        <f>D17</f>
        <v>8.2804</v>
      </c>
      <c r="F17" s="63">
        <f>E17</f>
        <v>8.2804</v>
      </c>
      <c r="G17" s="4"/>
      <c r="H17" s="51" t="s">
        <v>59</v>
      </c>
      <c r="I17" s="51" t="s">
        <v>0</v>
      </c>
      <c r="J17" s="76">
        <f>(3.5-2*0.12)*2.54</f>
        <v>8.2804</v>
      </c>
      <c r="K17" s="63">
        <f>J17</f>
        <v>8.2804</v>
      </c>
      <c r="L17" s="63">
        <f>K17</f>
        <v>8.2804</v>
      </c>
    </row>
    <row r="18" spans="2:12" ht="12.75">
      <c r="B18" s="51" t="s">
        <v>60</v>
      </c>
      <c r="C18" s="51" t="s">
        <v>10</v>
      </c>
      <c r="D18" s="75">
        <f>PI()*D17^2/4</f>
        <v>53.850844048565676</v>
      </c>
      <c r="E18" s="63">
        <f>D18</f>
        <v>53.850844048565676</v>
      </c>
      <c r="F18" s="63">
        <f>E18</f>
        <v>53.850844048565676</v>
      </c>
      <c r="G18" s="4"/>
      <c r="H18" s="51" t="s">
        <v>60</v>
      </c>
      <c r="I18" s="51" t="s">
        <v>10</v>
      </c>
      <c r="J18" s="75">
        <f>PI()*J17^2/4</f>
        <v>53.850844048565676</v>
      </c>
      <c r="K18" s="63">
        <f>J18</f>
        <v>53.850844048565676</v>
      </c>
      <c r="L18" s="63">
        <f>K18</f>
        <v>53.850844048565676</v>
      </c>
    </row>
    <row r="19" spans="2:12" ht="12.75">
      <c r="B19" s="51" t="s">
        <v>36</v>
      </c>
      <c r="C19" s="51" t="s">
        <v>35</v>
      </c>
      <c r="D19" s="64">
        <f>D8/D18/2</f>
        <v>0.46424527677697336</v>
      </c>
      <c r="E19" s="69">
        <f>E8/E18/2</f>
        <v>0.46424527677697336</v>
      </c>
      <c r="F19" s="69">
        <f>F8/F18/2</f>
        <v>0.46424527677697336</v>
      </c>
      <c r="G19" s="4"/>
      <c r="H19" s="51" t="s">
        <v>36</v>
      </c>
      <c r="I19" s="51" t="s">
        <v>35</v>
      </c>
      <c r="J19" s="64">
        <f>J8/J18/2</f>
        <v>0.46424527677697336</v>
      </c>
      <c r="K19" s="69">
        <f>K8/K18/2</f>
        <v>0.46424527677697336</v>
      </c>
      <c r="L19" s="69">
        <f>L8/L18/2</f>
        <v>0.46424527677697336</v>
      </c>
    </row>
    <row r="20" spans="2:12" ht="12.75">
      <c r="B20" s="51" t="s">
        <v>37</v>
      </c>
      <c r="C20" s="51" t="s">
        <v>0</v>
      </c>
      <c r="D20" s="77">
        <f>Model!F10</f>
        <v>60.998099999999994</v>
      </c>
      <c r="E20" s="63">
        <f>D20</f>
        <v>60.998099999999994</v>
      </c>
      <c r="F20" s="63">
        <f>E20</f>
        <v>60.998099999999994</v>
      </c>
      <c r="G20" s="4"/>
      <c r="H20" s="51" t="s">
        <v>37</v>
      </c>
      <c r="I20" s="51" t="s">
        <v>0</v>
      </c>
      <c r="J20" s="77">
        <f>Model!S10</f>
        <v>57.6453</v>
      </c>
      <c r="K20" s="63">
        <f>J20</f>
        <v>57.6453</v>
      </c>
      <c r="L20" s="63">
        <f>K20</f>
        <v>57.6453</v>
      </c>
    </row>
    <row r="21" spans="2:12" ht="12.75">
      <c r="B21" s="51" t="s">
        <v>27</v>
      </c>
      <c r="C21" t="s">
        <v>12</v>
      </c>
      <c r="D21" s="63">
        <f>D19^3*D20/fT*1000</f>
        <v>5.086013906745381</v>
      </c>
      <c r="E21" s="65">
        <f>E19^3*E20/fT*1000</f>
        <v>5.086013906745381</v>
      </c>
      <c r="F21" s="63">
        <f>F19^3*F20/fT*1000</f>
        <v>5.086013906745381</v>
      </c>
      <c r="G21" s="4"/>
      <c r="H21" s="51" t="s">
        <v>27</v>
      </c>
      <c r="I21" t="s">
        <v>12</v>
      </c>
      <c r="J21" s="63">
        <f>J19^3*J20/fT*1000</f>
        <v>4.806457864400851</v>
      </c>
      <c r="K21" s="65">
        <f>K19^3*K20/fT*1000</f>
        <v>4.806457864400851</v>
      </c>
      <c r="L21" s="63">
        <f>L19^3*L20/fT*1000</f>
        <v>4.806457864400851</v>
      </c>
    </row>
    <row r="22" spans="6:12" ht="12.75">
      <c r="F22" s="22"/>
      <c r="G22" s="4"/>
      <c r="K22" s="22"/>
      <c r="L22" s="22"/>
    </row>
    <row r="23" spans="2:12" ht="12.75">
      <c r="B23" s="51" t="s">
        <v>61</v>
      </c>
      <c r="C23" s="51" t="s">
        <v>0</v>
      </c>
      <c r="D23" s="76">
        <f>(3.5-2*0.12)*2.54</f>
        <v>8.2804</v>
      </c>
      <c r="E23" s="63">
        <f>D23</f>
        <v>8.2804</v>
      </c>
      <c r="F23" s="63">
        <f>E23</f>
        <v>8.2804</v>
      </c>
      <c r="G23" s="4"/>
      <c r="H23" s="51" t="s">
        <v>61</v>
      </c>
      <c r="I23" s="51" t="s">
        <v>0</v>
      </c>
      <c r="J23" s="76">
        <f>(3.5-2*0.12)*2.54</f>
        <v>8.2804</v>
      </c>
      <c r="K23" s="63">
        <f>J23</f>
        <v>8.2804</v>
      </c>
      <c r="L23" s="63">
        <f>K23</f>
        <v>8.2804</v>
      </c>
    </row>
    <row r="24" spans="2:12" ht="12.75">
      <c r="B24" s="51" t="s">
        <v>62</v>
      </c>
      <c r="C24" s="51" t="s">
        <v>10</v>
      </c>
      <c r="D24" s="75">
        <f>PI()*D23^2/4</f>
        <v>53.850844048565676</v>
      </c>
      <c r="E24" s="63">
        <f>D24</f>
        <v>53.850844048565676</v>
      </c>
      <c r="F24" s="63">
        <f>E24</f>
        <v>53.850844048565676</v>
      </c>
      <c r="G24" s="4"/>
      <c r="H24" s="51" t="s">
        <v>62</v>
      </c>
      <c r="I24" s="51" t="s">
        <v>10</v>
      </c>
      <c r="J24" s="75">
        <f>PI()*J23^2/4</f>
        <v>53.850844048565676</v>
      </c>
      <c r="K24" s="63">
        <f>J24</f>
        <v>53.850844048565676</v>
      </c>
      <c r="L24" s="63">
        <f>K24</f>
        <v>53.850844048565676</v>
      </c>
    </row>
    <row r="25" spans="2:12" ht="12.75">
      <c r="B25" s="51" t="s">
        <v>38</v>
      </c>
      <c r="C25" s="51" t="s">
        <v>35</v>
      </c>
      <c r="D25" s="64">
        <f>D8/D24/2</f>
        <v>0.46424527677697336</v>
      </c>
      <c r="E25" s="69">
        <f>E8/E24</f>
        <v>0.9284905535539467</v>
      </c>
      <c r="F25" s="69">
        <f>F8/F24</f>
        <v>0.9284905535539467</v>
      </c>
      <c r="G25" s="4"/>
      <c r="H25" s="51" t="s">
        <v>38</v>
      </c>
      <c r="I25" s="51" t="s">
        <v>35</v>
      </c>
      <c r="J25" s="64">
        <f>J8/J24</f>
        <v>0.9284905535539467</v>
      </c>
      <c r="K25" s="69">
        <f>K8/K24</f>
        <v>0.9284905535539467</v>
      </c>
      <c r="L25" s="64">
        <f>L8/L24/2</f>
        <v>0.46424527677697336</v>
      </c>
    </row>
    <row r="26" spans="2:12" ht="12.75">
      <c r="B26" s="51" t="s">
        <v>39</v>
      </c>
      <c r="C26" s="51" t="s">
        <v>0</v>
      </c>
      <c r="D26" s="77">
        <f>Model!AC27+Model!AC25</f>
        <v>10.64895</v>
      </c>
      <c r="E26" s="63">
        <f>D26</f>
        <v>10.64895</v>
      </c>
      <c r="F26" s="63">
        <f>E26</f>
        <v>10.64895</v>
      </c>
      <c r="G26" s="4"/>
      <c r="H26" s="51" t="s">
        <v>39</v>
      </c>
      <c r="I26" s="51" t="s">
        <v>0</v>
      </c>
      <c r="J26" s="77">
        <f>Model!AC27+Model!AC25</f>
        <v>10.64895</v>
      </c>
      <c r="K26" s="63">
        <f>J26</f>
        <v>10.64895</v>
      </c>
      <c r="L26" s="63">
        <f>K26</f>
        <v>10.64895</v>
      </c>
    </row>
    <row r="27" spans="2:12" ht="12.75">
      <c r="B27" s="51" t="s">
        <v>31</v>
      </c>
      <c r="C27" t="s">
        <v>12</v>
      </c>
      <c r="D27" s="63">
        <f>D25^3*D26/fT*1000</f>
        <v>0.8879081117647308</v>
      </c>
      <c r="E27" s="65">
        <f>E25^3*E26/fT*1000</f>
        <v>7.103264894117847</v>
      </c>
      <c r="F27" s="63">
        <f>F25^3*F26/fT*1000</f>
        <v>7.103264894117847</v>
      </c>
      <c r="G27" s="4"/>
      <c r="H27" s="51" t="s">
        <v>31</v>
      </c>
      <c r="I27" t="s">
        <v>12</v>
      </c>
      <c r="J27" s="63">
        <f>J25^3*J26/fT*1000</f>
        <v>7.103264894117847</v>
      </c>
      <c r="K27" s="65">
        <f>K25^3*K26/fT*1000</f>
        <v>7.103264894117847</v>
      </c>
      <c r="L27" s="63">
        <f>L25^3*L26/fT*1000</f>
        <v>0.8879081117647308</v>
      </c>
    </row>
    <row r="28" spans="2:12" ht="12.75">
      <c r="B28" s="51"/>
      <c r="D28" s="64"/>
      <c r="E28" s="69"/>
      <c r="F28" s="69"/>
      <c r="G28" s="4"/>
      <c r="H28" s="51"/>
      <c r="J28" s="64"/>
      <c r="K28" s="69"/>
      <c r="L28" s="69"/>
    </row>
    <row r="29" spans="2:12" ht="12.75">
      <c r="B29" s="51" t="s">
        <v>63</v>
      </c>
      <c r="C29" s="51" t="s">
        <v>0</v>
      </c>
      <c r="D29" s="76">
        <f>(6.625-2*0.134)*2.54</f>
        <v>16.14678</v>
      </c>
      <c r="E29" s="63">
        <f aca="true" t="shared" si="2" ref="E29:F31">D29</f>
        <v>16.14678</v>
      </c>
      <c r="F29" s="63">
        <f t="shared" si="2"/>
        <v>16.14678</v>
      </c>
      <c r="G29" s="4"/>
      <c r="H29" s="51" t="s">
        <v>63</v>
      </c>
      <c r="I29" s="51" t="s">
        <v>0</v>
      </c>
      <c r="J29" s="76">
        <f>(6.625-2*0.134)*2.54</f>
        <v>16.14678</v>
      </c>
      <c r="K29" s="63">
        <f aca="true" t="shared" si="3" ref="K29:L31">J29</f>
        <v>16.14678</v>
      </c>
      <c r="L29" s="63">
        <f t="shared" si="3"/>
        <v>16.14678</v>
      </c>
    </row>
    <row r="30" spans="2:12" ht="12.75">
      <c r="B30" s="51" t="s">
        <v>28</v>
      </c>
      <c r="C30" s="51" t="s">
        <v>0</v>
      </c>
      <c r="D30" s="73">
        <f>(3.84)*2.54</f>
        <v>9.7536</v>
      </c>
      <c r="E30" s="63">
        <f t="shared" si="2"/>
        <v>9.7536</v>
      </c>
      <c r="F30" s="63">
        <f t="shared" si="2"/>
        <v>9.7536</v>
      </c>
      <c r="G30" s="4"/>
      <c r="H30" s="51" t="s">
        <v>28</v>
      </c>
      <c r="I30" s="51" t="s">
        <v>0</v>
      </c>
      <c r="J30" s="73">
        <f>(3.84)*2.54</f>
        <v>9.7536</v>
      </c>
      <c r="K30" s="63">
        <f t="shared" si="3"/>
        <v>9.7536</v>
      </c>
      <c r="L30" s="63">
        <f t="shared" si="3"/>
        <v>9.7536</v>
      </c>
    </row>
    <row r="31" spans="2:12" ht="12.75">
      <c r="B31" s="51" t="s">
        <v>64</v>
      </c>
      <c r="C31" s="51" t="s">
        <v>10</v>
      </c>
      <c r="D31" s="75">
        <f>PI()*(D29^2-D30^2)/4</f>
        <v>130.05077645687032</v>
      </c>
      <c r="E31" s="63">
        <f t="shared" si="2"/>
        <v>130.05077645687032</v>
      </c>
      <c r="F31" s="63">
        <f t="shared" si="2"/>
        <v>130.05077645687032</v>
      </c>
      <c r="G31" s="4"/>
      <c r="H31" s="51" t="s">
        <v>64</v>
      </c>
      <c r="I31" s="51" t="s">
        <v>10</v>
      </c>
      <c r="J31" s="75">
        <f>PI()*(J29^2-J30^2)/4</f>
        <v>130.05077645687032</v>
      </c>
      <c r="K31" s="63">
        <f t="shared" si="3"/>
        <v>130.05077645687032</v>
      </c>
      <c r="L31" s="63">
        <f t="shared" si="3"/>
        <v>130.05077645687032</v>
      </c>
    </row>
    <row r="32" spans="2:12" ht="12.75">
      <c r="B32" s="51" t="s">
        <v>40</v>
      </c>
      <c r="C32" s="51" t="s">
        <v>35</v>
      </c>
      <c r="D32" s="64">
        <f>D8/D31/2</f>
        <v>0.1922326085326444</v>
      </c>
      <c r="E32" s="69">
        <f>E8/E31/2</f>
        <v>0.1922326085326444</v>
      </c>
      <c r="F32" s="69">
        <f>F8/F31/2</f>
        <v>0.1922326085326444</v>
      </c>
      <c r="G32" s="4"/>
      <c r="H32" s="51" t="s">
        <v>40</v>
      </c>
      <c r="I32" s="51" t="s">
        <v>35</v>
      </c>
      <c r="J32" s="64">
        <f>J8/J31/2</f>
        <v>0.1922326085326444</v>
      </c>
      <c r="K32" s="69">
        <f>K8/K31/2</f>
        <v>0.1922326085326444</v>
      </c>
      <c r="L32" s="69">
        <f>L8/L31/2</f>
        <v>0.1922326085326444</v>
      </c>
    </row>
    <row r="33" spans="2:12" ht="12.75">
      <c r="B33" s="51" t="s">
        <v>41</v>
      </c>
      <c r="C33" s="51" t="s">
        <v>0</v>
      </c>
      <c r="D33" s="77">
        <f>Model!F8</f>
        <v>331.7875</v>
      </c>
      <c r="E33" s="63">
        <f>D33</f>
        <v>331.7875</v>
      </c>
      <c r="F33" s="63">
        <f>E33</f>
        <v>331.7875</v>
      </c>
      <c r="G33" s="4"/>
      <c r="H33" s="51" t="s">
        <v>41</v>
      </c>
      <c r="I33" s="51" t="s">
        <v>0</v>
      </c>
      <c r="J33" s="77">
        <f>Model!O8</f>
        <v>421.5257</v>
      </c>
      <c r="K33" s="63">
        <f>J33</f>
        <v>421.5257</v>
      </c>
      <c r="L33" s="63">
        <f>K33</f>
        <v>421.5257</v>
      </c>
    </row>
    <row r="34" spans="2:12" ht="12.75">
      <c r="B34" s="51" t="s">
        <v>32</v>
      </c>
      <c r="C34" t="s">
        <v>12</v>
      </c>
      <c r="D34" s="63">
        <f>D32^3*D33/fT*1000/4</f>
        <v>0.4910208800475432</v>
      </c>
      <c r="E34" s="65">
        <f>E32^3*E33/fT*1000/4</f>
        <v>0.4910208800475432</v>
      </c>
      <c r="F34" s="63">
        <f>F32^3*F33/fT*1000/4</f>
        <v>0.4910208800475432</v>
      </c>
      <c r="G34" s="4"/>
      <c r="H34" s="51" t="s">
        <v>32</v>
      </c>
      <c r="I34" t="s">
        <v>12</v>
      </c>
      <c r="J34" s="64">
        <f>J32^3*J33/fT*1000/4</f>
        <v>0.6238267571160959</v>
      </c>
      <c r="K34" s="69">
        <f>K32^3*K33/fT*1000/4</f>
        <v>0.6238267571160959</v>
      </c>
      <c r="L34" s="63">
        <f>L32^3*L33/fT*1000/4</f>
        <v>0.6238267571160959</v>
      </c>
    </row>
    <row r="35" spans="6:12" ht="12.75">
      <c r="F35" s="22"/>
      <c r="G35" s="4"/>
      <c r="K35" s="22"/>
      <c r="L35" s="22"/>
    </row>
    <row r="36" spans="2:12" ht="12.75">
      <c r="B36" s="22" t="s">
        <v>66</v>
      </c>
      <c r="C36" s="22"/>
      <c r="D36" s="65">
        <f>D15+D21+D27+D34</f>
        <v>6.833059804292099</v>
      </c>
      <c r="E36" s="65">
        <f>E15+E21+E27+E34</f>
        <v>13.048416586645214</v>
      </c>
      <c r="F36" s="65">
        <f>F15+F21+F27+F34</f>
        <v>13.048416586645214</v>
      </c>
      <c r="G36" s="4"/>
      <c r="H36" s="22" t="s">
        <v>65</v>
      </c>
      <c r="I36" s="22"/>
      <c r="J36" s="65">
        <f>J15+J21+J27+J34</f>
        <v>13.033297997247484</v>
      </c>
      <c r="K36" s="65">
        <f>K15+K21+K27+K34</f>
        <v>13.033297997247484</v>
      </c>
      <c r="L36" s="65">
        <f>L15+L21+L27+L34</f>
        <v>6.817941214894369</v>
      </c>
    </row>
    <row r="37" spans="2:7" ht="18" customHeight="1">
      <c r="B37" s="22"/>
      <c r="C37" s="22"/>
      <c r="D37" s="65"/>
      <c r="E37" s="65"/>
      <c r="F37" s="65"/>
      <c r="G37" s="4"/>
    </row>
    <row r="38" spans="2:7" ht="18" customHeight="1">
      <c r="B38" s="22"/>
      <c r="C38" s="22"/>
      <c r="D38" s="65"/>
      <c r="E38" s="65"/>
      <c r="F38" s="65"/>
      <c r="G38" s="2"/>
    </row>
    <row r="39" spans="2:7" ht="18" customHeight="1">
      <c r="B39" s="22"/>
      <c r="C39" s="22"/>
      <c r="D39" s="65"/>
      <c r="E39" s="65"/>
      <c r="F39" s="65"/>
      <c r="G39" s="2"/>
    </row>
    <row r="40" spans="2:6" ht="12.75">
      <c r="B40" s="22" t="s">
        <v>46</v>
      </c>
      <c r="F40" s="22"/>
    </row>
    <row r="41" ht="12.75">
      <c r="F41" s="22"/>
    </row>
    <row r="42" spans="2:6" ht="12.75">
      <c r="B42" t="s">
        <v>45</v>
      </c>
      <c r="F42" s="22"/>
    </row>
    <row r="43" ht="12.75">
      <c r="F43" s="22"/>
    </row>
    <row r="44" ht="12.75">
      <c r="F44" s="22"/>
    </row>
    <row r="45" spans="4:6" ht="12.75">
      <c r="D45" s="22" t="s">
        <v>54</v>
      </c>
      <c r="E45" s="22" t="s">
        <v>55</v>
      </c>
      <c r="F45" s="22" t="s">
        <v>56</v>
      </c>
    </row>
    <row r="46" spans="2:6" ht="12.75">
      <c r="B46" t="s">
        <v>13</v>
      </c>
      <c r="C46" t="s">
        <v>9</v>
      </c>
      <c r="D46" s="22">
        <f>4*D8</f>
        <v>200</v>
      </c>
      <c r="E46" s="22">
        <f>4*E8</f>
        <v>200</v>
      </c>
      <c r="F46" s="22">
        <f>4*F8</f>
        <v>200</v>
      </c>
    </row>
    <row r="47" spans="2:6" ht="12.75">
      <c r="B47" t="s">
        <v>14</v>
      </c>
      <c r="C47" t="s">
        <v>47</v>
      </c>
      <c r="D47" s="22">
        <v>7.5</v>
      </c>
      <c r="E47" s="22">
        <v>7.5</v>
      </c>
      <c r="F47" s="22">
        <v>7.5</v>
      </c>
    </row>
    <row r="48" spans="2:6" ht="12.75">
      <c r="B48" t="s">
        <v>50</v>
      </c>
      <c r="C48" t="s">
        <v>48</v>
      </c>
      <c r="D48" s="22">
        <v>3.87</v>
      </c>
      <c r="E48" s="22">
        <v>3.87</v>
      </c>
      <c r="F48" s="22">
        <v>3.87</v>
      </c>
    </row>
    <row r="49" spans="2:6" ht="12.75">
      <c r="B49" t="s">
        <v>51</v>
      </c>
      <c r="C49" t="s">
        <v>49</v>
      </c>
      <c r="D49" s="22">
        <v>40.7</v>
      </c>
      <c r="E49" s="22">
        <v>40.7</v>
      </c>
      <c r="F49" s="22">
        <v>40.7</v>
      </c>
    </row>
    <row r="50" spans="2:6" ht="12.75">
      <c r="B50" t="s">
        <v>15</v>
      </c>
      <c r="C50" s="66" t="s">
        <v>12</v>
      </c>
      <c r="D50" s="65">
        <f>D49/6</f>
        <v>6.783333333333334</v>
      </c>
      <c r="E50" s="65">
        <f>E49/6</f>
        <v>6.783333333333334</v>
      </c>
      <c r="F50" s="65">
        <f>F49/6</f>
        <v>6.783333333333334</v>
      </c>
    </row>
    <row r="51" spans="2:6" ht="12.75">
      <c r="B51" t="s">
        <v>52</v>
      </c>
      <c r="C51" s="63" t="s">
        <v>9</v>
      </c>
      <c r="D51" s="65">
        <f>D46/4</f>
        <v>50</v>
      </c>
      <c r="E51" s="65">
        <f>E46/4</f>
        <v>50</v>
      </c>
      <c r="F51" s="65">
        <f>F46/4</f>
        <v>50</v>
      </c>
    </row>
    <row r="52" spans="2:6" ht="12.75">
      <c r="B52" t="s">
        <v>53</v>
      </c>
      <c r="C52" s="40" t="s">
        <v>12</v>
      </c>
      <c r="D52" s="74">
        <f>D50/4</f>
        <v>1.6958333333333335</v>
      </c>
      <c r="E52" s="74">
        <f>E50/4</f>
        <v>1.6958333333333335</v>
      </c>
      <c r="F52" s="74">
        <f>F50/4</f>
        <v>1.6958333333333335</v>
      </c>
    </row>
    <row r="75" ht="12.75">
      <c r="F75" s="22"/>
    </row>
  </sheetData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11885626" r:id="rId1"/>
    <oleObject progId="Equation.3" shapeId="11912611" r:id="rId2"/>
    <oleObject progId="Equation.3" shapeId="493221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AC36"/>
  <sheetViews>
    <sheetView tabSelected="1" workbookViewId="0" topLeftCell="A1">
      <selection activeCell="AC33" sqref="A1:AC33"/>
    </sheetView>
  </sheetViews>
  <sheetFormatPr defaultColWidth="9.140625" defaultRowHeight="12.75"/>
  <cols>
    <col min="1" max="1" width="2.57421875" style="0" customWidth="1"/>
    <col min="2" max="2" width="2.8515625" style="0" customWidth="1"/>
    <col min="3" max="3" width="5.7109375" style="0" customWidth="1"/>
    <col min="4" max="4" width="3.57421875" style="0" customWidth="1"/>
    <col min="5" max="5" width="3.8515625" style="0" customWidth="1"/>
    <col min="6" max="6" width="6.140625" style="0" customWidth="1"/>
    <col min="7" max="7" width="4.00390625" style="0" customWidth="1"/>
    <col min="8" max="8" width="3.8515625" style="0" customWidth="1"/>
    <col min="9" max="9" width="7.00390625" style="0" customWidth="1"/>
    <col min="10" max="10" width="3.28125" style="0" customWidth="1"/>
    <col min="11" max="11" width="3.00390625" style="0" customWidth="1"/>
    <col min="12" max="12" width="6.00390625" style="0" customWidth="1"/>
    <col min="13" max="13" width="3.140625" style="0" customWidth="1"/>
    <col min="14" max="14" width="4.140625" style="0" customWidth="1"/>
    <col min="15" max="15" width="7.00390625" style="0" customWidth="1"/>
    <col min="16" max="17" width="3.28125" style="0" customWidth="1"/>
    <col min="18" max="18" width="5.8515625" style="0" customWidth="1"/>
    <col min="19" max="19" width="3.00390625" style="0" customWidth="1"/>
    <col min="20" max="20" width="3.7109375" style="0" customWidth="1"/>
    <col min="21" max="21" width="6.57421875" style="0" customWidth="1"/>
    <col min="22" max="22" width="3.140625" style="0" customWidth="1"/>
    <col min="23" max="23" width="2.8515625" style="0" customWidth="1"/>
    <col min="24" max="24" width="5.421875" style="0" customWidth="1"/>
    <col min="25" max="25" width="3.28125" style="0" customWidth="1"/>
    <col min="26" max="26" width="3.8515625" style="0" customWidth="1"/>
    <col min="27" max="27" width="5.8515625" style="0" customWidth="1"/>
    <col min="28" max="28" width="2.00390625" style="0" customWidth="1"/>
    <col min="29" max="29" width="5.00390625" style="0" customWidth="1"/>
  </cols>
  <sheetData>
    <row r="2" ht="12.75">
      <c r="A2" s="22"/>
    </row>
    <row r="3" ht="12.75">
      <c r="C3" s="22" t="s">
        <v>93</v>
      </c>
    </row>
    <row r="4" spans="3:12" ht="12.75">
      <c r="C4" s="22"/>
      <c r="F4" s="144" t="s">
        <v>75</v>
      </c>
      <c r="G4" s="145"/>
      <c r="H4" s="145"/>
      <c r="I4" s="145"/>
      <c r="J4" s="145"/>
      <c r="K4" s="145"/>
      <c r="L4" s="146"/>
    </row>
    <row r="5" spans="6:26" ht="12.75">
      <c r="F5" s="149" t="s">
        <v>90</v>
      </c>
      <c r="G5" s="149"/>
      <c r="H5" s="149"/>
      <c r="I5" s="109">
        <v>50</v>
      </c>
      <c r="J5" s="149" t="s">
        <v>9</v>
      </c>
      <c r="K5" s="149"/>
      <c r="L5" s="149"/>
      <c r="N5" s="134" t="s">
        <v>83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6:26" ht="12.75">
      <c r="F6" s="144" t="s">
        <v>14</v>
      </c>
      <c r="G6" s="145"/>
      <c r="H6" s="146"/>
      <c r="I6" s="102">
        <v>750</v>
      </c>
      <c r="J6" s="144" t="s">
        <v>0</v>
      </c>
      <c r="K6" s="145"/>
      <c r="L6" s="146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6:26" ht="12.75">
      <c r="F7" s="149" t="s">
        <v>76</v>
      </c>
      <c r="G7" s="149"/>
      <c r="H7" s="149"/>
      <c r="I7" s="103">
        <f>I5/I6</f>
        <v>0.06666666666666667</v>
      </c>
      <c r="J7" s="149" t="s">
        <v>67</v>
      </c>
      <c r="K7" s="149"/>
      <c r="L7" s="149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6:26" ht="12.75">
      <c r="F8" s="144" t="s">
        <v>87</v>
      </c>
      <c r="G8" s="145"/>
      <c r="H8" s="146"/>
      <c r="I8" s="106">
        <f>IF(I5=50,0.87,0.85)</f>
        <v>0.87</v>
      </c>
      <c r="J8" s="144"/>
      <c r="K8" s="145"/>
      <c r="L8" s="146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6:26" ht="12.75">
      <c r="F9" s="144" t="s">
        <v>88</v>
      </c>
      <c r="G9" s="145"/>
      <c r="H9" s="146"/>
      <c r="I9" s="112">
        <f>4*I5/(22.98*I8)</f>
        <v>10.003701369506718</v>
      </c>
      <c r="J9" s="144" t="s">
        <v>89</v>
      </c>
      <c r="K9" s="145"/>
      <c r="L9" s="146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6:26" ht="12.75">
      <c r="F10" s="144" t="s">
        <v>73</v>
      </c>
      <c r="G10" s="145"/>
      <c r="H10" s="146"/>
      <c r="I10" s="110">
        <v>0.25</v>
      </c>
      <c r="J10" s="144" t="s">
        <v>74</v>
      </c>
      <c r="K10" s="145"/>
      <c r="L10" s="146"/>
      <c r="N10" s="134" t="s">
        <v>84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6:12" ht="12.75">
      <c r="F11" s="144" t="s">
        <v>77</v>
      </c>
      <c r="G11" s="145"/>
      <c r="H11" s="146"/>
      <c r="I11" s="107">
        <v>10</v>
      </c>
      <c r="J11" s="144" t="s">
        <v>0</v>
      </c>
      <c r="K11" s="145"/>
      <c r="L11" s="146"/>
    </row>
    <row r="12" spans="6:12" ht="12.75">
      <c r="F12" s="144" t="s">
        <v>73</v>
      </c>
      <c r="G12" s="145"/>
      <c r="H12" s="146"/>
      <c r="I12" s="106">
        <v>1</v>
      </c>
      <c r="J12" s="144" t="s">
        <v>74</v>
      </c>
      <c r="K12" s="145"/>
      <c r="L12" s="146"/>
    </row>
    <row r="13" spans="6:12" ht="12.75">
      <c r="F13" s="149" t="s">
        <v>68</v>
      </c>
      <c r="G13" s="149"/>
      <c r="H13" s="149"/>
      <c r="I13" s="103">
        <f>(10/I10)*I5/750</f>
        <v>2.6666666666666665</v>
      </c>
      <c r="J13" s="149" t="s">
        <v>9</v>
      </c>
      <c r="K13" s="149"/>
      <c r="L13" s="149"/>
    </row>
    <row r="14" spans="6:26" ht="12.75">
      <c r="F14" s="144" t="s">
        <v>79</v>
      </c>
      <c r="G14" s="145"/>
      <c r="H14" s="146"/>
      <c r="I14" s="111">
        <f>C25</f>
        <v>1.764</v>
      </c>
      <c r="J14" s="144" t="s">
        <v>21</v>
      </c>
      <c r="K14" s="145"/>
      <c r="L14" s="146"/>
      <c r="N14" s="134" t="s">
        <v>85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6:26" ht="12.75">
      <c r="F15" s="144" t="s">
        <v>91</v>
      </c>
      <c r="G15" s="145"/>
      <c r="H15" s="146"/>
      <c r="I15" s="111">
        <f>IF(C23="Nominal case",6.8,23.3)</f>
        <v>6.8</v>
      </c>
      <c r="J15" s="144" t="s">
        <v>12</v>
      </c>
      <c r="K15" s="145"/>
      <c r="L15" s="146"/>
      <c r="N15" s="134" t="s">
        <v>92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6:12" ht="12.75">
      <c r="F16" s="144" t="s">
        <v>80</v>
      </c>
      <c r="G16" s="145"/>
      <c r="H16" s="146"/>
      <c r="I16" s="103">
        <f>1/I14^3</f>
        <v>0.18218149331948916</v>
      </c>
      <c r="J16" s="144" t="s">
        <v>81</v>
      </c>
      <c r="K16" s="145"/>
      <c r="L16" s="146"/>
    </row>
    <row r="17" spans="6:12" ht="12.75">
      <c r="F17" s="144" t="s">
        <v>78</v>
      </c>
      <c r="G17" s="145"/>
      <c r="H17" s="146"/>
      <c r="I17" s="108">
        <f>53.9*I16+0.1904</f>
        <v>10.009982489920466</v>
      </c>
      <c r="J17" s="144" t="s">
        <v>82</v>
      </c>
      <c r="K17" s="145"/>
      <c r="L17" s="146"/>
    </row>
    <row r="18" spans="6:12" ht="12.75">
      <c r="F18" s="149" t="s">
        <v>15</v>
      </c>
      <c r="G18" s="149"/>
      <c r="H18" s="149"/>
      <c r="I18" s="108">
        <f>I13*I17</f>
        <v>26.693286639787907</v>
      </c>
      <c r="J18" s="149" t="s">
        <v>12</v>
      </c>
      <c r="K18" s="149"/>
      <c r="L18" s="149"/>
    </row>
    <row r="19" spans="6:12" ht="12.75">
      <c r="F19" s="124"/>
      <c r="G19" s="124"/>
      <c r="H19" s="124"/>
      <c r="I19" s="104"/>
      <c r="J19" s="105"/>
      <c r="K19" s="105"/>
      <c r="L19" s="105"/>
    </row>
    <row r="20" spans="6:12" ht="12.75">
      <c r="F20" s="45"/>
      <c r="G20" s="45"/>
      <c r="H20" s="45"/>
      <c r="I20" s="2"/>
      <c r="J20" s="45"/>
      <c r="K20" s="45"/>
      <c r="L20" s="45"/>
    </row>
    <row r="21" spans="6:12" ht="12.75">
      <c r="F21" s="45"/>
      <c r="G21" s="45"/>
      <c r="H21" s="45"/>
      <c r="I21" s="2"/>
      <c r="J21" s="45"/>
      <c r="K21" s="45"/>
      <c r="L21" s="45"/>
    </row>
    <row r="23" spans="3:19" ht="12.75">
      <c r="C23" s="22" t="str">
        <f>IF(I5=50,"Nominal case","Ultimate case")</f>
        <v>Nominal case</v>
      </c>
      <c r="D23" s="2"/>
      <c r="E23" s="2"/>
      <c r="F23" s="2"/>
      <c r="G23" s="2"/>
      <c r="H23" s="2"/>
      <c r="I23" s="92"/>
      <c r="J23" s="92"/>
      <c r="K23" s="2"/>
      <c r="L23" s="2"/>
      <c r="M23" s="2"/>
      <c r="N23" s="2"/>
      <c r="O23" s="2"/>
      <c r="P23" s="2"/>
      <c r="Q23" s="92"/>
      <c r="R23" s="92"/>
      <c r="S23" s="2"/>
    </row>
    <row r="24" spans="3:27" ht="12.75">
      <c r="C24" s="94"/>
      <c r="D24" s="20"/>
      <c r="E24" s="20"/>
      <c r="F24" s="20"/>
      <c r="G24" s="20"/>
      <c r="H24" s="20"/>
      <c r="I24" s="20"/>
      <c r="J24" s="20"/>
      <c r="K24" s="94"/>
      <c r="L24" s="94"/>
      <c r="M24" s="94"/>
      <c r="N24" s="20"/>
      <c r="O24" s="20"/>
      <c r="P24" s="20"/>
      <c r="Q24" s="20"/>
      <c r="R24" s="20"/>
      <c r="S24" s="20"/>
      <c r="T24" s="20"/>
      <c r="U24" s="20"/>
      <c r="V24" s="94"/>
      <c r="W24" s="94"/>
      <c r="X24" s="94"/>
      <c r="Y24" s="94"/>
      <c r="Z24" s="20"/>
      <c r="AA24" s="100"/>
    </row>
    <row r="25" spans="1:29" ht="13.5" thickBot="1">
      <c r="A25" s="127" t="s">
        <v>69</v>
      </c>
      <c r="B25" s="127"/>
      <c r="C25" s="93">
        <f>IF(C23="Nominal case",1.764,1.793)</f>
        <v>1.764</v>
      </c>
      <c r="D25" s="93"/>
      <c r="E25" s="93"/>
      <c r="F25" s="93">
        <f>C25+DT_of_DP/8*0.001</f>
        <v>1.76485</v>
      </c>
      <c r="G25" s="93"/>
      <c r="H25" s="93"/>
      <c r="I25" s="93">
        <f>F25+DT_of_DP/8*0.001</f>
        <v>1.7657</v>
      </c>
      <c r="J25" s="93"/>
      <c r="K25" s="93"/>
      <c r="L25" s="93">
        <f>I25+DT_of_DP/8*0.001</f>
        <v>1.76655</v>
      </c>
      <c r="M25" s="93"/>
      <c r="N25" s="93"/>
      <c r="O25" s="93">
        <f>L25+DT_of_DP/8*0.001</f>
        <v>1.7674</v>
      </c>
      <c r="P25" s="93"/>
      <c r="Q25" s="93"/>
      <c r="R25" s="93">
        <f>O25+DT_of_DP/8*0.001</f>
        <v>1.76825</v>
      </c>
      <c r="S25" s="93"/>
      <c r="T25" s="93"/>
      <c r="U25" s="93">
        <f>R25+DT_of_DP/8*0.001</f>
        <v>1.7691000000000001</v>
      </c>
      <c r="V25" s="93"/>
      <c r="W25" s="93"/>
      <c r="X25" s="93">
        <f>U25+DT_of_DP/8*0.001</f>
        <v>1.7699500000000001</v>
      </c>
      <c r="Y25" s="93"/>
      <c r="Z25" s="93"/>
      <c r="AA25" s="93">
        <f>X25+DT_of_DP/8*0.001</f>
        <v>1.7708000000000002</v>
      </c>
      <c r="AB25" s="128" t="s">
        <v>70</v>
      </c>
      <c r="AC25" s="128"/>
    </row>
    <row r="26" spans="1:29" ht="12.75">
      <c r="A26" s="78"/>
      <c r="C26" s="84"/>
      <c r="D26" s="151" t="s">
        <v>32</v>
      </c>
      <c r="E26" s="151"/>
      <c r="F26" s="98">
        <f>F25+DT_Nom*0.001</f>
        <v>1.791543286639788</v>
      </c>
      <c r="G26" s="147">
        <f>Calculation!J34</f>
        <v>0.6238267571160959</v>
      </c>
      <c r="H26" s="147"/>
      <c r="I26" s="98">
        <f>F26+G26*0.001</f>
        <v>1.7921671133969042</v>
      </c>
      <c r="J26" s="119"/>
      <c r="K26" s="119"/>
      <c r="L26" s="98">
        <f>L25+DT_Nom*0.001</f>
        <v>1.793243286639788</v>
      </c>
      <c r="M26" s="147">
        <f>Calculation!K34</f>
        <v>0.6238267571160959</v>
      </c>
      <c r="N26" s="147"/>
      <c r="O26" s="98">
        <f>L27+M26*0.001</f>
        <v>1.7938671133969042</v>
      </c>
      <c r="P26" s="98"/>
      <c r="Q26" s="98"/>
      <c r="R26" s="98">
        <f>R25+DT_Nom*0.001</f>
        <v>1.794943286639788</v>
      </c>
      <c r="S26" s="147">
        <f>M26</f>
        <v>0.6238267571160959</v>
      </c>
      <c r="T26" s="147"/>
      <c r="U26" s="98">
        <f>R26+S26*0.001</f>
        <v>1.7955671133969042</v>
      </c>
      <c r="V26" s="98"/>
      <c r="W26" s="98"/>
      <c r="X26" s="98">
        <f>X25+DT_Nom*0.001</f>
        <v>1.7966432866397881</v>
      </c>
      <c r="Y26" s="147">
        <f>Calculation!L34</f>
        <v>0.6238267571160959</v>
      </c>
      <c r="Z26" s="147"/>
      <c r="AA26" s="113">
        <f>X26+Y26*0.001</f>
        <v>1.7972671133969043</v>
      </c>
      <c r="AB26" s="79"/>
      <c r="AC26" s="80" t="e">
        <f>#REF!+'[1]Calculation'!F109*0.001</f>
        <v>#REF!</v>
      </c>
    </row>
    <row r="27" spans="1:29" ht="13.5" thickBot="1">
      <c r="A27" s="78"/>
      <c r="C27" s="88">
        <f>F27+D27*0.001</f>
        <v>1.7920343075198355</v>
      </c>
      <c r="D27" s="148">
        <f>Calculation!D34</f>
        <v>0.4910208800475432</v>
      </c>
      <c r="E27" s="148"/>
      <c r="F27" s="87">
        <f>F26</f>
        <v>1.791543286639788</v>
      </c>
      <c r="G27" s="150" t="s">
        <v>32</v>
      </c>
      <c r="H27" s="150"/>
      <c r="I27" s="87">
        <f>L27+J27*0.001</f>
        <v>1.7937343075198355</v>
      </c>
      <c r="J27" s="123">
        <f>Calculation!E34</f>
        <v>0.4910208800475432</v>
      </c>
      <c r="K27" s="123"/>
      <c r="L27" s="87">
        <f>L25+DT_Nom*0.001</f>
        <v>1.793243286639788</v>
      </c>
      <c r="M27" s="87"/>
      <c r="N27" s="87"/>
      <c r="O27" s="87">
        <f>R27+P27*0.001</f>
        <v>1.7954343075198356</v>
      </c>
      <c r="P27" s="148">
        <f>J27</f>
        <v>0.4910208800475432</v>
      </c>
      <c r="Q27" s="148"/>
      <c r="R27" s="87">
        <f>R26</f>
        <v>1.794943286639788</v>
      </c>
      <c r="S27" s="87"/>
      <c r="T27" s="87"/>
      <c r="U27" s="87">
        <f>X27+V27*0.001</f>
        <v>1.7971343075198356</v>
      </c>
      <c r="V27" s="148">
        <f>Calculation!F34</f>
        <v>0.4910208800475432</v>
      </c>
      <c r="W27" s="148"/>
      <c r="X27" s="87">
        <f>X26</f>
        <v>1.7966432866397881</v>
      </c>
      <c r="Y27" s="86"/>
      <c r="Z27" s="86"/>
      <c r="AA27" s="118"/>
      <c r="AB27" s="79"/>
      <c r="AC27" s="80"/>
    </row>
    <row r="28" spans="1:29" ht="13.5" thickBot="1">
      <c r="A28" s="78"/>
      <c r="B28" s="101" t="s">
        <v>31</v>
      </c>
      <c r="C28" s="96">
        <f>Calculation!D27</f>
        <v>0.8879081117647308</v>
      </c>
      <c r="D28" s="125"/>
      <c r="E28" s="126"/>
      <c r="F28" s="90"/>
      <c r="G28" s="90"/>
      <c r="H28" s="91" t="s">
        <v>31</v>
      </c>
      <c r="I28" s="95">
        <f>Calculation!J27</f>
        <v>7.103264894117847</v>
      </c>
      <c r="J28" s="89"/>
      <c r="K28" s="90"/>
      <c r="L28" s="90"/>
      <c r="M28" s="90"/>
      <c r="N28" s="91"/>
      <c r="O28" s="95">
        <f>Calculation!K27</f>
        <v>7.103264894117847</v>
      </c>
      <c r="P28" s="89"/>
      <c r="Q28" s="90"/>
      <c r="R28" s="90"/>
      <c r="S28" s="90"/>
      <c r="T28" s="91"/>
      <c r="U28" s="95">
        <f>O28</f>
        <v>7.103264894117847</v>
      </c>
      <c r="V28" s="89"/>
      <c r="W28" s="90"/>
      <c r="X28" s="90"/>
      <c r="Y28" s="90"/>
      <c r="Z28" s="91"/>
      <c r="AA28" s="121">
        <f>Calculation!L27</f>
        <v>0.8879081117647308</v>
      </c>
      <c r="AB28" s="79"/>
      <c r="AC28" s="81"/>
    </row>
    <row r="29" spans="1:29" ht="12.75">
      <c r="A29" s="78"/>
      <c r="C29" s="88">
        <f>C27+C28*0.001</f>
        <v>1.7929222156316003</v>
      </c>
      <c r="D29" s="122">
        <f>Calculation!D21</f>
        <v>5.086013906745381</v>
      </c>
      <c r="E29" s="116">
        <f>Calculation!D15</f>
        <v>0.3681169057344433</v>
      </c>
      <c r="F29" s="87">
        <f>C29+(D29+E29)*0.001</f>
        <v>1.79837634644408</v>
      </c>
      <c r="G29" s="87"/>
      <c r="H29" s="117"/>
      <c r="I29" s="97">
        <f>I27+I28*0.001</f>
        <v>1.8008375724139534</v>
      </c>
      <c r="J29" s="122">
        <f>Calculation!E21</f>
        <v>5.086013906745381</v>
      </c>
      <c r="K29" s="116">
        <f>Calculation!E15</f>
        <v>0.3681169057344433</v>
      </c>
      <c r="L29" s="87">
        <f>I29+(J29+K29)*0.001</f>
        <v>1.8062917032264332</v>
      </c>
      <c r="M29" s="87"/>
      <c r="N29" s="117"/>
      <c r="O29" s="87">
        <f>O27+O28*0.001</f>
        <v>1.8025375724139534</v>
      </c>
      <c r="P29" s="122">
        <f>J29</f>
        <v>5.086013906745381</v>
      </c>
      <c r="Q29" s="116">
        <f>K29</f>
        <v>0.3681169057344433</v>
      </c>
      <c r="R29" s="87">
        <f>O29+(P29+Q29)*0.001</f>
        <v>1.8079917032264332</v>
      </c>
      <c r="S29" s="87"/>
      <c r="T29" s="117"/>
      <c r="U29" s="86">
        <f>U27+U28*0.001</f>
        <v>1.8042375724139534</v>
      </c>
      <c r="V29" s="122">
        <f>Calculation!F21</f>
        <v>5.086013906745381</v>
      </c>
      <c r="W29" s="116">
        <f>Calculation!F15</f>
        <v>0.3681169057344433</v>
      </c>
      <c r="X29" s="86">
        <f>U29+(V29+W29)*0.001</f>
        <v>1.8096917032264332</v>
      </c>
      <c r="Y29" s="86"/>
      <c r="Z29" s="117"/>
      <c r="AA29" s="118"/>
      <c r="AB29" s="82"/>
      <c r="AC29" s="81"/>
    </row>
    <row r="30" spans="1:29" ht="13.5" thickBot="1">
      <c r="A30" s="78"/>
      <c r="C30" s="85"/>
      <c r="D30" s="99"/>
      <c r="E30" s="99"/>
      <c r="F30" s="114">
        <f>I30+(G30+H30)*0.001</f>
        <v>1.8045765846370356</v>
      </c>
      <c r="G30" s="120">
        <f>Calculation!J15</f>
        <v>0.4997484816126902</v>
      </c>
      <c r="H30" s="120">
        <f>Calculation!J21</f>
        <v>4.806457864400851</v>
      </c>
      <c r="I30" s="114">
        <f>I26+I28*0.001</f>
        <v>1.799270378291022</v>
      </c>
      <c r="J30" s="114"/>
      <c r="K30" s="114"/>
      <c r="L30" s="114">
        <f>O30+(M30+N30)*0.001</f>
        <v>1.8062765846370357</v>
      </c>
      <c r="M30" s="120">
        <f>Calculation!K15</f>
        <v>0.4997484816126902</v>
      </c>
      <c r="N30" s="120">
        <f>Calculation!K21</f>
        <v>4.806457864400851</v>
      </c>
      <c r="O30" s="114">
        <f>O26+O28*0.001</f>
        <v>1.800970378291022</v>
      </c>
      <c r="P30" s="114"/>
      <c r="Q30" s="114"/>
      <c r="R30" s="114">
        <f>U30+(S30+T30)*0.001</f>
        <v>1.8079765846370357</v>
      </c>
      <c r="S30" s="120">
        <f>M30</f>
        <v>0.4997484816126902</v>
      </c>
      <c r="T30" s="120">
        <f>N30</f>
        <v>4.806457864400851</v>
      </c>
      <c r="U30" s="114">
        <f>U26+U28*0.001</f>
        <v>1.802670378291022</v>
      </c>
      <c r="V30" s="114"/>
      <c r="W30" s="114"/>
      <c r="X30" s="114">
        <f>AA30+(Y30+Z30)*0.001</f>
        <v>1.8034612278546827</v>
      </c>
      <c r="Y30" s="120">
        <f>Calculation!L15</f>
        <v>0.4997484816126902</v>
      </c>
      <c r="Z30" s="120">
        <f>Calculation!L21</f>
        <v>4.806457864400851</v>
      </c>
      <c r="AA30" s="115">
        <f>AA26+AA28*0.001</f>
        <v>1.798155021508669</v>
      </c>
      <c r="AB30" s="82"/>
      <c r="AC30" s="81"/>
    </row>
    <row r="31" spans="1:21" ht="12.75">
      <c r="A31" s="78"/>
      <c r="D31" s="78" t="s">
        <v>27</v>
      </c>
      <c r="E31" s="81" t="s">
        <v>26</v>
      </c>
      <c r="F31" s="79"/>
      <c r="G31" s="81" t="s">
        <v>26</v>
      </c>
      <c r="H31" s="81" t="s">
        <v>27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1"/>
    </row>
    <row r="32" spans="1:21" ht="12.75">
      <c r="A32" s="78"/>
      <c r="U32" s="81"/>
    </row>
    <row r="33" spans="1:25" ht="12.75">
      <c r="A33" s="83"/>
      <c r="B33" s="22"/>
      <c r="C33" s="22"/>
      <c r="E33" s="129" t="s">
        <v>54</v>
      </c>
      <c r="F33" s="130"/>
      <c r="G33" s="152"/>
      <c r="K33" s="129" t="s">
        <v>71</v>
      </c>
      <c r="L33" s="130"/>
      <c r="M33" s="152"/>
      <c r="O33" s="22"/>
      <c r="Q33" s="129" t="s">
        <v>86</v>
      </c>
      <c r="R33" s="130"/>
      <c r="S33" s="152"/>
      <c r="T33" s="22"/>
      <c r="U33" s="78"/>
      <c r="V33" t="s">
        <v>72</v>
      </c>
      <c r="W33" s="129" t="s">
        <v>56</v>
      </c>
      <c r="X33" s="130"/>
      <c r="Y33" s="152"/>
    </row>
    <row r="34" spans="1:21" ht="12.75">
      <c r="A34" s="78"/>
      <c r="U34" s="83"/>
    </row>
    <row r="35" spans="1:21" ht="12.75">
      <c r="A35" s="78"/>
      <c r="U35" s="78"/>
    </row>
    <row r="36" spans="1:21" ht="12.75">
      <c r="A36" s="78"/>
      <c r="U36" s="78"/>
    </row>
  </sheetData>
  <mergeCells count="53">
    <mergeCell ref="D28:E28"/>
    <mergeCell ref="A25:B25"/>
    <mergeCell ref="AB25:AC25"/>
    <mergeCell ref="E33:G33"/>
    <mergeCell ref="K33:M33"/>
    <mergeCell ref="Q33:S33"/>
    <mergeCell ref="W33:Y33"/>
    <mergeCell ref="D27:E27"/>
    <mergeCell ref="S26:T26"/>
    <mergeCell ref="P27:Q27"/>
    <mergeCell ref="F15:H15"/>
    <mergeCell ref="J15:L15"/>
    <mergeCell ref="N15:Z15"/>
    <mergeCell ref="F14:H14"/>
    <mergeCell ref="J14:L14"/>
    <mergeCell ref="G27:H27"/>
    <mergeCell ref="D26:E26"/>
    <mergeCell ref="G26:H26"/>
    <mergeCell ref="J27:K27"/>
    <mergeCell ref="Y26:Z26"/>
    <mergeCell ref="V27:W27"/>
    <mergeCell ref="F5:H5"/>
    <mergeCell ref="F7:H7"/>
    <mergeCell ref="F13:H13"/>
    <mergeCell ref="F18:H18"/>
    <mergeCell ref="J5:L5"/>
    <mergeCell ref="J7:L7"/>
    <mergeCell ref="J13:L13"/>
    <mergeCell ref="J16:L16"/>
    <mergeCell ref="J10:L10"/>
    <mergeCell ref="F6:H6"/>
    <mergeCell ref="J6:L6"/>
    <mergeCell ref="M26:N26"/>
    <mergeCell ref="J18:L18"/>
    <mergeCell ref="F19:H19"/>
    <mergeCell ref="F17:H17"/>
    <mergeCell ref="J17:L17"/>
    <mergeCell ref="F16:H16"/>
    <mergeCell ref="N14:Z14"/>
    <mergeCell ref="F4:L4"/>
    <mergeCell ref="F11:H11"/>
    <mergeCell ref="J11:L11"/>
    <mergeCell ref="F12:H12"/>
    <mergeCell ref="J12:L12"/>
    <mergeCell ref="F8:H8"/>
    <mergeCell ref="J8:L8"/>
    <mergeCell ref="F9:H9"/>
    <mergeCell ref="J9:L9"/>
    <mergeCell ref="F10:H10"/>
    <mergeCell ref="N5:Z5"/>
    <mergeCell ref="N6:Z6"/>
    <mergeCell ref="N7:Z7"/>
    <mergeCell ref="N10:Z10"/>
  </mergeCells>
  <printOptions/>
  <pageMargins left="0.75" right="0.75" top="1" bottom="1" header="0.5" footer="0.5"/>
  <pageSetup horizontalDpi="400" verticalDpi="4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cp:lastPrinted>2000-02-24T17:17:23Z</cp:lastPrinted>
  <dcterms:created xsi:type="dcterms:W3CDTF">2000-02-16T19:39:31Z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