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6915" windowHeight="7320" activeTab="0"/>
  </bookViews>
  <sheets>
    <sheet name="MGMT FUND" sheetId="1" r:id="rId1"/>
    <sheet name="SSF ASSESS" sheetId="2" r:id="rId2"/>
    <sheet name="Notes" sheetId="3" r:id="rId3"/>
    <sheet name="CSR" sheetId="4" r:id="rId4"/>
    <sheet name="CIT" sheetId="5" r:id="rId5"/>
    <sheet name="OD" sheetId="6" r:id="rId6"/>
    <sheet name="CC" sheetId="7" r:id="rId7"/>
    <sheet name="ORS" sheetId="8" r:id="rId8"/>
    <sheet name="ORF" sheetId="9" r:id="rId9"/>
    <sheet name="DHHS Assess" sheetId="10" r:id="rId10"/>
    <sheet name="Reserve " sheetId="11" r:id="rId11"/>
    <sheet name="WCF PMS" sheetId="12" r:id="rId12"/>
    <sheet name="Unempl &amp; work comp" sheetId="13" r:id="rId13"/>
    <sheet name="MIS" sheetId="14" r:id="rId14"/>
    <sheet name="EIT" sheetId="15" r:id="rId15"/>
    <sheet name="OTT" sheetId="16" r:id="rId16"/>
    <sheet name="Telcom" sheetId="17" r:id="rId17"/>
    <sheet name="IT Software Dev" sheetId="18" r:id="rId18"/>
    <sheet name="eRA Ongoing" sheetId="19" r:id="rId19"/>
    <sheet name="HR Ongoing" sheetId="20" r:id="rId20"/>
    <sheet name="CIT Assessments" sheetId="21" r:id="rId21"/>
    <sheet name="Bioethics" sheetId="22" r:id="rId22"/>
    <sheet name="Grad Prog" sheetId="23" r:id="rId23"/>
    <sheet name="NRSA Payback" sheetId="24" r:id="rId24"/>
    <sheet name="Intern Prog" sheetId="25" r:id="rId25"/>
    <sheet name="NIH OHR  " sheetId="26" r:id="rId26"/>
    <sheet name=" HR Residual" sheetId="27" r:id="rId27"/>
    <sheet name="OFM" sheetId="28" r:id="rId28"/>
    <sheet name="UFMS" sheetId="29" r:id="rId29"/>
    <sheet name="Census" sheetId="30" r:id="rId30"/>
    <sheet name="FTEs &amp; onbrd" sheetId="31" r:id="rId31"/>
    <sheet name="School Tax" sheetId="32" r:id="rId32"/>
    <sheet name="TCR Model" sheetId="33" r:id="rId33"/>
    <sheet name="FY06 PB" sheetId="34" r:id="rId34"/>
    <sheet name="Document Nos." sheetId="35" r:id="rId35"/>
    <sheet name="placeholder1" sheetId="36" r:id="rId36"/>
  </sheets>
  <definedNames/>
  <calcPr fullCalcOnLoad="1"/>
</workbook>
</file>

<file path=xl/comments29.xml><?xml version="1.0" encoding="utf-8"?>
<comments xmlns="http://schemas.openxmlformats.org/spreadsheetml/2006/main">
  <authors>
    <author>stonec</author>
  </authors>
  <commentList>
    <comment ref="D38" authorId="0">
      <text>
        <r>
          <rPr>
            <b/>
            <sz val="8"/>
            <rFont val="Tahoma"/>
            <family val="0"/>
          </rPr>
          <t>ston.ec:</t>
        </r>
        <r>
          <rPr>
            <sz val="8"/>
            <rFont val="Tahoma"/>
            <family val="0"/>
          </rPr>
          <t xml:space="preserve">
sum(</t>
        </r>
      </text>
    </comment>
  </commentList>
</comments>
</file>

<file path=xl/comments33.xml><?xml version="1.0" encoding="utf-8"?>
<comments xmlns="http://schemas.openxmlformats.org/spreadsheetml/2006/main">
  <authors>
    <author>frushouk</author>
  </authors>
  <commentList>
    <comment ref="J12" authorId="0">
      <text>
        <r>
          <rPr>
            <b/>
            <sz val="12"/>
            <rFont val="Tahoma"/>
            <family val="2"/>
          </rPr>
          <t>frushouk:</t>
        </r>
        <r>
          <rPr>
            <sz val="12"/>
            <rFont val="Tahoma"/>
            <family val="2"/>
          </rPr>
          <t xml:space="preserve">
includes 1,292 Biodefense applications</t>
        </r>
      </text>
    </comment>
  </commentList>
</comments>
</file>

<file path=xl/sharedStrings.xml><?xml version="1.0" encoding="utf-8"?>
<sst xmlns="http://schemas.openxmlformats.org/spreadsheetml/2006/main" count="1676" uniqueCount="323">
  <si>
    <t>NCI</t>
  </si>
  <si>
    <t>DHHS</t>
  </si>
  <si>
    <t>Wrk Cap</t>
  </si>
  <si>
    <t>Workmn</t>
  </si>
  <si>
    <t>Subtotal</t>
  </si>
  <si>
    <t>CSR</t>
  </si>
  <si>
    <t>CIT</t>
  </si>
  <si>
    <t xml:space="preserve">CC  </t>
  </si>
  <si>
    <t>OD</t>
  </si>
  <si>
    <t>ORS</t>
  </si>
  <si>
    <t>Assess</t>
  </si>
  <si>
    <t>Reserve</t>
  </si>
  <si>
    <t>Pmt Mgt</t>
  </si>
  <si>
    <t>Comp</t>
  </si>
  <si>
    <t>MIS</t>
  </si>
  <si>
    <t>MF</t>
  </si>
  <si>
    <t>NHLBI</t>
  </si>
  <si>
    <t>NIDCR</t>
  </si>
  <si>
    <t>NIDDK</t>
  </si>
  <si>
    <t>NINDS</t>
  </si>
  <si>
    <t>NIAID</t>
  </si>
  <si>
    <t>NIGMS</t>
  </si>
  <si>
    <t>NICHD</t>
  </si>
  <si>
    <t>NEI</t>
  </si>
  <si>
    <t>NIEHS</t>
  </si>
  <si>
    <t>NIA</t>
  </si>
  <si>
    <t>NIAMS</t>
  </si>
  <si>
    <t>NIDCD</t>
  </si>
  <si>
    <t>NIMH</t>
  </si>
  <si>
    <t>NIDA</t>
  </si>
  <si>
    <t>NIAAA</t>
  </si>
  <si>
    <t>NINR</t>
  </si>
  <si>
    <t>NHGRI</t>
  </si>
  <si>
    <t>NIBIB</t>
  </si>
  <si>
    <t>NCRR</t>
  </si>
  <si>
    <t>NCCAM</t>
  </si>
  <si>
    <t>NCMHD</t>
  </si>
  <si>
    <t>FIC</t>
  </si>
  <si>
    <t>NLM</t>
  </si>
  <si>
    <t>FDA</t>
  </si>
  <si>
    <t>CC</t>
  </si>
  <si>
    <t>Total</t>
  </si>
  <si>
    <t>Factor</t>
  </si>
  <si>
    <t>Percent</t>
  </si>
  <si>
    <t>Amount</t>
  </si>
  <si>
    <t>DHHS Assessment</t>
  </si>
  <si>
    <t>Intramural</t>
  </si>
  <si>
    <t>RMS</t>
  </si>
  <si>
    <t>Extramural</t>
  </si>
  <si>
    <t>Unemployment and Workers Compensation</t>
  </si>
  <si>
    <t>Cancer</t>
  </si>
  <si>
    <t>Control</t>
  </si>
  <si>
    <t>OD/CS</t>
  </si>
  <si>
    <t>Mgmt Fnd</t>
  </si>
  <si>
    <t>SSF</t>
  </si>
  <si>
    <t>AUX</t>
  </si>
  <si>
    <t>OTT</t>
  </si>
  <si>
    <t>Telcom</t>
  </si>
  <si>
    <t>Network</t>
  </si>
  <si>
    <t>eRA</t>
  </si>
  <si>
    <t>Ongoing</t>
  </si>
  <si>
    <t>HR</t>
  </si>
  <si>
    <t>Grad</t>
  </si>
  <si>
    <t>Program</t>
  </si>
  <si>
    <t>NRSA</t>
  </si>
  <si>
    <t>Payback</t>
  </si>
  <si>
    <t>UFMS</t>
  </si>
  <si>
    <t>EIM</t>
  </si>
  <si>
    <t>DHHS Enterprise Infrastructure</t>
  </si>
  <si>
    <t>Factor - President's Budget</t>
  </si>
  <si>
    <t>Factor - School Tax</t>
  </si>
  <si>
    <t>Medical Information Systems (MIS)</t>
  </si>
  <si>
    <t>Office of Technology Transfer (OTT)</t>
  </si>
  <si>
    <t>Telecommunications</t>
  </si>
  <si>
    <t>eRA Ongoing</t>
  </si>
  <si>
    <t>HR Ongoing</t>
  </si>
  <si>
    <t>Graduate Program</t>
  </si>
  <si>
    <t>NRSA Payback</t>
  </si>
  <si>
    <t>Unified Financial Management System</t>
  </si>
  <si>
    <t>PB</t>
  </si>
  <si>
    <t>NATIONAL INSTITUTES OF HEALTH</t>
  </si>
  <si>
    <t>Intramural Budget by IC</t>
  </si>
  <si>
    <t>FY 2001</t>
  </si>
  <si>
    <t>FY 2002</t>
  </si>
  <si>
    <t>FY 2003</t>
  </si>
  <si>
    <t>Adjusted</t>
  </si>
  <si>
    <t>Budget</t>
  </si>
  <si>
    <t>of Total</t>
  </si>
  <si>
    <t>P B Budget</t>
  </si>
  <si>
    <t>of Total 2/</t>
  </si>
  <si>
    <t xml:space="preserve">Budget </t>
  </si>
  <si>
    <t>Change</t>
  </si>
  <si>
    <t>C J</t>
  </si>
  <si>
    <t>NIGMS*</t>
  </si>
  <si>
    <t>1/</t>
  </si>
  <si>
    <t xml:space="preserve"> 1/</t>
  </si>
  <si>
    <t>NIA*</t>
  </si>
  <si>
    <t>NIDA*</t>
  </si>
  <si>
    <t>1/ excludes $30,829k for NTP and $12,173k for facility support in 02 and $31,527 &amp; $14,013 respectfully in 03.</t>
  </si>
  <si>
    <t>72,484</t>
  </si>
  <si>
    <t>1,994</t>
  </si>
  <si>
    <t>94,657</t>
  </si>
  <si>
    <t>FTEs</t>
  </si>
  <si>
    <t>Factor -  Payback file open records</t>
  </si>
  <si>
    <t xml:space="preserve"> (open records include all records in the Payback File which</t>
  </si>
  <si>
    <t xml:space="preserve">  have unsatisfied obligations, does not include records</t>
  </si>
  <si>
    <t xml:space="preserve">  without Termination Notices)</t>
  </si>
  <si>
    <t>Management Intern Program</t>
  </si>
  <si>
    <t>Mgmt</t>
  </si>
  <si>
    <t>Intern Prog</t>
  </si>
  <si>
    <t>Factor - On-board strength</t>
  </si>
  <si>
    <t>Factor -  Number of phone lines</t>
  </si>
  <si>
    <t xml:space="preserve">Factor -  Weighted usage of CRADAs, EIRs, </t>
  </si>
  <si>
    <t xml:space="preserve">               Applications filed/pending, Licenses</t>
  </si>
  <si>
    <t>IT Software Development Account</t>
  </si>
  <si>
    <t>(dollars in thousands)</t>
  </si>
  <si>
    <t>$ in thousands</t>
  </si>
  <si>
    <t>IT Software</t>
  </si>
  <si>
    <t xml:space="preserve">note:  excludes summers </t>
  </si>
  <si>
    <t>PSC/HRS Tap</t>
  </si>
  <si>
    <t>Percent of</t>
  </si>
  <si>
    <t>Total, ICs</t>
  </si>
  <si>
    <t>Grand Ttl</t>
  </si>
  <si>
    <t>FARB approved CC budg.</t>
  </si>
  <si>
    <t>Total w/ CS</t>
  </si>
  <si>
    <t>% of Total</t>
  </si>
  <si>
    <t>w/o CS</t>
  </si>
  <si>
    <t>OD-CS/OER</t>
  </si>
  <si>
    <t xml:space="preserve">Subtotal </t>
  </si>
  <si>
    <t>Number of Applications</t>
  </si>
  <si>
    <t>Single Investigator</t>
  </si>
  <si>
    <t>Other</t>
  </si>
  <si>
    <t>INSTITUTE</t>
  </si>
  <si>
    <t>New</t>
  </si>
  <si>
    <t>Renewal</t>
  </si>
  <si>
    <t xml:space="preserve">PSC </t>
  </si>
  <si>
    <t>AR includes open files from AM</t>
  </si>
  <si>
    <t>Office of Financial Management</t>
  </si>
  <si>
    <t xml:space="preserve">CIT </t>
  </si>
  <si>
    <t>CIT Assessments</t>
  </si>
  <si>
    <t>OFM</t>
  </si>
  <si>
    <t>Assessmnts</t>
  </si>
  <si>
    <t>Clinical Center</t>
  </si>
  <si>
    <t>Center for Scientific Review</t>
  </si>
  <si>
    <t>Center for Information Technology</t>
  </si>
  <si>
    <t>Office of Research Services</t>
  </si>
  <si>
    <t>MF Reserve</t>
  </si>
  <si>
    <t>OHR</t>
  </si>
  <si>
    <t xml:space="preserve">Factor </t>
  </si>
  <si>
    <t>Pres. Budget</t>
  </si>
  <si>
    <t>Clinical Ctr</t>
  </si>
  <si>
    <t>"School Tax"</t>
  </si>
  <si>
    <t xml:space="preserve">Management Fund  </t>
  </si>
  <si>
    <t xml:space="preserve">Service and Supply Fund Assessments </t>
  </si>
  <si>
    <t>Workcomp</t>
  </si>
  <si>
    <t>Unemploy</t>
  </si>
  <si>
    <t>Number</t>
  </si>
  <si>
    <t>FY 2005</t>
  </si>
  <si>
    <t>of Rsrch Grants</t>
  </si>
  <si>
    <t>Construction</t>
  </si>
  <si>
    <t>Cancer Control/</t>
  </si>
  <si>
    <t>Local</t>
  </si>
  <si>
    <t>Campus</t>
  </si>
  <si>
    <t>Field</t>
  </si>
  <si>
    <t>NIHAC</t>
  </si>
  <si>
    <t>ORF</t>
  </si>
  <si>
    <t>On-Board</t>
  </si>
  <si>
    <t>Strength</t>
  </si>
  <si>
    <t>Percent of TL Amt</t>
  </si>
  <si>
    <t>Includes Biodefense, Type I Diabetes, and Roadmap</t>
  </si>
  <si>
    <t>Office of Research Facilities</t>
  </si>
  <si>
    <t>Development &amp; Operations</t>
  </si>
  <si>
    <t>* Work Life Center; Training Mgmt; NIH Intern Mgmt;</t>
  </si>
  <si>
    <t xml:space="preserve">   Commissioned Corps Mgmt</t>
  </si>
  <si>
    <t>A-76 Studies</t>
  </si>
  <si>
    <t>Transition Center</t>
  </si>
  <si>
    <t>R &amp; D</t>
  </si>
  <si>
    <t>Contracts</t>
  </si>
  <si>
    <t>Factor -  Grants</t>
  </si>
  <si>
    <t>Parklawn Service Center and Payment Management System</t>
  </si>
  <si>
    <t xml:space="preserve">note:  Parklawn Service Center was formerly Working Capital Fund (WCF) </t>
  </si>
  <si>
    <t>Factor - Grants, Contracts &amp;</t>
  </si>
  <si>
    <t xml:space="preserve">   on-board</t>
  </si>
  <si>
    <t>NSABB</t>
  </si>
  <si>
    <t xml:space="preserve">OTT </t>
  </si>
  <si>
    <t>eRA ongoing</t>
  </si>
  <si>
    <t>HR ongoing</t>
  </si>
  <si>
    <t>Telcommunications</t>
  </si>
  <si>
    <t>IT Software Develop.</t>
  </si>
  <si>
    <t>CIT Assessments:</t>
  </si>
  <si>
    <t xml:space="preserve">   Network</t>
  </si>
  <si>
    <t>Document number</t>
  </si>
  <si>
    <t>Graduate Prog</t>
  </si>
  <si>
    <t>Mgmt Intern Prog</t>
  </si>
  <si>
    <t>Programs for S&amp;SF</t>
  </si>
  <si>
    <t>Programs for MF</t>
  </si>
  <si>
    <t>ORFDO</t>
  </si>
  <si>
    <t>DHHS Assess</t>
  </si>
  <si>
    <t>Work Cap/Pymt Mgmt</t>
  </si>
  <si>
    <t>Workman Comp/Unempl</t>
  </si>
  <si>
    <t>CC MIS</t>
  </si>
  <si>
    <t>DHHS EIT</t>
  </si>
  <si>
    <t>O.C.</t>
  </si>
  <si>
    <t>25.9X</t>
  </si>
  <si>
    <t>646TELCOM SSF</t>
  </si>
  <si>
    <t>25.9N</t>
  </si>
  <si>
    <t>25.3Q</t>
  </si>
  <si>
    <t>25.9Y</t>
  </si>
  <si>
    <t>81.2Q</t>
  </si>
  <si>
    <t>81.2P</t>
  </si>
  <si>
    <t>81.2N</t>
  </si>
  <si>
    <t>NIH OHR</t>
  </si>
  <si>
    <t>900MGMT FUND</t>
  </si>
  <si>
    <t xml:space="preserve"> </t>
  </si>
  <si>
    <t>Devlopmnt</t>
  </si>
  <si>
    <t>Tier 1 Help Desk</t>
  </si>
  <si>
    <t xml:space="preserve">   Help Desk</t>
  </si>
  <si>
    <t>Bioethics</t>
  </si>
  <si>
    <t>NBIS &amp; ADB Ongoing</t>
  </si>
  <si>
    <t>Factor - Total Census</t>
  </si>
  <si>
    <t xml:space="preserve">Factor - 50% Total Census </t>
  </si>
  <si>
    <t xml:space="preserve">    and 50% Usage</t>
  </si>
  <si>
    <t>Factor - TCR Model</t>
  </si>
  <si>
    <t>11/9/04  p.m.</t>
  </si>
  <si>
    <t>Factor - Census by Campus; Local; Field; Poolesville</t>
  </si>
  <si>
    <t>Factor - FY03 School Tax</t>
  </si>
  <si>
    <t>(This assessment was provided by Office of Budget)</t>
  </si>
  <si>
    <t>Factor - Research Grants PB</t>
  </si>
  <si>
    <t>NIH HR Consolidation</t>
  </si>
  <si>
    <t>Road Map</t>
  </si>
  <si>
    <t xml:space="preserve">Factor - </t>
  </si>
  <si>
    <t xml:space="preserve">PMS </t>
  </si>
  <si>
    <t>FY2006</t>
  </si>
  <si>
    <t>DEAS</t>
  </si>
  <si>
    <t>Common Services *</t>
  </si>
  <si>
    <t>(formerly called Business Intelligence)</t>
  </si>
  <si>
    <t>104COMMON06</t>
  </si>
  <si>
    <t>Factor -  Current Revised FY 2006 FTE Target</t>
  </si>
  <si>
    <t>Factor - # of transactions process in FY 05</t>
  </si>
  <si>
    <t>Factor -  Current Revised FY2006 FTE Target</t>
  </si>
  <si>
    <t>Factor -  FY06 President's Budget</t>
  </si>
  <si>
    <t>Factor -  Extramural Budget for FY06</t>
  </si>
  <si>
    <t>Factor - 50% Amended PB</t>
  </si>
  <si>
    <t>Factor - 50% Total Census</t>
  </si>
  <si>
    <t xml:space="preserve">Transition Center </t>
  </si>
  <si>
    <t>Office of the Director 1/</t>
  </si>
  <si>
    <t>1/ Includes Ethics Database; Ethics Office;</t>
  </si>
  <si>
    <t>Factor # of students</t>
  </si>
  <si>
    <t>Amount per Student</t>
  </si>
  <si>
    <t>Inlcludes Obesity funding</t>
  </si>
  <si>
    <t xml:space="preserve">    NSABB</t>
  </si>
  <si>
    <t xml:space="preserve">    Human Capital; Transition Center; DEAS;</t>
  </si>
  <si>
    <t>Nat'l Science Advisory Brd for Biosecurity</t>
  </si>
  <si>
    <t>Factor - Amended PB</t>
  </si>
  <si>
    <t>FY 2005 Census</t>
  </si>
  <si>
    <t>OHR/CS</t>
  </si>
  <si>
    <t>Includes DEAS</t>
  </si>
  <si>
    <t>*In FY 2006, NIGMS, NIA and NIDA will remain at the FY 1999 level</t>
  </si>
  <si>
    <t>FY 2006 Amended President's Budget</t>
  </si>
  <si>
    <t>Management Fund</t>
  </si>
  <si>
    <t>Ethics Office</t>
  </si>
  <si>
    <t>Human Capital</t>
  </si>
  <si>
    <t>Obesity</t>
  </si>
  <si>
    <t>Security</t>
  </si>
  <si>
    <t>Smoking Cessation</t>
  </si>
  <si>
    <t>HHS University</t>
  </si>
  <si>
    <t>HR Software Maintenance</t>
  </si>
  <si>
    <t>Strategic Sourcing</t>
  </si>
  <si>
    <t>Small Business</t>
  </si>
  <si>
    <t>Program:</t>
  </si>
  <si>
    <t>CSOC:</t>
  </si>
  <si>
    <t>CSBAB</t>
  </si>
  <si>
    <t>Human Resources</t>
  </si>
  <si>
    <t>FTEs &amp; On-Board Strength</t>
  </si>
  <si>
    <t>FY 2006 FTEs</t>
  </si>
  <si>
    <t>Base</t>
  </si>
  <si>
    <t>Road-map</t>
  </si>
  <si>
    <t>exclude RM</t>
  </si>
  <si>
    <t>*</t>
  </si>
  <si>
    <t xml:space="preserve">note: (There is no longer </t>
  </si>
  <si>
    <t xml:space="preserve">  an assessment for IT </t>
  </si>
  <si>
    <t xml:space="preserve">  Consolidation)</t>
  </si>
  <si>
    <t>FY06 Target</t>
  </si>
  <si>
    <t>as of 1/10/06</t>
  </si>
  <si>
    <t>Includes $3,240K for Smart Card</t>
  </si>
  <si>
    <t xml:space="preserve">1/ excludes $31,970k for NTP and $15,517k for facility support </t>
  </si>
  <si>
    <t>MBWG approved CC budg. less NIA,NIGMS,NIDA</t>
  </si>
  <si>
    <t xml:space="preserve">           </t>
  </si>
  <si>
    <t>HR Residual</t>
  </si>
  <si>
    <t>(formerly OD HR Related Core Functions *)</t>
  </si>
  <si>
    <t xml:space="preserve">   ADB/NBIS</t>
  </si>
  <si>
    <t>NIH HR</t>
  </si>
  <si>
    <t xml:space="preserve">   Common Services</t>
  </si>
  <si>
    <t>104OTT2006</t>
  </si>
  <si>
    <t>104ITINVEST06</t>
  </si>
  <si>
    <t>104ERAONGO06</t>
  </si>
  <si>
    <t>104HRONGO2006</t>
  </si>
  <si>
    <t>104ADB2006</t>
  </si>
  <si>
    <t>104NETWORK06</t>
  </si>
  <si>
    <t>104HELPDESK06</t>
  </si>
  <si>
    <t>104BIOETHIC06</t>
  </si>
  <si>
    <t>104GRADPROG06</t>
  </si>
  <si>
    <t>104NRSAPYBK06</t>
  </si>
  <si>
    <t>104INTRNPRG06</t>
  </si>
  <si>
    <t>104NIHHR2006</t>
  </si>
  <si>
    <t>104ODHR2006</t>
  </si>
  <si>
    <t>104OFM2006</t>
  </si>
  <si>
    <t>104NIHUFMS06</t>
  </si>
  <si>
    <t>900MFRDMAP06</t>
  </si>
  <si>
    <t>900MFEIT06</t>
  </si>
  <si>
    <t>Fiscal Year 2006</t>
  </si>
  <si>
    <t>FY 2006</t>
  </si>
  <si>
    <t>Smart Card</t>
  </si>
  <si>
    <t>ORS/CIT</t>
  </si>
  <si>
    <t>Flexible Spending</t>
  </si>
  <si>
    <t>Ethics Database (NEES)</t>
  </si>
  <si>
    <t>A-76</t>
  </si>
  <si>
    <t>Emergency Preparedness</t>
  </si>
  <si>
    <t>Factor - Number of graduate students x $2,450</t>
  </si>
  <si>
    <t>Service and Supply Fund</t>
  </si>
  <si>
    <t>ES</t>
  </si>
  <si>
    <t>Factor - 50% Amended PB and</t>
  </si>
  <si>
    <t xml:space="preserve">   50% Census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</si>
</sst>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0.0%"/>
    <numFmt numFmtId="172" formatCode="&quot;$&quot;#,##0.00"/>
    <numFmt numFmtId="173" formatCode="&quot;$&quot;#,##0.0"/>
    <numFmt numFmtId="174" formatCode="mmmm\ d\,\ yyyy"/>
    <numFmt numFmtId="175" formatCode="_(* #,##0.000_);_(* \(#,##0.000\);_(* &quot;-&quot;??_);_(@_)"/>
    <numFmt numFmtId="176" formatCode="_(* #,##0.0_);_(* \(#,##0.0\);_(* &quot;-&quot;?_);_(@_)"/>
    <numFmt numFmtId="177" formatCode="0.0"/>
    <numFmt numFmtId="178" formatCode="[$$-409]#,##0.0"/>
    <numFmt numFmtId="179" formatCode="#,##0.0"/>
    <numFmt numFmtId="180" formatCode="_(&quot;$&quot;* #,##0.000_);_(&quot;$&quot;* \(#,##0.000\);_(&quot;$&quot;* &quot;-&quot;??_);_(@_)"/>
    <numFmt numFmtId="181" formatCode="[$$-409]#,##0.00"/>
    <numFmt numFmtId="182" formatCode="[$$-409]#,##0.000"/>
    <numFmt numFmtId="183" formatCode="0.000"/>
    <numFmt numFmtId="184" formatCode="&quot;$&quot;#,##0.000"/>
    <numFmt numFmtId="185" formatCode="_(&quot;$&quot;* #,##0.0000_);_(&quot;$&quot;* \(#,##0.0000\);_(&quot;$&quot;* &quot;-&quot;??_);_(@_)"/>
    <numFmt numFmtId="186" formatCode="0.000%"/>
    <numFmt numFmtId="187" formatCode="_(* #,##0.0000_);_(* \(#,##0.0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&quot;$&quot;#,##0.0_);[Red]\(&quot;$&quot;#,##0.0\)"/>
    <numFmt numFmtId="195" formatCode="&quot;$&quot;#,##0.000_);[Red]\(&quot;$&quot;#,##0.000\)"/>
  </numFmts>
  <fonts count="2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SWISS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color indexed="18"/>
      <name val="Arial"/>
      <family val="0"/>
    </font>
    <font>
      <sz val="10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2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0" xfId="15" applyNumberFormat="1" applyAlignment="1">
      <alignment/>
    </xf>
    <xf numFmtId="169" fontId="0" fillId="0" borderId="2" xfId="17" applyNumberFormat="1" applyBorder="1" applyAlignment="1">
      <alignment/>
    </xf>
    <xf numFmtId="169" fontId="0" fillId="0" borderId="6" xfId="17" applyNumberFormat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11" xfId="15" applyNumberFormat="1" applyBorder="1" applyAlignment="1">
      <alignment/>
    </xf>
    <xf numFmtId="169" fontId="0" fillId="0" borderId="12" xfId="17" applyNumberFormat="1" applyBorder="1" applyAlignment="1">
      <alignment/>
    </xf>
    <xf numFmtId="0" fontId="0" fillId="0" borderId="0" xfId="0" applyAlignment="1">
      <alignment horizontal="center"/>
    </xf>
    <xf numFmtId="167" fontId="0" fillId="0" borderId="7" xfId="15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" xfId="15" applyNumberFormat="1" applyBorder="1" applyAlignment="1">
      <alignment/>
    </xf>
    <xf numFmtId="167" fontId="0" fillId="0" borderId="6" xfId="0" applyNumberFormat="1" applyBorder="1" applyAlignment="1">
      <alignment/>
    </xf>
    <xf numFmtId="10" fontId="0" fillId="0" borderId="2" xfId="21" applyNumberFormat="1" applyBorder="1" applyAlignment="1">
      <alignment/>
    </xf>
    <xf numFmtId="10" fontId="0" fillId="0" borderId="3" xfId="0" applyNumberFormat="1" applyBorder="1" applyAlignment="1">
      <alignment/>
    </xf>
    <xf numFmtId="170" fontId="0" fillId="0" borderId="3" xfId="0" applyNumberFormat="1" applyBorder="1" applyAlignment="1">
      <alignment/>
    </xf>
    <xf numFmtId="167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0" fontId="0" fillId="0" borderId="2" xfId="0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3" xfId="17" applyNumberFormat="1" applyBorder="1" applyAlignment="1">
      <alignment/>
    </xf>
    <xf numFmtId="16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9" fontId="8" fillId="0" borderId="0" xfId="17" applyNumberFormat="1" applyFont="1" applyBorder="1" applyAlignment="1">
      <alignment/>
    </xf>
    <xf numFmtId="171" fontId="8" fillId="0" borderId="0" xfId="21" applyNumberFormat="1" applyFont="1" applyBorder="1" applyAlignment="1">
      <alignment/>
    </xf>
    <xf numFmtId="171" fontId="8" fillId="0" borderId="0" xfId="17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10" fontId="0" fillId="0" borderId="0" xfId="21" applyNumberFormat="1" applyAlignment="1">
      <alignment/>
    </xf>
    <xf numFmtId="167" fontId="10" fillId="0" borderId="0" xfId="15" applyNumberFormat="1" applyFont="1" applyBorder="1" applyAlignment="1" quotePrefix="1">
      <alignment horizontal="right"/>
    </xf>
    <xf numFmtId="167" fontId="8" fillId="0" borderId="0" xfId="15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167" fontId="8" fillId="0" borderId="0" xfId="15" applyNumberFormat="1" applyFont="1" applyBorder="1" applyAlignment="1" quotePrefix="1">
      <alignment horizontal="center"/>
    </xf>
    <xf numFmtId="167" fontId="8" fillId="0" borderId="0" xfId="15" applyNumberFormat="1" applyFont="1" applyBorder="1" applyAlignment="1">
      <alignment horizontal="left"/>
    </xf>
    <xf numFmtId="42" fontId="8" fillId="0" borderId="0" xfId="15" applyNumberFormat="1" applyFont="1" applyBorder="1" applyAlignment="1">
      <alignment/>
    </xf>
    <xf numFmtId="171" fontId="8" fillId="0" borderId="0" xfId="15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42" fontId="8" fillId="0" borderId="14" xfId="15" applyNumberFormat="1" applyFont="1" applyBorder="1" applyAlignment="1">
      <alignment/>
    </xf>
    <xf numFmtId="169" fontId="0" fillId="0" borderId="0" xfId="0" applyNumberFormat="1" applyAlignment="1">
      <alignment/>
    </xf>
    <xf numFmtId="171" fontId="0" fillId="0" borderId="2" xfId="21" applyNumberFormat="1" applyBorder="1" applyAlignment="1">
      <alignment/>
    </xf>
    <xf numFmtId="10" fontId="8" fillId="0" borderId="0" xfId="21" applyNumberFormat="1" applyFont="1" applyBorder="1" applyAlignment="1">
      <alignment/>
    </xf>
    <xf numFmtId="10" fontId="8" fillId="0" borderId="0" xfId="15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2" xfId="0" applyBorder="1" applyAlignment="1">
      <alignment horizontal="center"/>
    </xf>
    <xf numFmtId="169" fontId="0" fillId="0" borderId="2" xfId="17" applyNumberFormat="1" applyBorder="1" applyAlignment="1">
      <alignment horizontal="right"/>
    </xf>
    <xf numFmtId="169" fontId="0" fillId="0" borderId="3" xfId="17" applyNumberFormat="1" applyBorder="1" applyAlignment="1">
      <alignment horizontal="right"/>
    </xf>
    <xf numFmtId="0" fontId="11" fillId="0" borderId="0" xfId="0" applyFont="1" applyAlignment="1">
      <alignment/>
    </xf>
    <xf numFmtId="167" fontId="0" fillId="0" borderId="12" xfId="15" applyNumberFormat="1" applyBorder="1" applyAlignment="1">
      <alignment/>
    </xf>
    <xf numFmtId="171" fontId="0" fillId="0" borderId="3" xfId="0" applyNumberFormat="1" applyBorder="1" applyAlignment="1">
      <alignment/>
    </xf>
    <xf numFmtId="0" fontId="2" fillId="0" borderId="2" xfId="0" applyNumberFormat="1" applyFont="1" applyFill="1" applyBorder="1" applyAlignment="1">
      <alignment/>
    </xf>
    <xf numFmtId="169" fontId="0" fillId="0" borderId="2" xfId="17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167" fontId="0" fillId="0" borderId="2" xfId="15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0" fontId="0" fillId="0" borderId="7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7" fontId="16" fillId="0" borderId="15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14" fontId="15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 horizontal="centerContinuous"/>
      <protection/>
    </xf>
    <xf numFmtId="0" fontId="16" fillId="0" borderId="19" xfId="0" applyFont="1" applyBorder="1" applyAlignment="1" applyProtection="1">
      <alignment horizontal="centerContinuous"/>
      <protection/>
    </xf>
    <xf numFmtId="0" fontId="16" fillId="0" borderId="2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37" fontId="16" fillId="0" borderId="15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 horizontal="center"/>
      <protection/>
    </xf>
    <xf numFmtId="37" fontId="16" fillId="0" borderId="24" xfId="0" applyNumberFormat="1" applyFont="1" applyBorder="1" applyAlignment="1" applyProtection="1">
      <alignment/>
      <protection/>
    </xf>
    <xf numFmtId="37" fontId="16" fillId="0" borderId="25" xfId="0" applyNumberFormat="1" applyFont="1" applyBorder="1" applyAlignment="1" applyProtection="1">
      <alignment/>
      <protection/>
    </xf>
    <xf numFmtId="37" fontId="16" fillId="0" borderId="26" xfId="0" applyNumberFormat="1" applyFont="1" applyBorder="1" applyAlignment="1" applyProtection="1">
      <alignment/>
      <protection/>
    </xf>
    <xf numFmtId="0" fontId="16" fillId="0" borderId="27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71" fontId="1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0" fillId="0" borderId="5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169" fontId="0" fillId="0" borderId="3" xfId="17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NumberFormat="1" applyFont="1" applyBorder="1" applyAlignment="1">
      <alignment horizontal="center"/>
    </xf>
    <xf numFmtId="169" fontId="0" fillId="0" borderId="6" xfId="17" applyNumberFormat="1" applyFont="1" applyBorder="1" applyAlignment="1">
      <alignment/>
    </xf>
    <xf numFmtId="165" fontId="0" fillId="0" borderId="0" xfId="0" applyNumberFormat="1" applyAlignment="1">
      <alignment/>
    </xf>
    <xf numFmtId="0" fontId="8" fillId="0" borderId="7" xfId="0" applyFont="1" applyBorder="1" applyAlignment="1">
      <alignment horizontal="center"/>
    </xf>
    <xf numFmtId="171" fontId="0" fillId="0" borderId="2" xfId="21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7" fontId="0" fillId="0" borderId="6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21" applyNumberFormat="1" applyFont="1" applyAlignment="1">
      <alignment/>
    </xf>
    <xf numFmtId="167" fontId="0" fillId="0" borderId="0" xfId="15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7" fontId="19" fillId="0" borderId="2" xfId="15" applyNumberFormat="1" applyFont="1" applyBorder="1" applyAlignment="1">
      <alignment/>
    </xf>
    <xf numFmtId="186" fontId="0" fillId="0" borderId="2" xfId="0" applyNumberFormat="1" applyBorder="1" applyAlignment="1">
      <alignment/>
    </xf>
    <xf numFmtId="10" fontId="0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43" fontId="0" fillId="0" borderId="3" xfId="15" applyBorder="1" applyAlignment="1">
      <alignment/>
    </xf>
    <xf numFmtId="43" fontId="0" fillId="0" borderId="2" xfId="15" applyBorder="1" applyAlignment="1">
      <alignment/>
    </xf>
    <xf numFmtId="43" fontId="11" fillId="0" borderId="2" xfId="15" applyFont="1" applyBorder="1" applyAlignment="1">
      <alignment/>
    </xf>
    <xf numFmtId="43" fontId="0" fillId="0" borderId="6" xfId="15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2" xfId="15" applyNumberFormat="1" applyBorder="1" applyAlignment="1">
      <alignment horizontal="right"/>
    </xf>
    <xf numFmtId="43" fontId="0" fillId="0" borderId="0" xfId="15" applyAlignment="1">
      <alignment/>
    </xf>
    <xf numFmtId="167" fontId="0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2" xfId="0" applyFont="1" applyBorder="1" applyAlignment="1">
      <alignment/>
    </xf>
    <xf numFmtId="167" fontId="0" fillId="0" borderId="6" xfId="15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0" fillId="0" borderId="1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2" xfId="0" applyFont="1" applyBorder="1" applyAlignment="1">
      <alignment/>
    </xf>
    <xf numFmtId="5" fontId="20" fillId="0" borderId="2" xfId="0" applyNumberFormat="1" applyFont="1" applyBorder="1" applyAlignment="1">
      <alignment/>
    </xf>
    <xf numFmtId="37" fontId="20" fillId="0" borderId="2" xfId="0" applyNumberFormat="1" applyFont="1" applyBorder="1" applyAlignment="1">
      <alignment/>
    </xf>
    <xf numFmtId="5" fontId="20" fillId="0" borderId="3" xfId="0" applyNumberFormat="1" applyFont="1" applyBorder="1" applyAlignment="1">
      <alignment/>
    </xf>
    <xf numFmtId="167" fontId="20" fillId="0" borderId="2" xfId="15" applyNumberFormat="1" applyFont="1" applyBorder="1" applyAlignment="1">
      <alignment/>
    </xf>
    <xf numFmtId="167" fontId="20" fillId="0" borderId="3" xfId="15" applyNumberFormat="1" applyFont="1" applyBorder="1" applyAlignment="1">
      <alignment/>
    </xf>
    <xf numFmtId="0" fontId="1" fillId="0" borderId="0" xfId="0" applyFont="1" applyAlignment="1">
      <alignment horizontal="left" indent="4"/>
    </xf>
    <xf numFmtId="14" fontId="0" fillId="0" borderId="0" xfId="0" applyNumberFormat="1" applyAlignment="1" quotePrefix="1">
      <alignment/>
    </xf>
    <xf numFmtId="0" fontId="2" fillId="0" borderId="4" xfId="0" applyFont="1" applyBorder="1" applyAlignment="1">
      <alignment horizontal="center"/>
    </xf>
    <xf numFmtId="169" fontId="0" fillId="0" borderId="6" xfId="0" applyNumberFormat="1" applyFont="1" applyBorder="1" applyAlignment="1">
      <alignment/>
    </xf>
    <xf numFmtId="43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0" fontId="11" fillId="0" borderId="8" xfId="0" applyFont="1" applyBorder="1" applyAlignment="1">
      <alignment horizontal="center"/>
    </xf>
    <xf numFmtId="10" fontId="0" fillId="0" borderId="7" xfId="21" applyNumberFormat="1" applyBorder="1" applyAlignment="1">
      <alignment/>
    </xf>
    <xf numFmtId="10" fontId="0" fillId="0" borderId="13" xfId="21" applyNumberFormat="1" applyBorder="1" applyAlignment="1">
      <alignment/>
    </xf>
    <xf numFmtId="0" fontId="0" fillId="0" borderId="30" xfId="0" applyBorder="1" applyAlignment="1">
      <alignment horizontal="center"/>
    </xf>
    <xf numFmtId="167" fontId="2" fillId="0" borderId="12" xfId="15" applyNumberFormat="1" applyFont="1" applyBorder="1" applyAlignment="1">
      <alignment/>
    </xf>
    <xf numFmtId="0" fontId="2" fillId="0" borderId="7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5" xfId="0" applyNumberFormat="1" applyFill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/>
    </xf>
    <xf numFmtId="10" fontId="0" fillId="0" borderId="3" xfId="21" applyNumberFormat="1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175" fontId="0" fillId="0" borderId="2" xfId="15" applyNumberFormat="1" applyBorder="1" applyAlignment="1">
      <alignment/>
    </xf>
    <xf numFmtId="167" fontId="2" fillId="0" borderId="0" xfId="0" applyNumberFormat="1" applyFont="1" applyAlignment="1">
      <alignment/>
    </xf>
    <xf numFmtId="0" fontId="0" fillId="0" borderId="12" xfId="0" applyBorder="1" applyAlignment="1">
      <alignment/>
    </xf>
    <xf numFmtId="171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2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2" xfId="21" applyNumberFormat="1" applyBorder="1" applyAlignment="1">
      <alignment/>
    </xf>
    <xf numFmtId="167" fontId="0" fillId="0" borderId="2" xfId="0" applyNumberFormat="1" applyFill="1" applyBorder="1" applyAlignment="1">
      <alignment/>
    </xf>
    <xf numFmtId="166" fontId="0" fillId="0" borderId="2" xfId="15" applyNumberFormat="1" applyBorder="1" applyAlignment="1">
      <alignment/>
    </xf>
    <xf numFmtId="5" fontId="1" fillId="0" borderId="31" xfId="0" applyNumberFormat="1" applyFont="1" applyBorder="1" applyAlignment="1" applyProtection="1">
      <alignment/>
      <protection/>
    </xf>
    <xf numFmtId="37" fontId="1" fillId="0" borderId="31" xfId="0" applyNumberFormat="1" applyFont="1" applyBorder="1" applyAlignment="1" applyProtection="1">
      <alignment/>
      <protection/>
    </xf>
    <xf numFmtId="173" fontId="0" fillId="0" borderId="3" xfId="17" applyNumberFormat="1" applyBorder="1" applyAlignment="1">
      <alignment/>
    </xf>
    <xf numFmtId="195" fontId="0" fillId="0" borderId="5" xfId="0" applyNumberFormat="1" applyBorder="1" applyAlignment="1">
      <alignment/>
    </xf>
    <xf numFmtId="170" fontId="0" fillId="0" borderId="2" xfId="17" applyNumberFormat="1" applyBorder="1" applyAlignment="1">
      <alignment/>
    </xf>
    <xf numFmtId="0" fontId="0" fillId="0" borderId="0" xfId="0" applyFill="1" applyAlignment="1">
      <alignment/>
    </xf>
    <xf numFmtId="167" fontId="0" fillId="0" borderId="0" xfId="15" applyNumberFormat="1" applyFill="1" applyAlignment="1">
      <alignment/>
    </xf>
    <xf numFmtId="167" fontId="0" fillId="0" borderId="0" xfId="15" applyNumberForma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7" fontId="0" fillId="0" borderId="0" xfId="15" applyNumberFormat="1" applyFont="1" applyFill="1" applyAlignment="1">
      <alignment horizontal="right"/>
    </xf>
    <xf numFmtId="167" fontId="0" fillId="0" borderId="0" xfId="15" applyNumberFormat="1" applyFont="1" applyFill="1" applyAlignment="1">
      <alignment/>
    </xf>
    <xf numFmtId="167" fontId="0" fillId="0" borderId="0" xfId="15" applyNumberFormat="1" applyFont="1" applyFill="1" applyAlignment="1">
      <alignment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6" fillId="0" borderId="3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15</xdr:row>
      <xdr:rowOff>0</xdr:rowOff>
    </xdr:from>
    <xdr:ext cx="28575" cy="28575"/>
    <xdr:sp>
      <xdr:nvSpPr>
        <xdr:cNvPr id="1" name="TextBox 1"/>
        <xdr:cNvSpPr txBox="1">
          <a:spLocks noChangeArrowheads="1"/>
        </xdr:cNvSpPr>
      </xdr:nvSpPr>
      <xdr:spPr>
        <a:xfrm>
          <a:off x="3219450" y="2495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90" zoomScaleNormal="90" workbookViewId="0" topLeftCell="A10">
      <selection activeCell="A39" sqref="A39"/>
    </sheetView>
  </sheetViews>
  <sheetFormatPr defaultColWidth="9.140625" defaultRowHeight="12.75"/>
  <cols>
    <col min="1" max="1" width="8.7109375" style="0" customWidth="1"/>
    <col min="2" max="2" width="10.140625" style="0" customWidth="1"/>
    <col min="3" max="3" width="10.00390625" style="0" customWidth="1"/>
    <col min="4" max="4" width="11.00390625" style="0" customWidth="1"/>
    <col min="5" max="5" width="10.00390625" style="0" customWidth="1"/>
    <col min="6" max="7" width="12.00390625" style="0" customWidth="1"/>
    <col min="8" max="8" width="10.421875" style="0" customWidth="1"/>
    <col min="9" max="9" width="10.7109375" style="0" customWidth="1"/>
    <col min="10" max="10" width="11.140625" style="0" customWidth="1"/>
    <col min="11" max="11" width="10.00390625" style="0" customWidth="1"/>
    <col min="13" max="13" width="9.421875" style="0" customWidth="1"/>
    <col min="14" max="14" width="11.57421875" style="0" customWidth="1"/>
  </cols>
  <sheetData>
    <row r="1" spans="1:14" ht="18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</row>
    <row r="2" spans="1:14" ht="15.75">
      <c r="A2" s="224" t="s">
        <v>232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1:14" ht="15">
      <c r="A3" s="1"/>
      <c r="B3" s="2"/>
      <c r="C3" s="2"/>
      <c r="D3" s="2"/>
      <c r="E3" s="2"/>
      <c r="F3" s="2"/>
      <c r="G3" s="2"/>
      <c r="H3" s="2" t="s">
        <v>1</v>
      </c>
      <c r="I3" s="2"/>
      <c r="J3" s="2" t="s">
        <v>2</v>
      </c>
      <c r="K3" s="2" t="s">
        <v>3</v>
      </c>
      <c r="L3" s="2" t="s">
        <v>40</v>
      </c>
      <c r="M3" s="2" t="s">
        <v>1</v>
      </c>
      <c r="N3" s="164" t="s">
        <v>4</v>
      </c>
    </row>
    <row r="4" spans="1:14" ht="15">
      <c r="A4" s="3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196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67</v>
      </c>
      <c r="N4" s="165" t="s">
        <v>15</v>
      </c>
    </row>
    <row r="5" spans="1:14" ht="15">
      <c r="A5" s="4" t="s">
        <v>0</v>
      </c>
      <c r="B5" s="5">
        <f>SUM(CSR!D5)</f>
        <v>8486</v>
      </c>
      <c r="C5" s="5">
        <f>SUM(CIT!D5)</f>
        <v>8658</v>
      </c>
      <c r="D5" s="5">
        <f>SUM('CC'!D5)</f>
        <v>90762</v>
      </c>
      <c r="E5" s="5">
        <f>SUM(OD!B5)</f>
        <v>13145</v>
      </c>
      <c r="F5" s="5">
        <f>SUM(ORS!D5)</f>
        <v>15296</v>
      </c>
      <c r="G5" s="5">
        <f>SUM(ORF!D5)</f>
        <v>2112</v>
      </c>
      <c r="H5" s="5">
        <f>SUM('DHHS Assess'!D5)</f>
        <v>3573</v>
      </c>
      <c r="I5" s="5">
        <f>SUM('Reserve '!D5)</f>
        <v>608</v>
      </c>
      <c r="J5" s="5">
        <f>SUM('WCF PMS'!D5)</f>
        <v>2917</v>
      </c>
      <c r="K5" s="5">
        <f>SUM('Unempl &amp; work comp'!D5)</f>
        <v>915.8205841446453</v>
      </c>
      <c r="L5" s="5">
        <f>SUM(MIS!D5)</f>
        <v>772</v>
      </c>
      <c r="M5" s="5">
        <f>SUM(EIT!D5)</f>
        <v>1757</v>
      </c>
      <c r="N5" s="166">
        <f aca="true" t="shared" si="0" ref="N5:N37">SUM(B5:M5)</f>
        <v>149001.82058414465</v>
      </c>
    </row>
    <row r="6" spans="1:14" ht="15">
      <c r="A6" s="4" t="s">
        <v>16</v>
      </c>
      <c r="B6" s="6">
        <f>SUM(CSR!D6)</f>
        <v>4535</v>
      </c>
      <c r="C6" s="6">
        <f>SUM(CIT!D6)</f>
        <v>1967</v>
      </c>
      <c r="D6" s="6">
        <f>SUM('CC'!D6)</f>
        <v>21430</v>
      </c>
      <c r="E6" s="6">
        <f>SUM(OD!B6)</f>
        <v>6235</v>
      </c>
      <c r="F6" s="6">
        <f>SUM(ORS!D6)</f>
        <v>4052</v>
      </c>
      <c r="G6" s="6">
        <f>SUM(ORF!D6)</f>
        <v>517</v>
      </c>
      <c r="H6" s="6">
        <f>SUM('DHHS Assess'!D6)</f>
        <v>812</v>
      </c>
      <c r="I6" s="6">
        <f>SUM('Reserve '!D6)</f>
        <v>138</v>
      </c>
      <c r="J6" s="6">
        <f>SUM('WCF PMS'!D6)</f>
        <v>1709</v>
      </c>
      <c r="K6" s="6">
        <f>SUM('Unempl &amp; work comp'!D6)</f>
        <v>251.58993973110802</v>
      </c>
      <c r="L6" s="6">
        <f>SUM(MIS!D6)</f>
        <v>182</v>
      </c>
      <c r="M6" s="6">
        <f>SUM(EIT!D6)</f>
        <v>1071</v>
      </c>
      <c r="N6" s="167">
        <f t="shared" si="0"/>
        <v>42899.58993973111</v>
      </c>
    </row>
    <row r="7" spans="1:14" ht="15">
      <c r="A7" s="4" t="s">
        <v>17</v>
      </c>
      <c r="B7" s="6">
        <f>SUM(CSR!D7)</f>
        <v>916</v>
      </c>
      <c r="C7" s="6">
        <f>SUM(CIT!D7)</f>
        <v>872</v>
      </c>
      <c r="D7" s="6">
        <f>SUM('CC'!D7)</f>
        <v>7452</v>
      </c>
      <c r="E7" s="6">
        <f>SUM(OD!B7)</f>
        <v>1453</v>
      </c>
      <c r="F7" s="6">
        <f>SUM(ORS!D7)</f>
        <v>2026</v>
      </c>
      <c r="G7" s="6">
        <f>SUM(ORF!D7)</f>
        <v>227</v>
      </c>
      <c r="H7" s="6">
        <f>SUM('DHHS Assess'!D7)</f>
        <v>360</v>
      </c>
      <c r="I7" s="6">
        <f>SUM('Reserve '!D7)</f>
        <v>61</v>
      </c>
      <c r="J7" s="6">
        <f>SUM('WCF PMS'!D7)</f>
        <v>330</v>
      </c>
      <c r="K7" s="6">
        <f>SUM('Unempl &amp; work comp'!D7)</f>
        <v>82.09544506258693</v>
      </c>
      <c r="L7" s="6">
        <f>SUM(MIS!D7)</f>
        <v>63</v>
      </c>
      <c r="M7" s="6">
        <f>SUM(EIT!D7)</f>
        <v>143</v>
      </c>
      <c r="N7" s="167">
        <f t="shared" si="0"/>
        <v>13985.095445062587</v>
      </c>
    </row>
    <row r="8" spans="1:14" ht="15">
      <c r="A8" s="4" t="s">
        <v>18</v>
      </c>
      <c r="B8" s="6">
        <f>SUM(CSR!D8)</f>
        <v>4059</v>
      </c>
      <c r="C8" s="6">
        <f>SUM(CIT!D8)</f>
        <v>1845</v>
      </c>
      <c r="D8" s="6">
        <f>SUM('CC'!D8)</f>
        <v>21075</v>
      </c>
      <c r="E8" s="6">
        <f>SUM(OD!B8)</f>
        <v>5192</v>
      </c>
      <c r="F8" s="6">
        <f>SUM(ORS!D8)</f>
        <v>3858</v>
      </c>
      <c r="G8" s="6">
        <f>SUM(ORF!D8)</f>
        <v>474</v>
      </c>
      <c r="H8" s="6">
        <f>SUM('DHHS Assess'!D8)</f>
        <v>761</v>
      </c>
      <c r="I8" s="6">
        <f>SUM('Reserve '!D8)</f>
        <v>129</v>
      </c>
      <c r="J8" s="6">
        <f>SUM('WCF PMS'!D8)</f>
        <v>1425</v>
      </c>
      <c r="K8" s="6">
        <f>SUM('Unempl &amp; work comp'!D8)</f>
        <v>200.87662262401483</v>
      </c>
      <c r="L8" s="6">
        <f>SUM(MIS!D8)</f>
        <v>179</v>
      </c>
      <c r="M8" s="6">
        <f>SUM(EIT!D8)</f>
        <v>679</v>
      </c>
      <c r="N8" s="167">
        <f t="shared" si="0"/>
        <v>39876.87662262401</v>
      </c>
    </row>
    <row r="9" spans="1:14" ht="15">
      <c r="A9" s="4" t="s">
        <v>19</v>
      </c>
      <c r="B9" s="6">
        <f>SUM(CSR!D9)</f>
        <v>4423</v>
      </c>
      <c r="C9" s="6">
        <f>SUM(CIT!D9)</f>
        <v>1611</v>
      </c>
      <c r="D9" s="6">
        <f>SUM('CC'!D9)</f>
        <v>18510</v>
      </c>
      <c r="E9" s="6">
        <f>SUM(OD!B9)</f>
        <v>4282</v>
      </c>
      <c r="F9" s="6">
        <f>SUM(ORS!D9)</f>
        <v>3423</v>
      </c>
      <c r="G9" s="6">
        <f>SUM(ORF!D9)</f>
        <v>417</v>
      </c>
      <c r="H9" s="6">
        <f>SUM('DHHS Assess'!D9)</f>
        <v>665</v>
      </c>
      <c r="I9" s="6">
        <f>SUM('Reserve '!D9)</f>
        <v>113</v>
      </c>
      <c r="J9" s="6">
        <f>SUM('WCF PMS'!D9)</f>
        <v>1126</v>
      </c>
      <c r="K9" s="6">
        <f>SUM('Unempl &amp; work comp'!D9)</f>
        <v>172.79809921186833</v>
      </c>
      <c r="L9" s="6">
        <f>SUM(MIS!D9)</f>
        <v>157</v>
      </c>
      <c r="M9" s="6">
        <f>SUM(EIT!D9)</f>
        <v>562</v>
      </c>
      <c r="N9" s="167">
        <f t="shared" si="0"/>
        <v>35461.79809921187</v>
      </c>
    </row>
    <row r="10" spans="1:14" ht="15">
      <c r="A10" s="4" t="s">
        <v>20</v>
      </c>
      <c r="B10" s="6">
        <f>SUM(CSR!D10)</f>
        <v>6328</v>
      </c>
      <c r="C10" s="6">
        <f>SUM(CIT!D10)</f>
        <v>4542</v>
      </c>
      <c r="D10" s="6">
        <f>SUM('CC'!D10)</f>
        <v>68166</v>
      </c>
      <c r="E10" s="6">
        <f>SUM(OD!B10)</f>
        <v>8211</v>
      </c>
      <c r="F10" s="6">
        <f>SUM(ORS!D10)</f>
        <v>7955</v>
      </c>
      <c r="G10" s="6">
        <f>SUM(ORF!D10)</f>
        <v>1144</v>
      </c>
      <c r="H10" s="6">
        <f>SUM('DHHS Assess'!D10)</f>
        <v>1875</v>
      </c>
      <c r="I10" s="6">
        <f>SUM('Reserve '!D10)</f>
        <v>319</v>
      </c>
      <c r="J10" s="6">
        <f>SUM('WCF PMS'!D10)</f>
        <v>1916</v>
      </c>
      <c r="K10" s="6">
        <f>SUM('Unempl &amp; work comp'!D10)</f>
        <v>478.3816063977747</v>
      </c>
      <c r="L10" s="6">
        <f>SUM(MIS!D10)</f>
        <v>579</v>
      </c>
      <c r="M10" s="6">
        <f>SUM(EIT!D10)</f>
        <v>1618</v>
      </c>
      <c r="N10" s="167">
        <f t="shared" si="0"/>
        <v>103131.38160639777</v>
      </c>
    </row>
    <row r="11" spans="1:14" ht="15">
      <c r="A11" s="4" t="s">
        <v>21</v>
      </c>
      <c r="B11" s="6">
        <f>SUM(CSR!D11)</f>
        <v>4340</v>
      </c>
      <c r="C11" s="6">
        <f>SUM(CIT!D11)</f>
        <v>293</v>
      </c>
      <c r="D11" s="6">
        <f>SUM('CC'!D11)</f>
        <v>153</v>
      </c>
      <c r="E11" s="6">
        <f>SUM(OD!B11)</f>
        <v>4147</v>
      </c>
      <c r="F11" s="6">
        <f>SUM(ORS!D11)</f>
        <v>824</v>
      </c>
      <c r="G11" s="6">
        <f>SUM(ORF!D11)</f>
        <v>92</v>
      </c>
      <c r="H11" s="6">
        <f>SUM('DHHS Assess'!D11)</f>
        <v>121</v>
      </c>
      <c r="I11" s="6">
        <f>SUM('Reserve '!D11)</f>
        <v>21</v>
      </c>
      <c r="J11" s="6">
        <f>SUM('WCF PMS'!D11)</f>
        <v>1239</v>
      </c>
      <c r="K11" s="6">
        <f>SUM('Unempl &amp; work comp'!D11)</f>
        <v>39.989337042188225</v>
      </c>
      <c r="L11" s="6">
        <f>SUM(MIS!D11)</f>
        <v>0</v>
      </c>
      <c r="M11" s="6">
        <f>SUM(EIT!D11)</f>
        <v>709</v>
      </c>
      <c r="N11" s="167">
        <f t="shared" si="0"/>
        <v>11978.989337042189</v>
      </c>
    </row>
    <row r="12" spans="1:14" ht="15">
      <c r="A12" s="4" t="s">
        <v>22</v>
      </c>
      <c r="B12" s="6">
        <f>SUM(CSR!D12)</f>
        <v>3133</v>
      </c>
      <c r="C12" s="6">
        <f>SUM(CIT!D12)</f>
        <v>2187</v>
      </c>
      <c r="D12" s="6">
        <f>SUM('CC'!D12)</f>
        <v>20251</v>
      </c>
      <c r="E12" s="6">
        <f>SUM(OD!B12)</f>
        <v>3911</v>
      </c>
      <c r="F12" s="6">
        <f>SUM(ORS!D12)</f>
        <v>4474</v>
      </c>
      <c r="G12" s="6">
        <f>SUM(ORF!D12)</f>
        <v>564</v>
      </c>
      <c r="H12" s="6">
        <f>SUM('DHHS Assess'!D12)</f>
        <v>903</v>
      </c>
      <c r="I12" s="6">
        <f>SUM('Reserve '!D12)</f>
        <v>154</v>
      </c>
      <c r="J12" s="6">
        <f>SUM('WCF PMS'!D12)</f>
        <v>890</v>
      </c>
      <c r="K12" s="6">
        <f>SUM('Unempl &amp; work comp'!D12)</f>
        <v>164.16753592953177</v>
      </c>
      <c r="L12" s="6">
        <f>SUM(MIS!D12)</f>
        <v>172</v>
      </c>
      <c r="M12" s="6">
        <f>SUM(EIT!D12)</f>
        <v>464</v>
      </c>
      <c r="N12" s="167">
        <f t="shared" si="0"/>
        <v>37267.16753592953</v>
      </c>
    </row>
    <row r="13" spans="1:14" ht="15">
      <c r="A13" s="4" t="s">
        <v>23</v>
      </c>
      <c r="B13" s="6">
        <f>SUM(CSR!D13)</f>
        <v>1757</v>
      </c>
      <c r="C13" s="6">
        <f>SUM(CIT!D13)</f>
        <v>822</v>
      </c>
      <c r="D13" s="6">
        <f>SUM('CC'!D13)</f>
        <v>8654</v>
      </c>
      <c r="E13" s="6">
        <f>SUM(OD!B13)</f>
        <v>1991</v>
      </c>
      <c r="F13" s="6">
        <f>SUM(ORS!D13)</f>
        <v>1820</v>
      </c>
      <c r="G13" s="6">
        <f>SUM(ORF!D13)</f>
        <v>210</v>
      </c>
      <c r="H13" s="6">
        <f>SUM('DHHS Assess'!D13)</f>
        <v>339</v>
      </c>
      <c r="I13" s="6">
        <f>SUM('Reserve '!D13)</f>
        <v>58</v>
      </c>
      <c r="J13" s="6">
        <f>SUM('WCF PMS'!D13)</f>
        <v>492</v>
      </c>
      <c r="K13" s="6">
        <f>SUM('Unempl &amp; work comp'!D13)</f>
        <v>69.11456884561892</v>
      </c>
      <c r="L13" s="6">
        <f>SUM(MIS!D13)</f>
        <v>73</v>
      </c>
      <c r="M13" s="6">
        <f>SUM(EIT!D13)</f>
        <v>244</v>
      </c>
      <c r="N13" s="167">
        <f t="shared" si="0"/>
        <v>16529.114568845616</v>
      </c>
    </row>
    <row r="14" spans="1:14" ht="15">
      <c r="A14" s="4" t="s">
        <v>24</v>
      </c>
      <c r="B14" s="6">
        <f>SUM(CSR!D14)</f>
        <v>663</v>
      </c>
      <c r="C14" s="6">
        <f>SUM(CIT!D14)</f>
        <v>2268</v>
      </c>
      <c r="D14" s="6">
        <f>SUM('CC'!D14)</f>
        <v>15236</v>
      </c>
      <c r="E14" s="6">
        <f>SUM(OD!B14)</f>
        <v>2491</v>
      </c>
      <c r="F14" s="6">
        <f>SUM(ORS!D14)</f>
        <v>2214</v>
      </c>
      <c r="G14" s="6">
        <f>SUM(ORF!D14)</f>
        <v>413</v>
      </c>
      <c r="H14" s="6">
        <f>SUM('DHHS Assess'!D14)</f>
        <v>936</v>
      </c>
      <c r="I14" s="6">
        <f>SUM('Reserve '!D14)</f>
        <v>159</v>
      </c>
      <c r="J14" s="6">
        <f>SUM('WCF PMS'!D14)</f>
        <v>460</v>
      </c>
      <c r="K14" s="6">
        <f>SUM('Unempl &amp; work comp'!D14)</f>
        <v>206.22693555864626</v>
      </c>
      <c r="L14" s="6">
        <f>SUM(MIS!D14)</f>
        <v>129</v>
      </c>
      <c r="M14" s="6">
        <f>SUM(EIT!D14)</f>
        <v>235</v>
      </c>
      <c r="N14" s="167">
        <f t="shared" si="0"/>
        <v>25410.226935558647</v>
      </c>
    </row>
    <row r="15" spans="1:14" ht="15">
      <c r="A15" s="4" t="s">
        <v>25</v>
      </c>
      <c r="B15" s="6">
        <f>SUM(CSR!D15)</f>
        <v>2364</v>
      </c>
      <c r="C15" s="6">
        <f>SUM(CIT!D15)</f>
        <v>1442</v>
      </c>
      <c r="D15" s="6">
        <f>SUM('CC'!D15)</f>
        <v>7629</v>
      </c>
      <c r="E15" s="6">
        <f>SUM(OD!B15)</f>
        <v>2825</v>
      </c>
      <c r="F15" s="6">
        <f>SUM(ORS!D15)</f>
        <v>1787</v>
      </c>
      <c r="G15" s="6">
        <f>SUM(ORF!D15)</f>
        <v>299</v>
      </c>
      <c r="H15" s="6">
        <f>SUM('DHHS Assess'!D15)</f>
        <v>595</v>
      </c>
      <c r="I15" s="6">
        <f>SUM('Reserve '!D15)</f>
        <v>101</v>
      </c>
      <c r="J15" s="6">
        <f>SUM('WCF PMS'!D15)</f>
        <v>656</v>
      </c>
      <c r="K15" s="6">
        <f>SUM('Unempl &amp; work comp'!D15)</f>
        <v>117.73446917014371</v>
      </c>
      <c r="L15" s="6">
        <f>SUM(MIS!D15)</f>
        <v>0</v>
      </c>
      <c r="M15" s="6">
        <f>SUM(EIT!D15)</f>
        <v>384</v>
      </c>
      <c r="N15" s="167">
        <f t="shared" si="0"/>
        <v>18199.734469170144</v>
      </c>
    </row>
    <row r="16" spans="1:14" ht="15">
      <c r="A16" s="4" t="s">
        <v>26</v>
      </c>
      <c r="B16" s="6">
        <f>SUM(CSR!D16)</f>
        <v>1538</v>
      </c>
      <c r="C16" s="6">
        <f>SUM(CIT!D16)</f>
        <v>674</v>
      </c>
      <c r="D16" s="6">
        <f>SUM('CC'!D16)</f>
        <v>6521</v>
      </c>
      <c r="E16" s="6">
        <f>SUM(OD!B16)</f>
        <v>1675</v>
      </c>
      <c r="F16" s="6">
        <f>SUM(ORS!D16)</f>
        <v>1462</v>
      </c>
      <c r="G16" s="6">
        <f>SUM(ORF!D16)</f>
        <v>177</v>
      </c>
      <c r="H16" s="6">
        <f>SUM('DHHS Assess'!D16)</f>
        <v>278</v>
      </c>
      <c r="I16" s="6">
        <f>SUM('Reserve '!D16)</f>
        <v>47</v>
      </c>
      <c r="J16" s="6">
        <f>SUM('WCF PMS'!D16)</f>
        <v>435</v>
      </c>
      <c r="K16" s="6">
        <f>SUM('Unempl &amp; work comp'!D16)</f>
        <v>66.95108947612425</v>
      </c>
      <c r="L16" s="6">
        <f>SUM(MIS!D16)</f>
        <v>55</v>
      </c>
      <c r="M16" s="6">
        <f>SUM(EIT!D16)</f>
        <v>186</v>
      </c>
      <c r="N16" s="167">
        <f t="shared" si="0"/>
        <v>13114.951089476124</v>
      </c>
    </row>
    <row r="17" spans="1:14" ht="15">
      <c r="A17" s="4" t="s">
        <v>27</v>
      </c>
      <c r="B17" s="6">
        <f>SUM(CSR!D17)</f>
        <v>930</v>
      </c>
      <c r="C17" s="6">
        <f>SUM(CIT!D17)</f>
        <v>465</v>
      </c>
      <c r="D17" s="6">
        <f>SUM('CC'!D17)</f>
        <v>4356</v>
      </c>
      <c r="E17" s="6">
        <f>SUM(OD!B17)</f>
        <v>1271</v>
      </c>
      <c r="F17" s="6">
        <f>SUM(ORS!D17)</f>
        <v>848</v>
      </c>
      <c r="G17" s="6">
        <f>SUM(ORF!D17)</f>
        <v>120</v>
      </c>
      <c r="H17" s="6">
        <f>SUM('DHHS Assess'!D17)</f>
        <v>192</v>
      </c>
      <c r="I17" s="6">
        <f>SUM('Reserve '!D17)</f>
        <v>33</v>
      </c>
      <c r="J17" s="6">
        <f>SUM('WCF PMS'!D17)</f>
        <v>337</v>
      </c>
      <c r="K17" s="6">
        <f>SUM('Unempl &amp; work comp'!D17)</f>
        <v>44.269587389893374</v>
      </c>
      <c r="L17" s="6">
        <f>SUM(MIS!D17)</f>
        <v>37</v>
      </c>
      <c r="M17" s="6">
        <f>SUM(EIT!D17)</f>
        <v>144</v>
      </c>
      <c r="N17" s="167">
        <f t="shared" si="0"/>
        <v>8777.269587389894</v>
      </c>
    </row>
    <row r="18" spans="1:14" ht="15">
      <c r="A18" s="4" t="s">
        <v>28</v>
      </c>
      <c r="B18" s="6">
        <f>SUM(CSR!D18)</f>
        <v>3128</v>
      </c>
      <c r="C18" s="6">
        <f>SUM(CIT!D18)</f>
        <v>2186</v>
      </c>
      <c r="D18" s="6">
        <f>SUM('CC'!D18)</f>
        <v>20116</v>
      </c>
      <c r="E18" s="6">
        <f>SUM(OD!B18)</f>
        <v>4494</v>
      </c>
      <c r="F18" s="6">
        <f>SUM(ORS!D18)</f>
        <v>4499</v>
      </c>
      <c r="G18" s="6">
        <f>SUM(ORF!D18)</f>
        <v>563</v>
      </c>
      <c r="H18" s="6">
        <f>SUM('DHHS Assess'!D18)</f>
        <v>902</v>
      </c>
      <c r="I18" s="6">
        <f>SUM('Reserve '!D18)</f>
        <v>153</v>
      </c>
      <c r="J18" s="6">
        <f>SUM('WCF PMS'!D18)</f>
        <v>1109</v>
      </c>
      <c r="K18" s="6">
        <f>SUM('Unempl &amp; work comp'!D18)</f>
        <v>219.23116597125636</v>
      </c>
      <c r="L18" s="6">
        <f>SUM(MIS!D18)</f>
        <v>171</v>
      </c>
      <c r="M18" s="6">
        <f>SUM(EIT!D18)</f>
        <v>514</v>
      </c>
      <c r="N18" s="167">
        <f t="shared" si="0"/>
        <v>38054.23116597126</v>
      </c>
    </row>
    <row r="19" spans="1:14" ht="15">
      <c r="A19" s="4" t="s">
        <v>29</v>
      </c>
      <c r="B19" s="6">
        <f>SUM(CSR!D19)</f>
        <v>1840</v>
      </c>
      <c r="C19" s="6">
        <f>SUM(CIT!D19)</f>
        <v>1207</v>
      </c>
      <c r="D19" s="6">
        <f>SUM('CC'!D19)</f>
        <v>4897</v>
      </c>
      <c r="E19" s="6">
        <f>SUM(OD!B19)</f>
        <v>2646</v>
      </c>
      <c r="F19" s="6">
        <f>SUM(ORS!D19)</f>
        <v>1451</v>
      </c>
      <c r="G19" s="6">
        <f>SUM(ORF!D19)</f>
        <v>262</v>
      </c>
      <c r="H19" s="6">
        <f>SUM('DHHS Assess'!D19)</f>
        <v>498</v>
      </c>
      <c r="I19" s="6">
        <f>SUM('Reserve '!D19)</f>
        <v>85</v>
      </c>
      <c r="J19" s="6">
        <f>SUM('WCF PMS'!D19)</f>
        <v>654</v>
      </c>
      <c r="K19" s="6">
        <f>SUM('Unempl &amp; work comp'!D19)</f>
        <v>114.45421882243858</v>
      </c>
      <c r="L19" s="6">
        <f>SUM(MIS!D19)</f>
        <v>0</v>
      </c>
      <c r="M19" s="6">
        <f>SUM(EIT!D19)</f>
        <v>367</v>
      </c>
      <c r="N19" s="167">
        <f t="shared" si="0"/>
        <v>14021.454218822439</v>
      </c>
    </row>
    <row r="20" spans="1:14" ht="15">
      <c r="A20" s="4" t="s">
        <v>30</v>
      </c>
      <c r="B20" s="6">
        <f>SUM(CSR!D20)</f>
        <v>908</v>
      </c>
      <c r="C20" s="6">
        <f>SUM(CIT!D20)</f>
        <v>578</v>
      </c>
      <c r="D20" s="6">
        <f>SUM('CC'!D20)</f>
        <v>5800</v>
      </c>
      <c r="E20" s="6">
        <f>SUM(OD!B20)</f>
        <v>1322</v>
      </c>
      <c r="F20" s="6">
        <f>SUM(ORS!D20)</f>
        <v>927</v>
      </c>
      <c r="G20" s="6">
        <f>SUM(ORF!D20)</f>
        <v>150</v>
      </c>
      <c r="H20" s="6">
        <f>SUM('DHHS Assess'!D20)</f>
        <v>238</v>
      </c>
      <c r="I20" s="6">
        <f>SUM('Reserve '!D20)</f>
        <v>41</v>
      </c>
      <c r="J20" s="6">
        <f>SUM('WCF PMS'!D20)</f>
        <v>358</v>
      </c>
      <c r="K20" s="6">
        <f>SUM('Unempl &amp; work comp'!D20)</f>
        <v>71.27804821511359</v>
      </c>
      <c r="L20" s="6">
        <f>SUM(MIS!D20)</f>
        <v>49</v>
      </c>
      <c r="M20" s="6">
        <f>SUM(EIT!D20)</f>
        <v>160</v>
      </c>
      <c r="N20" s="167">
        <f t="shared" si="0"/>
        <v>10602.278048215114</v>
      </c>
    </row>
    <row r="21" spans="1:14" ht="15">
      <c r="A21" s="4" t="s">
        <v>31</v>
      </c>
      <c r="B21" s="6">
        <f>SUM(CSR!D21)</f>
        <v>561</v>
      </c>
      <c r="C21" s="6">
        <f>SUM(CIT!D21)</f>
        <v>113</v>
      </c>
      <c r="D21" s="6">
        <f>SUM('CC'!D21)</f>
        <v>303</v>
      </c>
      <c r="E21" s="6">
        <f>SUM(OD!B21)</f>
        <v>418</v>
      </c>
      <c r="F21" s="6">
        <f>SUM(ORS!D21)</f>
        <v>243</v>
      </c>
      <c r="G21" s="6">
        <f>SUM(ORF!D21)</f>
        <v>31</v>
      </c>
      <c r="H21" s="6">
        <f>SUM('DHHS Assess'!D21)</f>
        <v>46</v>
      </c>
      <c r="I21" s="6">
        <f>SUM('Reserve '!D21)</f>
        <v>8</v>
      </c>
      <c r="J21" s="6">
        <f>SUM('WCF PMS'!D21)</f>
        <v>121</v>
      </c>
      <c r="K21" s="6">
        <f>SUM('Unempl &amp; work comp'!D21)</f>
        <v>11.887459434399629</v>
      </c>
      <c r="L21" s="6">
        <f>SUM(MIS!D21)</f>
        <v>3</v>
      </c>
      <c r="M21" s="6">
        <f>SUM(EIT!D21)</f>
        <v>50</v>
      </c>
      <c r="N21" s="167">
        <f t="shared" si="0"/>
        <v>1908.8874594343997</v>
      </c>
    </row>
    <row r="22" spans="1:14" ht="15">
      <c r="A22" s="4" t="s">
        <v>32</v>
      </c>
      <c r="B22" s="6">
        <f>SUM(CSR!D22)</f>
        <v>302</v>
      </c>
      <c r="C22" s="6">
        <f>SUM(CIT!D22)</f>
        <v>893</v>
      </c>
      <c r="D22" s="6">
        <f>SUM('CC'!D22)</f>
        <v>12768</v>
      </c>
      <c r="E22" s="6">
        <f>SUM(OD!B22)</f>
        <v>1076</v>
      </c>
      <c r="F22" s="6">
        <f>SUM(ORS!D22)</f>
        <v>1831</v>
      </c>
      <c r="G22" s="6">
        <f>SUM(ORF!D22)</f>
        <v>227</v>
      </c>
      <c r="H22" s="6">
        <f>SUM('DHHS Assess'!D22)</f>
        <v>369</v>
      </c>
      <c r="I22" s="6">
        <f>SUM('Reserve '!D22)</f>
        <v>63</v>
      </c>
      <c r="J22" s="6">
        <f>SUM('WCF PMS'!D22)</f>
        <v>209</v>
      </c>
      <c r="K22" s="6">
        <f>SUM('Unempl &amp; work comp'!D22)</f>
        <v>86.35234121464998</v>
      </c>
      <c r="L22" s="6">
        <f>SUM(MIS!D22)</f>
        <v>108</v>
      </c>
      <c r="M22" s="6">
        <f>SUM(EIT!D22)</f>
        <v>178</v>
      </c>
      <c r="N22" s="167">
        <f t="shared" si="0"/>
        <v>18110.35234121465</v>
      </c>
    </row>
    <row r="23" spans="1:14" ht="15">
      <c r="A23" s="4" t="s">
        <v>33</v>
      </c>
      <c r="B23" s="6">
        <f>SUM(CSR!D23)</f>
        <v>2021</v>
      </c>
      <c r="C23" s="6">
        <f>SUM(CIT!D23)</f>
        <v>145</v>
      </c>
      <c r="D23" s="6">
        <f>SUM('CC'!D23)</f>
        <v>978</v>
      </c>
      <c r="E23" s="6">
        <f>SUM(OD!B23)</f>
        <v>729</v>
      </c>
      <c r="F23" s="6">
        <f>SUM(ORS!D23)</f>
        <v>269</v>
      </c>
      <c r="G23" s="6">
        <f>SUM(ORF!D23)</f>
        <v>39</v>
      </c>
      <c r="H23" s="6">
        <f>SUM('DHHS Assess'!D23)</f>
        <v>60</v>
      </c>
      <c r="I23" s="6">
        <f>SUM('Reserve '!D23)</f>
        <v>10</v>
      </c>
      <c r="J23" s="6">
        <f>SUM('WCF PMS'!D23)</f>
        <v>203</v>
      </c>
      <c r="K23" s="6">
        <f>SUM('Unempl &amp; work comp'!D23)</f>
        <v>16.19106397774687</v>
      </c>
      <c r="L23" s="6">
        <f>SUM(MIS!D23)</f>
        <v>8</v>
      </c>
      <c r="M23" s="6">
        <f>SUM(EIT!D23)</f>
        <v>109</v>
      </c>
      <c r="N23" s="167">
        <f t="shared" si="0"/>
        <v>4587.191063977747</v>
      </c>
    </row>
    <row r="24" spans="1:14" ht="15">
      <c r="A24" s="4" t="s">
        <v>34</v>
      </c>
      <c r="B24" s="6">
        <f>SUM(CSR!D24)</f>
        <v>195</v>
      </c>
      <c r="C24" s="6">
        <f>SUM(CIT!D24)</f>
        <v>212</v>
      </c>
      <c r="D24" s="6">
        <f>SUM('CC'!D24)</f>
        <v>0</v>
      </c>
      <c r="E24" s="6">
        <f>SUM(OD!B24)</f>
        <v>1238</v>
      </c>
      <c r="F24" s="6">
        <f>SUM(ORS!D24)</f>
        <v>367</v>
      </c>
      <c r="G24" s="6">
        <f>SUM(ORF!D24)</f>
        <v>61</v>
      </c>
      <c r="H24" s="6">
        <f>SUM('DHHS Assess'!D24)</f>
        <v>88</v>
      </c>
      <c r="I24" s="6">
        <f>SUM('Reserve '!D24)</f>
        <v>15</v>
      </c>
      <c r="J24" s="6">
        <f>SUM('WCF PMS'!D24)</f>
        <v>345</v>
      </c>
      <c r="K24" s="6">
        <f>SUM('Unempl &amp; work comp'!D24)</f>
        <v>27.00846082522021</v>
      </c>
      <c r="L24" s="6">
        <f>SUM(MIS!D24)</f>
        <v>0</v>
      </c>
      <c r="M24" s="6">
        <f>SUM(EIT!D24)</f>
        <v>399</v>
      </c>
      <c r="N24" s="167">
        <f t="shared" si="0"/>
        <v>2947.00846082522</v>
      </c>
    </row>
    <row r="25" spans="1:14" ht="15">
      <c r="A25" s="4" t="s">
        <v>35</v>
      </c>
      <c r="B25" s="6">
        <f>SUM(CSR!D25)</f>
        <v>810</v>
      </c>
      <c r="C25" s="6">
        <f>SUM(CIT!D25)</f>
        <v>190</v>
      </c>
      <c r="D25" s="6">
        <f>SUM('CC'!D25)</f>
        <v>851</v>
      </c>
      <c r="E25" s="6">
        <f>SUM(OD!B25)</f>
        <v>415</v>
      </c>
      <c r="F25" s="6">
        <f>SUM(ORS!D25)</f>
        <v>384</v>
      </c>
      <c r="G25" s="6">
        <f>SUM(ORF!D25)</f>
        <v>51</v>
      </c>
      <c r="H25" s="6">
        <f>SUM('DHHS Assess'!D25)</f>
        <v>78</v>
      </c>
      <c r="I25" s="6">
        <f>SUM('Reserve '!D25)</f>
        <v>13</v>
      </c>
      <c r="J25" s="6">
        <f>SUM('WCF PMS'!D25)</f>
        <v>114</v>
      </c>
      <c r="K25" s="6">
        <f>SUM('Unempl &amp; work comp'!D25)</f>
        <v>23.774918868799258</v>
      </c>
      <c r="L25" s="6">
        <f>SUM(MIS!D25)</f>
        <v>7</v>
      </c>
      <c r="M25" s="6">
        <f>SUM(EIT!D25)</f>
        <v>45</v>
      </c>
      <c r="N25" s="167">
        <f t="shared" si="0"/>
        <v>2981.7749188687994</v>
      </c>
    </row>
    <row r="26" spans="1:14" ht="15">
      <c r="A26" s="4" t="s">
        <v>36</v>
      </c>
      <c r="B26" s="6">
        <f>SUM(CSR!D26)</f>
        <v>0</v>
      </c>
      <c r="C26" s="6">
        <f>SUM(CIT!D26)</f>
        <v>68</v>
      </c>
      <c r="D26" s="6">
        <f>SUM('CC'!D26)</f>
        <v>0</v>
      </c>
      <c r="E26" s="6">
        <f>SUM(OD!B26)</f>
        <v>201</v>
      </c>
      <c r="F26" s="6">
        <f>SUM(ORS!D26)</f>
        <v>106</v>
      </c>
      <c r="G26" s="6">
        <f>SUM(ORF!D26)</f>
        <v>18</v>
      </c>
      <c r="H26" s="6">
        <f>SUM('DHHS Assess'!D26)</f>
        <v>28</v>
      </c>
      <c r="I26" s="6">
        <f>SUM('Reserve '!D26)</f>
        <v>5</v>
      </c>
      <c r="J26" s="6">
        <f>SUM('WCF PMS'!D26)</f>
        <v>75</v>
      </c>
      <c r="K26" s="6">
        <f>SUM('Unempl &amp; work comp'!D26)</f>
        <v>9.700625869262865</v>
      </c>
      <c r="L26" s="6">
        <f>SUM(MIS!D26)</f>
        <v>0</v>
      </c>
      <c r="M26" s="6">
        <f>SUM(EIT!D26)</f>
        <v>72</v>
      </c>
      <c r="N26" s="167">
        <f t="shared" si="0"/>
        <v>582.7006258692629</v>
      </c>
    </row>
    <row r="27" spans="1:14" ht="15">
      <c r="A27" s="4" t="s">
        <v>37</v>
      </c>
      <c r="B27" s="6">
        <f>SUM(CSR!D27)</f>
        <v>539</v>
      </c>
      <c r="C27" s="6">
        <f>SUM(CIT!D27)</f>
        <v>121</v>
      </c>
      <c r="D27" s="6">
        <f>SUM('CC'!D27)</f>
        <v>0</v>
      </c>
      <c r="E27" s="6">
        <f>SUM(OD!B27)</f>
        <v>438</v>
      </c>
      <c r="F27" s="6">
        <f>SUM(ORS!D27)</f>
        <v>298</v>
      </c>
      <c r="G27" s="6">
        <f>SUM(ORF!D27)</f>
        <v>33</v>
      </c>
      <c r="H27" s="6">
        <f>SUM('DHHS Assess'!D27)</f>
        <v>50</v>
      </c>
      <c r="I27" s="6">
        <f>SUM('Reserve '!D27)</f>
        <v>8</v>
      </c>
      <c r="J27" s="6">
        <f>SUM('WCF PMS'!D27)</f>
        <v>132</v>
      </c>
      <c r="K27" s="6">
        <f>SUM('Unempl &amp; work comp'!D27)</f>
        <v>17.307834955957347</v>
      </c>
      <c r="L27" s="6">
        <f>SUM(MIS!D27)</f>
        <v>0</v>
      </c>
      <c r="M27" s="6">
        <f>SUM(EIT!D27)</f>
        <v>24</v>
      </c>
      <c r="N27" s="167">
        <f t="shared" si="0"/>
        <v>1660.3078349559573</v>
      </c>
    </row>
    <row r="28" spans="1:14" ht="15">
      <c r="A28" s="4" t="s">
        <v>38</v>
      </c>
      <c r="B28" s="6">
        <f>SUM(CSR!D28)</f>
        <v>0</v>
      </c>
      <c r="C28" s="6">
        <f>SUM(CIT!D28)</f>
        <v>2255</v>
      </c>
      <c r="D28" s="6">
        <f>SUM('CC'!D28)</f>
        <v>0</v>
      </c>
      <c r="E28" s="6">
        <f>SUM(OD!B28)</f>
        <v>1977</v>
      </c>
      <c r="F28" s="6">
        <f>SUM(ORS!D28)</f>
        <v>4204</v>
      </c>
      <c r="G28" s="6">
        <f>SUM(ORF!D28)</f>
        <v>552</v>
      </c>
      <c r="H28" s="6">
        <f>SUM('DHHS Assess'!D28)</f>
        <v>931</v>
      </c>
      <c r="I28" s="6">
        <f>SUM('Reserve '!D28)</f>
        <v>158</v>
      </c>
      <c r="J28" s="6">
        <f>SUM('WCF PMS'!D28)</f>
        <v>299</v>
      </c>
      <c r="K28" s="6">
        <f>SUM('Unempl &amp; work comp'!D28)</f>
        <v>204.0868103847937</v>
      </c>
      <c r="L28" s="6">
        <f>SUM(MIS!D28)</f>
        <v>0</v>
      </c>
      <c r="M28" s="6">
        <f>SUM(EIT!D28)</f>
        <v>115</v>
      </c>
      <c r="N28" s="167">
        <f t="shared" si="0"/>
        <v>10695.086810384793</v>
      </c>
    </row>
    <row r="29" spans="1:14" ht="15">
      <c r="A29" s="4" t="s">
        <v>39</v>
      </c>
      <c r="B29" s="6">
        <f>SUM(CSR!D29)</f>
        <v>0</v>
      </c>
      <c r="C29" s="6">
        <f>SUM(CIT!D29)</f>
        <v>726</v>
      </c>
      <c r="D29" s="6">
        <f>SUM('CC'!D29)</f>
        <v>0</v>
      </c>
      <c r="E29" s="6">
        <f>SUM(OD!E29)</f>
        <v>0</v>
      </c>
      <c r="F29" s="6">
        <f>SUM(ORS!D29)</f>
        <v>1632</v>
      </c>
      <c r="G29" s="6">
        <f>SUM(ORF!D29)</f>
        <v>183</v>
      </c>
      <c r="H29" s="6">
        <f>SUM('DHHS Assess'!D29)</f>
        <v>0</v>
      </c>
      <c r="I29" s="6">
        <f>SUM('Reserve '!D29)</f>
        <v>0</v>
      </c>
      <c r="J29" s="6">
        <f>SUM('WCF PMS'!D29)</f>
        <v>0</v>
      </c>
      <c r="K29" s="6">
        <f>SUM('Unempl &amp; work comp'!D29)</f>
        <v>0</v>
      </c>
      <c r="L29" s="6">
        <f>SUM(MIS!D29)</f>
        <v>0</v>
      </c>
      <c r="M29" s="6">
        <f>SUM(EIT!D29)</f>
        <v>0</v>
      </c>
      <c r="N29" s="167">
        <f t="shared" si="0"/>
        <v>2541</v>
      </c>
    </row>
    <row r="30" spans="1:14" ht="15">
      <c r="A30" s="4" t="s">
        <v>8</v>
      </c>
      <c r="B30" s="6">
        <f>SUM(CSR!D30)</f>
        <v>0</v>
      </c>
      <c r="C30" s="6">
        <f>SUM(CIT!D30)</f>
        <v>0</v>
      </c>
      <c r="D30" s="6">
        <f>SUM('CC'!D30)</f>
        <v>0</v>
      </c>
      <c r="E30" s="6">
        <f>SUM(OD!E30)</f>
        <v>0</v>
      </c>
      <c r="F30" s="6">
        <f>SUM(ORS!D30)</f>
        <v>2656</v>
      </c>
      <c r="G30" s="6">
        <f>SUM(ORF!D30)</f>
        <v>406</v>
      </c>
      <c r="H30" s="6">
        <f>SUM('DHHS Assess'!D30)</f>
        <v>0</v>
      </c>
      <c r="I30" s="6">
        <f>SUM('Reserve '!D30)</f>
        <v>0</v>
      </c>
      <c r="J30" s="6">
        <f>SUM('WCF PMS'!D30)</f>
        <v>0</v>
      </c>
      <c r="K30" s="6">
        <f>SUM('Unempl &amp; work comp'!D30)</f>
        <v>194.40953871117293</v>
      </c>
      <c r="L30" s="6">
        <f>SUM(MIS!D30)</f>
        <v>0</v>
      </c>
      <c r="M30" s="6">
        <f>SUM(EIT!D30)</f>
        <v>140</v>
      </c>
      <c r="N30" s="167">
        <f t="shared" si="0"/>
        <v>3396.409538711173</v>
      </c>
    </row>
    <row r="31" spans="1:14" ht="15">
      <c r="A31" s="4" t="s">
        <v>52</v>
      </c>
      <c r="B31" s="6">
        <f>SUM(CSR!D31)</f>
        <v>0</v>
      </c>
      <c r="C31" s="6">
        <f>SUM(CIT!D31)</f>
        <v>0</v>
      </c>
      <c r="D31" s="6">
        <f>SUM('CC'!D31)</f>
        <v>0</v>
      </c>
      <c r="E31" s="6">
        <f>SUM(OD!E31)</f>
        <v>0</v>
      </c>
      <c r="F31" s="6">
        <f>SUM(ORS!D31)</f>
        <v>0</v>
      </c>
      <c r="G31" s="6">
        <f>SUM(ORF!D31)</f>
        <v>0</v>
      </c>
      <c r="H31" s="6">
        <f>SUM('DHHS Assess'!D31)</f>
        <v>0</v>
      </c>
      <c r="I31" s="6">
        <f>SUM('Reserve '!D31)</f>
        <v>0</v>
      </c>
      <c r="J31" s="6">
        <f>SUM('WCF PMS'!D31)</f>
        <v>0</v>
      </c>
      <c r="K31" s="6">
        <f>SUM('Unempl &amp; work comp'!D31)</f>
        <v>447.06954102920724</v>
      </c>
      <c r="L31" s="6">
        <f>SUM(MIS!D31)</f>
        <v>0</v>
      </c>
      <c r="M31" s="6">
        <f>SUM(EIT!D31)</f>
        <v>0</v>
      </c>
      <c r="N31" s="167">
        <f t="shared" si="0"/>
        <v>447.06954102920724</v>
      </c>
    </row>
    <row r="32" spans="1:14" ht="15">
      <c r="A32" s="4" t="s">
        <v>40</v>
      </c>
      <c r="B32" s="6">
        <f>SUM(CSR!D32)</f>
        <v>0</v>
      </c>
      <c r="C32" s="6">
        <f>SUM(CIT!D32)</f>
        <v>0</v>
      </c>
      <c r="D32" s="6">
        <f>SUM('CC'!D32)</f>
        <v>0</v>
      </c>
      <c r="E32" s="6">
        <f>SUM(OD!E32)</f>
        <v>0</v>
      </c>
      <c r="F32" s="6">
        <f>SUM(ORS!D32)</f>
        <v>8554</v>
      </c>
      <c r="G32" s="6">
        <f>SUM(ORF!D32)</f>
        <v>977</v>
      </c>
      <c r="H32" s="6">
        <f>SUM('DHHS Assess'!D32)</f>
        <v>0</v>
      </c>
      <c r="I32" s="6">
        <f>SUM('Reserve '!D32)</f>
        <v>0</v>
      </c>
      <c r="J32" s="6">
        <f>SUM('WCF PMS'!D32)</f>
        <v>0</v>
      </c>
      <c r="K32" s="6">
        <f>SUM('Unempl &amp; work comp'!D32)</f>
        <v>582.041782568382</v>
      </c>
      <c r="L32" s="6">
        <f>SUM(MIS!D32)</f>
        <v>0</v>
      </c>
      <c r="M32" s="6">
        <f>SUM(EIT!D32)</f>
        <v>0</v>
      </c>
      <c r="N32" s="167">
        <f t="shared" si="0"/>
        <v>10113.041782568382</v>
      </c>
    </row>
    <row r="33" spans="1:14" ht="15">
      <c r="A33" s="4" t="s">
        <v>5</v>
      </c>
      <c r="B33" s="6">
        <f>SUM(CSR!D33)</f>
        <v>0</v>
      </c>
      <c r="C33" s="6">
        <f>SUM(CIT!D33)</f>
        <v>0</v>
      </c>
      <c r="D33" s="6">
        <f>SUM('CC'!D33)</f>
        <v>0</v>
      </c>
      <c r="E33" s="6">
        <f>SUM(OD!E33)</f>
        <v>0</v>
      </c>
      <c r="F33" s="6">
        <f>SUM(ORS!D33)</f>
        <v>1056</v>
      </c>
      <c r="G33" s="6">
        <f>SUM(ORF!D33)</f>
        <v>185</v>
      </c>
      <c r="H33" s="6">
        <f>SUM('DHHS Assess'!D33)</f>
        <v>0</v>
      </c>
      <c r="I33" s="6">
        <f>SUM('Reserve '!D33)</f>
        <v>0</v>
      </c>
      <c r="J33" s="6">
        <f>SUM('WCF PMS'!D33)</f>
        <v>0</v>
      </c>
      <c r="K33" s="6">
        <f>SUM('Unempl &amp; work comp'!D33)</f>
        <v>86.35234121464998</v>
      </c>
      <c r="L33" s="6">
        <f>SUM(MIS!D33)</f>
        <v>0</v>
      </c>
      <c r="M33" s="6">
        <f>SUM(EIT!D33)</f>
        <v>0</v>
      </c>
      <c r="N33" s="167">
        <f t="shared" si="0"/>
        <v>1327.35234121465</v>
      </c>
    </row>
    <row r="34" spans="1:14" ht="15">
      <c r="A34" s="4" t="s">
        <v>6</v>
      </c>
      <c r="B34" s="6">
        <f>SUM(CSR!D34)</f>
        <v>0</v>
      </c>
      <c r="C34" s="6">
        <f>SUM(CIT!D34)</f>
        <v>0</v>
      </c>
      <c r="D34" s="6">
        <f>SUM('CC'!D34)</f>
        <v>0</v>
      </c>
      <c r="E34" s="6">
        <f>SUM(OD!E34)</f>
        <v>0</v>
      </c>
      <c r="F34" s="6">
        <f>SUM(ORS!D34)</f>
        <v>2499</v>
      </c>
      <c r="G34" s="6">
        <f>SUM(ORF!D34)</f>
        <v>368</v>
      </c>
      <c r="H34" s="6">
        <f>SUM('DHHS Assess'!D34)</f>
        <v>0</v>
      </c>
      <c r="I34" s="6">
        <f>SUM('Reserve '!D34)</f>
        <v>0</v>
      </c>
      <c r="J34" s="6">
        <f>SUM('WCF PMS'!D34)</f>
        <v>0</v>
      </c>
      <c r="K34" s="6">
        <f>SUM('Unempl &amp; work comp'!D34)</f>
        <v>132.8554705609643</v>
      </c>
      <c r="L34" s="6">
        <f>SUM(MIS!D34)</f>
        <v>0</v>
      </c>
      <c r="M34" s="6">
        <f>SUM(EIT!D34)</f>
        <v>0</v>
      </c>
      <c r="N34" s="167">
        <f t="shared" si="0"/>
        <v>2999.8554705609645</v>
      </c>
    </row>
    <row r="35" spans="1:14" ht="15">
      <c r="A35" s="4" t="s">
        <v>9</v>
      </c>
      <c r="B35" s="6">
        <f>SUM(CSR!D35)</f>
        <v>0</v>
      </c>
      <c r="C35" s="6">
        <f>SUM(CIT!D35)</f>
        <v>0</v>
      </c>
      <c r="D35" s="6">
        <f>SUM('CC'!D35)</f>
        <v>0</v>
      </c>
      <c r="E35" s="6">
        <f>SUM(OD!E35)</f>
        <v>0</v>
      </c>
      <c r="F35" s="6">
        <f>SUM(ORS!D35)</f>
        <v>0</v>
      </c>
      <c r="G35" s="6">
        <f>SUM(ORF!D35)</f>
        <v>0</v>
      </c>
      <c r="H35" s="6">
        <f>SUM('DHHS Assess'!D35)</f>
        <v>0</v>
      </c>
      <c r="I35" s="6">
        <f>SUM('Reserve '!D35)</f>
        <v>0</v>
      </c>
      <c r="J35" s="6">
        <f>SUM('WCF PMS'!D35)</f>
        <v>0</v>
      </c>
      <c r="K35" s="6">
        <f>SUM('Unempl &amp; work comp'!D35)</f>
        <v>213.81079044969866</v>
      </c>
      <c r="L35" s="6">
        <f>SUM(MIS!D35)</f>
        <v>0</v>
      </c>
      <c r="M35" s="6">
        <f>SUM(EIT!D35)</f>
        <v>0</v>
      </c>
      <c r="N35" s="167">
        <f t="shared" si="0"/>
        <v>213.81079044969866</v>
      </c>
    </row>
    <row r="36" spans="1:14" ht="15">
      <c r="A36" s="4" t="s">
        <v>165</v>
      </c>
      <c r="B36" s="6">
        <f>SUM(CSR!D36)</f>
        <v>0</v>
      </c>
      <c r="C36" s="6">
        <f>SUM(CIT!D36)</f>
        <v>0</v>
      </c>
      <c r="D36" s="6">
        <f>SUM('CC'!D36)</f>
        <v>0</v>
      </c>
      <c r="E36" s="6">
        <f>SUM(OD!E36)</f>
        <v>0</v>
      </c>
      <c r="F36" s="6">
        <f>SUM(ORS!D36)</f>
        <v>0</v>
      </c>
      <c r="G36" s="6">
        <f>SUM(ORF!D36)</f>
        <v>0</v>
      </c>
      <c r="H36" s="6">
        <f>SUM('DHHS Assess'!D36)</f>
        <v>0</v>
      </c>
      <c r="I36" s="6">
        <f>SUM('Reserve '!D36)</f>
        <v>0</v>
      </c>
      <c r="J36" s="6">
        <f>SUM('WCF PMS'!D36)</f>
        <v>0</v>
      </c>
      <c r="K36" s="6">
        <f>SUM('Unempl &amp; work comp'!D36)</f>
        <v>178.17176634214186</v>
      </c>
      <c r="L36" s="6">
        <f>SUM(MIS!D36)</f>
        <v>0</v>
      </c>
      <c r="M36" s="6">
        <f>SUM(EIT!D36)</f>
        <v>0</v>
      </c>
      <c r="N36" s="167">
        <f t="shared" si="0"/>
        <v>178.17176634214186</v>
      </c>
    </row>
    <row r="37" spans="1:14" ht="15">
      <c r="A37" s="11" t="s">
        <v>147</v>
      </c>
      <c r="B37" s="12">
        <f>SUM(CSR!D37)</f>
        <v>0</v>
      </c>
      <c r="C37" s="12">
        <f>SUM(CIT!D37)</f>
        <v>0</v>
      </c>
      <c r="D37" s="12">
        <f>SUM('CC'!D37)</f>
        <v>0</v>
      </c>
      <c r="E37" s="12">
        <f>SUM(OD!E37)</f>
        <v>0</v>
      </c>
      <c r="F37" s="12">
        <f>SUM(ORS!D37)</f>
        <v>1053</v>
      </c>
      <c r="G37" s="12">
        <f>SUM(ORF!D37)</f>
        <v>147</v>
      </c>
      <c r="H37" s="12">
        <f>SUM('DHHS Assess'!D37)</f>
        <v>0</v>
      </c>
      <c r="I37" s="12">
        <f>SUM('Reserve '!D37)</f>
        <v>0</v>
      </c>
      <c r="J37" s="12">
        <f>SUM('WCF PMS'!D37)</f>
        <v>0</v>
      </c>
      <c r="K37" s="12">
        <f>SUM('Unempl &amp; work comp'!D37)</f>
        <v>0</v>
      </c>
      <c r="L37" s="12">
        <f>SUM(MIS!D37)</f>
        <v>0</v>
      </c>
      <c r="M37" s="12">
        <f>SUM(EIT!D37)</f>
        <v>0</v>
      </c>
      <c r="N37" s="168">
        <f t="shared" si="0"/>
        <v>1200</v>
      </c>
    </row>
    <row r="38" spans="1:14" ht="15.75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69"/>
    </row>
    <row r="39" spans="1:14" ht="15.75">
      <c r="A39" s="8" t="s">
        <v>41</v>
      </c>
      <c r="B39" s="9">
        <f aca="true" t="shared" si="1" ref="B39:M39">SUM(B5:B38)</f>
        <v>53776</v>
      </c>
      <c r="C39" s="9">
        <f t="shared" si="1"/>
        <v>36340</v>
      </c>
      <c r="D39" s="9">
        <f t="shared" si="1"/>
        <v>335908</v>
      </c>
      <c r="E39" s="9">
        <f t="shared" si="1"/>
        <v>71783</v>
      </c>
      <c r="F39" s="9">
        <f t="shared" si="1"/>
        <v>82068</v>
      </c>
      <c r="G39" s="9">
        <f t="shared" si="1"/>
        <v>11019</v>
      </c>
      <c r="H39" s="217">
        <f t="shared" si="1"/>
        <v>14698</v>
      </c>
      <c r="I39" s="217">
        <f t="shared" si="1"/>
        <v>2500</v>
      </c>
      <c r="J39" s="217">
        <f t="shared" si="1"/>
        <v>17551</v>
      </c>
      <c r="K39" s="217">
        <f t="shared" si="1"/>
        <v>5446</v>
      </c>
      <c r="L39" s="217">
        <f t="shared" si="1"/>
        <v>2744</v>
      </c>
      <c r="M39" s="217">
        <f t="shared" si="1"/>
        <v>10369</v>
      </c>
      <c r="N39" s="170">
        <f>SUM(N5:N38)</f>
        <v>644201.9999999999</v>
      </c>
    </row>
    <row r="40" spans="1:14" ht="12.75">
      <c r="A40" s="87" t="s">
        <v>116</v>
      </c>
      <c r="E40" s="42"/>
      <c r="N40" s="130"/>
    </row>
    <row r="41" spans="1:14" ht="12.75">
      <c r="A41" s="181" t="s">
        <v>223</v>
      </c>
      <c r="N41" s="130"/>
    </row>
  </sheetData>
  <mergeCells count="2">
    <mergeCell ref="A1:N1"/>
    <mergeCell ref="A2:N2"/>
  </mergeCells>
  <printOptions/>
  <pageMargins left="0.22" right="0.25" top="0.72" bottom="0.66" header="0.5" footer="0.5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28">
      <selection activeCell="D33" sqref="D33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57421875" style="0" customWidth="1"/>
  </cols>
  <sheetData>
    <row r="2" ht="18">
      <c r="A2" s="25" t="s">
        <v>45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46">
        <f>SUM(Census!H5)</f>
        <v>5379</v>
      </c>
      <c r="C5" s="47">
        <f>SUM(B5/$B$38)</f>
        <v>0.24309666922764045</v>
      </c>
      <c r="D5" s="35">
        <f>ROUND(C5*$D$43,0)</f>
        <v>3573</v>
      </c>
    </row>
    <row r="6" spans="1:4" ht="12.75">
      <c r="A6" s="4" t="s">
        <v>16</v>
      </c>
      <c r="B6" s="46">
        <f>SUM(Census!H6)</f>
        <v>1222</v>
      </c>
      <c r="C6" s="47">
        <f aca="true" t="shared" si="0" ref="C6:C28">SUM(B6/$B$38)</f>
        <v>0.05522664617887649</v>
      </c>
      <c r="D6" s="32">
        <f>ROUND(C6*$D$43,0)</f>
        <v>812</v>
      </c>
    </row>
    <row r="7" spans="1:4" ht="12.75">
      <c r="A7" s="4" t="s">
        <v>17</v>
      </c>
      <c r="B7" s="46">
        <f>SUM(Census!H7)</f>
        <v>542</v>
      </c>
      <c r="C7" s="47">
        <f t="shared" si="0"/>
        <v>0.024494960907488587</v>
      </c>
      <c r="D7" s="32">
        <f aca="true" t="shared" si="1" ref="D7:D28">ROUND(C7*$D$43,0)</f>
        <v>360</v>
      </c>
    </row>
    <row r="8" spans="1:4" ht="12.75">
      <c r="A8" s="4" t="s">
        <v>18</v>
      </c>
      <c r="B8" s="46">
        <f>SUM(Census!H8)</f>
        <v>1146</v>
      </c>
      <c r="C8" s="47">
        <f t="shared" si="0"/>
        <v>0.05179192841325078</v>
      </c>
      <c r="D8" s="32">
        <f t="shared" si="1"/>
        <v>761</v>
      </c>
    </row>
    <row r="9" spans="1:4" ht="12.75">
      <c r="A9" s="4" t="s">
        <v>19</v>
      </c>
      <c r="B9" s="46">
        <f>SUM(Census!H9)</f>
        <v>1001</v>
      </c>
      <c r="C9" s="47">
        <f t="shared" si="0"/>
        <v>0.04523884846567542</v>
      </c>
      <c r="D9" s="32">
        <f t="shared" si="1"/>
        <v>665</v>
      </c>
    </row>
    <row r="10" spans="1:4" ht="12.75">
      <c r="A10" s="4" t="s">
        <v>20</v>
      </c>
      <c r="B10" s="46">
        <f>SUM(Census!H10)</f>
        <v>2822</v>
      </c>
      <c r="C10" s="47">
        <f t="shared" si="0"/>
        <v>0.12753649387625976</v>
      </c>
      <c r="D10" s="32">
        <f t="shared" si="1"/>
        <v>1875</v>
      </c>
    </row>
    <row r="11" spans="1:4" ht="12.75">
      <c r="A11" s="4" t="s">
        <v>21</v>
      </c>
      <c r="B11" s="46">
        <f>SUM(Census!H11)</f>
        <v>182</v>
      </c>
      <c r="C11" s="47">
        <f t="shared" si="0"/>
        <v>0.008225245175577349</v>
      </c>
      <c r="D11" s="32">
        <f t="shared" si="1"/>
        <v>121</v>
      </c>
    </row>
    <row r="12" spans="1:4" ht="12.75">
      <c r="A12" s="4" t="s">
        <v>22</v>
      </c>
      <c r="B12" s="46">
        <f>SUM(Census!H12)</f>
        <v>1359</v>
      </c>
      <c r="C12" s="47">
        <f t="shared" si="0"/>
        <v>0.06141817688796493</v>
      </c>
      <c r="D12" s="32">
        <f t="shared" si="1"/>
        <v>903</v>
      </c>
    </row>
    <row r="13" spans="1:4" ht="12.75">
      <c r="A13" s="4" t="s">
        <v>23</v>
      </c>
      <c r="B13" s="46">
        <f>SUM(Census!H13)</f>
        <v>511</v>
      </c>
      <c r="C13" s="47">
        <f t="shared" si="0"/>
        <v>0.023093957608351787</v>
      </c>
      <c r="D13" s="32">
        <f t="shared" si="1"/>
        <v>339</v>
      </c>
    </row>
    <row r="14" spans="1:4" ht="12.75">
      <c r="A14" s="4" t="s">
        <v>24</v>
      </c>
      <c r="B14" s="46">
        <f>SUM(Census!H14)</f>
        <v>1409</v>
      </c>
      <c r="C14" s="47">
        <f t="shared" si="0"/>
        <v>0.06367785962850815</v>
      </c>
      <c r="D14" s="32">
        <f t="shared" si="1"/>
        <v>936</v>
      </c>
    </row>
    <row r="15" spans="1:4" ht="12.75">
      <c r="A15" s="4" t="s">
        <v>25</v>
      </c>
      <c r="B15" s="46">
        <f>SUM(Census!H15)</f>
        <v>896</v>
      </c>
      <c r="C15" s="47">
        <f t="shared" si="0"/>
        <v>0.04049351471053464</v>
      </c>
      <c r="D15" s="32">
        <f t="shared" si="1"/>
        <v>595</v>
      </c>
    </row>
    <row r="16" spans="1:4" ht="12.75">
      <c r="A16" s="4" t="s">
        <v>26</v>
      </c>
      <c r="B16" s="46">
        <f>SUM(Census!H16)</f>
        <v>419</v>
      </c>
      <c r="C16" s="47">
        <f t="shared" si="0"/>
        <v>0.018936141365752248</v>
      </c>
      <c r="D16" s="32">
        <f t="shared" si="1"/>
        <v>278</v>
      </c>
    </row>
    <row r="17" spans="1:4" ht="12.75">
      <c r="A17" s="4" t="s">
        <v>27</v>
      </c>
      <c r="B17" s="46">
        <f>SUM(Census!H17)</f>
        <v>289</v>
      </c>
      <c r="C17" s="47">
        <f t="shared" si="0"/>
        <v>0.013060966240339856</v>
      </c>
      <c r="D17" s="32">
        <f t="shared" si="1"/>
        <v>192</v>
      </c>
    </row>
    <row r="18" spans="1:4" ht="12.75">
      <c r="A18" s="4" t="s">
        <v>28</v>
      </c>
      <c r="B18" s="46">
        <f>SUM(Census!H18)</f>
        <v>1358</v>
      </c>
      <c r="C18" s="47">
        <f t="shared" si="0"/>
        <v>0.061372983233154065</v>
      </c>
      <c r="D18" s="32">
        <f t="shared" si="1"/>
        <v>902</v>
      </c>
    </row>
    <row r="19" spans="1:4" ht="12.75">
      <c r="A19" s="4" t="s">
        <v>29</v>
      </c>
      <c r="B19" s="46">
        <f>SUM(Census!H19)</f>
        <v>750</v>
      </c>
      <c r="C19" s="47">
        <f t="shared" si="0"/>
        <v>0.03389524110814841</v>
      </c>
      <c r="D19" s="32">
        <f t="shared" si="1"/>
        <v>498</v>
      </c>
    </row>
    <row r="20" spans="1:4" ht="12.75">
      <c r="A20" s="4" t="s">
        <v>30</v>
      </c>
      <c r="B20" s="46">
        <f>SUM(Census!H20)</f>
        <v>359</v>
      </c>
      <c r="C20" s="47">
        <f t="shared" si="0"/>
        <v>0.016224522077100376</v>
      </c>
      <c r="D20" s="32">
        <f t="shared" si="1"/>
        <v>238</v>
      </c>
    </row>
    <row r="21" spans="1:4" ht="12.75">
      <c r="A21" s="4" t="s">
        <v>31</v>
      </c>
      <c r="B21" s="46">
        <f>SUM(Census!H21)</f>
        <v>70</v>
      </c>
      <c r="C21" s="47">
        <f t="shared" si="0"/>
        <v>0.0031635558367605187</v>
      </c>
      <c r="D21" s="32">
        <f t="shared" si="1"/>
        <v>46</v>
      </c>
    </row>
    <row r="22" spans="1:4" ht="12.75">
      <c r="A22" s="4" t="s">
        <v>32</v>
      </c>
      <c r="B22" s="46">
        <f>SUM(Census!H22)</f>
        <v>555</v>
      </c>
      <c r="C22" s="47">
        <f t="shared" si="0"/>
        <v>0.02508247842002983</v>
      </c>
      <c r="D22" s="32">
        <f t="shared" si="1"/>
        <v>369</v>
      </c>
    </row>
    <row r="23" spans="1:4" ht="12.75">
      <c r="A23" s="4" t="s">
        <v>33</v>
      </c>
      <c r="B23" s="46">
        <f>SUM(Census!H23)</f>
        <v>90</v>
      </c>
      <c r="C23" s="47">
        <f t="shared" si="0"/>
        <v>0.00406742893297781</v>
      </c>
      <c r="D23" s="32">
        <f t="shared" si="1"/>
        <v>60</v>
      </c>
    </row>
    <row r="24" spans="1:4" ht="12.75">
      <c r="A24" s="4" t="s">
        <v>34</v>
      </c>
      <c r="B24" s="46">
        <f>SUM(Census!H24)</f>
        <v>132</v>
      </c>
      <c r="C24" s="47">
        <f t="shared" si="0"/>
        <v>0.005965562435034121</v>
      </c>
      <c r="D24" s="32">
        <f t="shared" si="1"/>
        <v>88</v>
      </c>
    </row>
    <row r="25" spans="1:4" ht="12.75">
      <c r="A25" s="4" t="s">
        <v>35</v>
      </c>
      <c r="B25" s="46">
        <f>SUM(Census!H25)</f>
        <v>118</v>
      </c>
      <c r="C25" s="47">
        <f t="shared" si="0"/>
        <v>0.005332851267682018</v>
      </c>
      <c r="D25" s="32">
        <f t="shared" si="1"/>
        <v>78</v>
      </c>
    </row>
    <row r="26" spans="1:4" ht="12.75">
      <c r="A26" s="4" t="s">
        <v>36</v>
      </c>
      <c r="B26" s="46">
        <f>SUM(Census!H26)</f>
        <v>42</v>
      </c>
      <c r="C26" s="47">
        <f t="shared" si="0"/>
        <v>0.0018981335020563112</v>
      </c>
      <c r="D26" s="32">
        <f t="shared" si="1"/>
        <v>28</v>
      </c>
    </row>
    <row r="27" spans="1:4" ht="12.75">
      <c r="A27" s="4" t="s">
        <v>37</v>
      </c>
      <c r="B27" s="46">
        <f>SUM(Census!H27)</f>
        <v>75</v>
      </c>
      <c r="C27" s="47">
        <f t="shared" si="0"/>
        <v>0.0033895241108148418</v>
      </c>
      <c r="D27" s="32">
        <f t="shared" si="1"/>
        <v>50</v>
      </c>
    </row>
    <row r="28" spans="1:4" ht="12.75">
      <c r="A28" s="4" t="s">
        <v>38</v>
      </c>
      <c r="B28" s="46">
        <f>SUM(Census!H28)</f>
        <v>1401</v>
      </c>
      <c r="C28" s="47">
        <f t="shared" si="0"/>
        <v>0.06331631039002124</v>
      </c>
      <c r="D28" s="32">
        <f t="shared" si="1"/>
        <v>931</v>
      </c>
    </row>
    <row r="29" spans="1:4" ht="12.75">
      <c r="A29" s="4" t="s">
        <v>39</v>
      </c>
      <c r="B29" s="46"/>
      <c r="C29" s="17"/>
      <c r="D29" s="46"/>
    </row>
    <row r="30" spans="1:4" ht="12.75">
      <c r="A30" s="4" t="s">
        <v>8</v>
      </c>
      <c r="B30" s="46"/>
      <c r="C30" s="47"/>
      <c r="D30" s="17"/>
    </row>
    <row r="31" spans="1:4" ht="12.75">
      <c r="A31" s="4" t="s">
        <v>52</v>
      </c>
      <c r="B31" s="46"/>
      <c r="C31" s="17"/>
      <c r="D31" s="17"/>
    </row>
    <row r="32" spans="1:4" ht="12.75">
      <c r="A32" s="4" t="s">
        <v>40</v>
      </c>
      <c r="B32" s="46"/>
      <c r="C32" s="17"/>
      <c r="D32" s="17"/>
    </row>
    <row r="33" spans="1:4" ht="12.75">
      <c r="A33" s="4" t="s">
        <v>5</v>
      </c>
      <c r="B33" s="46"/>
      <c r="C33" s="17"/>
      <c r="D33" s="17"/>
    </row>
    <row r="34" spans="1:4" ht="12.75">
      <c r="A34" s="4" t="s">
        <v>6</v>
      </c>
      <c r="B34" s="46"/>
      <c r="C34" s="17"/>
      <c r="D34" s="17"/>
    </row>
    <row r="35" spans="1:4" ht="12.75">
      <c r="A35" s="4" t="s">
        <v>9</v>
      </c>
      <c r="B35" s="46"/>
      <c r="C35" s="33"/>
      <c r="D35" s="50"/>
    </row>
    <row r="36" spans="1:4" ht="12.75">
      <c r="A36" s="4" t="s">
        <v>165</v>
      </c>
      <c r="B36" s="46"/>
      <c r="C36" s="33"/>
      <c r="D36" s="50"/>
    </row>
    <row r="37" spans="1:4" ht="12.75">
      <c r="A37" s="4" t="s">
        <v>147</v>
      </c>
      <c r="B37" s="44"/>
      <c r="C37" s="17"/>
      <c r="D37" s="18"/>
    </row>
    <row r="38" spans="1:4" ht="12.75">
      <c r="A38" s="20" t="s">
        <v>41</v>
      </c>
      <c r="B38" s="44">
        <f>SUM(B5:B37)</f>
        <v>22127</v>
      </c>
      <c r="C38" s="48">
        <f>SUM(C5:C37)</f>
        <v>1</v>
      </c>
      <c r="D38" s="54">
        <f>SUM(D5:D37)</f>
        <v>14698</v>
      </c>
    </row>
    <row r="39" ht="12.75">
      <c r="A39" s="23" t="s">
        <v>219</v>
      </c>
    </row>
    <row r="43" ht="12.75">
      <c r="D43" s="98">
        <v>14698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4">
      <selection activeCell="A26" sqref="A26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  <col min="6" max="6" width="13.00390625" style="0" hidden="1" customWidth="1"/>
    <col min="7" max="7" width="12.7109375" style="0" hidden="1" customWidth="1"/>
  </cols>
  <sheetData>
    <row r="2" ht="18">
      <c r="A2" s="25" t="s">
        <v>146</v>
      </c>
    </row>
    <row r="3" spans="1:4" ht="12.75">
      <c r="A3" s="13"/>
      <c r="B3" s="229" t="s">
        <v>41</v>
      </c>
      <c r="C3" s="230"/>
      <c r="D3" s="231"/>
    </row>
    <row r="4" spans="1:7" ht="12.75">
      <c r="A4" s="14"/>
      <c r="B4" s="21" t="s">
        <v>42</v>
      </c>
      <c r="C4" s="21" t="s">
        <v>43</v>
      </c>
      <c r="D4" s="22" t="s">
        <v>44</v>
      </c>
      <c r="F4" s="81" t="s">
        <v>11</v>
      </c>
      <c r="G4" s="81" t="s">
        <v>174</v>
      </c>
    </row>
    <row r="5" spans="1:7" ht="12.75">
      <c r="A5" s="4" t="s">
        <v>0</v>
      </c>
      <c r="B5" s="46">
        <f>SUM(Census!H5)</f>
        <v>5379</v>
      </c>
      <c r="C5" s="47">
        <f>SUM(B5/$B$38)</f>
        <v>0.24309666922764045</v>
      </c>
      <c r="D5" s="35">
        <f>SUM(F5+G5)</f>
        <v>608</v>
      </c>
      <c r="F5" s="35">
        <f>ROUND(C5*$F$43,0)</f>
        <v>608</v>
      </c>
      <c r="G5" s="35">
        <f>ROUND(C5*$G$43,0)</f>
        <v>0</v>
      </c>
    </row>
    <row r="6" spans="1:7" ht="12.75">
      <c r="A6" s="4" t="s">
        <v>16</v>
      </c>
      <c r="B6" s="46">
        <f>SUM(Census!H6)</f>
        <v>1222</v>
      </c>
      <c r="C6" s="47">
        <f aca="true" t="shared" si="0" ref="C6:C28">SUM(B6/$B$38)</f>
        <v>0.05522664617887649</v>
      </c>
      <c r="D6" s="46">
        <f>SUM(F6+G6)</f>
        <v>138</v>
      </c>
      <c r="F6" s="50">
        <f>ROUND(C6*$F$43,0)</f>
        <v>138</v>
      </c>
      <c r="G6" s="50">
        <f>ROUND(C6*$G$43,0)</f>
        <v>0</v>
      </c>
    </row>
    <row r="7" spans="1:7" ht="12.75">
      <c r="A7" s="4" t="s">
        <v>17</v>
      </c>
      <c r="B7" s="46">
        <f>SUM(Census!H7)</f>
        <v>542</v>
      </c>
      <c r="C7" s="47">
        <f t="shared" si="0"/>
        <v>0.024494960907488587</v>
      </c>
      <c r="D7" s="46">
        <f aca="true" t="shared" si="1" ref="D7:D28">SUM(F7+G7)</f>
        <v>61</v>
      </c>
      <c r="F7" s="50">
        <f aca="true" t="shared" si="2" ref="F7:F28">ROUND(C7*$F$43,0)</f>
        <v>61</v>
      </c>
      <c r="G7" s="50">
        <f aca="true" t="shared" si="3" ref="G7:G28">ROUND(C7*$G$43,0)</f>
        <v>0</v>
      </c>
    </row>
    <row r="8" spans="1:7" ht="12.75">
      <c r="A8" s="4" t="s">
        <v>18</v>
      </c>
      <c r="B8" s="46">
        <f>SUM(Census!H8)</f>
        <v>1146</v>
      </c>
      <c r="C8" s="47">
        <f t="shared" si="0"/>
        <v>0.05179192841325078</v>
      </c>
      <c r="D8" s="46">
        <f t="shared" si="1"/>
        <v>129</v>
      </c>
      <c r="F8" s="50">
        <f t="shared" si="2"/>
        <v>129</v>
      </c>
      <c r="G8" s="50">
        <f t="shared" si="3"/>
        <v>0</v>
      </c>
    </row>
    <row r="9" spans="1:7" ht="12.75">
      <c r="A9" s="4" t="s">
        <v>19</v>
      </c>
      <c r="B9" s="46">
        <f>SUM(Census!H9)</f>
        <v>1001</v>
      </c>
      <c r="C9" s="47">
        <f t="shared" si="0"/>
        <v>0.04523884846567542</v>
      </c>
      <c r="D9" s="46">
        <f t="shared" si="1"/>
        <v>113</v>
      </c>
      <c r="F9" s="50">
        <f t="shared" si="2"/>
        <v>113</v>
      </c>
      <c r="G9" s="50">
        <f t="shared" si="3"/>
        <v>0</v>
      </c>
    </row>
    <row r="10" spans="1:7" ht="12.75">
      <c r="A10" s="4" t="s">
        <v>20</v>
      </c>
      <c r="B10" s="46">
        <f>SUM(Census!H10)</f>
        <v>2822</v>
      </c>
      <c r="C10" s="47">
        <f t="shared" si="0"/>
        <v>0.12753649387625976</v>
      </c>
      <c r="D10" s="46">
        <f t="shared" si="1"/>
        <v>319</v>
      </c>
      <c r="F10" s="50">
        <f t="shared" si="2"/>
        <v>319</v>
      </c>
      <c r="G10" s="50">
        <f t="shared" si="3"/>
        <v>0</v>
      </c>
    </row>
    <row r="11" spans="1:7" ht="12.75">
      <c r="A11" s="4" t="s">
        <v>21</v>
      </c>
      <c r="B11" s="46">
        <f>SUM(Census!H11)</f>
        <v>182</v>
      </c>
      <c r="C11" s="47">
        <f t="shared" si="0"/>
        <v>0.008225245175577349</v>
      </c>
      <c r="D11" s="46">
        <f t="shared" si="1"/>
        <v>21</v>
      </c>
      <c r="F11" s="50">
        <f t="shared" si="2"/>
        <v>21</v>
      </c>
      <c r="G11" s="50">
        <f t="shared" si="3"/>
        <v>0</v>
      </c>
    </row>
    <row r="12" spans="1:7" ht="12.75">
      <c r="A12" s="4" t="s">
        <v>22</v>
      </c>
      <c r="B12" s="46">
        <f>SUM(Census!H12)</f>
        <v>1359</v>
      </c>
      <c r="C12" s="47">
        <f t="shared" si="0"/>
        <v>0.06141817688796493</v>
      </c>
      <c r="D12" s="46">
        <f t="shared" si="1"/>
        <v>154</v>
      </c>
      <c r="F12" s="50">
        <f t="shared" si="2"/>
        <v>154</v>
      </c>
      <c r="G12" s="50">
        <f t="shared" si="3"/>
        <v>0</v>
      </c>
    </row>
    <row r="13" spans="1:7" ht="12.75">
      <c r="A13" s="4" t="s">
        <v>23</v>
      </c>
      <c r="B13" s="46">
        <f>SUM(Census!H13)</f>
        <v>511</v>
      </c>
      <c r="C13" s="47">
        <f t="shared" si="0"/>
        <v>0.023093957608351787</v>
      </c>
      <c r="D13" s="46">
        <f t="shared" si="1"/>
        <v>58</v>
      </c>
      <c r="F13" s="50">
        <f t="shared" si="2"/>
        <v>58</v>
      </c>
      <c r="G13" s="50">
        <f t="shared" si="3"/>
        <v>0</v>
      </c>
    </row>
    <row r="14" spans="1:7" ht="12.75">
      <c r="A14" s="4" t="s">
        <v>24</v>
      </c>
      <c r="B14" s="46">
        <f>SUM(Census!H14)</f>
        <v>1409</v>
      </c>
      <c r="C14" s="47">
        <f t="shared" si="0"/>
        <v>0.06367785962850815</v>
      </c>
      <c r="D14" s="46">
        <f t="shared" si="1"/>
        <v>159</v>
      </c>
      <c r="F14" s="50">
        <f t="shared" si="2"/>
        <v>159</v>
      </c>
      <c r="G14" s="50">
        <f t="shared" si="3"/>
        <v>0</v>
      </c>
    </row>
    <row r="15" spans="1:7" ht="12.75">
      <c r="A15" s="4" t="s">
        <v>25</v>
      </c>
      <c r="B15" s="46">
        <f>SUM(Census!H15)</f>
        <v>896</v>
      </c>
      <c r="C15" s="47">
        <f t="shared" si="0"/>
        <v>0.04049351471053464</v>
      </c>
      <c r="D15" s="46">
        <f t="shared" si="1"/>
        <v>101</v>
      </c>
      <c r="F15" s="50">
        <f t="shared" si="2"/>
        <v>101</v>
      </c>
      <c r="G15" s="50">
        <f t="shared" si="3"/>
        <v>0</v>
      </c>
    </row>
    <row r="16" spans="1:7" ht="12.75">
      <c r="A16" s="4" t="s">
        <v>26</v>
      </c>
      <c r="B16" s="46">
        <f>SUM(Census!H16)</f>
        <v>419</v>
      </c>
      <c r="C16" s="47">
        <f t="shared" si="0"/>
        <v>0.018936141365752248</v>
      </c>
      <c r="D16" s="46">
        <f t="shared" si="1"/>
        <v>47</v>
      </c>
      <c r="F16" s="50">
        <f t="shared" si="2"/>
        <v>47</v>
      </c>
      <c r="G16" s="50">
        <f t="shared" si="3"/>
        <v>0</v>
      </c>
    </row>
    <row r="17" spans="1:7" ht="12.75">
      <c r="A17" s="4" t="s">
        <v>27</v>
      </c>
      <c r="B17" s="46">
        <f>SUM(Census!H17)</f>
        <v>289</v>
      </c>
      <c r="C17" s="47">
        <f t="shared" si="0"/>
        <v>0.013060966240339856</v>
      </c>
      <c r="D17" s="46">
        <f t="shared" si="1"/>
        <v>33</v>
      </c>
      <c r="F17" s="50">
        <f t="shared" si="2"/>
        <v>33</v>
      </c>
      <c r="G17" s="50">
        <f t="shared" si="3"/>
        <v>0</v>
      </c>
    </row>
    <row r="18" spans="1:7" ht="12.75">
      <c r="A18" s="4" t="s">
        <v>28</v>
      </c>
      <c r="B18" s="46">
        <f>SUM(Census!H18)</f>
        <v>1358</v>
      </c>
      <c r="C18" s="47">
        <f t="shared" si="0"/>
        <v>0.061372983233154065</v>
      </c>
      <c r="D18" s="46">
        <f t="shared" si="1"/>
        <v>153</v>
      </c>
      <c r="F18" s="50">
        <f t="shared" si="2"/>
        <v>153</v>
      </c>
      <c r="G18" s="50">
        <f t="shared" si="3"/>
        <v>0</v>
      </c>
    </row>
    <row r="19" spans="1:7" ht="12.75">
      <c r="A19" s="4" t="s">
        <v>29</v>
      </c>
      <c r="B19" s="46">
        <f>SUM(Census!H19)</f>
        <v>750</v>
      </c>
      <c r="C19" s="47">
        <f t="shared" si="0"/>
        <v>0.03389524110814841</v>
      </c>
      <c r="D19" s="46">
        <f t="shared" si="1"/>
        <v>85</v>
      </c>
      <c r="F19" s="50">
        <f t="shared" si="2"/>
        <v>85</v>
      </c>
      <c r="G19" s="50">
        <f t="shared" si="3"/>
        <v>0</v>
      </c>
    </row>
    <row r="20" spans="1:7" ht="12.75">
      <c r="A20" s="4" t="s">
        <v>30</v>
      </c>
      <c r="B20" s="46">
        <f>SUM(Census!H20)</f>
        <v>359</v>
      </c>
      <c r="C20" s="47">
        <f t="shared" si="0"/>
        <v>0.016224522077100376</v>
      </c>
      <c r="D20" s="46">
        <f t="shared" si="1"/>
        <v>41</v>
      </c>
      <c r="F20" s="50">
        <f t="shared" si="2"/>
        <v>41</v>
      </c>
      <c r="G20" s="50">
        <f t="shared" si="3"/>
        <v>0</v>
      </c>
    </row>
    <row r="21" spans="1:7" ht="12.75">
      <c r="A21" s="4" t="s">
        <v>31</v>
      </c>
      <c r="B21" s="46">
        <f>SUM(Census!H21)</f>
        <v>70</v>
      </c>
      <c r="C21" s="47">
        <f t="shared" si="0"/>
        <v>0.0031635558367605187</v>
      </c>
      <c r="D21" s="46">
        <f t="shared" si="1"/>
        <v>8</v>
      </c>
      <c r="F21" s="50">
        <f t="shared" si="2"/>
        <v>8</v>
      </c>
      <c r="G21" s="50">
        <f t="shared" si="3"/>
        <v>0</v>
      </c>
    </row>
    <row r="22" spans="1:7" ht="12.75">
      <c r="A22" s="4" t="s">
        <v>32</v>
      </c>
      <c r="B22" s="46">
        <f>SUM(Census!H22)</f>
        <v>555</v>
      </c>
      <c r="C22" s="47">
        <f t="shared" si="0"/>
        <v>0.02508247842002983</v>
      </c>
      <c r="D22" s="46">
        <f t="shared" si="1"/>
        <v>63</v>
      </c>
      <c r="F22" s="50">
        <f t="shared" si="2"/>
        <v>63</v>
      </c>
      <c r="G22" s="50">
        <f t="shared" si="3"/>
        <v>0</v>
      </c>
    </row>
    <row r="23" spans="1:7" ht="12.75">
      <c r="A23" s="4" t="s">
        <v>33</v>
      </c>
      <c r="B23" s="46">
        <f>SUM(Census!H23)</f>
        <v>90</v>
      </c>
      <c r="C23" s="47">
        <f t="shared" si="0"/>
        <v>0.00406742893297781</v>
      </c>
      <c r="D23" s="46">
        <f t="shared" si="1"/>
        <v>10</v>
      </c>
      <c r="F23" s="50">
        <f t="shared" si="2"/>
        <v>10</v>
      </c>
      <c r="G23" s="50">
        <f t="shared" si="3"/>
        <v>0</v>
      </c>
    </row>
    <row r="24" spans="1:7" ht="12.75">
      <c r="A24" s="4" t="s">
        <v>34</v>
      </c>
      <c r="B24" s="46">
        <f>SUM(Census!H24)</f>
        <v>132</v>
      </c>
      <c r="C24" s="47">
        <f t="shared" si="0"/>
        <v>0.005965562435034121</v>
      </c>
      <c r="D24" s="46">
        <f t="shared" si="1"/>
        <v>15</v>
      </c>
      <c r="F24" s="50">
        <f t="shared" si="2"/>
        <v>15</v>
      </c>
      <c r="G24" s="50">
        <f t="shared" si="3"/>
        <v>0</v>
      </c>
    </row>
    <row r="25" spans="1:7" ht="12.75">
      <c r="A25" s="4" t="s">
        <v>35</v>
      </c>
      <c r="B25" s="46">
        <f>SUM(Census!H25)</f>
        <v>118</v>
      </c>
      <c r="C25" s="47">
        <f t="shared" si="0"/>
        <v>0.005332851267682018</v>
      </c>
      <c r="D25" s="46">
        <f t="shared" si="1"/>
        <v>13</v>
      </c>
      <c r="F25" s="50">
        <f t="shared" si="2"/>
        <v>13</v>
      </c>
      <c r="G25" s="50">
        <f t="shared" si="3"/>
        <v>0</v>
      </c>
    </row>
    <row r="26" spans="1:7" ht="12.75">
      <c r="A26" s="4" t="s">
        <v>36</v>
      </c>
      <c r="B26" s="46">
        <f>SUM(Census!H26)</f>
        <v>42</v>
      </c>
      <c r="C26" s="47">
        <f t="shared" si="0"/>
        <v>0.0018981335020563112</v>
      </c>
      <c r="D26" s="46">
        <f t="shared" si="1"/>
        <v>5</v>
      </c>
      <c r="F26" s="50">
        <f t="shared" si="2"/>
        <v>5</v>
      </c>
      <c r="G26" s="50">
        <f t="shared" si="3"/>
        <v>0</v>
      </c>
    </row>
    <row r="27" spans="1:7" ht="12.75">
      <c r="A27" s="4" t="s">
        <v>37</v>
      </c>
      <c r="B27" s="46">
        <f>SUM(Census!H27)</f>
        <v>75</v>
      </c>
      <c r="C27" s="47">
        <f t="shared" si="0"/>
        <v>0.0033895241108148418</v>
      </c>
      <c r="D27" s="46">
        <f t="shared" si="1"/>
        <v>8</v>
      </c>
      <c r="F27" s="50">
        <f t="shared" si="2"/>
        <v>8</v>
      </c>
      <c r="G27" s="50">
        <f t="shared" si="3"/>
        <v>0</v>
      </c>
    </row>
    <row r="28" spans="1:7" ht="12.75">
      <c r="A28" s="4" t="s">
        <v>38</v>
      </c>
      <c r="B28" s="46">
        <f>SUM(Census!H28)</f>
        <v>1401</v>
      </c>
      <c r="C28" s="47">
        <f t="shared" si="0"/>
        <v>0.06331631039002124</v>
      </c>
      <c r="D28" s="46">
        <f t="shared" si="1"/>
        <v>158</v>
      </c>
      <c r="F28" s="50">
        <f t="shared" si="2"/>
        <v>158</v>
      </c>
      <c r="G28" s="50">
        <f t="shared" si="3"/>
        <v>0</v>
      </c>
    </row>
    <row r="29" spans="1:7" ht="12.75">
      <c r="A29" s="4" t="s">
        <v>39</v>
      </c>
      <c r="B29" s="146">
        <v>0</v>
      </c>
      <c r="C29" s="144">
        <v>0</v>
      </c>
      <c r="D29" s="146">
        <v>0</v>
      </c>
      <c r="F29" s="50">
        <v>0</v>
      </c>
      <c r="G29" s="46">
        <v>0</v>
      </c>
    </row>
    <row r="30" spans="1:7" ht="12.75">
      <c r="A30" s="4" t="s">
        <v>8</v>
      </c>
      <c r="B30" s="146">
        <v>0</v>
      </c>
      <c r="C30" s="144">
        <v>0</v>
      </c>
      <c r="D30" s="146">
        <v>0</v>
      </c>
      <c r="F30" s="50">
        <v>0</v>
      </c>
      <c r="G30" s="46">
        <v>0</v>
      </c>
    </row>
    <row r="31" spans="1:7" ht="12.75">
      <c r="A31" s="4" t="s">
        <v>52</v>
      </c>
      <c r="B31" s="144">
        <v>0</v>
      </c>
      <c r="C31" s="144">
        <v>0</v>
      </c>
      <c r="D31" s="146">
        <v>0</v>
      </c>
      <c r="F31" s="50">
        <v>0</v>
      </c>
      <c r="G31" s="46">
        <v>0</v>
      </c>
    </row>
    <row r="32" spans="1:7" ht="12.75">
      <c r="A32" s="4" t="s">
        <v>40</v>
      </c>
      <c r="B32" s="144">
        <v>0</v>
      </c>
      <c r="C32" s="144">
        <v>0</v>
      </c>
      <c r="D32" s="144">
        <v>0</v>
      </c>
      <c r="F32" s="144">
        <v>0</v>
      </c>
      <c r="G32" s="144">
        <v>0</v>
      </c>
    </row>
    <row r="33" spans="1:7" ht="12.75">
      <c r="A33" s="4" t="s">
        <v>5</v>
      </c>
      <c r="B33" s="144">
        <v>0</v>
      </c>
      <c r="C33" s="144">
        <v>0</v>
      </c>
      <c r="D33" s="144">
        <v>0</v>
      </c>
      <c r="F33" s="144">
        <v>0</v>
      </c>
      <c r="G33" s="144">
        <v>0</v>
      </c>
    </row>
    <row r="34" spans="1:7" ht="12.75">
      <c r="A34" s="4" t="s">
        <v>6</v>
      </c>
      <c r="B34" s="144">
        <v>0</v>
      </c>
      <c r="C34" s="144">
        <v>0</v>
      </c>
      <c r="D34" s="144">
        <v>0</v>
      </c>
      <c r="F34" s="144">
        <v>0</v>
      </c>
      <c r="G34" s="144">
        <v>0</v>
      </c>
    </row>
    <row r="35" spans="1:7" ht="12.75">
      <c r="A35" s="4" t="s">
        <v>9</v>
      </c>
      <c r="B35" s="146">
        <v>0</v>
      </c>
      <c r="C35" s="146">
        <v>0</v>
      </c>
      <c r="D35" s="144">
        <v>0</v>
      </c>
      <c r="F35" s="144">
        <v>0</v>
      </c>
      <c r="G35" s="144">
        <v>0</v>
      </c>
    </row>
    <row r="36" spans="1:7" ht="12.75">
      <c r="A36" s="4" t="s">
        <v>165</v>
      </c>
      <c r="B36" s="144">
        <v>0</v>
      </c>
      <c r="C36" s="146">
        <v>0</v>
      </c>
      <c r="D36" s="144">
        <v>0</v>
      </c>
      <c r="F36" s="144">
        <v>0</v>
      </c>
      <c r="G36" s="144">
        <v>0</v>
      </c>
    </row>
    <row r="37" spans="1:7" ht="12.75">
      <c r="A37" s="4" t="s">
        <v>147</v>
      </c>
      <c r="B37" s="143">
        <v>0</v>
      </c>
      <c r="C37" s="144">
        <v>0</v>
      </c>
      <c r="D37" s="143">
        <v>0</v>
      </c>
      <c r="F37" s="143">
        <v>0</v>
      </c>
      <c r="G37" s="143">
        <v>0</v>
      </c>
    </row>
    <row r="38" spans="1:7" ht="12.75">
      <c r="A38" s="20" t="s">
        <v>41</v>
      </c>
      <c r="B38" s="44">
        <f>SUM(B5:B37)</f>
        <v>22127</v>
      </c>
      <c r="C38" s="48">
        <f>SUM(C5:C37)</f>
        <v>1</v>
      </c>
      <c r="D38" s="44">
        <f>SUM(D5:D37)</f>
        <v>2500</v>
      </c>
      <c r="F38" s="54">
        <f>SUM(F5:F37)</f>
        <v>2500</v>
      </c>
      <c r="G38" s="54">
        <f>SUM(G5:G37)</f>
        <v>0</v>
      </c>
    </row>
    <row r="39" spans="1:4" ht="12.75">
      <c r="A39" s="23" t="s">
        <v>219</v>
      </c>
      <c r="D39" s="76"/>
    </row>
    <row r="40" ht="12.75">
      <c r="D40" s="76"/>
    </row>
    <row r="43" spans="6:7" ht="12.75">
      <c r="F43" s="98">
        <v>2500</v>
      </c>
      <c r="G43" s="98">
        <v>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6">
      <selection activeCell="H22" sqref="H22"/>
    </sheetView>
  </sheetViews>
  <sheetFormatPr defaultColWidth="9.140625" defaultRowHeight="12.75"/>
  <cols>
    <col min="1" max="1" width="9.7109375" style="0" customWidth="1"/>
    <col min="2" max="2" width="7.421875" style="0" customWidth="1"/>
    <col min="3" max="3" width="8.57421875" style="0" customWidth="1"/>
    <col min="4" max="4" width="10.8515625" style="0" customWidth="1"/>
    <col min="5" max="5" width="2.28125" style="0" customWidth="1"/>
    <col min="7" max="7" width="9.57421875" style="0" customWidth="1"/>
    <col min="8" max="8" width="10.7109375" style="0" customWidth="1"/>
    <col min="9" max="9" width="2.140625" style="0" customWidth="1"/>
    <col min="10" max="10" width="8.421875" style="0" customWidth="1"/>
    <col min="11" max="12" width="10.00390625" style="0" customWidth="1"/>
    <col min="13" max="13" width="2.28125" style="0" customWidth="1"/>
    <col min="14" max="14" width="2.421875" style="0" customWidth="1"/>
  </cols>
  <sheetData>
    <row r="2" ht="18">
      <c r="A2" s="25" t="s">
        <v>179</v>
      </c>
    </row>
    <row r="3" spans="1:12" ht="12.75">
      <c r="A3" s="13"/>
      <c r="B3" s="229" t="s">
        <v>41</v>
      </c>
      <c r="C3" s="230"/>
      <c r="D3" s="231"/>
      <c r="F3" s="229" t="s">
        <v>135</v>
      </c>
      <c r="G3" s="230"/>
      <c r="H3" s="231"/>
      <c r="J3" s="229" t="s">
        <v>231</v>
      </c>
      <c r="K3" s="230"/>
      <c r="L3" s="231"/>
    </row>
    <row r="4" spans="1:12" ht="12.75">
      <c r="A4" s="14"/>
      <c r="B4" s="21" t="s">
        <v>42</v>
      </c>
      <c r="C4" s="21" t="s">
        <v>43</v>
      </c>
      <c r="D4" s="81" t="s">
        <v>44</v>
      </c>
      <c r="F4" s="21" t="s">
        <v>42</v>
      </c>
      <c r="G4" s="21" t="s">
        <v>43</v>
      </c>
      <c r="H4" s="22" t="s">
        <v>44</v>
      </c>
      <c r="J4" s="21" t="s">
        <v>42</v>
      </c>
      <c r="K4" s="21" t="s">
        <v>43</v>
      </c>
      <c r="L4" s="22" t="s">
        <v>44</v>
      </c>
    </row>
    <row r="5" spans="1:12" ht="12.75">
      <c r="A5" s="4" t="s">
        <v>0</v>
      </c>
      <c r="B5" s="15"/>
      <c r="C5" s="14"/>
      <c r="D5" s="82">
        <f aca="true" t="shared" si="0" ref="D5:D28">SUM(H5+L5)</f>
        <v>2917</v>
      </c>
      <c r="E5" s="4"/>
      <c r="F5" s="148"/>
      <c r="G5" s="47"/>
      <c r="H5" s="82">
        <v>1974</v>
      </c>
      <c r="J5" s="148">
        <f>SUM('FY06 PB'!H6)</f>
        <v>6698</v>
      </c>
      <c r="K5" s="47">
        <f>SUM(J5/$J$38)</f>
        <v>0.14244699176963485</v>
      </c>
      <c r="L5" s="82">
        <f>ROUND(K5*$L$43,0)-1</f>
        <v>943</v>
      </c>
    </row>
    <row r="6" spans="1:12" ht="12.75">
      <c r="A6" s="4" t="s">
        <v>16</v>
      </c>
      <c r="B6" s="15"/>
      <c r="C6" s="17"/>
      <c r="D6" s="32">
        <f t="shared" si="0"/>
        <v>1709</v>
      </c>
      <c r="E6" s="4"/>
      <c r="F6" s="32"/>
      <c r="G6" s="47"/>
      <c r="H6" s="32">
        <v>999</v>
      </c>
      <c r="J6" s="32">
        <f>SUM('FY06 PB'!H7)</f>
        <v>5038</v>
      </c>
      <c r="K6" s="47">
        <f>SUM(J6/$J$38)</f>
        <v>0.10714361668190808</v>
      </c>
      <c r="L6" s="32">
        <f>ROUND(K6*$L$43,0)</f>
        <v>710</v>
      </c>
    </row>
    <row r="7" spans="1:12" ht="12.75">
      <c r="A7" s="4" t="s">
        <v>17</v>
      </c>
      <c r="B7" s="15"/>
      <c r="C7" s="17"/>
      <c r="D7" s="32">
        <f t="shared" si="0"/>
        <v>330</v>
      </c>
      <c r="E7" s="4"/>
      <c r="F7" s="32"/>
      <c r="G7" s="47"/>
      <c r="H7" s="32">
        <v>211</v>
      </c>
      <c r="J7" s="32">
        <f>SUM('FY06 PB'!H8)</f>
        <v>844</v>
      </c>
      <c r="K7" s="47">
        <f aca="true" t="shared" si="1" ref="K7:K28">SUM(J7/$J$38)</f>
        <v>0.01794942685183216</v>
      </c>
      <c r="L7" s="32">
        <f aca="true" t="shared" si="2" ref="L7:L28">ROUND(K7*$L$43,0)</f>
        <v>119</v>
      </c>
    </row>
    <row r="8" spans="1:12" ht="12.75">
      <c r="A8" s="4" t="s">
        <v>18</v>
      </c>
      <c r="B8" s="15"/>
      <c r="C8" s="17"/>
      <c r="D8" s="32">
        <f t="shared" si="0"/>
        <v>1425</v>
      </c>
      <c r="E8" s="4"/>
      <c r="F8" s="32"/>
      <c r="G8" s="47"/>
      <c r="H8" s="32">
        <v>845</v>
      </c>
      <c r="J8" s="32">
        <f>SUM('FY06 PB'!H9)</f>
        <v>4111</v>
      </c>
      <c r="K8" s="47">
        <f t="shared" si="1"/>
        <v>0.08742902107568959</v>
      </c>
      <c r="L8" s="32">
        <f t="shared" si="2"/>
        <v>580</v>
      </c>
    </row>
    <row r="9" spans="1:12" ht="12.75">
      <c r="A9" s="4" t="s">
        <v>19</v>
      </c>
      <c r="B9" s="15"/>
      <c r="C9" s="17"/>
      <c r="D9" s="32">
        <f t="shared" si="0"/>
        <v>1126</v>
      </c>
      <c r="E9" s="4"/>
      <c r="F9" s="32"/>
      <c r="G9" s="47"/>
      <c r="H9" s="32">
        <v>660</v>
      </c>
      <c r="J9" s="32">
        <f>SUM('FY06 PB'!H10)</f>
        <v>3306</v>
      </c>
      <c r="K9" s="47">
        <f t="shared" si="1"/>
        <v>0.07030901086748474</v>
      </c>
      <c r="L9" s="32">
        <f t="shared" si="2"/>
        <v>466</v>
      </c>
    </row>
    <row r="10" spans="1:12" ht="12.75">
      <c r="A10" s="4" t="s">
        <v>20</v>
      </c>
      <c r="B10" s="15"/>
      <c r="C10" s="17"/>
      <c r="D10" s="32">
        <f t="shared" si="0"/>
        <v>1916</v>
      </c>
      <c r="E10" s="4"/>
      <c r="F10" s="32"/>
      <c r="G10" s="47"/>
      <c r="H10" s="32">
        <v>1251</v>
      </c>
      <c r="J10" s="32">
        <f>SUM('FY06 PB'!H11)</f>
        <v>4715</v>
      </c>
      <c r="K10" s="47">
        <f t="shared" si="1"/>
        <v>0.1002743455051998</v>
      </c>
      <c r="L10" s="32">
        <f t="shared" si="2"/>
        <v>665</v>
      </c>
    </row>
    <row r="11" spans="1:12" ht="12.75">
      <c r="A11" s="4" t="s">
        <v>21</v>
      </c>
      <c r="B11" s="15"/>
      <c r="C11" s="17"/>
      <c r="D11" s="32">
        <f t="shared" si="0"/>
        <v>1239</v>
      </c>
      <c r="E11" s="4"/>
      <c r="F11" s="32"/>
      <c r="G11" s="47"/>
      <c r="H11" s="32">
        <v>634</v>
      </c>
      <c r="J11" s="32">
        <f>SUM('FY06 PB'!H12)</f>
        <v>4292</v>
      </c>
      <c r="K11" s="47">
        <f t="shared" si="1"/>
        <v>0.09127836498585738</v>
      </c>
      <c r="L11" s="32">
        <f t="shared" si="2"/>
        <v>605</v>
      </c>
    </row>
    <row r="12" spans="1:12" ht="12.75">
      <c r="A12" s="4" t="s">
        <v>22</v>
      </c>
      <c r="B12" s="15"/>
      <c r="C12" s="17"/>
      <c r="D12" s="32">
        <f t="shared" si="0"/>
        <v>890</v>
      </c>
      <c r="E12" s="4"/>
      <c r="F12" s="32"/>
      <c r="G12" s="47"/>
      <c r="H12" s="32">
        <v>554</v>
      </c>
      <c r="J12" s="32">
        <f>SUM('FY06 PB'!H13)</f>
        <v>2380</v>
      </c>
      <c r="K12" s="47">
        <f t="shared" si="1"/>
        <v>0.05061568235469258</v>
      </c>
      <c r="L12" s="32">
        <f t="shared" si="2"/>
        <v>336</v>
      </c>
    </row>
    <row r="13" spans="1:12" ht="12.75">
      <c r="A13" s="4" t="s">
        <v>23</v>
      </c>
      <c r="B13" s="15"/>
      <c r="C13" s="17"/>
      <c r="D13" s="32">
        <f t="shared" si="0"/>
        <v>492</v>
      </c>
      <c r="E13" s="4"/>
      <c r="F13" s="32"/>
      <c r="G13" s="47"/>
      <c r="H13" s="32">
        <v>284</v>
      </c>
      <c r="J13" s="32">
        <f>SUM('FY06 PB'!H14)</f>
        <v>1477</v>
      </c>
      <c r="K13" s="47">
        <f t="shared" si="1"/>
        <v>0.03141149699070628</v>
      </c>
      <c r="L13" s="32">
        <f t="shared" si="2"/>
        <v>208</v>
      </c>
    </row>
    <row r="14" spans="1:12" ht="12.75">
      <c r="A14" s="4" t="s">
        <v>24</v>
      </c>
      <c r="B14" s="15"/>
      <c r="C14" s="17"/>
      <c r="D14" s="32">
        <f t="shared" si="0"/>
        <v>460</v>
      </c>
      <c r="E14" s="4"/>
      <c r="F14" s="32"/>
      <c r="G14" s="47"/>
      <c r="H14" s="32">
        <v>357</v>
      </c>
      <c r="J14" s="32">
        <f>SUM('FY06 PB'!H15)</f>
        <v>734</v>
      </c>
      <c r="K14" s="47">
        <f t="shared" si="1"/>
        <v>0.015610046574934604</v>
      </c>
      <c r="L14" s="32">
        <f t="shared" si="2"/>
        <v>103</v>
      </c>
    </row>
    <row r="15" spans="1:12" ht="12.75">
      <c r="A15" s="4" t="s">
        <v>25</v>
      </c>
      <c r="B15" s="15"/>
      <c r="C15" s="17"/>
      <c r="D15" s="32">
        <f t="shared" si="0"/>
        <v>656</v>
      </c>
      <c r="E15" s="4"/>
      <c r="F15" s="32"/>
      <c r="G15" s="47"/>
      <c r="H15" s="32">
        <v>399</v>
      </c>
      <c r="J15" s="32">
        <f>SUM('FY06 PB'!H16)</f>
        <v>1822</v>
      </c>
      <c r="K15" s="47">
        <f t="shared" si="1"/>
        <v>0.038748644222794074</v>
      </c>
      <c r="L15" s="32">
        <f t="shared" si="2"/>
        <v>257</v>
      </c>
    </row>
    <row r="16" spans="1:12" ht="12.75">
      <c r="A16" s="4" t="s">
        <v>26</v>
      </c>
      <c r="B16" s="15"/>
      <c r="C16" s="17"/>
      <c r="D16" s="32">
        <f t="shared" si="0"/>
        <v>435</v>
      </c>
      <c r="E16" s="4"/>
      <c r="F16" s="32"/>
      <c r="G16" s="47"/>
      <c r="H16" s="32">
        <v>256</v>
      </c>
      <c r="J16" s="32">
        <f>SUM('FY06 PB'!H17)</f>
        <v>1269</v>
      </c>
      <c r="K16" s="47">
        <f t="shared" si="1"/>
        <v>0.026987941558027265</v>
      </c>
      <c r="L16" s="32">
        <f t="shared" si="2"/>
        <v>179</v>
      </c>
    </row>
    <row r="17" spans="1:12" ht="12.75">
      <c r="A17" s="4" t="s">
        <v>27</v>
      </c>
      <c r="B17" s="15"/>
      <c r="C17" s="17"/>
      <c r="D17" s="32">
        <f t="shared" si="0"/>
        <v>337</v>
      </c>
      <c r="E17" s="4"/>
      <c r="F17" s="32"/>
      <c r="G17" s="47"/>
      <c r="H17" s="32">
        <v>195</v>
      </c>
      <c r="J17" s="32">
        <f>SUM('FY06 PB'!H18)</f>
        <v>1004</v>
      </c>
      <c r="K17" s="47">
        <f t="shared" si="1"/>
        <v>0.021352161800046787</v>
      </c>
      <c r="L17" s="32">
        <f t="shared" si="2"/>
        <v>142</v>
      </c>
    </row>
    <row r="18" spans="1:12" ht="12.75">
      <c r="A18" s="4" t="s">
        <v>28</v>
      </c>
      <c r="B18" s="15"/>
      <c r="C18" s="17"/>
      <c r="D18" s="32">
        <f t="shared" si="0"/>
        <v>1109</v>
      </c>
      <c r="E18" s="4"/>
      <c r="F18" s="32"/>
      <c r="G18" s="47"/>
      <c r="H18" s="32">
        <v>679</v>
      </c>
      <c r="J18" s="32">
        <f>SUM('FY06 PB'!H19)</f>
        <v>3048</v>
      </c>
      <c r="K18" s="47">
        <f t="shared" si="1"/>
        <v>0.06482210076348865</v>
      </c>
      <c r="L18" s="32">
        <f t="shared" si="2"/>
        <v>430</v>
      </c>
    </row>
    <row r="19" spans="1:12" ht="12.75">
      <c r="A19" s="4" t="s">
        <v>29</v>
      </c>
      <c r="B19" s="15"/>
      <c r="C19" s="17"/>
      <c r="D19" s="32">
        <f t="shared" si="0"/>
        <v>654</v>
      </c>
      <c r="E19" s="4"/>
      <c r="F19" s="32"/>
      <c r="G19" s="47"/>
      <c r="H19" s="32">
        <v>395</v>
      </c>
      <c r="J19" s="32">
        <f>SUM('FY06 PB'!H20)</f>
        <v>1837</v>
      </c>
      <c r="K19" s="47">
        <f t="shared" si="1"/>
        <v>0.03906765062418919</v>
      </c>
      <c r="L19" s="32">
        <f t="shared" si="2"/>
        <v>259</v>
      </c>
    </row>
    <row r="20" spans="1:12" ht="12.75">
      <c r="A20" s="4" t="s">
        <v>30</v>
      </c>
      <c r="B20" s="15"/>
      <c r="C20" s="17"/>
      <c r="D20" s="32">
        <f t="shared" si="0"/>
        <v>358</v>
      </c>
      <c r="E20" s="4"/>
      <c r="F20" s="32"/>
      <c r="G20" s="47"/>
      <c r="H20" s="32">
        <v>224</v>
      </c>
      <c r="J20" s="32">
        <f>SUM('FY06 PB'!H21)</f>
        <v>953</v>
      </c>
      <c r="K20" s="47">
        <f t="shared" si="1"/>
        <v>0.020267540035303375</v>
      </c>
      <c r="L20" s="32">
        <f t="shared" si="2"/>
        <v>134</v>
      </c>
    </row>
    <row r="21" spans="1:12" ht="12.75">
      <c r="A21" s="4" t="s">
        <v>31</v>
      </c>
      <c r="B21" s="15"/>
      <c r="C21" s="17"/>
      <c r="D21" s="32">
        <f t="shared" si="0"/>
        <v>121</v>
      </c>
      <c r="E21" s="4"/>
      <c r="F21" s="32"/>
      <c r="G21" s="47"/>
      <c r="H21" s="32">
        <v>69</v>
      </c>
      <c r="J21" s="32">
        <f>SUM('FY06 PB'!H22)</f>
        <v>366</v>
      </c>
      <c r="K21" s="47">
        <f t="shared" si="1"/>
        <v>0.0077837561940409606</v>
      </c>
      <c r="L21" s="32">
        <f t="shared" si="2"/>
        <v>52</v>
      </c>
    </row>
    <row r="22" spans="1:12" ht="12.75">
      <c r="A22" s="4" t="s">
        <v>32</v>
      </c>
      <c r="B22" s="15"/>
      <c r="C22" s="17"/>
      <c r="D22" s="32">
        <f t="shared" si="0"/>
        <v>209</v>
      </c>
      <c r="E22" s="4"/>
      <c r="F22" s="32"/>
      <c r="G22" s="47"/>
      <c r="H22" s="32">
        <v>158</v>
      </c>
      <c r="J22" s="32">
        <f>SUM('FY06 PB'!H23)</f>
        <v>359</v>
      </c>
      <c r="K22" s="47">
        <f t="shared" si="1"/>
        <v>0.00763488654005657</v>
      </c>
      <c r="L22" s="32">
        <f t="shared" si="2"/>
        <v>51</v>
      </c>
    </row>
    <row r="23" spans="1:12" ht="12.75">
      <c r="A23" s="4" t="s">
        <v>33</v>
      </c>
      <c r="B23" s="15"/>
      <c r="C23" s="17"/>
      <c r="D23" s="32">
        <f t="shared" si="0"/>
        <v>203</v>
      </c>
      <c r="E23" s="4"/>
      <c r="F23" s="32"/>
      <c r="G23" s="47"/>
      <c r="H23" s="32">
        <v>108</v>
      </c>
      <c r="J23" s="32">
        <f>SUM('FY06 PB'!H24)</f>
        <v>676</v>
      </c>
      <c r="K23" s="47">
        <f t="shared" si="1"/>
        <v>0.014376555156206802</v>
      </c>
      <c r="L23" s="32">
        <f t="shared" si="2"/>
        <v>95</v>
      </c>
    </row>
    <row r="24" spans="1:12" ht="12.75">
      <c r="A24" s="4" t="s">
        <v>34</v>
      </c>
      <c r="B24" s="15"/>
      <c r="C24" s="17"/>
      <c r="D24" s="32">
        <f t="shared" si="0"/>
        <v>345</v>
      </c>
      <c r="E24" s="4"/>
      <c r="F24" s="32"/>
      <c r="G24" s="47"/>
      <c r="H24" s="32">
        <v>194</v>
      </c>
      <c r="J24" s="32">
        <f>SUM('FY06 PB'!H25)</f>
        <v>1069</v>
      </c>
      <c r="K24" s="47">
        <f t="shared" si="1"/>
        <v>0.02273452287275898</v>
      </c>
      <c r="L24" s="32">
        <f t="shared" si="2"/>
        <v>151</v>
      </c>
    </row>
    <row r="25" spans="1:12" ht="12.75">
      <c r="A25" s="4" t="s">
        <v>35</v>
      </c>
      <c r="B25" s="15"/>
      <c r="C25" s="17"/>
      <c r="D25" s="32">
        <f t="shared" si="0"/>
        <v>114</v>
      </c>
      <c r="E25" s="4"/>
      <c r="F25" s="32"/>
      <c r="G25" s="47"/>
      <c r="H25" s="32">
        <v>73</v>
      </c>
      <c r="J25" s="32">
        <f>SUM('FY06 PB'!H26)</f>
        <v>292</v>
      </c>
      <c r="K25" s="47">
        <f t="shared" si="1"/>
        <v>0.006209991280491696</v>
      </c>
      <c r="L25" s="32">
        <f t="shared" si="2"/>
        <v>41</v>
      </c>
    </row>
    <row r="26" spans="1:12" ht="12.75">
      <c r="A26" s="4" t="s">
        <v>36</v>
      </c>
      <c r="B26" s="15"/>
      <c r="C26" s="17"/>
      <c r="D26" s="32">
        <f t="shared" si="0"/>
        <v>75</v>
      </c>
      <c r="E26" s="4"/>
      <c r="F26" s="32"/>
      <c r="G26" s="47"/>
      <c r="H26" s="32">
        <v>55</v>
      </c>
      <c r="J26" s="32">
        <f>SUM('FY06 PB'!H27)</f>
        <v>139</v>
      </c>
      <c r="K26" s="47">
        <f t="shared" si="1"/>
        <v>0.0029561259862614575</v>
      </c>
      <c r="L26" s="32">
        <f t="shared" si="2"/>
        <v>20</v>
      </c>
    </row>
    <row r="27" spans="1:12" ht="12.75">
      <c r="A27" s="4" t="s">
        <v>37</v>
      </c>
      <c r="B27" s="15"/>
      <c r="C27" s="17"/>
      <c r="D27" s="32">
        <f t="shared" si="0"/>
        <v>132</v>
      </c>
      <c r="E27" s="4"/>
      <c r="F27" s="32"/>
      <c r="G27" s="47"/>
      <c r="H27" s="32">
        <v>76</v>
      </c>
      <c r="J27" s="32">
        <f>SUM('FY06 PB'!H28)</f>
        <v>396</v>
      </c>
      <c r="K27" s="47">
        <f t="shared" si="1"/>
        <v>0.008421768996831202</v>
      </c>
      <c r="L27" s="32">
        <f t="shared" si="2"/>
        <v>56</v>
      </c>
    </row>
    <row r="28" spans="1:12" ht="12.75">
      <c r="A28" s="4" t="s">
        <v>38</v>
      </c>
      <c r="B28" s="15"/>
      <c r="C28" s="17"/>
      <c r="D28" s="32">
        <f t="shared" si="0"/>
        <v>299</v>
      </c>
      <c r="E28" s="4"/>
      <c r="F28" s="32"/>
      <c r="G28" s="47"/>
      <c r="H28" s="32">
        <v>271</v>
      </c>
      <c r="J28" s="32">
        <f>SUM('FY06 PB'!H29)</f>
        <v>196</v>
      </c>
      <c r="K28" s="47">
        <f t="shared" si="1"/>
        <v>0.004168350311562919</v>
      </c>
      <c r="L28" s="32">
        <f t="shared" si="2"/>
        <v>28</v>
      </c>
    </row>
    <row r="29" spans="1:12" ht="12.75">
      <c r="A29" s="4" t="s">
        <v>39</v>
      </c>
      <c r="B29" s="15"/>
      <c r="C29" s="17"/>
      <c r="D29" s="32">
        <f aca="true" t="shared" si="3" ref="D29:D37">SUM(H29+L29)</f>
        <v>0</v>
      </c>
      <c r="E29" s="4"/>
      <c r="F29" s="17"/>
      <c r="G29" s="17"/>
      <c r="H29" s="32">
        <v>0</v>
      </c>
      <c r="J29" s="17"/>
      <c r="K29" s="17"/>
      <c r="L29" s="32"/>
    </row>
    <row r="30" spans="1:12" ht="12.75">
      <c r="A30" s="4" t="s">
        <v>8</v>
      </c>
      <c r="B30" s="15"/>
      <c r="C30" s="17"/>
      <c r="D30" s="32">
        <f t="shared" si="3"/>
        <v>0</v>
      </c>
      <c r="E30" s="4"/>
      <c r="F30" s="17"/>
      <c r="G30" s="17"/>
      <c r="H30" s="32">
        <v>0</v>
      </c>
      <c r="J30" s="17"/>
      <c r="K30" s="17"/>
      <c r="L30" s="32"/>
    </row>
    <row r="31" spans="1:12" ht="12.75">
      <c r="A31" s="4" t="s">
        <v>52</v>
      </c>
      <c r="B31" s="15"/>
      <c r="C31" s="17"/>
      <c r="D31" s="32">
        <f t="shared" si="3"/>
        <v>0</v>
      </c>
      <c r="E31" s="4"/>
      <c r="F31" s="17"/>
      <c r="G31" s="17"/>
      <c r="H31" s="32">
        <v>0</v>
      </c>
      <c r="J31" s="17"/>
      <c r="K31" s="17"/>
      <c r="L31" s="32"/>
    </row>
    <row r="32" spans="1:12" ht="12.75">
      <c r="A32" s="4" t="s">
        <v>40</v>
      </c>
      <c r="B32" s="15"/>
      <c r="C32" s="17"/>
      <c r="D32" s="32">
        <f t="shared" si="3"/>
        <v>0</v>
      </c>
      <c r="E32" s="4"/>
      <c r="F32" s="17"/>
      <c r="G32" s="17"/>
      <c r="H32" s="32">
        <v>0</v>
      </c>
      <c r="J32" s="17"/>
      <c r="K32" s="17"/>
      <c r="L32" s="32"/>
    </row>
    <row r="33" spans="1:12" ht="12.75">
      <c r="A33" s="4" t="s">
        <v>5</v>
      </c>
      <c r="B33" s="15"/>
      <c r="C33" s="17"/>
      <c r="D33" s="32">
        <f t="shared" si="3"/>
        <v>0</v>
      </c>
      <c r="E33" s="4"/>
      <c r="F33" s="17"/>
      <c r="G33" s="17"/>
      <c r="H33" s="32">
        <v>0</v>
      </c>
      <c r="J33" s="17"/>
      <c r="K33" s="17"/>
      <c r="L33" s="32"/>
    </row>
    <row r="34" spans="1:12" ht="12.75">
      <c r="A34" s="4" t="s">
        <v>6</v>
      </c>
      <c r="B34" s="15"/>
      <c r="C34" s="17"/>
      <c r="D34" s="32">
        <f t="shared" si="3"/>
        <v>0</v>
      </c>
      <c r="E34" s="4"/>
      <c r="F34" s="17"/>
      <c r="G34" s="17"/>
      <c r="H34" s="32">
        <v>0</v>
      </c>
      <c r="J34" s="17"/>
      <c r="K34" s="17"/>
      <c r="L34" s="32"/>
    </row>
    <row r="35" spans="1:12" ht="12.75">
      <c r="A35" s="4" t="s">
        <v>9</v>
      </c>
      <c r="B35" s="33">
        <v>0</v>
      </c>
      <c r="C35" s="33">
        <v>0</v>
      </c>
      <c r="D35" s="32">
        <f t="shared" si="3"/>
        <v>0</v>
      </c>
      <c r="E35" s="133"/>
      <c r="F35" s="17"/>
      <c r="G35" s="17"/>
      <c r="H35" s="32">
        <v>0</v>
      </c>
      <c r="J35" s="17"/>
      <c r="K35" s="17"/>
      <c r="L35" s="32"/>
    </row>
    <row r="36" spans="1:12" ht="12.75">
      <c r="A36" s="4" t="s">
        <v>165</v>
      </c>
      <c r="B36" s="32"/>
      <c r="C36" s="33"/>
      <c r="D36" s="32">
        <f t="shared" si="3"/>
        <v>0</v>
      </c>
      <c r="E36" s="133"/>
      <c r="F36" s="17"/>
      <c r="G36" s="17"/>
      <c r="H36" s="32">
        <v>0</v>
      </c>
      <c r="J36" s="17"/>
      <c r="K36" s="17"/>
      <c r="L36" s="32"/>
    </row>
    <row r="37" spans="1:12" ht="12.75">
      <c r="A37" s="4" t="s">
        <v>147</v>
      </c>
      <c r="B37" s="18"/>
      <c r="C37" s="17"/>
      <c r="D37" s="37">
        <f t="shared" si="3"/>
        <v>0</v>
      </c>
      <c r="F37" s="18"/>
      <c r="G37" s="17"/>
      <c r="H37" s="143">
        <v>0</v>
      </c>
      <c r="J37" s="18"/>
      <c r="K37" s="17"/>
      <c r="L37" s="18"/>
    </row>
    <row r="38" spans="1:12" ht="12.75">
      <c r="A38" s="20" t="s">
        <v>41</v>
      </c>
      <c r="B38" s="18"/>
      <c r="C38" s="18"/>
      <c r="D38" s="54">
        <f>SUM(D5:D37)</f>
        <v>17551</v>
      </c>
      <c r="F38" s="44">
        <f>SUM(F5:F37)</f>
        <v>0</v>
      </c>
      <c r="G38" s="18"/>
      <c r="H38" s="83">
        <f>SUM(H5:H37)</f>
        <v>10921</v>
      </c>
      <c r="J38" s="44">
        <f>SUM(J5:J37)</f>
        <v>47021</v>
      </c>
      <c r="K38" s="18"/>
      <c r="L38" s="83">
        <f>SUM(L5:L37)</f>
        <v>6630</v>
      </c>
    </row>
    <row r="39" spans="6:10" ht="12.75">
      <c r="F39" s="23" t="s">
        <v>181</v>
      </c>
      <c r="J39" s="23" t="s">
        <v>178</v>
      </c>
    </row>
    <row r="40" ht="12.75">
      <c r="F40" s="23" t="s">
        <v>182</v>
      </c>
    </row>
    <row r="42" ht="12.75">
      <c r="A42" s="147" t="s">
        <v>180</v>
      </c>
    </row>
    <row r="43" spans="8:12" ht="12.75">
      <c r="H43" s="98">
        <v>0</v>
      </c>
      <c r="L43" s="98">
        <v>6630</v>
      </c>
    </row>
  </sheetData>
  <mergeCells count="3">
    <mergeCell ref="B3:D3"/>
    <mergeCell ref="F3:H3"/>
    <mergeCell ref="J3:L3"/>
  </mergeCells>
  <printOptions/>
  <pageMargins left="0.75" right="0.75" top="0.54" bottom="0.59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21">
      <selection activeCell="B35" sqref="B35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  <col min="6" max="8" width="10.421875" style="0" customWidth="1"/>
  </cols>
  <sheetData>
    <row r="2" ht="18">
      <c r="A2" s="25" t="s">
        <v>49</v>
      </c>
    </row>
    <row r="3" spans="1:4" ht="13.5" customHeight="1">
      <c r="A3" s="13"/>
      <c r="B3" s="229" t="s">
        <v>41</v>
      </c>
      <c r="C3" s="230"/>
      <c r="D3" s="231"/>
    </row>
    <row r="4" spans="1:7" ht="12.75">
      <c r="A4" s="14"/>
      <c r="B4" s="21" t="s">
        <v>42</v>
      </c>
      <c r="C4" s="21" t="s">
        <v>43</v>
      </c>
      <c r="D4" s="22" t="s">
        <v>44</v>
      </c>
      <c r="F4" s="81" t="s">
        <v>154</v>
      </c>
      <c r="G4" s="81" t="s">
        <v>155</v>
      </c>
    </row>
    <row r="5" spans="1:7" ht="12.75">
      <c r="A5" s="4" t="s">
        <v>0</v>
      </c>
      <c r="B5" s="33">
        <f>SUM('FTEs &amp; onbrd'!B5)</f>
        <v>2904</v>
      </c>
      <c r="C5" s="77">
        <f>SUM(B5/$B$38)</f>
        <v>0.16828929068150209</v>
      </c>
      <c r="D5" s="36">
        <f>SUM(F5:G5)</f>
        <v>915.8205841446453</v>
      </c>
      <c r="F5" s="53">
        <f>ROUND(C5*$F$43,0)-1</f>
        <v>848</v>
      </c>
      <c r="G5" s="36">
        <f>SUM(C5*$G$43,0)</f>
        <v>67.82058414464534</v>
      </c>
    </row>
    <row r="6" spans="1:7" ht="12.75">
      <c r="A6" s="4" t="s">
        <v>16</v>
      </c>
      <c r="B6" s="33">
        <f>SUM('FTEs &amp; onbrd'!B6)</f>
        <v>796</v>
      </c>
      <c r="C6" s="77">
        <f aca="true" t="shared" si="0" ref="C6:C37">SUM(B6/$B$38)</f>
        <v>0.04612888270746407</v>
      </c>
      <c r="D6" s="33">
        <f>SUM(F6:G6)</f>
        <v>251.58993973110802</v>
      </c>
      <c r="F6" s="32">
        <f>ROUND(C6*$F$43,0)</f>
        <v>233</v>
      </c>
      <c r="G6" s="33">
        <f>SUM(C6*$G$43,0)</f>
        <v>18.58993973110802</v>
      </c>
    </row>
    <row r="7" spans="1:7" ht="12.75">
      <c r="A7" s="4" t="s">
        <v>17</v>
      </c>
      <c r="B7" s="33">
        <f>SUM('FTEs &amp; onbrd'!B7)</f>
        <v>261</v>
      </c>
      <c r="C7" s="77">
        <f t="shared" si="0"/>
        <v>0.015125173852573018</v>
      </c>
      <c r="D7" s="33">
        <f aca="true" t="shared" si="1" ref="D7:D37">SUM(F7:G7)</f>
        <v>82.09544506258693</v>
      </c>
      <c r="F7" s="32">
        <f aca="true" t="shared" si="2" ref="F7:F37">ROUND(C7*$F$43,0)</f>
        <v>76</v>
      </c>
      <c r="G7" s="33">
        <f aca="true" t="shared" si="3" ref="G7:G37">SUM(C7*$G$43,0)</f>
        <v>6.0954450625869265</v>
      </c>
    </row>
    <row r="8" spans="1:7" ht="12.75">
      <c r="A8" s="4" t="s">
        <v>18</v>
      </c>
      <c r="B8" s="33">
        <f>SUM('FTEs &amp; onbrd'!B8)</f>
        <v>637</v>
      </c>
      <c r="C8" s="77">
        <f t="shared" si="0"/>
        <v>0.0369146963375058</v>
      </c>
      <c r="D8" s="33">
        <f t="shared" si="1"/>
        <v>200.87662262401483</v>
      </c>
      <c r="F8" s="32">
        <f t="shared" si="2"/>
        <v>186</v>
      </c>
      <c r="G8" s="33">
        <f t="shared" si="3"/>
        <v>14.876622624014837</v>
      </c>
    </row>
    <row r="9" spans="1:7" ht="12.75">
      <c r="A9" s="4" t="s">
        <v>19</v>
      </c>
      <c r="B9" s="33">
        <f>SUM('FTEs &amp; onbrd'!B9)</f>
        <v>548</v>
      </c>
      <c r="C9" s="77">
        <f t="shared" si="0"/>
        <v>0.03175707000463607</v>
      </c>
      <c r="D9" s="33">
        <f t="shared" si="1"/>
        <v>172.79809921186833</v>
      </c>
      <c r="F9" s="32">
        <f t="shared" si="2"/>
        <v>160</v>
      </c>
      <c r="G9" s="33">
        <f t="shared" si="3"/>
        <v>12.798099211868335</v>
      </c>
    </row>
    <row r="10" spans="1:7" ht="12.75">
      <c r="A10" s="4" t="s">
        <v>20</v>
      </c>
      <c r="B10" s="33">
        <f>SUM('FTEs &amp; onbrd'!B10)</f>
        <v>1515</v>
      </c>
      <c r="C10" s="77">
        <f t="shared" si="0"/>
        <v>0.08779554937413074</v>
      </c>
      <c r="D10" s="33">
        <f t="shared" si="1"/>
        <v>478.3816063977747</v>
      </c>
      <c r="F10" s="32">
        <f t="shared" si="2"/>
        <v>443</v>
      </c>
      <c r="G10" s="33">
        <f t="shared" si="3"/>
        <v>35.38160639777469</v>
      </c>
    </row>
    <row r="11" spans="1:7" ht="12.75">
      <c r="A11" s="4" t="s">
        <v>21</v>
      </c>
      <c r="B11" s="33">
        <f>SUM('FTEs &amp; onbrd'!B11)</f>
        <v>128</v>
      </c>
      <c r="C11" s="77">
        <f t="shared" si="0"/>
        <v>0.007417709782104775</v>
      </c>
      <c r="D11" s="33">
        <f t="shared" si="1"/>
        <v>39.989337042188225</v>
      </c>
      <c r="F11" s="32">
        <f t="shared" si="2"/>
        <v>37</v>
      </c>
      <c r="G11" s="33">
        <f t="shared" si="3"/>
        <v>2.9893370421882244</v>
      </c>
    </row>
    <row r="12" spans="1:7" ht="12.75">
      <c r="A12" s="4" t="s">
        <v>22</v>
      </c>
      <c r="B12" s="33">
        <f>SUM('FTEs &amp; onbrd'!B12)</f>
        <v>521</v>
      </c>
      <c r="C12" s="77">
        <f t="shared" si="0"/>
        <v>0.03019239684747334</v>
      </c>
      <c r="D12" s="33">
        <f t="shared" si="1"/>
        <v>164.16753592953177</v>
      </c>
      <c r="F12" s="32">
        <f t="shared" si="2"/>
        <v>152</v>
      </c>
      <c r="G12" s="33">
        <f t="shared" si="3"/>
        <v>12.167535929531757</v>
      </c>
    </row>
    <row r="13" spans="1:7" ht="12.75">
      <c r="A13" s="4" t="s">
        <v>23</v>
      </c>
      <c r="B13" s="33">
        <f>SUM('FTEs &amp; onbrd'!B13)</f>
        <v>219</v>
      </c>
      <c r="C13" s="77">
        <f t="shared" si="0"/>
        <v>0.012691237830319889</v>
      </c>
      <c r="D13" s="33">
        <f t="shared" si="1"/>
        <v>69.11456884561892</v>
      </c>
      <c r="F13" s="32">
        <f t="shared" si="2"/>
        <v>64</v>
      </c>
      <c r="G13" s="33">
        <f t="shared" si="3"/>
        <v>5.114568845618915</v>
      </c>
    </row>
    <row r="14" spans="1:7" ht="12.75">
      <c r="A14" s="4" t="s">
        <v>24</v>
      </c>
      <c r="B14" s="33">
        <f>SUM('FTEs &amp; onbrd'!B14)</f>
        <v>652</v>
      </c>
      <c r="C14" s="77">
        <f t="shared" si="0"/>
        <v>0.037783959202596196</v>
      </c>
      <c r="D14" s="33">
        <f t="shared" si="1"/>
        <v>206.22693555864626</v>
      </c>
      <c r="F14" s="32">
        <f t="shared" si="2"/>
        <v>191</v>
      </c>
      <c r="G14" s="33">
        <f t="shared" si="3"/>
        <v>15.226935558646266</v>
      </c>
    </row>
    <row r="15" spans="1:7" ht="12.75">
      <c r="A15" s="4" t="s">
        <v>25</v>
      </c>
      <c r="B15" s="33">
        <f>SUM('FTEs &amp; onbrd'!B15)</f>
        <v>374</v>
      </c>
      <c r="C15" s="77">
        <f t="shared" si="0"/>
        <v>0.02167362076958739</v>
      </c>
      <c r="D15" s="33">
        <f t="shared" si="1"/>
        <v>117.73446917014371</v>
      </c>
      <c r="F15" s="32">
        <f t="shared" si="2"/>
        <v>109</v>
      </c>
      <c r="G15" s="33">
        <f t="shared" si="3"/>
        <v>8.734469170143718</v>
      </c>
    </row>
    <row r="16" spans="1:7" ht="12.75">
      <c r="A16" s="4" t="s">
        <v>26</v>
      </c>
      <c r="B16" s="33">
        <f>SUM('FTEs &amp; onbrd'!B16)</f>
        <v>212</v>
      </c>
      <c r="C16" s="77">
        <f t="shared" si="0"/>
        <v>0.012285581826611033</v>
      </c>
      <c r="D16" s="33">
        <f t="shared" si="1"/>
        <v>66.95108947612425</v>
      </c>
      <c r="F16" s="32">
        <f t="shared" si="2"/>
        <v>62</v>
      </c>
      <c r="G16" s="33">
        <f t="shared" si="3"/>
        <v>4.951089476124246</v>
      </c>
    </row>
    <row r="17" spans="1:7" ht="12.75">
      <c r="A17" s="4" t="s">
        <v>27</v>
      </c>
      <c r="B17" s="33">
        <f>SUM('FTEs &amp; onbrd'!B17)</f>
        <v>140</v>
      </c>
      <c r="C17" s="77">
        <f t="shared" si="0"/>
        <v>0.008113120074177098</v>
      </c>
      <c r="D17" s="33">
        <f t="shared" si="1"/>
        <v>44.269587389893374</v>
      </c>
      <c r="F17" s="32">
        <f t="shared" si="2"/>
        <v>41</v>
      </c>
      <c r="G17" s="33">
        <f t="shared" si="3"/>
        <v>3.2695873898933705</v>
      </c>
    </row>
    <row r="18" spans="1:7" ht="12.75">
      <c r="A18" s="4" t="s">
        <v>28</v>
      </c>
      <c r="B18" s="33">
        <f>SUM('FTEs &amp; onbrd'!B18)</f>
        <v>695</v>
      </c>
      <c r="C18" s="77">
        <f t="shared" si="0"/>
        <v>0.04027584608252202</v>
      </c>
      <c r="D18" s="33">
        <f t="shared" si="1"/>
        <v>219.23116597125636</v>
      </c>
      <c r="F18" s="32">
        <f t="shared" si="2"/>
        <v>203</v>
      </c>
      <c r="G18" s="33">
        <f t="shared" si="3"/>
        <v>16.231165971256374</v>
      </c>
    </row>
    <row r="19" spans="1:7" ht="12.75">
      <c r="A19" s="4" t="s">
        <v>29</v>
      </c>
      <c r="B19" s="33">
        <f>SUM('FTEs &amp; onbrd'!B19)</f>
        <v>362</v>
      </c>
      <c r="C19" s="77">
        <f t="shared" si="0"/>
        <v>0.020978210477515066</v>
      </c>
      <c r="D19" s="33">
        <f t="shared" si="1"/>
        <v>114.45421882243858</v>
      </c>
      <c r="F19" s="32">
        <f t="shared" si="2"/>
        <v>106</v>
      </c>
      <c r="G19" s="33">
        <f t="shared" si="3"/>
        <v>8.454218822438571</v>
      </c>
    </row>
    <row r="20" spans="1:7" ht="12.75">
      <c r="A20" s="4" t="s">
        <v>30</v>
      </c>
      <c r="B20" s="33">
        <f>SUM('FTEs &amp; onbrd'!B20)</f>
        <v>226</v>
      </c>
      <c r="C20" s="77">
        <f t="shared" si="0"/>
        <v>0.013096893834028744</v>
      </c>
      <c r="D20" s="33">
        <f t="shared" si="1"/>
        <v>71.27804821511359</v>
      </c>
      <c r="F20" s="32">
        <f t="shared" si="2"/>
        <v>66</v>
      </c>
      <c r="G20" s="33">
        <f t="shared" si="3"/>
        <v>5.278048215113584</v>
      </c>
    </row>
    <row r="21" spans="1:7" ht="12.75">
      <c r="A21" s="4" t="s">
        <v>31</v>
      </c>
      <c r="B21" s="33">
        <f>SUM('FTEs &amp; onbrd'!B21)</f>
        <v>38</v>
      </c>
      <c r="C21" s="77">
        <f t="shared" si="0"/>
        <v>0.002202132591562355</v>
      </c>
      <c r="D21" s="33">
        <f t="shared" si="1"/>
        <v>11.887459434399629</v>
      </c>
      <c r="F21" s="32">
        <f t="shared" si="2"/>
        <v>11</v>
      </c>
      <c r="G21" s="33">
        <f t="shared" si="3"/>
        <v>0.887459434399629</v>
      </c>
    </row>
    <row r="22" spans="1:7" ht="12.75">
      <c r="A22" s="4" t="s">
        <v>32</v>
      </c>
      <c r="B22" s="33">
        <f>SUM('FTEs &amp; onbrd'!B22)</f>
        <v>272</v>
      </c>
      <c r="C22" s="77">
        <f t="shared" si="0"/>
        <v>0.01576263328697265</v>
      </c>
      <c r="D22" s="33">
        <f t="shared" si="1"/>
        <v>86.35234121464998</v>
      </c>
      <c r="F22" s="32">
        <f t="shared" si="2"/>
        <v>80</v>
      </c>
      <c r="G22" s="33">
        <f t="shared" si="3"/>
        <v>6.352341214649978</v>
      </c>
    </row>
    <row r="23" spans="1:7" ht="12.75">
      <c r="A23" s="4" t="s">
        <v>33</v>
      </c>
      <c r="B23" s="33">
        <f>SUM('FTEs &amp; onbrd'!B23)</f>
        <v>51</v>
      </c>
      <c r="C23" s="77">
        <f t="shared" si="0"/>
        <v>0.0029554937413073714</v>
      </c>
      <c r="D23" s="33">
        <f t="shared" si="1"/>
        <v>16.19106397774687</v>
      </c>
      <c r="F23" s="32">
        <f t="shared" si="2"/>
        <v>15</v>
      </c>
      <c r="G23" s="33">
        <f t="shared" si="3"/>
        <v>1.1910639777468708</v>
      </c>
    </row>
    <row r="24" spans="1:7" ht="12.75">
      <c r="A24" s="4" t="s">
        <v>34</v>
      </c>
      <c r="B24" s="33">
        <f>SUM('FTEs &amp; onbrd'!B24)</f>
        <v>86</v>
      </c>
      <c r="C24" s="77">
        <f t="shared" si="0"/>
        <v>0.0049837737598516455</v>
      </c>
      <c r="D24" s="33">
        <f t="shared" si="1"/>
        <v>27.00846082522021</v>
      </c>
      <c r="F24" s="32">
        <f t="shared" si="2"/>
        <v>25</v>
      </c>
      <c r="G24" s="33">
        <f t="shared" si="3"/>
        <v>2.008460825220213</v>
      </c>
    </row>
    <row r="25" spans="1:7" ht="12.75">
      <c r="A25" s="4" t="s">
        <v>35</v>
      </c>
      <c r="B25" s="33">
        <f>SUM('FTEs &amp; onbrd'!B25)</f>
        <v>76</v>
      </c>
      <c r="C25" s="77">
        <f t="shared" si="0"/>
        <v>0.00440426518312471</v>
      </c>
      <c r="D25" s="33">
        <f t="shared" si="1"/>
        <v>23.774918868799258</v>
      </c>
      <c r="F25" s="32">
        <f t="shared" si="2"/>
        <v>22</v>
      </c>
      <c r="G25" s="33">
        <f t="shared" si="3"/>
        <v>1.774918868799258</v>
      </c>
    </row>
    <row r="26" spans="1:7" ht="12.75">
      <c r="A26" s="4" t="s">
        <v>36</v>
      </c>
      <c r="B26" s="33">
        <f>SUM('FTEs &amp; onbrd'!B26)</f>
        <v>30</v>
      </c>
      <c r="C26" s="77">
        <f t="shared" si="0"/>
        <v>0.0017385257301808068</v>
      </c>
      <c r="D26" s="33">
        <f t="shared" si="1"/>
        <v>9.700625869262865</v>
      </c>
      <c r="F26" s="32">
        <f t="shared" si="2"/>
        <v>9</v>
      </c>
      <c r="G26" s="33">
        <f t="shared" si="3"/>
        <v>0.7006258692628651</v>
      </c>
    </row>
    <row r="27" spans="1:7" ht="12.75">
      <c r="A27" s="4" t="s">
        <v>37</v>
      </c>
      <c r="B27" s="33">
        <f>SUM('FTEs &amp; onbrd'!B27)</f>
        <v>56</v>
      </c>
      <c r="C27" s="77">
        <f t="shared" si="0"/>
        <v>0.003245248029670839</v>
      </c>
      <c r="D27" s="33">
        <f t="shared" si="1"/>
        <v>17.307834955957347</v>
      </c>
      <c r="F27" s="32">
        <f t="shared" si="2"/>
        <v>16</v>
      </c>
      <c r="G27" s="33">
        <f t="shared" si="3"/>
        <v>1.307834955957348</v>
      </c>
    </row>
    <row r="28" spans="1:7" ht="12.75">
      <c r="A28" s="4" t="s">
        <v>38</v>
      </c>
      <c r="B28" s="33">
        <f>SUM('FTEs &amp; onbrd'!B28)</f>
        <v>646</v>
      </c>
      <c r="C28" s="77">
        <f t="shared" si="0"/>
        <v>0.03743625405656004</v>
      </c>
      <c r="D28" s="33">
        <f t="shared" si="1"/>
        <v>204.0868103847937</v>
      </c>
      <c r="F28" s="32">
        <f t="shared" si="2"/>
        <v>189</v>
      </c>
      <c r="G28" s="33">
        <f t="shared" si="3"/>
        <v>15.086810384793695</v>
      </c>
    </row>
    <row r="29" spans="1:7" ht="12.75">
      <c r="A29" s="4" t="s">
        <v>39</v>
      </c>
      <c r="B29" s="33">
        <f>SUM('FTEs &amp; onbrd'!B29)</f>
        <v>0</v>
      </c>
      <c r="C29" s="77">
        <f t="shared" si="0"/>
        <v>0</v>
      </c>
      <c r="D29" s="33">
        <f t="shared" si="1"/>
        <v>0</v>
      </c>
      <c r="F29" s="32">
        <f t="shared" si="2"/>
        <v>0</v>
      </c>
      <c r="G29" s="33">
        <f t="shared" si="3"/>
        <v>0</v>
      </c>
    </row>
    <row r="30" spans="1:7" ht="12.75">
      <c r="A30" s="4" t="s">
        <v>8</v>
      </c>
      <c r="B30" s="33">
        <f>SUM('FTEs &amp; onbrd'!B30)</f>
        <v>617</v>
      </c>
      <c r="C30" s="77">
        <f t="shared" si="0"/>
        <v>0.035755679184051925</v>
      </c>
      <c r="D30" s="33">
        <f t="shared" si="1"/>
        <v>194.40953871117293</v>
      </c>
      <c r="F30" s="32">
        <f t="shared" si="2"/>
        <v>180</v>
      </c>
      <c r="G30" s="33">
        <f t="shared" si="3"/>
        <v>14.409538711172926</v>
      </c>
    </row>
    <row r="31" spans="1:7" ht="12.75">
      <c r="A31" s="4" t="s">
        <v>52</v>
      </c>
      <c r="B31" s="33">
        <f>SUM('FTEs &amp; onbrd'!B31)</f>
        <v>1416</v>
      </c>
      <c r="C31" s="77">
        <f t="shared" si="0"/>
        <v>0.08205841446453407</v>
      </c>
      <c r="D31" s="33">
        <f t="shared" si="1"/>
        <v>447.06954102920724</v>
      </c>
      <c r="F31" s="32">
        <f t="shared" si="2"/>
        <v>414</v>
      </c>
      <c r="G31" s="33">
        <f t="shared" si="3"/>
        <v>33.06954102920723</v>
      </c>
    </row>
    <row r="32" spans="1:7" ht="12.75">
      <c r="A32" s="4" t="s">
        <v>40</v>
      </c>
      <c r="B32" s="33">
        <f>SUM('FTEs &amp; onbrd'!B32)</f>
        <v>1843</v>
      </c>
      <c r="C32" s="77">
        <f t="shared" si="0"/>
        <v>0.10680343069077422</v>
      </c>
      <c r="D32" s="33">
        <f t="shared" si="1"/>
        <v>582.041782568382</v>
      </c>
      <c r="F32" s="32">
        <f t="shared" si="2"/>
        <v>539</v>
      </c>
      <c r="G32" s="33">
        <f t="shared" si="3"/>
        <v>43.04178256838201</v>
      </c>
    </row>
    <row r="33" spans="1:7" ht="12.75">
      <c r="A33" s="4" t="s">
        <v>5</v>
      </c>
      <c r="B33" s="33">
        <f>SUM('FTEs &amp; onbrd'!B33)</f>
        <v>272</v>
      </c>
      <c r="C33" s="77">
        <f t="shared" si="0"/>
        <v>0.01576263328697265</v>
      </c>
      <c r="D33" s="33">
        <f t="shared" si="1"/>
        <v>86.35234121464998</v>
      </c>
      <c r="F33" s="32">
        <f t="shared" si="2"/>
        <v>80</v>
      </c>
      <c r="G33" s="33">
        <f t="shared" si="3"/>
        <v>6.352341214649978</v>
      </c>
    </row>
    <row r="34" spans="1:7" ht="12.75">
      <c r="A34" s="4" t="s">
        <v>6</v>
      </c>
      <c r="B34" s="33">
        <f>SUM('FTEs &amp; onbrd'!B34)</f>
        <v>422</v>
      </c>
      <c r="C34" s="77">
        <f t="shared" si="0"/>
        <v>0.02445526193787668</v>
      </c>
      <c r="D34" s="33">
        <f t="shared" si="1"/>
        <v>132.8554705609643</v>
      </c>
      <c r="F34" s="32">
        <f t="shared" si="2"/>
        <v>123</v>
      </c>
      <c r="G34" s="33">
        <f t="shared" si="3"/>
        <v>9.855470560964303</v>
      </c>
    </row>
    <row r="35" spans="1:7" ht="12.75">
      <c r="A35" s="4" t="s">
        <v>9</v>
      </c>
      <c r="B35" s="33">
        <f>SUM('FTEs &amp; onbrd'!B35)</f>
        <v>677</v>
      </c>
      <c r="C35" s="77">
        <f t="shared" si="0"/>
        <v>0.03923273064441354</v>
      </c>
      <c r="D35" s="33">
        <f t="shared" si="1"/>
        <v>213.81079044969866</v>
      </c>
      <c r="F35" s="32">
        <f t="shared" si="2"/>
        <v>198</v>
      </c>
      <c r="G35" s="33">
        <f t="shared" si="3"/>
        <v>15.810790449698656</v>
      </c>
    </row>
    <row r="36" spans="1:7" ht="12.75">
      <c r="A36" s="4" t="s">
        <v>165</v>
      </c>
      <c r="B36" s="33">
        <f>SUM('FTEs &amp; onbrd'!B36)</f>
        <v>564</v>
      </c>
      <c r="C36" s="77">
        <f t="shared" si="0"/>
        <v>0.03268428372739916</v>
      </c>
      <c r="D36" s="33">
        <f t="shared" si="1"/>
        <v>178.17176634214186</v>
      </c>
      <c r="F36" s="32">
        <f t="shared" si="2"/>
        <v>165</v>
      </c>
      <c r="G36" s="33">
        <f t="shared" si="3"/>
        <v>13.171766342141863</v>
      </c>
    </row>
    <row r="37" spans="1:9" ht="12.75">
      <c r="A37" s="4" t="s">
        <v>147</v>
      </c>
      <c r="B37" s="37">
        <f>SUM('FTEs &amp; onbrd'!B37)</f>
        <v>0</v>
      </c>
      <c r="C37" s="77">
        <f t="shared" si="0"/>
        <v>0</v>
      </c>
      <c r="D37" s="37">
        <f t="shared" si="1"/>
        <v>0</v>
      </c>
      <c r="F37" s="37">
        <f t="shared" si="2"/>
        <v>0</v>
      </c>
      <c r="G37" s="38">
        <f t="shared" si="3"/>
        <v>0</v>
      </c>
      <c r="H37" s="76"/>
      <c r="I37" s="76"/>
    </row>
    <row r="38" spans="1:8" ht="12.75">
      <c r="A38" s="20" t="s">
        <v>41</v>
      </c>
      <c r="B38" s="44">
        <f>SUM(B5:B37)</f>
        <v>17256</v>
      </c>
      <c r="C38" s="86">
        <f>SUM(C5:C37)</f>
        <v>1.0000000000000002</v>
      </c>
      <c r="D38" s="54">
        <f>SUM(D5:D37)</f>
        <v>5446</v>
      </c>
      <c r="F38" s="54">
        <f>SUM(F5:F37)</f>
        <v>5043</v>
      </c>
      <c r="G38" s="54">
        <f>SUM(G5:G37)</f>
        <v>403</v>
      </c>
      <c r="H38" s="76"/>
    </row>
    <row r="39" spans="1:7" ht="12.75">
      <c r="A39" s="23" t="s">
        <v>239</v>
      </c>
      <c r="F39" s="76"/>
      <c r="G39" s="76"/>
    </row>
    <row r="40" spans="1:4" ht="12.75">
      <c r="A40" s="138"/>
      <c r="D40" s="101"/>
    </row>
    <row r="43" spans="6:7" ht="12.75">
      <c r="F43" s="98">
        <v>5046</v>
      </c>
      <c r="G43" s="98">
        <v>403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7">
      <selection activeCell="D43" sqref="D43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00390625" style="0" customWidth="1"/>
  </cols>
  <sheetData>
    <row r="2" ht="18">
      <c r="A2" s="25" t="s">
        <v>71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7" ht="12.75">
      <c r="A5" s="4" t="s">
        <v>0</v>
      </c>
      <c r="B5" s="53"/>
      <c r="C5" s="52">
        <f>SUM('School Tax'!Z11)</f>
        <v>0.2807969108538213</v>
      </c>
      <c r="D5" s="55">
        <f>ROUND(C5*$D$43,0)+1</f>
        <v>772</v>
      </c>
      <c r="F5" s="76"/>
      <c r="G5" s="66"/>
    </row>
    <row r="6" spans="1:7" ht="12.75">
      <c r="A6" s="4" t="s">
        <v>16</v>
      </c>
      <c r="B6" s="32"/>
      <c r="C6" s="52">
        <f>SUM('School Tax'!Z12)</f>
        <v>0.0662998572838245</v>
      </c>
      <c r="D6" s="50">
        <f>ROUND(C6*$D$43,0)</f>
        <v>182</v>
      </c>
      <c r="G6" s="66"/>
    </row>
    <row r="7" spans="1:7" ht="12.75">
      <c r="A7" s="4" t="s">
        <v>17</v>
      </c>
      <c r="B7" s="32"/>
      <c r="C7" s="52">
        <f>SUM('School Tax'!Z13)</f>
        <v>0.023055174331582592</v>
      </c>
      <c r="D7" s="50">
        <f aca="true" t="shared" si="0" ref="D7:D28">ROUND(C7*$D$43,0)</f>
        <v>63</v>
      </c>
      <c r="G7" s="66"/>
    </row>
    <row r="8" spans="1:7" ht="12.75">
      <c r="A8" s="4" t="s">
        <v>18</v>
      </c>
      <c r="B8" s="32"/>
      <c r="C8" s="52">
        <f>SUM('School Tax'!Z14)</f>
        <v>0.06520240157414103</v>
      </c>
      <c r="D8" s="50">
        <f t="shared" si="0"/>
        <v>179</v>
      </c>
      <c r="G8" s="66"/>
    </row>
    <row r="9" spans="1:7" ht="12.75">
      <c r="A9" s="4" t="s">
        <v>19</v>
      </c>
      <c r="B9" s="32"/>
      <c r="C9" s="52">
        <f>SUM('School Tax'!Z15)</f>
        <v>0.057266380973575406</v>
      </c>
      <c r="D9" s="50">
        <f t="shared" si="0"/>
        <v>157</v>
      </c>
      <c r="G9" s="66"/>
    </row>
    <row r="10" spans="1:7" ht="12.75">
      <c r="A10" s="4" t="s">
        <v>20</v>
      </c>
      <c r="B10" s="32"/>
      <c r="C10" s="52">
        <f>SUM('School Tax'!Z16)</f>
        <v>0.21088945147943366</v>
      </c>
      <c r="D10" s="50">
        <f t="shared" si="0"/>
        <v>579</v>
      </c>
      <c r="G10" s="66"/>
    </row>
    <row r="11" spans="1:7" ht="12.75">
      <c r="A11" s="4" t="s">
        <v>21</v>
      </c>
      <c r="B11" s="32"/>
      <c r="C11" s="52">
        <f>SUM('School Tax'!Z17)</f>
        <v>0</v>
      </c>
      <c r="D11" s="50">
        <f t="shared" si="0"/>
        <v>0</v>
      </c>
      <c r="G11" s="66"/>
    </row>
    <row r="12" spans="1:7" ht="12.75">
      <c r="A12" s="4" t="s">
        <v>22</v>
      </c>
      <c r="B12" s="32"/>
      <c r="C12" s="52">
        <f>SUM('School Tax'!Z18)</f>
        <v>0.06265118860398236</v>
      </c>
      <c r="D12" s="50">
        <f t="shared" si="0"/>
        <v>172</v>
      </c>
      <c r="G12" s="66"/>
    </row>
    <row r="13" spans="1:7" ht="12.75">
      <c r="A13" s="4" t="s">
        <v>23</v>
      </c>
      <c r="B13" s="32"/>
      <c r="C13" s="52">
        <f>SUM('School Tax'!Z19)</f>
        <v>0.026772678437263744</v>
      </c>
      <c r="D13" s="50">
        <f t="shared" si="0"/>
        <v>73</v>
      </c>
      <c r="G13" s="66"/>
    </row>
    <row r="14" spans="1:7" ht="12.75">
      <c r="A14" s="4" t="s">
        <v>24</v>
      </c>
      <c r="B14" s="32"/>
      <c r="C14" s="52">
        <f>SUM('School Tax'!Z20)</f>
        <v>0.04713818672626146</v>
      </c>
      <c r="D14" s="50">
        <f t="shared" si="0"/>
        <v>129</v>
      </c>
      <c r="G14" s="66"/>
    </row>
    <row r="15" spans="1:7" ht="12.75">
      <c r="A15" s="4" t="s">
        <v>25</v>
      </c>
      <c r="B15" s="32"/>
      <c r="C15" s="52">
        <f>SUM('School Tax'!Z21)</f>
        <v>0</v>
      </c>
      <c r="D15" s="50">
        <f t="shared" si="0"/>
        <v>0</v>
      </c>
      <c r="G15" s="66"/>
    </row>
    <row r="16" spans="1:7" ht="12.75">
      <c r="A16" s="4" t="s">
        <v>26</v>
      </c>
      <c r="B16" s="32"/>
      <c r="C16" s="52">
        <f>SUM('School Tax'!Z22)</f>
        <v>0.02017425531606998</v>
      </c>
      <c r="D16" s="50">
        <f t="shared" si="0"/>
        <v>55</v>
      </c>
      <c r="G16" s="66"/>
    </row>
    <row r="17" spans="1:7" ht="12.75">
      <c r="A17" s="4" t="s">
        <v>27</v>
      </c>
      <c r="B17" s="32"/>
      <c r="C17" s="52">
        <f>SUM('School Tax'!Z23)</f>
        <v>0.01347688127023263</v>
      </c>
      <c r="D17" s="50">
        <f t="shared" si="0"/>
        <v>37</v>
      </c>
      <c r="G17" s="66"/>
    </row>
    <row r="18" spans="1:7" ht="12.75">
      <c r="A18" s="4" t="s">
        <v>28</v>
      </c>
      <c r="B18" s="32"/>
      <c r="C18" s="52">
        <f>SUM('School Tax'!Z24)</f>
        <v>0.06223582938670373</v>
      </c>
      <c r="D18" s="50">
        <f t="shared" si="0"/>
        <v>171</v>
      </c>
      <c r="G18" s="66"/>
    </row>
    <row r="19" spans="1:7" ht="12.75">
      <c r="A19" s="4" t="s">
        <v>29</v>
      </c>
      <c r="B19" s="32"/>
      <c r="C19" s="52">
        <f>SUM('School Tax'!Z25)</f>
        <v>0</v>
      </c>
      <c r="D19" s="50">
        <f t="shared" si="0"/>
        <v>0</v>
      </c>
      <c r="G19" s="66"/>
    </row>
    <row r="20" spans="1:7" ht="12.75">
      <c r="A20" s="4" t="s">
        <v>30</v>
      </c>
      <c r="B20" s="32"/>
      <c r="C20" s="52">
        <f>SUM('School Tax'!Z26)</f>
        <v>0.017943361742287205</v>
      </c>
      <c r="D20" s="50">
        <f t="shared" si="0"/>
        <v>49</v>
      </c>
      <c r="G20" s="66"/>
    </row>
    <row r="21" spans="1:7" ht="12.75">
      <c r="A21" s="4" t="s">
        <v>31</v>
      </c>
      <c r="B21" s="32"/>
      <c r="C21" s="52">
        <f>SUM('School Tax'!Z27)</f>
        <v>0.0009367093459343881</v>
      </c>
      <c r="D21" s="50">
        <f t="shared" si="0"/>
        <v>3</v>
      </c>
      <c r="G21" s="66"/>
    </row>
    <row r="22" spans="1:7" ht="12.75">
      <c r="A22" s="4" t="s">
        <v>32</v>
      </c>
      <c r="B22" s="32"/>
      <c r="C22" s="52">
        <f>SUM('School Tax'!Z28)</f>
        <v>0.039500974451497035</v>
      </c>
      <c r="D22" s="50">
        <f t="shared" si="0"/>
        <v>108</v>
      </c>
      <c r="G22" s="66"/>
    </row>
    <row r="23" spans="1:7" ht="12.75">
      <c r="A23" s="4" t="s">
        <v>33</v>
      </c>
      <c r="B23" s="32"/>
      <c r="C23" s="52">
        <f>SUM('School Tax'!Z29)</f>
        <v>0.003026020964298272</v>
      </c>
      <c r="D23" s="50">
        <f t="shared" si="0"/>
        <v>8</v>
      </c>
      <c r="G23" s="66"/>
    </row>
    <row r="24" spans="1:7" ht="12.75">
      <c r="A24" s="4" t="s">
        <v>34</v>
      </c>
      <c r="B24" s="32"/>
      <c r="C24" s="52">
        <f>SUM('School Tax'!Z30)</f>
        <v>0</v>
      </c>
      <c r="D24" s="50">
        <f t="shared" si="0"/>
        <v>0</v>
      </c>
      <c r="G24" s="66"/>
    </row>
    <row r="25" spans="1:7" ht="12.75">
      <c r="A25" s="4" t="s">
        <v>35</v>
      </c>
      <c r="B25" s="32"/>
      <c r="C25" s="52">
        <f>SUM('School Tax'!Z31)</f>
        <v>0.002633737259090676</v>
      </c>
      <c r="D25" s="50">
        <f t="shared" si="0"/>
        <v>7</v>
      </c>
      <c r="F25" s="76"/>
      <c r="G25" s="66"/>
    </row>
    <row r="26" spans="1:7" ht="12.75">
      <c r="A26" s="4" t="s">
        <v>36</v>
      </c>
      <c r="B26" s="32"/>
      <c r="C26" s="52">
        <f>SUM('School Tax'!Z32)</f>
        <v>0</v>
      </c>
      <c r="D26" s="50">
        <f t="shared" si="0"/>
        <v>0</v>
      </c>
      <c r="F26" s="76"/>
      <c r="G26" s="66"/>
    </row>
    <row r="27" spans="1:7" ht="12.75">
      <c r="A27" s="4" t="s">
        <v>37</v>
      </c>
      <c r="B27" s="32"/>
      <c r="C27" s="52"/>
      <c r="D27" s="50">
        <f t="shared" si="0"/>
        <v>0</v>
      </c>
      <c r="G27" s="66"/>
    </row>
    <row r="28" spans="1:4" ht="12.75">
      <c r="A28" s="4" t="s">
        <v>38</v>
      </c>
      <c r="B28" s="32"/>
      <c r="C28" s="52"/>
      <c r="D28" s="50">
        <f t="shared" si="0"/>
        <v>0</v>
      </c>
    </row>
    <row r="29" spans="1:4" ht="12.75">
      <c r="A29" s="4" t="s">
        <v>39</v>
      </c>
      <c r="B29" s="32"/>
      <c r="C29" s="17"/>
      <c r="D29" s="17"/>
    </row>
    <row r="30" spans="1:4" ht="12.75">
      <c r="A30" s="4" t="s">
        <v>8</v>
      </c>
      <c r="B30" s="32"/>
      <c r="C30" s="17"/>
      <c r="D30" s="17"/>
    </row>
    <row r="31" spans="1:4" ht="12.75">
      <c r="A31" s="4" t="s">
        <v>52</v>
      </c>
      <c r="B31" s="32"/>
      <c r="C31" s="17"/>
      <c r="D31" s="17"/>
    </row>
    <row r="32" spans="1:4" ht="12.75">
      <c r="A32" s="4" t="s">
        <v>40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3"/>
      <c r="C35" s="33"/>
      <c r="D35" s="50"/>
    </row>
    <row r="36" spans="1:4" ht="12.75">
      <c r="A36" s="4" t="s">
        <v>165</v>
      </c>
      <c r="B36" s="32"/>
      <c r="C36" s="33"/>
      <c r="D36" s="50"/>
    </row>
    <row r="37" spans="1:4" ht="12.75">
      <c r="A37" s="4" t="s">
        <v>147</v>
      </c>
      <c r="B37" s="18"/>
      <c r="C37" s="17"/>
      <c r="D37" s="18"/>
    </row>
    <row r="38" spans="1:4" ht="12.75">
      <c r="A38" s="20" t="s">
        <v>41</v>
      </c>
      <c r="B38" s="51">
        <f>SUM(B5:B37)</f>
        <v>0</v>
      </c>
      <c r="C38" s="48">
        <f>SUM(C5:C37)</f>
        <v>0.9999999999999998</v>
      </c>
      <c r="D38" s="51">
        <f>SUM(D5:D37)</f>
        <v>2744</v>
      </c>
    </row>
    <row r="39" ht="12.75">
      <c r="A39" s="23" t="s">
        <v>70</v>
      </c>
    </row>
    <row r="40" ht="12.75">
      <c r="D40" s="76"/>
    </row>
    <row r="43" ht="12.75">
      <c r="D43" s="97">
        <v>2744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D17" sqref="D17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</cols>
  <sheetData>
    <row r="2" ht="18">
      <c r="A2" s="25" t="s">
        <v>68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148</v>
      </c>
      <c r="C4" s="21" t="s">
        <v>43</v>
      </c>
      <c r="D4" s="22" t="s">
        <v>44</v>
      </c>
    </row>
    <row r="5" spans="1:4" ht="12.75">
      <c r="A5" s="4" t="s">
        <v>0</v>
      </c>
      <c r="B5" s="35">
        <f>SUM('FY06 PB'!B6)</f>
        <v>4841774</v>
      </c>
      <c r="C5" s="47">
        <f>SUM(B5/$B$38)</f>
        <v>0.16942381038428178</v>
      </c>
      <c r="D5" s="35">
        <f>ROUND(C5*$D$43,0)</f>
        <v>1757</v>
      </c>
    </row>
    <row r="6" spans="1:4" ht="12.75">
      <c r="A6" s="4" t="s">
        <v>16</v>
      </c>
      <c r="B6" s="32">
        <f>SUM('FY06 PB'!B7)</f>
        <v>2951270</v>
      </c>
      <c r="C6" s="47">
        <f aca="true" t="shared" si="0" ref="C6:C30">SUM(B6/$B$38)</f>
        <v>0.10327111692384222</v>
      </c>
      <c r="D6" s="32">
        <f>ROUND(C6*$D$43,0)</f>
        <v>1071</v>
      </c>
    </row>
    <row r="7" spans="1:4" ht="12.75">
      <c r="A7" s="4" t="s">
        <v>17</v>
      </c>
      <c r="B7" s="32">
        <f>SUM('FY06 PB'!B8)</f>
        <v>393269</v>
      </c>
      <c r="C7" s="47">
        <f t="shared" si="0"/>
        <v>0.013761305770574196</v>
      </c>
      <c r="D7" s="32">
        <f aca="true" t="shared" si="1" ref="D7:D30">ROUND(C7*$D$43,0)</f>
        <v>143</v>
      </c>
    </row>
    <row r="8" spans="1:4" ht="12.75">
      <c r="A8" s="4" t="s">
        <v>18</v>
      </c>
      <c r="B8" s="32">
        <f>SUM('FY06 PB'!B9)</f>
        <v>1872146</v>
      </c>
      <c r="C8" s="47">
        <f t="shared" si="0"/>
        <v>0.06551030860087471</v>
      </c>
      <c r="D8" s="32">
        <f t="shared" si="1"/>
        <v>679</v>
      </c>
    </row>
    <row r="9" spans="1:4" ht="12.75">
      <c r="A9" s="4" t="s">
        <v>19</v>
      </c>
      <c r="B9" s="32">
        <f>SUM('FY06 PB'!B10)</f>
        <v>1550260</v>
      </c>
      <c r="C9" s="47">
        <f t="shared" si="0"/>
        <v>0.0542468434681868</v>
      </c>
      <c r="D9" s="32">
        <f t="shared" si="1"/>
        <v>562</v>
      </c>
    </row>
    <row r="10" spans="1:4" ht="12.75">
      <c r="A10" s="4" t="s">
        <v>20</v>
      </c>
      <c r="B10" s="32">
        <f>SUM('FY06 PB'!B11)</f>
        <v>4459395</v>
      </c>
      <c r="C10" s="47">
        <f t="shared" si="0"/>
        <v>0.15604356851612947</v>
      </c>
      <c r="D10" s="32">
        <f t="shared" si="1"/>
        <v>1618</v>
      </c>
    </row>
    <row r="11" spans="1:4" ht="12.75">
      <c r="A11" s="4" t="s">
        <v>21</v>
      </c>
      <c r="B11" s="32">
        <f>SUM('FY06 PB'!B12)</f>
        <v>1955170</v>
      </c>
      <c r="C11" s="47">
        <f t="shared" si="0"/>
        <v>0.0684154922036915</v>
      </c>
      <c r="D11" s="32">
        <f t="shared" si="1"/>
        <v>709</v>
      </c>
    </row>
    <row r="12" spans="1:4" ht="12.75">
      <c r="A12" s="4" t="s">
        <v>22</v>
      </c>
      <c r="B12" s="32">
        <f>SUM('FY06 PB'!B13)</f>
        <v>1277544</v>
      </c>
      <c r="C12" s="47">
        <f t="shared" si="0"/>
        <v>0.044703939591888606</v>
      </c>
      <c r="D12" s="32">
        <f t="shared" si="1"/>
        <v>464</v>
      </c>
    </row>
    <row r="13" spans="1:4" ht="12.75">
      <c r="A13" s="4" t="s">
        <v>23</v>
      </c>
      <c r="B13" s="32">
        <f>SUM('FY06 PB'!B14)</f>
        <v>673491</v>
      </c>
      <c r="C13" s="47">
        <f t="shared" si="0"/>
        <v>0.023566860303583008</v>
      </c>
      <c r="D13" s="32">
        <f t="shared" si="1"/>
        <v>244</v>
      </c>
    </row>
    <row r="14" spans="1:4" ht="12.75">
      <c r="A14" s="4" t="s">
        <v>24</v>
      </c>
      <c r="B14" s="32">
        <f>SUM('FY06 PB'!B15)</f>
        <v>647608</v>
      </c>
      <c r="C14" s="47">
        <f t="shared" si="0"/>
        <v>0.022661159937523715</v>
      </c>
      <c r="D14" s="32">
        <f t="shared" si="1"/>
        <v>235</v>
      </c>
    </row>
    <row r="15" spans="1:4" ht="12.75">
      <c r="A15" s="4" t="s">
        <v>25</v>
      </c>
      <c r="B15" s="32">
        <f>SUM('FY06 PB'!B16)</f>
        <v>1057203</v>
      </c>
      <c r="C15" s="47">
        <f t="shared" si="0"/>
        <v>0.036993746632885766</v>
      </c>
      <c r="D15" s="32">
        <f t="shared" si="1"/>
        <v>384</v>
      </c>
    </row>
    <row r="16" spans="1:4" ht="12.75">
      <c r="A16" s="4" t="s">
        <v>26</v>
      </c>
      <c r="B16" s="32">
        <f>SUM('FY06 PB'!B17)</f>
        <v>513063</v>
      </c>
      <c r="C16" s="47">
        <f t="shared" si="0"/>
        <v>0.017953148665590498</v>
      </c>
      <c r="D16" s="32">
        <f t="shared" si="1"/>
        <v>186</v>
      </c>
    </row>
    <row r="17" spans="1:4" ht="12.75">
      <c r="A17" s="4" t="s">
        <v>27</v>
      </c>
      <c r="B17" s="32">
        <f>SUM('FY06 PB'!B18)</f>
        <v>397432</v>
      </c>
      <c r="C17" s="47">
        <f t="shared" si="0"/>
        <v>0.013906977857422894</v>
      </c>
      <c r="D17" s="32">
        <f t="shared" si="1"/>
        <v>144</v>
      </c>
    </row>
    <row r="18" spans="1:4" ht="12.75">
      <c r="A18" s="4" t="s">
        <v>28</v>
      </c>
      <c r="B18" s="32">
        <f>SUM('FY06 PB'!B19)</f>
        <v>1417692</v>
      </c>
      <c r="C18" s="47">
        <f t="shared" si="0"/>
        <v>0.049608011565866805</v>
      </c>
      <c r="D18" s="32">
        <f t="shared" si="1"/>
        <v>514</v>
      </c>
    </row>
    <row r="19" spans="1:4" ht="12.75">
      <c r="A19" s="4" t="s">
        <v>29</v>
      </c>
      <c r="B19" s="32">
        <f>SUM('FY06 PB'!B20)</f>
        <v>1010130</v>
      </c>
      <c r="C19" s="47">
        <f t="shared" si="0"/>
        <v>0.03534656379737562</v>
      </c>
      <c r="D19" s="32">
        <f t="shared" si="1"/>
        <v>367</v>
      </c>
    </row>
    <row r="20" spans="1:4" ht="12.75">
      <c r="A20" s="4" t="s">
        <v>30</v>
      </c>
      <c r="B20" s="32">
        <f>SUM('FY06 PB'!B21)</f>
        <v>440333</v>
      </c>
      <c r="C20" s="47">
        <f t="shared" si="0"/>
        <v>0.015408173677239364</v>
      </c>
      <c r="D20" s="32">
        <f t="shared" si="1"/>
        <v>160</v>
      </c>
    </row>
    <row r="21" spans="1:4" ht="12.75">
      <c r="A21" s="4" t="s">
        <v>31</v>
      </c>
      <c r="B21" s="32">
        <f>SUM('FY06 PB'!B22)</f>
        <v>138729</v>
      </c>
      <c r="C21" s="47">
        <f t="shared" si="0"/>
        <v>0.004854418192753529</v>
      </c>
      <c r="D21" s="32">
        <f t="shared" si="1"/>
        <v>50</v>
      </c>
    </row>
    <row r="22" spans="1:4" ht="12.75">
      <c r="A22" s="4" t="s">
        <v>32</v>
      </c>
      <c r="B22" s="32">
        <f>SUM('FY06 PB'!B23)</f>
        <v>490959</v>
      </c>
      <c r="C22" s="47">
        <f t="shared" si="0"/>
        <v>0.01717968342232756</v>
      </c>
      <c r="D22" s="32">
        <f t="shared" si="1"/>
        <v>178</v>
      </c>
    </row>
    <row r="23" spans="1:4" ht="12.75">
      <c r="A23" s="4" t="s">
        <v>33</v>
      </c>
      <c r="B23" s="32">
        <f>SUM('FY06 PB'!B24)</f>
        <v>299808</v>
      </c>
      <c r="C23" s="47">
        <f t="shared" si="0"/>
        <v>0.010490909683866028</v>
      </c>
      <c r="D23" s="32">
        <f t="shared" si="1"/>
        <v>109</v>
      </c>
    </row>
    <row r="24" spans="1:4" ht="12.75">
      <c r="A24" s="4" t="s">
        <v>34</v>
      </c>
      <c r="B24" s="32">
        <f>SUM('FY06 PB'!B25)</f>
        <v>1100203</v>
      </c>
      <c r="C24" s="47">
        <f t="shared" si="0"/>
        <v>0.03849840666999698</v>
      </c>
      <c r="D24" s="32">
        <f t="shared" si="1"/>
        <v>399</v>
      </c>
    </row>
    <row r="25" spans="1:4" ht="12.75">
      <c r="A25" s="4" t="s">
        <v>35</v>
      </c>
      <c r="B25" s="32">
        <f>SUM('FY06 PB'!B26)</f>
        <v>122692</v>
      </c>
      <c r="C25" s="47">
        <f t="shared" si="0"/>
        <v>0.004293249983098818</v>
      </c>
      <c r="D25" s="32">
        <f t="shared" si="1"/>
        <v>45</v>
      </c>
    </row>
    <row r="26" spans="1:4" ht="12.75">
      <c r="A26" s="4" t="s">
        <v>36</v>
      </c>
      <c r="B26" s="32">
        <f>SUM('FY06 PB'!B27)</f>
        <v>197379</v>
      </c>
      <c r="C26" s="47">
        <f t="shared" si="0"/>
        <v>0.006906704499185454</v>
      </c>
      <c r="D26" s="32">
        <f t="shared" si="1"/>
        <v>72</v>
      </c>
    </row>
    <row r="27" spans="1:4" ht="12.75">
      <c r="A27" s="4" t="s">
        <v>37</v>
      </c>
      <c r="B27" s="32">
        <f>SUM('FY06 PB'!B28)</f>
        <v>67048</v>
      </c>
      <c r="C27" s="47">
        <f t="shared" si="0"/>
        <v>0.0023461499108891337</v>
      </c>
      <c r="D27" s="32">
        <f t="shared" si="1"/>
        <v>24</v>
      </c>
    </row>
    <row r="28" spans="1:4" ht="12.75">
      <c r="A28" s="4" t="s">
        <v>38</v>
      </c>
      <c r="B28" s="32">
        <f>SUM('FY06 PB'!B29)</f>
        <v>318091</v>
      </c>
      <c r="C28" s="47">
        <f t="shared" si="0"/>
        <v>0.011130670136389385</v>
      </c>
      <c r="D28" s="32">
        <f t="shared" si="1"/>
        <v>115</v>
      </c>
    </row>
    <row r="29" spans="1:4" ht="12.75">
      <c r="A29" s="4" t="s">
        <v>39</v>
      </c>
      <c r="B29" s="32">
        <v>0</v>
      </c>
      <c r="C29" s="47">
        <v>0</v>
      </c>
      <c r="D29" s="32">
        <f t="shared" si="1"/>
        <v>0</v>
      </c>
    </row>
    <row r="30" spans="1:4" ht="12.75">
      <c r="A30" s="4" t="s">
        <v>8</v>
      </c>
      <c r="B30" s="32">
        <f>SUM('FY06 PB'!B31)</f>
        <v>385195</v>
      </c>
      <c r="C30" s="47">
        <f t="shared" si="0"/>
        <v>0.013478779604536152</v>
      </c>
      <c r="D30" s="32">
        <f t="shared" si="1"/>
        <v>140</v>
      </c>
    </row>
    <row r="31" spans="1:4" ht="12.75">
      <c r="A31" s="4" t="s">
        <v>52</v>
      </c>
      <c r="B31" s="33"/>
      <c r="C31" s="47"/>
      <c r="D31" s="32"/>
    </row>
    <row r="32" spans="1:4" ht="12.75">
      <c r="A32" s="4" t="s">
        <v>40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3"/>
      <c r="C35" s="33"/>
      <c r="D35" s="50"/>
    </row>
    <row r="36" spans="1:4" ht="12.75">
      <c r="A36" s="4" t="s">
        <v>165</v>
      </c>
      <c r="B36" s="32"/>
      <c r="C36" s="33"/>
      <c r="D36" s="50"/>
    </row>
    <row r="37" spans="1:4" ht="12.75">
      <c r="A37" s="4" t="s">
        <v>147</v>
      </c>
      <c r="B37" s="18"/>
      <c r="C37" s="17"/>
      <c r="D37" s="18"/>
    </row>
    <row r="38" spans="1:6" ht="12.75">
      <c r="A38" s="20" t="s">
        <v>41</v>
      </c>
      <c r="B38" s="51">
        <f>SUM(B5:B37)</f>
        <v>28577884</v>
      </c>
      <c r="C38" s="48">
        <f>SUM(C5:C37)</f>
        <v>0.9999999999999998</v>
      </c>
      <c r="D38" s="51">
        <f>SUM(D5:D37)</f>
        <v>10369</v>
      </c>
      <c r="F38" s="76"/>
    </row>
    <row r="39" ht="12.75">
      <c r="A39" s="23" t="s">
        <v>69</v>
      </c>
    </row>
    <row r="40" ht="12.75">
      <c r="A40" s="125"/>
    </row>
    <row r="43" ht="12.75">
      <c r="D43" s="98">
        <v>10369</v>
      </c>
    </row>
  </sheetData>
  <mergeCells count="1">
    <mergeCell ref="B3:D3"/>
  </mergeCells>
  <printOptions/>
  <pageMargins left="0.75" right="0.75" top="1" bottom="1" header="0.51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D38" sqref="D38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  <col min="6" max="6" width="12.7109375" style="0" customWidth="1"/>
  </cols>
  <sheetData>
    <row r="2" ht="18">
      <c r="A2" s="25" t="s">
        <v>72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6" ht="12.75">
      <c r="A5" s="4" t="s">
        <v>0</v>
      </c>
      <c r="B5" s="33">
        <v>9420</v>
      </c>
      <c r="C5" s="47">
        <f>SUM(B5/$B$38)</f>
        <v>0.44595938076977704</v>
      </c>
      <c r="D5" s="35">
        <f>ROUND(C5*$D$43,0)</f>
        <v>3705</v>
      </c>
      <c r="F5" s="76"/>
    </row>
    <row r="6" spans="1:4" ht="12.75">
      <c r="A6" s="4" t="s">
        <v>16</v>
      </c>
      <c r="B6" s="33">
        <v>1065</v>
      </c>
      <c r="C6" s="47">
        <f>SUM(B6/$B$38)</f>
        <v>0.05041897457747479</v>
      </c>
      <c r="D6" s="32">
        <f>ROUND(C6*$D$43,0)</f>
        <v>419</v>
      </c>
    </row>
    <row r="7" spans="1:4" ht="12.75">
      <c r="A7" s="4" t="s">
        <v>17</v>
      </c>
      <c r="B7" s="33">
        <v>513</v>
      </c>
      <c r="C7" s="47">
        <f aca="true" t="shared" si="0" ref="C7:C37">SUM(B7/$B$38)</f>
        <v>0.024286322965487855</v>
      </c>
      <c r="D7" s="32">
        <f aca="true" t="shared" si="1" ref="D7:D35">ROUND(C7*$D$43,0)</f>
        <v>202</v>
      </c>
    </row>
    <row r="8" spans="1:4" ht="12.75">
      <c r="A8" s="4" t="s">
        <v>18</v>
      </c>
      <c r="B8" s="33">
        <v>910</v>
      </c>
      <c r="C8" s="47">
        <f t="shared" si="0"/>
        <v>0.04308100175164513</v>
      </c>
      <c r="D8" s="32">
        <f t="shared" si="1"/>
        <v>358</v>
      </c>
    </row>
    <row r="9" spans="1:4" ht="12.75">
      <c r="A9" s="4" t="s">
        <v>19</v>
      </c>
      <c r="B9" s="33">
        <v>1093</v>
      </c>
      <c r="C9" s="47">
        <f t="shared" si="0"/>
        <v>0.05174454386214079</v>
      </c>
      <c r="D9" s="32">
        <f t="shared" si="1"/>
        <v>430</v>
      </c>
    </row>
    <row r="10" spans="1:4" ht="12.75">
      <c r="A10" s="4" t="s">
        <v>20</v>
      </c>
      <c r="B10" s="33">
        <v>3157</v>
      </c>
      <c r="C10" s="47">
        <f t="shared" si="0"/>
        <v>0.14945793684609193</v>
      </c>
      <c r="D10" s="32">
        <f t="shared" si="1"/>
        <v>1242</v>
      </c>
    </row>
    <row r="11" spans="1:4" ht="12.75">
      <c r="A11" s="4" t="s">
        <v>21</v>
      </c>
      <c r="B11" s="33">
        <v>2</v>
      </c>
      <c r="C11" s="47">
        <f t="shared" si="0"/>
        <v>9.4683520333286E-05</v>
      </c>
      <c r="D11" s="32">
        <f t="shared" si="1"/>
        <v>1</v>
      </c>
    </row>
    <row r="12" spans="1:4" ht="12.75">
      <c r="A12" s="4" t="s">
        <v>22</v>
      </c>
      <c r="B12" s="33">
        <v>864</v>
      </c>
      <c r="C12" s="47">
        <f t="shared" si="0"/>
        <v>0.04090328078397955</v>
      </c>
      <c r="D12" s="32">
        <f t="shared" si="1"/>
        <v>340</v>
      </c>
    </row>
    <row r="13" spans="1:4" ht="12.75">
      <c r="A13" s="4" t="s">
        <v>23</v>
      </c>
      <c r="B13" s="33">
        <v>187</v>
      </c>
      <c r="C13" s="47">
        <f t="shared" si="0"/>
        <v>0.00885290915116224</v>
      </c>
      <c r="D13" s="32">
        <f t="shared" si="1"/>
        <v>74</v>
      </c>
    </row>
    <row r="14" spans="1:4" ht="12.75">
      <c r="A14" s="4" t="s">
        <v>24</v>
      </c>
      <c r="B14" s="33">
        <v>315</v>
      </c>
      <c r="C14" s="47">
        <f t="shared" si="0"/>
        <v>0.014912654452492544</v>
      </c>
      <c r="D14" s="32">
        <f t="shared" si="1"/>
        <v>124</v>
      </c>
    </row>
    <row r="15" spans="1:4" ht="12.75">
      <c r="A15" s="4" t="s">
        <v>25</v>
      </c>
      <c r="B15" s="33">
        <v>287</v>
      </c>
      <c r="C15" s="47">
        <f t="shared" si="0"/>
        <v>0.01358708516782654</v>
      </c>
      <c r="D15" s="32">
        <f t="shared" si="1"/>
        <v>113</v>
      </c>
    </row>
    <row r="16" spans="1:4" ht="12.75">
      <c r="A16" s="4" t="s">
        <v>26</v>
      </c>
      <c r="B16" s="33">
        <v>356</v>
      </c>
      <c r="C16" s="47">
        <f t="shared" si="0"/>
        <v>0.016853666619324907</v>
      </c>
      <c r="D16" s="32">
        <f t="shared" si="1"/>
        <v>140</v>
      </c>
    </row>
    <row r="17" spans="1:4" ht="12.75">
      <c r="A17" s="4" t="s">
        <v>27</v>
      </c>
      <c r="B17" s="33">
        <v>106</v>
      </c>
      <c r="C17" s="47">
        <f t="shared" si="0"/>
        <v>0.005018226577664158</v>
      </c>
      <c r="D17" s="32">
        <f t="shared" si="1"/>
        <v>42</v>
      </c>
    </row>
    <row r="18" spans="1:4" ht="12.75">
      <c r="A18" s="4" t="s">
        <v>28</v>
      </c>
      <c r="B18" s="33">
        <v>469</v>
      </c>
      <c r="C18" s="47">
        <f t="shared" si="0"/>
        <v>0.022203285518155567</v>
      </c>
      <c r="D18" s="32">
        <f t="shared" si="1"/>
        <v>184</v>
      </c>
    </row>
    <row r="19" spans="1:4" ht="12.75">
      <c r="A19" s="4" t="s">
        <v>29</v>
      </c>
      <c r="B19" s="33">
        <v>194</v>
      </c>
      <c r="C19" s="47">
        <f t="shared" si="0"/>
        <v>0.009184301472328741</v>
      </c>
      <c r="D19" s="32">
        <f t="shared" si="1"/>
        <v>76</v>
      </c>
    </row>
    <row r="20" spans="1:4" ht="12.75">
      <c r="A20" s="4" t="s">
        <v>30</v>
      </c>
      <c r="B20" s="33">
        <v>107</v>
      </c>
      <c r="C20" s="47">
        <f t="shared" si="0"/>
        <v>0.0050655683378308</v>
      </c>
      <c r="D20" s="32">
        <f t="shared" si="1"/>
        <v>42</v>
      </c>
    </row>
    <row r="21" spans="1:4" ht="12.75">
      <c r="A21" s="4" t="s">
        <v>31</v>
      </c>
      <c r="B21" s="33">
        <v>2</v>
      </c>
      <c r="C21" s="47">
        <f t="shared" si="0"/>
        <v>9.4683520333286E-05</v>
      </c>
      <c r="D21" s="32">
        <f t="shared" si="1"/>
        <v>1</v>
      </c>
    </row>
    <row r="22" spans="1:4" ht="12.75">
      <c r="A22" s="4" t="s">
        <v>32</v>
      </c>
      <c r="B22" s="33">
        <v>391</v>
      </c>
      <c r="C22" s="47">
        <f t="shared" si="0"/>
        <v>0.01851062822515741</v>
      </c>
      <c r="D22" s="32">
        <f t="shared" si="1"/>
        <v>154</v>
      </c>
    </row>
    <row r="23" spans="1:4" ht="12.75">
      <c r="A23" s="4" t="s">
        <v>33</v>
      </c>
      <c r="B23" s="33">
        <v>0</v>
      </c>
      <c r="C23" s="47">
        <f t="shared" si="0"/>
        <v>0</v>
      </c>
      <c r="D23" s="32">
        <f t="shared" si="1"/>
        <v>0</v>
      </c>
    </row>
    <row r="24" spans="1:4" ht="12.75">
      <c r="A24" s="4" t="s">
        <v>34</v>
      </c>
      <c r="B24" s="33">
        <v>0</v>
      </c>
      <c r="C24" s="47">
        <f t="shared" si="0"/>
        <v>0</v>
      </c>
      <c r="D24" s="32">
        <f t="shared" si="1"/>
        <v>0</v>
      </c>
    </row>
    <row r="25" spans="1:4" ht="12.75">
      <c r="A25" s="4" t="s">
        <v>35</v>
      </c>
      <c r="B25" s="33">
        <v>4</v>
      </c>
      <c r="C25" s="47">
        <f t="shared" si="0"/>
        <v>0.000189367040666572</v>
      </c>
      <c r="D25" s="32">
        <f t="shared" si="1"/>
        <v>2</v>
      </c>
    </row>
    <row r="26" spans="1:4" ht="12.75">
      <c r="A26" s="4" t="s">
        <v>36</v>
      </c>
      <c r="B26" s="33">
        <v>0</v>
      </c>
      <c r="C26" s="47">
        <f t="shared" si="0"/>
        <v>0</v>
      </c>
      <c r="D26" s="32">
        <f t="shared" si="1"/>
        <v>0</v>
      </c>
    </row>
    <row r="27" spans="1:4" ht="12.75">
      <c r="A27" s="4" t="s">
        <v>37</v>
      </c>
      <c r="B27" s="33">
        <v>0</v>
      </c>
      <c r="C27" s="47">
        <f t="shared" si="0"/>
        <v>0</v>
      </c>
      <c r="D27" s="32">
        <f t="shared" si="1"/>
        <v>0</v>
      </c>
    </row>
    <row r="28" spans="1:4" ht="12.75">
      <c r="A28" s="4" t="s">
        <v>38</v>
      </c>
      <c r="B28" s="33">
        <v>13</v>
      </c>
      <c r="C28" s="47">
        <f t="shared" si="0"/>
        <v>0.000615442882166359</v>
      </c>
      <c r="D28" s="32">
        <f t="shared" si="1"/>
        <v>5</v>
      </c>
    </row>
    <row r="29" spans="1:4" ht="12.75">
      <c r="A29" s="4" t="s">
        <v>39</v>
      </c>
      <c r="B29" s="33">
        <v>1145</v>
      </c>
      <c r="C29" s="47">
        <f t="shared" si="0"/>
        <v>0.05420631539080623</v>
      </c>
      <c r="D29" s="32">
        <f t="shared" si="1"/>
        <v>450</v>
      </c>
    </row>
    <row r="30" spans="1:4" ht="12.75">
      <c r="A30" s="4" t="s">
        <v>8</v>
      </c>
      <c r="B30" s="33">
        <v>0</v>
      </c>
      <c r="C30" s="47">
        <f t="shared" si="0"/>
        <v>0</v>
      </c>
      <c r="D30" s="32">
        <f t="shared" si="1"/>
        <v>0</v>
      </c>
    </row>
    <row r="31" spans="1:4" ht="12.75">
      <c r="A31" s="4" t="s">
        <v>52</v>
      </c>
      <c r="B31" s="33">
        <v>0</v>
      </c>
      <c r="C31" s="47">
        <f t="shared" si="0"/>
        <v>0</v>
      </c>
      <c r="D31" s="32">
        <f t="shared" si="1"/>
        <v>0</v>
      </c>
    </row>
    <row r="32" spans="1:4" ht="12.75">
      <c r="A32" s="4" t="s">
        <v>40</v>
      </c>
      <c r="B32" s="33">
        <v>392</v>
      </c>
      <c r="C32" s="47">
        <f t="shared" si="0"/>
        <v>0.018557969985324056</v>
      </c>
      <c r="D32" s="32">
        <f t="shared" si="1"/>
        <v>154</v>
      </c>
    </row>
    <row r="33" spans="1:4" ht="12.75">
      <c r="A33" s="4" t="s">
        <v>5</v>
      </c>
      <c r="B33" s="33">
        <v>0</v>
      </c>
      <c r="C33" s="47">
        <f t="shared" si="0"/>
        <v>0</v>
      </c>
      <c r="D33" s="32">
        <f t="shared" si="1"/>
        <v>0</v>
      </c>
    </row>
    <row r="34" spans="1:4" ht="12.75">
      <c r="A34" s="4" t="s">
        <v>6</v>
      </c>
      <c r="B34" s="33">
        <v>6</v>
      </c>
      <c r="C34" s="47">
        <f t="shared" si="0"/>
        <v>0.000284050560999858</v>
      </c>
      <c r="D34" s="32">
        <f t="shared" si="1"/>
        <v>2</v>
      </c>
    </row>
    <row r="35" spans="1:6" ht="12.75">
      <c r="A35" s="4" t="s">
        <v>9</v>
      </c>
      <c r="B35" s="33">
        <v>125</v>
      </c>
      <c r="C35" s="47">
        <f t="shared" si="0"/>
        <v>0.005917720020830374</v>
      </c>
      <c r="D35" s="32">
        <f t="shared" si="1"/>
        <v>49</v>
      </c>
      <c r="F35" s="76"/>
    </row>
    <row r="36" spans="1:6" ht="12.75">
      <c r="A36" s="4" t="s">
        <v>165</v>
      </c>
      <c r="B36" s="32">
        <v>0</v>
      </c>
      <c r="C36" s="47">
        <f t="shared" si="0"/>
        <v>0</v>
      </c>
      <c r="D36" s="50">
        <v>0</v>
      </c>
      <c r="F36" s="76"/>
    </row>
    <row r="37" spans="1:6" ht="12.75">
      <c r="A37" s="4" t="s">
        <v>147</v>
      </c>
      <c r="B37" s="37">
        <v>0</v>
      </c>
      <c r="C37" s="47">
        <f t="shared" si="0"/>
        <v>0</v>
      </c>
      <c r="D37" s="37">
        <v>0</v>
      </c>
      <c r="F37" s="76"/>
    </row>
    <row r="38" spans="1:4" ht="12.75">
      <c r="A38" s="20" t="s">
        <v>41</v>
      </c>
      <c r="B38" s="37">
        <f>SUM(B5:B37)</f>
        <v>21123</v>
      </c>
      <c r="C38" s="86">
        <f>SUM(C5:C37)</f>
        <v>0.9999999999999997</v>
      </c>
      <c r="D38" s="54">
        <f>SUM(D5:D37)</f>
        <v>8309</v>
      </c>
    </row>
    <row r="39" spans="1:4" ht="12.75">
      <c r="A39" s="23" t="s">
        <v>112</v>
      </c>
      <c r="D39" s="76"/>
    </row>
    <row r="40" ht="12.75">
      <c r="A40" s="23" t="s">
        <v>113</v>
      </c>
    </row>
    <row r="41" ht="12.75">
      <c r="D41" s="76"/>
    </row>
    <row r="42" ht="12.75">
      <c r="D42" s="76"/>
    </row>
    <row r="43" ht="12.75">
      <c r="D43" s="98">
        <v>8309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D12" sqref="D12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7109375" style="0" customWidth="1"/>
  </cols>
  <sheetData>
    <row r="2" ht="18">
      <c r="A2" s="25" t="s">
        <v>73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/>
      <c r="C4" s="21"/>
      <c r="D4" s="22" t="s">
        <v>44</v>
      </c>
    </row>
    <row r="5" spans="1:4" ht="12.75">
      <c r="A5" s="4" t="s">
        <v>0</v>
      </c>
      <c r="B5" s="33">
        <v>5580</v>
      </c>
      <c r="C5" s="47">
        <f>SUM(B5/$B$38)</f>
        <v>0.16758266510496442</v>
      </c>
      <c r="D5" s="129">
        <v>1944</v>
      </c>
    </row>
    <row r="6" spans="1:4" ht="12.75">
      <c r="A6" s="4" t="s">
        <v>16</v>
      </c>
      <c r="B6" s="33">
        <v>1695</v>
      </c>
      <c r="C6" s="47">
        <f aca="true" t="shared" si="0" ref="C6:C36">SUM(B6/$B$38)</f>
        <v>0.05090548698080908</v>
      </c>
      <c r="D6" s="134">
        <f>ROUND(C6*$D$43,0)</f>
        <v>591</v>
      </c>
    </row>
    <row r="7" spans="1:4" ht="12.75">
      <c r="A7" s="4" t="s">
        <v>17</v>
      </c>
      <c r="B7" s="33">
        <v>540</v>
      </c>
      <c r="C7" s="47">
        <f t="shared" si="0"/>
        <v>0.01621767726822236</v>
      </c>
      <c r="D7" s="134">
        <f aca="true" t="shared" si="1" ref="D7:D36">ROUND(C7*$D$43,0)</f>
        <v>188</v>
      </c>
    </row>
    <row r="8" spans="1:4" ht="12.75">
      <c r="A8" s="4" t="s">
        <v>18</v>
      </c>
      <c r="B8" s="33">
        <v>1290</v>
      </c>
      <c r="C8" s="47">
        <f t="shared" si="0"/>
        <v>0.03874222902964231</v>
      </c>
      <c r="D8" s="134">
        <f t="shared" si="1"/>
        <v>449</v>
      </c>
    </row>
    <row r="9" spans="1:4" ht="12.75">
      <c r="A9" s="4" t="s">
        <v>19</v>
      </c>
      <c r="B9" s="33">
        <v>1278</v>
      </c>
      <c r="C9" s="47">
        <f t="shared" si="0"/>
        <v>0.03838183620145959</v>
      </c>
      <c r="D9" s="134">
        <f t="shared" si="1"/>
        <v>445</v>
      </c>
    </row>
    <row r="10" spans="1:4" ht="12.75">
      <c r="A10" s="4" t="s">
        <v>20</v>
      </c>
      <c r="B10" s="33">
        <v>2898</v>
      </c>
      <c r="C10" s="47">
        <f t="shared" si="0"/>
        <v>0.08703486800612668</v>
      </c>
      <c r="D10" s="134">
        <f t="shared" si="1"/>
        <v>1010</v>
      </c>
    </row>
    <row r="11" spans="1:4" ht="12.75">
      <c r="A11" s="4" t="s">
        <v>21</v>
      </c>
      <c r="B11" s="33">
        <v>188</v>
      </c>
      <c r="C11" s="47">
        <f t="shared" si="0"/>
        <v>0.005646154308195934</v>
      </c>
      <c r="D11" s="134">
        <f t="shared" si="1"/>
        <v>65</v>
      </c>
    </row>
    <row r="12" spans="1:4" ht="12.75">
      <c r="A12" s="4" t="s">
        <v>22</v>
      </c>
      <c r="B12" s="33">
        <v>1332</v>
      </c>
      <c r="C12" s="47">
        <f t="shared" si="0"/>
        <v>0.040003603928281825</v>
      </c>
      <c r="D12" s="134">
        <f t="shared" si="1"/>
        <v>464</v>
      </c>
    </row>
    <row r="13" spans="1:4" ht="12.75">
      <c r="A13" s="4" t="s">
        <v>23</v>
      </c>
      <c r="B13" s="33">
        <v>636</v>
      </c>
      <c r="C13" s="47">
        <f t="shared" si="0"/>
        <v>0.019100819893684114</v>
      </c>
      <c r="D13" s="134">
        <f t="shared" si="1"/>
        <v>222</v>
      </c>
    </row>
    <row r="14" spans="1:4" ht="12.75">
      <c r="A14" s="4" t="s">
        <v>24</v>
      </c>
      <c r="B14" s="33">
        <v>39</v>
      </c>
      <c r="C14" s="47">
        <f t="shared" si="0"/>
        <v>0.0011712766915938373</v>
      </c>
      <c r="D14" s="134">
        <f t="shared" si="1"/>
        <v>14</v>
      </c>
    </row>
    <row r="15" spans="1:4" ht="12.75">
      <c r="A15" s="4" t="s">
        <v>25</v>
      </c>
      <c r="B15" s="33">
        <v>353</v>
      </c>
      <c r="C15" s="47">
        <f t="shared" si="0"/>
        <v>0.010601555695708323</v>
      </c>
      <c r="D15" s="134">
        <f t="shared" si="1"/>
        <v>123</v>
      </c>
    </row>
    <row r="16" spans="1:4" ht="12.75">
      <c r="A16" s="4" t="s">
        <v>26</v>
      </c>
      <c r="B16" s="33">
        <v>525</v>
      </c>
      <c r="C16" s="47">
        <f t="shared" si="0"/>
        <v>0.015767186232993963</v>
      </c>
      <c r="D16" s="134">
        <f t="shared" si="1"/>
        <v>183</v>
      </c>
    </row>
    <row r="17" spans="1:4" ht="12.75">
      <c r="A17" s="4" t="s">
        <v>27</v>
      </c>
      <c r="B17" s="33">
        <v>339</v>
      </c>
      <c r="C17" s="47">
        <f t="shared" si="0"/>
        <v>0.010181097396161817</v>
      </c>
      <c r="D17" s="134">
        <f t="shared" si="1"/>
        <v>118</v>
      </c>
    </row>
    <row r="18" spans="1:4" ht="12.75">
      <c r="A18" s="4" t="s">
        <v>28</v>
      </c>
      <c r="B18" s="33">
        <v>1485</v>
      </c>
      <c r="C18" s="47">
        <f t="shared" si="0"/>
        <v>0.044598612487611496</v>
      </c>
      <c r="D18" s="134">
        <f t="shared" si="1"/>
        <v>517</v>
      </c>
    </row>
    <row r="19" spans="1:4" ht="12.75">
      <c r="A19" s="4" t="s">
        <v>29</v>
      </c>
      <c r="B19" s="33">
        <v>350</v>
      </c>
      <c r="C19" s="47">
        <f t="shared" si="0"/>
        <v>0.010511457488662642</v>
      </c>
      <c r="D19" s="134">
        <f t="shared" si="1"/>
        <v>122</v>
      </c>
    </row>
    <row r="20" spans="1:4" ht="12.75">
      <c r="A20" s="4" t="s">
        <v>30</v>
      </c>
      <c r="B20" s="33">
        <v>424</v>
      </c>
      <c r="C20" s="47">
        <f t="shared" si="0"/>
        <v>0.012733879929122744</v>
      </c>
      <c r="D20" s="134">
        <f t="shared" si="1"/>
        <v>148</v>
      </c>
    </row>
    <row r="21" spans="1:4" ht="12.75">
      <c r="A21" s="4" t="s">
        <v>31</v>
      </c>
      <c r="B21" s="33">
        <v>76</v>
      </c>
      <c r="C21" s="47">
        <f t="shared" si="0"/>
        <v>0.0022824879118238882</v>
      </c>
      <c r="D21" s="134">
        <f t="shared" si="1"/>
        <v>26</v>
      </c>
    </row>
    <row r="22" spans="1:4" ht="12.75">
      <c r="A22" s="4" t="s">
        <v>32</v>
      </c>
      <c r="B22" s="33">
        <v>815</v>
      </c>
      <c r="C22" s="47">
        <f t="shared" si="0"/>
        <v>0.02447667958074301</v>
      </c>
      <c r="D22" s="134">
        <f t="shared" si="1"/>
        <v>284</v>
      </c>
    </row>
    <row r="23" spans="1:4" ht="12.75">
      <c r="A23" s="4" t="s">
        <v>33</v>
      </c>
      <c r="B23" s="33">
        <v>91</v>
      </c>
      <c r="C23" s="47">
        <f t="shared" si="0"/>
        <v>0.002732978947052287</v>
      </c>
      <c r="D23" s="134">
        <f t="shared" si="1"/>
        <v>32</v>
      </c>
    </row>
    <row r="24" spans="1:4" ht="12.75">
      <c r="A24" s="4" t="s">
        <v>34</v>
      </c>
      <c r="B24" s="33">
        <v>162</v>
      </c>
      <c r="C24" s="47">
        <f t="shared" si="0"/>
        <v>0.004865303180466709</v>
      </c>
      <c r="D24" s="134">
        <f t="shared" si="1"/>
        <v>56</v>
      </c>
    </row>
    <row r="25" spans="1:4" ht="12.75">
      <c r="A25" s="4" t="s">
        <v>35</v>
      </c>
      <c r="B25" s="33">
        <v>56</v>
      </c>
      <c r="C25" s="47">
        <f t="shared" si="0"/>
        <v>0.0016818331981860227</v>
      </c>
      <c r="D25" s="134">
        <f t="shared" si="1"/>
        <v>20</v>
      </c>
    </row>
    <row r="26" spans="1:4" ht="12.75">
      <c r="A26" s="4" t="s">
        <v>36</v>
      </c>
      <c r="B26" s="33">
        <v>47</v>
      </c>
      <c r="C26" s="47">
        <f t="shared" si="0"/>
        <v>0.0014115385770489834</v>
      </c>
      <c r="D26" s="134">
        <f t="shared" si="1"/>
        <v>16</v>
      </c>
    </row>
    <row r="27" spans="1:4" ht="12.75">
      <c r="A27" s="4" t="s">
        <v>37</v>
      </c>
      <c r="B27" s="33">
        <v>90</v>
      </c>
      <c r="C27" s="47">
        <f t="shared" si="0"/>
        <v>0.0027029462113703938</v>
      </c>
      <c r="D27" s="134">
        <f t="shared" si="1"/>
        <v>31</v>
      </c>
    </row>
    <row r="28" spans="1:4" ht="12.75">
      <c r="A28" s="4" t="s">
        <v>38</v>
      </c>
      <c r="B28" s="33">
        <v>1317</v>
      </c>
      <c r="C28" s="47">
        <f t="shared" si="0"/>
        <v>0.03955311289305343</v>
      </c>
      <c r="D28" s="134">
        <f t="shared" si="1"/>
        <v>459</v>
      </c>
    </row>
    <row r="29" spans="1:4" ht="12.75">
      <c r="A29" s="4" t="s">
        <v>39</v>
      </c>
      <c r="B29" s="33"/>
      <c r="C29" s="47">
        <f t="shared" si="0"/>
        <v>0</v>
      </c>
      <c r="D29" s="134">
        <f t="shared" si="1"/>
        <v>0</v>
      </c>
    </row>
    <row r="30" spans="1:4" ht="12.75">
      <c r="A30" s="4" t="s">
        <v>8</v>
      </c>
      <c r="B30" s="33">
        <v>2658</v>
      </c>
      <c r="C30" s="47">
        <f t="shared" si="0"/>
        <v>0.0798270114424723</v>
      </c>
      <c r="D30" s="134">
        <f t="shared" si="1"/>
        <v>926</v>
      </c>
    </row>
    <row r="31" spans="1:4" ht="12.75">
      <c r="A31" s="4" t="s">
        <v>52</v>
      </c>
      <c r="B31" s="33"/>
      <c r="C31" s="47">
        <f t="shared" si="0"/>
        <v>0</v>
      </c>
      <c r="D31" s="134">
        <f t="shared" si="1"/>
        <v>0</v>
      </c>
    </row>
    <row r="32" spans="1:4" ht="12.75">
      <c r="A32" s="4" t="s">
        <v>40</v>
      </c>
      <c r="B32" s="33">
        <v>3830</v>
      </c>
      <c r="C32" s="47">
        <f t="shared" si="0"/>
        <v>0.1150253776616512</v>
      </c>
      <c r="D32" s="134">
        <f t="shared" si="1"/>
        <v>1334</v>
      </c>
    </row>
    <row r="33" spans="1:4" ht="12.75">
      <c r="A33" s="4" t="s">
        <v>5</v>
      </c>
      <c r="B33" s="33">
        <v>418</v>
      </c>
      <c r="C33" s="47">
        <f t="shared" si="0"/>
        <v>0.012553683515031383</v>
      </c>
      <c r="D33" s="134">
        <f t="shared" si="1"/>
        <v>146</v>
      </c>
    </row>
    <row r="34" spans="1:4" ht="12.75">
      <c r="A34" s="4" t="s">
        <v>6</v>
      </c>
      <c r="B34" s="33">
        <v>1965</v>
      </c>
      <c r="C34" s="47">
        <f t="shared" si="0"/>
        <v>0.05901432561492026</v>
      </c>
      <c r="D34" s="134">
        <f t="shared" si="1"/>
        <v>685</v>
      </c>
    </row>
    <row r="35" spans="1:4" ht="12.75">
      <c r="A35" s="4" t="s">
        <v>9</v>
      </c>
      <c r="B35" s="33">
        <f>1428+20</f>
        <v>1448</v>
      </c>
      <c r="C35" s="47">
        <f t="shared" si="0"/>
        <v>0.043487401267381445</v>
      </c>
      <c r="D35" s="134">
        <f t="shared" si="1"/>
        <v>504</v>
      </c>
    </row>
    <row r="36" spans="1:4" ht="12.75">
      <c r="A36" s="4" t="s">
        <v>165</v>
      </c>
      <c r="B36" s="32">
        <v>1372</v>
      </c>
      <c r="C36" s="47">
        <f t="shared" si="0"/>
        <v>0.04120491335555756</v>
      </c>
      <c r="D36" s="134">
        <f t="shared" si="1"/>
        <v>478</v>
      </c>
    </row>
    <row r="37" spans="1:4" ht="12.75">
      <c r="A37" s="4" t="s">
        <v>147</v>
      </c>
      <c r="B37" s="37">
        <v>0</v>
      </c>
      <c r="C37" s="17"/>
      <c r="D37" s="37">
        <v>0</v>
      </c>
    </row>
    <row r="38" spans="1:4" ht="12.75">
      <c r="A38" s="20" t="s">
        <v>41</v>
      </c>
      <c r="B38" s="37">
        <f>SUM(B5:B37)</f>
        <v>33297</v>
      </c>
      <c r="C38" s="48">
        <f>SUM(C5:C37)</f>
        <v>1</v>
      </c>
      <c r="D38" s="54">
        <f>SUM(D5:D37)</f>
        <v>11600</v>
      </c>
    </row>
    <row r="39" ht="12.75">
      <c r="A39" s="23" t="s">
        <v>111</v>
      </c>
    </row>
    <row r="40" ht="12.75">
      <c r="D40" s="76"/>
    </row>
    <row r="43" ht="12.75">
      <c r="D43" s="98">
        <v>11600</v>
      </c>
    </row>
    <row r="44" ht="12.75">
      <c r="D44" s="127"/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D17" sqref="D17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5" t="s">
        <v>114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35">
        <f>SUM('FY06 PB'!B6)</f>
        <v>4841774</v>
      </c>
      <c r="C5" s="47">
        <f>SUM(B5/$B$38)</f>
        <v>0.16942381038428178</v>
      </c>
      <c r="D5" s="35">
        <f>ROUND(C5*$D$43,0)-1</f>
        <v>8011</v>
      </c>
    </row>
    <row r="6" spans="1:4" ht="12.75">
      <c r="A6" s="4" t="s">
        <v>16</v>
      </c>
      <c r="B6" s="32">
        <f>SUM('FY06 PB'!B7)</f>
        <v>2951270</v>
      </c>
      <c r="C6" s="47">
        <f>SUM(B6/$B$38)</f>
        <v>0.10327111692384222</v>
      </c>
      <c r="D6" s="32">
        <f>ROUND(C6*$D$43,0)</f>
        <v>4884</v>
      </c>
    </row>
    <row r="7" spans="1:4" ht="12.75">
      <c r="A7" s="4" t="s">
        <v>17</v>
      </c>
      <c r="B7" s="32">
        <f>SUM('FY06 PB'!B8)</f>
        <v>393269</v>
      </c>
      <c r="C7" s="47">
        <f aca="true" t="shared" si="0" ref="C7:C30">SUM(B7/$B$38)</f>
        <v>0.013761305770574196</v>
      </c>
      <c r="D7" s="32">
        <f aca="true" t="shared" si="1" ref="D7:D30">ROUND(C7*$D$43,0)</f>
        <v>651</v>
      </c>
    </row>
    <row r="8" spans="1:4" ht="12.75">
      <c r="A8" s="4" t="s">
        <v>18</v>
      </c>
      <c r="B8" s="32">
        <f>SUM('FY06 PB'!B9)</f>
        <v>1872146</v>
      </c>
      <c r="C8" s="47">
        <f t="shared" si="0"/>
        <v>0.06551030860087471</v>
      </c>
      <c r="D8" s="32">
        <f t="shared" si="1"/>
        <v>3098</v>
      </c>
    </row>
    <row r="9" spans="1:4" ht="12.75">
      <c r="A9" s="4" t="s">
        <v>19</v>
      </c>
      <c r="B9" s="32">
        <f>SUM('FY06 PB'!B10)</f>
        <v>1550260</v>
      </c>
      <c r="C9" s="47">
        <f t="shared" si="0"/>
        <v>0.0542468434681868</v>
      </c>
      <c r="D9" s="32">
        <f t="shared" si="1"/>
        <v>2565</v>
      </c>
    </row>
    <row r="10" spans="1:4" ht="12.75">
      <c r="A10" s="4" t="s">
        <v>20</v>
      </c>
      <c r="B10" s="32">
        <f>SUM('FY06 PB'!B11)</f>
        <v>4459395</v>
      </c>
      <c r="C10" s="47">
        <f t="shared" si="0"/>
        <v>0.15604356851612947</v>
      </c>
      <c r="D10" s="32">
        <f t="shared" si="1"/>
        <v>7379</v>
      </c>
    </row>
    <row r="11" spans="1:4" ht="12.75">
      <c r="A11" s="4" t="s">
        <v>21</v>
      </c>
      <c r="B11" s="32">
        <f>SUM('FY06 PB'!B12)</f>
        <v>1955170</v>
      </c>
      <c r="C11" s="47">
        <f t="shared" si="0"/>
        <v>0.0684154922036915</v>
      </c>
      <c r="D11" s="32">
        <f t="shared" si="1"/>
        <v>3235</v>
      </c>
    </row>
    <row r="12" spans="1:4" ht="12.75">
      <c r="A12" s="4" t="s">
        <v>22</v>
      </c>
      <c r="B12" s="32">
        <f>SUM('FY06 PB'!B13)</f>
        <v>1277544</v>
      </c>
      <c r="C12" s="47">
        <f t="shared" si="0"/>
        <v>0.044703939591888606</v>
      </c>
      <c r="D12" s="32">
        <f t="shared" si="1"/>
        <v>2114</v>
      </c>
    </row>
    <row r="13" spans="1:4" ht="12.75">
      <c r="A13" s="4" t="s">
        <v>23</v>
      </c>
      <c r="B13" s="32">
        <f>SUM('FY06 PB'!B14)</f>
        <v>673491</v>
      </c>
      <c r="C13" s="47">
        <f t="shared" si="0"/>
        <v>0.023566860303583008</v>
      </c>
      <c r="D13" s="32">
        <f t="shared" si="1"/>
        <v>1114</v>
      </c>
    </row>
    <row r="14" spans="1:4" ht="12.75">
      <c r="A14" s="4" t="s">
        <v>24</v>
      </c>
      <c r="B14" s="32">
        <f>SUM('FY06 PB'!B15)</f>
        <v>647608</v>
      </c>
      <c r="C14" s="47">
        <f t="shared" si="0"/>
        <v>0.022661159937523715</v>
      </c>
      <c r="D14" s="32">
        <f t="shared" si="1"/>
        <v>1072</v>
      </c>
    </row>
    <row r="15" spans="1:4" ht="12.75">
      <c r="A15" s="4" t="s">
        <v>25</v>
      </c>
      <c r="B15" s="32">
        <f>SUM('FY06 PB'!B16)</f>
        <v>1057203</v>
      </c>
      <c r="C15" s="47">
        <f t="shared" si="0"/>
        <v>0.036993746632885766</v>
      </c>
      <c r="D15" s="32">
        <f t="shared" si="1"/>
        <v>1749</v>
      </c>
    </row>
    <row r="16" spans="1:4" ht="12.75">
      <c r="A16" s="4" t="s">
        <v>26</v>
      </c>
      <c r="B16" s="32">
        <f>SUM('FY06 PB'!B17)</f>
        <v>513063</v>
      </c>
      <c r="C16" s="47">
        <f t="shared" si="0"/>
        <v>0.017953148665590498</v>
      </c>
      <c r="D16" s="32">
        <f t="shared" si="1"/>
        <v>849</v>
      </c>
    </row>
    <row r="17" spans="1:4" ht="12.75">
      <c r="A17" s="4" t="s">
        <v>27</v>
      </c>
      <c r="B17" s="32">
        <f>SUM('FY06 PB'!B18)</f>
        <v>397432</v>
      </c>
      <c r="C17" s="47">
        <f t="shared" si="0"/>
        <v>0.013906977857422894</v>
      </c>
      <c r="D17" s="32">
        <f t="shared" si="1"/>
        <v>658</v>
      </c>
    </row>
    <row r="18" spans="1:4" ht="12.75">
      <c r="A18" s="4" t="s">
        <v>28</v>
      </c>
      <c r="B18" s="32">
        <f>SUM('FY06 PB'!B19)</f>
        <v>1417692</v>
      </c>
      <c r="C18" s="47">
        <f t="shared" si="0"/>
        <v>0.049608011565866805</v>
      </c>
      <c r="D18" s="32">
        <f t="shared" si="1"/>
        <v>2346</v>
      </c>
    </row>
    <row r="19" spans="1:4" ht="12.75">
      <c r="A19" s="4" t="s">
        <v>29</v>
      </c>
      <c r="B19" s="32">
        <f>SUM('FY06 PB'!B20)</f>
        <v>1010130</v>
      </c>
      <c r="C19" s="47">
        <f t="shared" si="0"/>
        <v>0.03534656379737562</v>
      </c>
      <c r="D19" s="32">
        <f t="shared" si="1"/>
        <v>1672</v>
      </c>
    </row>
    <row r="20" spans="1:4" ht="12.75">
      <c r="A20" s="4" t="s">
        <v>30</v>
      </c>
      <c r="B20" s="32">
        <f>SUM('FY06 PB'!B21)</f>
        <v>440333</v>
      </c>
      <c r="C20" s="47">
        <f t="shared" si="0"/>
        <v>0.015408173677239364</v>
      </c>
      <c r="D20" s="32">
        <f t="shared" si="1"/>
        <v>729</v>
      </c>
    </row>
    <row r="21" spans="1:4" ht="12.75">
      <c r="A21" s="4" t="s">
        <v>31</v>
      </c>
      <c r="B21" s="32">
        <f>SUM('FY06 PB'!B22)</f>
        <v>138729</v>
      </c>
      <c r="C21" s="47">
        <f t="shared" si="0"/>
        <v>0.004854418192753529</v>
      </c>
      <c r="D21" s="32">
        <f t="shared" si="1"/>
        <v>230</v>
      </c>
    </row>
    <row r="22" spans="1:4" ht="12.75">
      <c r="A22" s="4" t="s">
        <v>32</v>
      </c>
      <c r="B22" s="32">
        <f>SUM('FY06 PB'!B23)</f>
        <v>490959</v>
      </c>
      <c r="C22" s="47">
        <f t="shared" si="0"/>
        <v>0.01717968342232756</v>
      </c>
      <c r="D22" s="32">
        <f t="shared" si="1"/>
        <v>812</v>
      </c>
    </row>
    <row r="23" spans="1:4" ht="12.75">
      <c r="A23" s="4" t="s">
        <v>33</v>
      </c>
      <c r="B23" s="32">
        <f>SUM('FY06 PB'!B24)</f>
        <v>299808</v>
      </c>
      <c r="C23" s="47">
        <f t="shared" si="0"/>
        <v>0.010490909683866028</v>
      </c>
      <c r="D23" s="32">
        <f t="shared" si="1"/>
        <v>496</v>
      </c>
    </row>
    <row r="24" spans="1:4" ht="12.75">
      <c r="A24" s="4" t="s">
        <v>34</v>
      </c>
      <c r="B24" s="32">
        <f>SUM('FY06 PB'!B25)</f>
        <v>1100203</v>
      </c>
      <c r="C24" s="47">
        <f t="shared" si="0"/>
        <v>0.03849840666999698</v>
      </c>
      <c r="D24" s="32">
        <f t="shared" si="1"/>
        <v>1821</v>
      </c>
    </row>
    <row r="25" spans="1:4" ht="12.75">
      <c r="A25" s="4" t="s">
        <v>35</v>
      </c>
      <c r="B25" s="32">
        <f>SUM('FY06 PB'!B26)</f>
        <v>122692</v>
      </c>
      <c r="C25" s="47">
        <f t="shared" si="0"/>
        <v>0.004293249983098818</v>
      </c>
      <c r="D25" s="32">
        <f t="shared" si="1"/>
        <v>203</v>
      </c>
    </row>
    <row r="26" spans="1:4" ht="12.75">
      <c r="A26" s="4" t="s">
        <v>36</v>
      </c>
      <c r="B26" s="32">
        <f>SUM('FY06 PB'!B27)</f>
        <v>197379</v>
      </c>
      <c r="C26" s="47">
        <f t="shared" si="0"/>
        <v>0.006906704499185454</v>
      </c>
      <c r="D26" s="32">
        <f t="shared" si="1"/>
        <v>327</v>
      </c>
    </row>
    <row r="27" spans="1:4" ht="12.75">
      <c r="A27" s="4" t="s">
        <v>37</v>
      </c>
      <c r="B27" s="32">
        <f>SUM('FY06 PB'!B28)</f>
        <v>67048</v>
      </c>
      <c r="C27" s="47">
        <f t="shared" si="0"/>
        <v>0.0023461499108891337</v>
      </c>
      <c r="D27" s="32">
        <f t="shared" si="1"/>
        <v>111</v>
      </c>
    </row>
    <row r="28" spans="1:4" ht="12.75">
      <c r="A28" s="4" t="s">
        <v>38</v>
      </c>
      <c r="B28" s="32">
        <f>SUM('FY06 PB'!B29)</f>
        <v>318091</v>
      </c>
      <c r="C28" s="47">
        <f t="shared" si="0"/>
        <v>0.011130670136389385</v>
      </c>
      <c r="D28" s="32">
        <f t="shared" si="1"/>
        <v>526</v>
      </c>
    </row>
    <row r="29" spans="1:4" ht="12.75">
      <c r="A29" s="4" t="s">
        <v>39</v>
      </c>
      <c r="B29" s="32">
        <f>SUM('FY06 PB'!B30)</f>
        <v>0</v>
      </c>
      <c r="C29" s="47">
        <f t="shared" si="0"/>
        <v>0</v>
      </c>
      <c r="D29" s="32">
        <f t="shared" si="1"/>
        <v>0</v>
      </c>
    </row>
    <row r="30" spans="1:4" ht="12.75">
      <c r="A30" s="4" t="s">
        <v>8</v>
      </c>
      <c r="B30" s="32">
        <f>SUM('FY06 PB'!B31)</f>
        <v>385195</v>
      </c>
      <c r="C30" s="47">
        <f t="shared" si="0"/>
        <v>0.013478779604536152</v>
      </c>
      <c r="D30" s="32">
        <f t="shared" si="1"/>
        <v>637</v>
      </c>
    </row>
    <row r="31" spans="1:4" ht="12.75">
      <c r="A31" s="4" t="s">
        <v>52</v>
      </c>
      <c r="B31" s="33"/>
      <c r="C31" s="17"/>
      <c r="D31" s="32"/>
    </row>
    <row r="32" spans="1:4" ht="12.75">
      <c r="A32" s="4" t="s">
        <v>40</v>
      </c>
      <c r="B32" s="15"/>
      <c r="C32" s="17"/>
      <c r="D32" s="32"/>
    </row>
    <row r="33" spans="1:4" ht="12.75">
      <c r="A33" s="4" t="s">
        <v>5</v>
      </c>
      <c r="B33" s="15"/>
      <c r="C33" s="17"/>
      <c r="D33" s="32"/>
    </row>
    <row r="34" spans="1:4" ht="12.75">
      <c r="A34" s="4" t="s">
        <v>6</v>
      </c>
      <c r="B34" s="15"/>
      <c r="C34" s="17"/>
      <c r="D34" s="32"/>
    </row>
    <row r="35" spans="1:4" ht="12.75">
      <c r="A35" s="4" t="s">
        <v>9</v>
      </c>
      <c r="B35" s="33"/>
      <c r="C35" s="33"/>
      <c r="D35" s="50"/>
    </row>
    <row r="36" spans="1:4" ht="12.75">
      <c r="A36" s="4" t="s">
        <v>165</v>
      </c>
      <c r="B36" s="32"/>
      <c r="C36" s="33"/>
      <c r="D36" s="50"/>
    </row>
    <row r="37" spans="1:4" ht="12.75">
      <c r="A37" s="4" t="s">
        <v>147</v>
      </c>
      <c r="B37" s="18"/>
      <c r="C37" s="17"/>
      <c r="D37" s="18"/>
    </row>
    <row r="38" spans="1:6" ht="12.75">
      <c r="A38" s="20" t="s">
        <v>41</v>
      </c>
      <c r="B38" s="51">
        <f>SUM(B5:B34)</f>
        <v>28577884</v>
      </c>
      <c r="C38" s="48">
        <f>SUM(C5:C30)</f>
        <v>0.9999999999999998</v>
      </c>
      <c r="D38" s="54">
        <f>SUM(D5:D37)</f>
        <v>47289</v>
      </c>
      <c r="F38" s="76"/>
    </row>
    <row r="39" ht="12.75">
      <c r="A39" s="23" t="s">
        <v>240</v>
      </c>
    </row>
    <row r="43" ht="12.75">
      <c r="D43" s="98">
        <v>47289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D17" sqref="D17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7109375" style="0" customWidth="1"/>
  </cols>
  <sheetData>
    <row r="2" ht="18">
      <c r="A2" s="25" t="s">
        <v>74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148</v>
      </c>
      <c r="C4" s="21" t="s">
        <v>43</v>
      </c>
      <c r="D4" s="22" t="s">
        <v>44</v>
      </c>
    </row>
    <row r="5" spans="1:4" ht="12.75">
      <c r="A5" s="4" t="s">
        <v>0</v>
      </c>
      <c r="B5" s="35">
        <f>SUM('FY06 PB'!E6)</f>
        <v>3399985</v>
      </c>
      <c r="C5" s="77">
        <f>SUM(B5/$B$38)</f>
        <v>0.14352909113221438</v>
      </c>
      <c r="D5" s="35">
        <f>ROUND(C5*$D$43,0)-1</f>
        <v>3166</v>
      </c>
    </row>
    <row r="6" spans="1:4" ht="12.75">
      <c r="A6" s="4" t="s">
        <v>16</v>
      </c>
      <c r="B6" s="32">
        <f>SUM('FY06 PB'!E7)</f>
        <v>2684553</v>
      </c>
      <c r="C6" s="77">
        <f aca="true" t="shared" si="0" ref="C6:C30">SUM(B6/$B$38)</f>
        <v>0.11332739767565432</v>
      </c>
      <c r="D6" s="33">
        <f>ROUND(C6*$D$43,0)</f>
        <v>2500</v>
      </c>
    </row>
    <row r="7" spans="1:4" ht="12.75">
      <c r="A7" s="4" t="s">
        <v>17</v>
      </c>
      <c r="B7" s="32">
        <f>SUM('FY06 PB'!E8)</f>
        <v>313096</v>
      </c>
      <c r="C7" s="77">
        <f t="shared" si="0"/>
        <v>0.013217230169289511</v>
      </c>
      <c r="D7" s="33">
        <f aca="true" t="shared" si="1" ref="D7:D30">ROUND(C7*$D$43,0)</f>
        <v>292</v>
      </c>
    </row>
    <row r="8" spans="1:4" ht="12.75">
      <c r="A8" s="4" t="s">
        <v>18</v>
      </c>
      <c r="B8" s="32">
        <f>SUM('FY06 PB'!E9)</f>
        <v>1647855</v>
      </c>
      <c r="C8" s="77">
        <f t="shared" si="0"/>
        <v>0.06956358056511283</v>
      </c>
      <c r="D8" s="33">
        <f t="shared" si="1"/>
        <v>1535</v>
      </c>
    </row>
    <row r="9" spans="1:4" ht="12.75">
      <c r="A9" s="4" t="s">
        <v>19</v>
      </c>
      <c r="B9" s="32">
        <f>SUM('FY06 PB'!E10)</f>
        <v>1354250</v>
      </c>
      <c r="C9" s="77">
        <f t="shared" si="0"/>
        <v>0.057169155647981196</v>
      </c>
      <c r="D9" s="33">
        <f t="shared" si="1"/>
        <v>1261</v>
      </c>
    </row>
    <row r="10" spans="1:4" ht="12.75">
      <c r="A10" s="4" t="s">
        <v>20</v>
      </c>
      <c r="B10" s="32">
        <f>SUM('FY06 PB'!E11)</f>
        <v>3677465</v>
      </c>
      <c r="C10" s="77">
        <f t="shared" si="0"/>
        <v>0.15524280522429623</v>
      </c>
      <c r="D10" s="33">
        <f t="shared" si="1"/>
        <v>3425</v>
      </c>
    </row>
    <row r="11" spans="1:4" ht="12.75">
      <c r="A11" s="4" t="s">
        <v>21</v>
      </c>
      <c r="B11" s="32">
        <f>SUM('FY06 PB'!E12)</f>
        <v>1906588</v>
      </c>
      <c r="C11" s="77">
        <f t="shared" si="0"/>
        <v>0.0804858970858949</v>
      </c>
      <c r="D11" s="33">
        <f t="shared" si="1"/>
        <v>1776</v>
      </c>
    </row>
    <row r="12" spans="1:4" ht="12.75">
      <c r="A12" s="4" t="s">
        <v>22</v>
      </c>
      <c r="B12" s="32">
        <f>SUM('FY06 PB'!E13)</f>
        <v>1062801</v>
      </c>
      <c r="C12" s="77">
        <f t="shared" si="0"/>
        <v>0.04486574546193839</v>
      </c>
      <c r="D12" s="33">
        <f t="shared" si="1"/>
        <v>990</v>
      </c>
    </row>
    <row r="13" spans="1:4" ht="12.75">
      <c r="A13" s="4" t="s">
        <v>23</v>
      </c>
      <c r="B13" s="32">
        <f>SUM('FY06 PB'!E14)</f>
        <v>582784</v>
      </c>
      <c r="C13" s="77">
        <f t="shared" si="0"/>
        <v>0.024602007904857354</v>
      </c>
      <c r="D13" s="33">
        <f t="shared" si="1"/>
        <v>543</v>
      </c>
    </row>
    <row r="14" spans="1:4" ht="12.75">
      <c r="A14" s="4" t="s">
        <v>24</v>
      </c>
      <c r="B14" s="32">
        <f>SUM('FY06 PB'!E15)</f>
        <v>462325</v>
      </c>
      <c r="C14" s="77">
        <f t="shared" si="0"/>
        <v>0.019516876414955073</v>
      </c>
      <c r="D14" s="33">
        <f t="shared" si="1"/>
        <v>431</v>
      </c>
    </row>
    <row r="15" spans="1:4" ht="12.75">
      <c r="A15" s="4" t="s">
        <v>25</v>
      </c>
      <c r="B15" s="32">
        <f>SUM('FY06 PB'!E16)</f>
        <v>914775</v>
      </c>
      <c r="C15" s="77">
        <f t="shared" si="0"/>
        <v>0.0386168834099184</v>
      </c>
      <c r="D15" s="33">
        <f t="shared" si="1"/>
        <v>852</v>
      </c>
    </row>
    <row r="16" spans="1:4" ht="12.75">
      <c r="A16" s="4" t="s">
        <v>26</v>
      </c>
      <c r="B16" s="32">
        <f>SUM('FY06 PB'!E17)</f>
        <v>438560</v>
      </c>
      <c r="C16" s="77">
        <f t="shared" si="0"/>
        <v>0.018513645856362292</v>
      </c>
      <c r="D16" s="33">
        <f t="shared" si="1"/>
        <v>408</v>
      </c>
    </row>
    <row r="17" spans="1:4" ht="12.75">
      <c r="A17" s="4" t="s">
        <v>27</v>
      </c>
      <c r="B17" s="32">
        <f>SUM('FY06 PB'!E18)</f>
        <v>345319</v>
      </c>
      <c r="C17" s="77">
        <f t="shared" si="0"/>
        <v>0.014577512024519268</v>
      </c>
      <c r="D17" s="33">
        <f t="shared" si="1"/>
        <v>322</v>
      </c>
    </row>
    <row r="18" spans="1:4" ht="12.75">
      <c r="A18" s="4" t="s">
        <v>28</v>
      </c>
      <c r="B18" s="32">
        <f>SUM('FY06 PB'!E19)</f>
        <v>1195987</v>
      </c>
      <c r="C18" s="77">
        <f t="shared" si="0"/>
        <v>0.050488142481788505</v>
      </c>
      <c r="D18" s="33">
        <f t="shared" si="1"/>
        <v>1114</v>
      </c>
    </row>
    <row r="19" spans="1:4" ht="12.75">
      <c r="A19" s="4" t="s">
        <v>29</v>
      </c>
      <c r="B19" s="32">
        <f>SUM('FY06 PB'!E20)</f>
        <v>875269</v>
      </c>
      <c r="C19" s="77">
        <f t="shared" si="0"/>
        <v>0.036949152442202586</v>
      </c>
      <c r="D19" s="33">
        <f t="shared" si="1"/>
        <v>815</v>
      </c>
    </row>
    <row r="20" spans="1:4" ht="12.75">
      <c r="A20" s="4" t="s">
        <v>30</v>
      </c>
      <c r="B20" s="32">
        <f>SUM('FY06 PB'!E21)</f>
        <v>370460</v>
      </c>
      <c r="C20" s="77">
        <f t="shared" si="0"/>
        <v>0.01563882990684963</v>
      </c>
      <c r="D20" s="33">
        <f t="shared" si="1"/>
        <v>345</v>
      </c>
    </row>
    <row r="21" spans="1:4" ht="12.75">
      <c r="A21" s="4" t="s">
        <v>31</v>
      </c>
      <c r="B21" s="32">
        <f>SUM('FY06 PB'!E22)</f>
        <v>127348</v>
      </c>
      <c r="C21" s="77">
        <f t="shared" si="0"/>
        <v>0.005375948040213483</v>
      </c>
      <c r="D21" s="33">
        <f t="shared" si="1"/>
        <v>119</v>
      </c>
    </row>
    <row r="22" spans="1:4" ht="12.75">
      <c r="A22" s="4" t="s">
        <v>32</v>
      </c>
      <c r="B22" s="32">
        <f>SUM('FY06 PB'!E23)</f>
        <v>372007</v>
      </c>
      <c r="C22" s="77">
        <f t="shared" si="0"/>
        <v>0.015704135931429605</v>
      </c>
      <c r="D22" s="33">
        <f t="shared" si="1"/>
        <v>346</v>
      </c>
    </row>
    <row r="23" spans="1:4" ht="12.75">
      <c r="A23" s="4" t="s">
        <v>33</v>
      </c>
      <c r="B23" s="32">
        <f>SUM('FY06 PB'!E24)</f>
        <v>276552</v>
      </c>
      <c r="C23" s="77">
        <f t="shared" si="0"/>
        <v>0.011674538920258812</v>
      </c>
      <c r="D23" s="33">
        <f t="shared" si="1"/>
        <v>258</v>
      </c>
    </row>
    <row r="24" spans="1:4" ht="12.75">
      <c r="A24" s="4" t="s">
        <v>34</v>
      </c>
      <c r="B24" s="32">
        <f>SUM('FY06 PB'!E25)</f>
        <v>1071801</v>
      </c>
      <c r="C24" s="77">
        <f t="shared" si="0"/>
        <v>0.045245677085222</v>
      </c>
      <c r="D24" s="33">
        <f t="shared" si="1"/>
        <v>998</v>
      </c>
    </row>
    <row r="25" spans="1:4" ht="12.75">
      <c r="A25" s="4" t="s">
        <v>35</v>
      </c>
      <c r="B25" s="32">
        <f>SUM('FY06 PB'!E26)</f>
        <v>101640</v>
      </c>
      <c r="C25" s="77">
        <f t="shared" si="0"/>
        <v>0.0042906944656162516</v>
      </c>
      <c r="D25" s="33">
        <f t="shared" si="1"/>
        <v>95</v>
      </c>
    </row>
    <row r="26" spans="1:4" ht="12.75">
      <c r="A26" s="4" t="s">
        <v>36</v>
      </c>
      <c r="B26" s="32">
        <f>SUM('FY06 PB'!E27)</f>
        <v>187394</v>
      </c>
      <c r="C26" s="77">
        <f t="shared" si="0"/>
        <v>0.00791076740151212</v>
      </c>
      <c r="D26" s="33">
        <f t="shared" si="1"/>
        <v>175</v>
      </c>
    </row>
    <row r="27" spans="1:4" ht="12.75">
      <c r="A27" s="4" t="s">
        <v>37</v>
      </c>
      <c r="B27" s="32">
        <f>SUM('FY06 PB'!E28)</f>
        <v>55230</v>
      </c>
      <c r="C27" s="77">
        <f t="shared" si="0"/>
        <v>0.0023315137282170955</v>
      </c>
      <c r="D27" s="33">
        <f t="shared" si="1"/>
        <v>51</v>
      </c>
    </row>
    <row r="28" spans="1:4" ht="12.75">
      <c r="A28" s="4" t="s">
        <v>38</v>
      </c>
      <c r="B28" s="32">
        <f>SUM('FY06 PB'!E29)</f>
        <v>69046</v>
      </c>
      <c r="C28" s="77">
        <f t="shared" si="0"/>
        <v>0.002914750984582248</v>
      </c>
      <c r="D28" s="33">
        <f t="shared" si="1"/>
        <v>64</v>
      </c>
    </row>
    <row r="29" spans="1:4" ht="12.75">
      <c r="A29" s="4" t="s">
        <v>39</v>
      </c>
      <c r="B29" s="32">
        <f>SUM('FY06 PB'!E30)</f>
        <v>0</v>
      </c>
      <c r="C29" s="77">
        <f t="shared" si="0"/>
        <v>0</v>
      </c>
      <c r="D29" s="33">
        <f t="shared" si="1"/>
        <v>0</v>
      </c>
    </row>
    <row r="30" spans="1:4" ht="12.75">
      <c r="A30" s="4" t="s">
        <v>8</v>
      </c>
      <c r="B30" s="32">
        <f>SUM('FY06 PB'!E31)</f>
        <v>195383</v>
      </c>
      <c r="C30" s="77">
        <f t="shared" si="0"/>
        <v>0.008248020039113539</v>
      </c>
      <c r="D30" s="33">
        <f t="shared" si="1"/>
        <v>182</v>
      </c>
    </row>
    <row r="31" spans="1:4" ht="12.75">
      <c r="A31" s="4" t="s">
        <v>52</v>
      </c>
      <c r="B31" s="33"/>
      <c r="C31" s="17"/>
      <c r="D31" s="17"/>
    </row>
    <row r="32" spans="1:4" ht="12.75">
      <c r="A32" s="4" t="s">
        <v>40</v>
      </c>
      <c r="B32" s="15"/>
      <c r="C32" s="17"/>
      <c r="D32" s="17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3"/>
      <c r="C35" s="33"/>
      <c r="D35" s="50"/>
    </row>
    <row r="36" spans="1:4" ht="12.75">
      <c r="A36" s="4" t="s">
        <v>165</v>
      </c>
      <c r="B36" s="32"/>
      <c r="C36" s="33"/>
      <c r="D36" s="50"/>
    </row>
    <row r="37" spans="1:4" ht="12.75">
      <c r="A37" s="4" t="s">
        <v>147</v>
      </c>
      <c r="B37" s="18"/>
      <c r="C37" s="17"/>
      <c r="D37" s="18"/>
    </row>
    <row r="38" spans="1:4" ht="12.75">
      <c r="A38" s="20" t="s">
        <v>41</v>
      </c>
      <c r="B38" s="54">
        <f>SUM(B5:B37)</f>
        <v>23688473</v>
      </c>
      <c r="C38" s="86">
        <f>SUM(C5:C35)</f>
        <v>0.9999999999999998</v>
      </c>
      <c r="D38" s="54">
        <f>SUM(D5:D37)</f>
        <v>22063</v>
      </c>
    </row>
    <row r="39" spans="1:4" ht="12.75">
      <c r="A39" s="23" t="s">
        <v>241</v>
      </c>
      <c r="D39" s="76"/>
    </row>
    <row r="40" ht="12.75">
      <c r="A40" s="124"/>
    </row>
    <row r="41" ht="12.75">
      <c r="D41" s="76"/>
    </row>
    <row r="43" ht="12.75">
      <c r="D43" s="98">
        <v>22063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:O39"/>
    </sheetView>
  </sheetViews>
  <sheetFormatPr defaultColWidth="9.140625" defaultRowHeight="12.75"/>
  <cols>
    <col min="2" max="2" width="10.57421875" style="0" customWidth="1"/>
    <col min="3" max="3" width="10.7109375" style="0" customWidth="1"/>
    <col min="4" max="4" width="12.00390625" style="0" customWidth="1"/>
    <col min="5" max="5" width="10.57421875" style="0" customWidth="1"/>
    <col min="6" max="6" width="10.8515625" style="0" customWidth="1"/>
    <col min="7" max="8" width="11.28125" style="0" customWidth="1"/>
    <col min="9" max="9" width="10.7109375" style="0" customWidth="1"/>
    <col min="10" max="10" width="11.140625" style="0" customWidth="1"/>
    <col min="11" max="11" width="11.57421875" style="0" customWidth="1"/>
    <col min="12" max="12" width="11.28125" style="0" customWidth="1"/>
    <col min="13" max="13" width="12.00390625" style="0" customWidth="1"/>
    <col min="14" max="14" width="9.8515625" style="0" customWidth="1"/>
    <col min="15" max="15" width="10.140625" style="0" customWidth="1"/>
    <col min="16" max="16" width="12.57421875" style="0" customWidth="1"/>
    <col min="17" max="17" width="15.421875" style="0" customWidth="1"/>
  </cols>
  <sheetData>
    <row r="1" spans="1:16" ht="18">
      <c r="A1" s="221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</row>
    <row r="2" spans="1:16" ht="15.75">
      <c r="A2" s="224" t="s">
        <v>232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</row>
    <row r="3" spans="1:16" ht="15">
      <c r="A3" s="1"/>
      <c r="B3" s="2"/>
      <c r="C3" s="2"/>
      <c r="D3" s="2" t="s">
        <v>117</v>
      </c>
      <c r="E3" s="2" t="s">
        <v>59</v>
      </c>
      <c r="F3" s="2" t="s">
        <v>61</v>
      </c>
      <c r="G3" s="2" t="s">
        <v>138</v>
      </c>
      <c r="H3" s="2"/>
      <c r="I3" s="2" t="s">
        <v>62</v>
      </c>
      <c r="J3" s="2" t="s">
        <v>64</v>
      </c>
      <c r="K3" s="2" t="s">
        <v>108</v>
      </c>
      <c r="L3" s="2"/>
      <c r="M3" s="2"/>
      <c r="N3" s="2"/>
      <c r="O3" s="2"/>
      <c r="P3" s="164" t="s">
        <v>4</v>
      </c>
    </row>
    <row r="4" spans="1:16" ht="15">
      <c r="A4" s="3"/>
      <c r="B4" s="10" t="s">
        <v>56</v>
      </c>
      <c r="C4" s="10" t="s">
        <v>57</v>
      </c>
      <c r="D4" s="10" t="s">
        <v>214</v>
      </c>
      <c r="E4" s="10" t="s">
        <v>60</v>
      </c>
      <c r="F4" s="10" t="s">
        <v>60</v>
      </c>
      <c r="G4" s="128" t="s">
        <v>141</v>
      </c>
      <c r="H4" s="10" t="s">
        <v>217</v>
      </c>
      <c r="I4" s="10" t="s">
        <v>63</v>
      </c>
      <c r="J4" s="10" t="s">
        <v>65</v>
      </c>
      <c r="K4" s="10" t="s">
        <v>109</v>
      </c>
      <c r="L4" s="10" t="s">
        <v>211</v>
      </c>
      <c r="M4" s="204" t="s">
        <v>288</v>
      </c>
      <c r="N4" s="10" t="s">
        <v>140</v>
      </c>
      <c r="O4" s="10" t="s">
        <v>66</v>
      </c>
      <c r="P4" s="165" t="s">
        <v>54</v>
      </c>
    </row>
    <row r="5" spans="1:16" ht="15">
      <c r="A5" s="4" t="s">
        <v>0</v>
      </c>
      <c r="B5" s="5">
        <f>SUM(OTT!D5)</f>
        <v>3705</v>
      </c>
      <c r="C5" s="5">
        <f>SUM(Telcom!D5)</f>
        <v>1944</v>
      </c>
      <c r="D5" s="5">
        <f>SUM('IT Software Dev'!D5)</f>
        <v>8011</v>
      </c>
      <c r="E5" s="5">
        <f>SUM('eRA Ongoing'!D5)</f>
        <v>3166</v>
      </c>
      <c r="F5" s="5">
        <f>SUM('HR Ongoing'!D5)</f>
        <v>3018</v>
      </c>
      <c r="G5" s="5">
        <f>SUM('CIT Assessments'!D5)</f>
        <v>11368.381362278162</v>
      </c>
      <c r="H5" s="5">
        <f>SUM(Bioethics!D5)</f>
        <v>128</v>
      </c>
      <c r="I5" s="5">
        <f>SUM('Grad Prog'!D5)</f>
        <v>120</v>
      </c>
      <c r="J5" s="5">
        <f>SUM('NRSA Payback'!D5)</f>
        <v>45</v>
      </c>
      <c r="K5" s="5">
        <f>SUM('Intern Prog'!D5)</f>
        <v>609</v>
      </c>
      <c r="L5" s="5">
        <f>SUM('NIH OHR  '!D5+0)</f>
        <v>5960</v>
      </c>
      <c r="M5" s="5">
        <f>SUM(' HR Residual'!D5)</f>
        <v>279</v>
      </c>
      <c r="N5" s="5">
        <f>SUM(OFM!D5)</f>
        <v>1523</v>
      </c>
      <c r="O5" s="5">
        <f>SUM(UFMS!D5)</f>
        <v>1185</v>
      </c>
      <c r="P5" s="166">
        <f>SUM(B5:O5)</f>
        <v>41061.38136227816</v>
      </c>
    </row>
    <row r="6" spans="1:16" ht="15">
      <c r="A6" s="4" t="s">
        <v>16</v>
      </c>
      <c r="B6" s="6">
        <f>SUM(OTT!D6)</f>
        <v>419</v>
      </c>
      <c r="C6" s="6">
        <f>SUM(Telcom!D6)</f>
        <v>591</v>
      </c>
      <c r="D6" s="6">
        <f>SUM('IT Software Dev'!D6)</f>
        <v>4884</v>
      </c>
      <c r="E6" s="6">
        <f>SUM('eRA Ongoing'!D6)</f>
        <v>2500</v>
      </c>
      <c r="F6" s="6">
        <f>SUM('HR Ongoing'!D6)</f>
        <v>859</v>
      </c>
      <c r="G6" s="6">
        <f>SUM('CIT Assessments'!D6)</f>
        <v>2644.079184480514</v>
      </c>
      <c r="H6" s="6">
        <f>SUM(Bioethics!D6)</f>
        <v>78</v>
      </c>
      <c r="I6" s="6">
        <f>SUM('Grad Prog'!D6)</f>
        <v>50</v>
      </c>
      <c r="J6" s="6">
        <f>SUM('NRSA Payback'!D6)</f>
        <v>93</v>
      </c>
      <c r="K6" s="6">
        <f>SUM('Intern Prog'!D6)</f>
        <v>167</v>
      </c>
      <c r="L6" s="6">
        <f>SUM('NIH OHR  '!D6+0)</f>
        <v>1634</v>
      </c>
      <c r="M6" s="6">
        <f>SUM(' HR Residual'!D6)</f>
        <v>76</v>
      </c>
      <c r="N6" s="6">
        <f>SUM(OFM!D6)</f>
        <v>433</v>
      </c>
      <c r="O6" s="6">
        <f>SUM(UFMS!D6)</f>
        <v>722</v>
      </c>
      <c r="P6" s="167">
        <f>SUM(B6:O6)</f>
        <v>15150.079184480514</v>
      </c>
    </row>
    <row r="7" spans="1:16" ht="15">
      <c r="A7" s="4" t="s">
        <v>17</v>
      </c>
      <c r="B7" s="6">
        <f>SUM(OTT!D7)</f>
        <v>202</v>
      </c>
      <c r="C7" s="6">
        <f>SUM(Telcom!D7)</f>
        <v>188</v>
      </c>
      <c r="D7" s="6">
        <f>SUM('IT Software Dev'!D7)</f>
        <v>651</v>
      </c>
      <c r="E7" s="6">
        <f>SUM('eRA Ongoing'!D7)</f>
        <v>292</v>
      </c>
      <c r="F7" s="6">
        <f>SUM('HR Ongoing'!D7)</f>
        <v>273</v>
      </c>
      <c r="G7" s="6">
        <f>SUM('CIT Assessments'!D7)</f>
        <v>1246.9494240262502</v>
      </c>
      <c r="H7" s="6">
        <f>SUM(Bioethics!D7)</f>
        <v>10</v>
      </c>
      <c r="I7" s="6">
        <f>SUM('Grad Prog'!D7)</f>
        <v>9</v>
      </c>
      <c r="J7" s="6">
        <f>SUM('NRSA Payback'!D7)</f>
        <v>16</v>
      </c>
      <c r="K7" s="6">
        <f>SUM('Intern Prog'!D7)</f>
        <v>55</v>
      </c>
      <c r="L7" s="6">
        <f>SUM('NIH OHR  '!D7+0)</f>
        <v>536</v>
      </c>
      <c r="M7" s="6">
        <f>SUM(' HR Residual'!D7)</f>
        <v>25</v>
      </c>
      <c r="N7" s="6">
        <f>SUM(OFM!D7)</f>
        <v>157</v>
      </c>
      <c r="O7" s="6">
        <f>SUM(UFMS!D7)</f>
        <v>96</v>
      </c>
      <c r="P7" s="167">
        <f aca="true" t="shared" si="0" ref="P7:P37">SUM(B7:O7)</f>
        <v>3756.94942402625</v>
      </c>
    </row>
    <row r="8" spans="1:16" ht="15">
      <c r="A8" s="4" t="s">
        <v>18</v>
      </c>
      <c r="B8" s="6">
        <f>SUM(OTT!D8)</f>
        <v>358</v>
      </c>
      <c r="C8" s="6">
        <f>SUM(Telcom!D8)</f>
        <v>449</v>
      </c>
      <c r="D8" s="6">
        <f>SUM('IT Software Dev'!D8)</f>
        <v>3098</v>
      </c>
      <c r="E8" s="6">
        <f>SUM('eRA Ongoing'!D8)</f>
        <v>1535</v>
      </c>
      <c r="F8" s="6">
        <f>SUM('HR Ongoing'!D8)</f>
        <v>692</v>
      </c>
      <c r="G8" s="6">
        <f>SUM('CIT Assessments'!D8)</f>
        <v>2815.8854039734933</v>
      </c>
      <c r="H8" s="6">
        <f>SUM(Bioethics!D8)</f>
        <v>46</v>
      </c>
      <c r="I8" s="6">
        <f>SUM('Grad Prog'!D8)</f>
        <v>52</v>
      </c>
      <c r="J8" s="6">
        <f>SUM('NRSA Payback'!D8)</f>
        <v>78</v>
      </c>
      <c r="K8" s="6">
        <f>SUM('Intern Prog'!D8)</f>
        <v>134</v>
      </c>
      <c r="L8" s="6">
        <f>SUM('NIH OHR  '!D8+0)</f>
        <v>1308</v>
      </c>
      <c r="M8" s="6">
        <f>SUM(' HR Residual'!D8)</f>
        <v>61</v>
      </c>
      <c r="N8" s="6">
        <f>SUM(OFM!D8)</f>
        <v>495</v>
      </c>
      <c r="O8" s="6">
        <f>SUM(UFMS!D8)</f>
        <v>458</v>
      </c>
      <c r="P8" s="167">
        <f t="shared" si="0"/>
        <v>11579.885403973494</v>
      </c>
    </row>
    <row r="9" spans="1:16" ht="15">
      <c r="A9" s="4" t="s">
        <v>19</v>
      </c>
      <c r="B9" s="6">
        <f>SUM(OTT!D9)</f>
        <v>430</v>
      </c>
      <c r="C9" s="6">
        <f>SUM(Telcom!D9)</f>
        <v>445</v>
      </c>
      <c r="D9" s="6">
        <f>SUM('IT Software Dev'!D9)</f>
        <v>2565</v>
      </c>
      <c r="E9" s="6">
        <f>SUM('eRA Ongoing'!D9)</f>
        <v>1261</v>
      </c>
      <c r="F9" s="6">
        <f>SUM('HR Ongoing'!D9)</f>
        <v>563</v>
      </c>
      <c r="G9" s="6">
        <f>SUM('CIT Assessments'!D9)</f>
        <v>2347.268900784303</v>
      </c>
      <c r="H9" s="6">
        <f>SUM(Bioethics!D9)</f>
        <v>41</v>
      </c>
      <c r="I9" s="6">
        <f>SUM('Grad Prog'!D9)</f>
        <v>68</v>
      </c>
      <c r="J9" s="6">
        <f>SUM('NRSA Payback'!D9)</f>
        <v>43</v>
      </c>
      <c r="K9" s="6">
        <f>SUM('Intern Prog'!D9)</f>
        <v>115</v>
      </c>
      <c r="L9" s="6">
        <f>SUM('NIH OHR  '!D9+0)</f>
        <v>1125</v>
      </c>
      <c r="M9" s="6">
        <f>SUM(' HR Residual'!D9)</f>
        <v>53</v>
      </c>
      <c r="N9" s="6">
        <f>SUM(OFM!D9)</f>
        <v>363</v>
      </c>
      <c r="O9" s="6">
        <f>SUM(UFMS!D9)</f>
        <v>379</v>
      </c>
      <c r="P9" s="167">
        <f t="shared" si="0"/>
        <v>9798.268900784304</v>
      </c>
    </row>
    <row r="10" spans="1:16" ht="15">
      <c r="A10" s="4" t="s">
        <v>20</v>
      </c>
      <c r="B10" s="6">
        <f>SUM(OTT!D10)</f>
        <v>1242</v>
      </c>
      <c r="C10" s="6">
        <f>SUM(Telcom!D10)</f>
        <v>1010</v>
      </c>
      <c r="D10" s="6">
        <f>SUM('IT Software Dev'!D10)</f>
        <v>7379</v>
      </c>
      <c r="E10" s="6">
        <f>SUM('eRA Ongoing'!D10)</f>
        <v>3425</v>
      </c>
      <c r="F10" s="6">
        <f>SUM('HR Ongoing'!D10)</f>
        <v>1696</v>
      </c>
      <c r="G10" s="6">
        <f>SUM('CIT Assessments'!D10)</f>
        <v>7254.115901513145</v>
      </c>
      <c r="H10" s="6">
        <f>SUM(Bioethics!D10)</f>
        <v>116</v>
      </c>
      <c r="I10" s="6">
        <f>SUM('Grad Prog'!D10)</f>
        <v>72</v>
      </c>
      <c r="J10" s="6">
        <f>SUM('NRSA Payback'!D10)</f>
        <v>47</v>
      </c>
      <c r="K10" s="6">
        <f>SUM('Intern Prog'!D10)</f>
        <v>318</v>
      </c>
      <c r="L10" s="6">
        <f>SUM('NIH OHR  '!D10+0)</f>
        <v>3110</v>
      </c>
      <c r="M10" s="6">
        <f>SUM(' HR Residual'!D10)</f>
        <v>145</v>
      </c>
      <c r="N10" s="6">
        <f>SUM(OFM!D10)</f>
        <v>893</v>
      </c>
      <c r="O10" s="6">
        <f>SUM(UFMS!D10)</f>
        <v>1090</v>
      </c>
      <c r="P10" s="167">
        <f t="shared" si="0"/>
        <v>27797.115901513145</v>
      </c>
    </row>
    <row r="11" spans="1:16" ht="15">
      <c r="A11" s="4" t="s">
        <v>21</v>
      </c>
      <c r="B11" s="6">
        <f>SUM(OTT!D11)</f>
        <v>1</v>
      </c>
      <c r="C11" s="6">
        <f>SUM(Telcom!D11)</f>
        <v>65</v>
      </c>
      <c r="D11" s="6">
        <f>SUM('IT Software Dev'!D11)</f>
        <v>3235</v>
      </c>
      <c r="E11" s="6">
        <f>SUM('eRA Ongoing'!D11)</f>
        <v>1776</v>
      </c>
      <c r="F11" s="6">
        <f>SUM('HR Ongoing'!D11)</f>
        <v>134</v>
      </c>
      <c r="G11" s="6">
        <f>SUM('CIT Assessments'!D11)</f>
        <v>356.99474197422353</v>
      </c>
      <c r="H11" s="6">
        <f>SUM(Bioethics!D11)</f>
        <v>52</v>
      </c>
      <c r="I11" s="6">
        <f>SUM('Grad Prog'!D11)</f>
        <v>0</v>
      </c>
      <c r="J11" s="6">
        <f>SUM('NRSA Payback'!D11)</f>
        <v>48</v>
      </c>
      <c r="K11" s="6">
        <f>SUM('Intern Prog'!D11)</f>
        <v>27</v>
      </c>
      <c r="L11" s="6">
        <f>SUM('NIH OHR  '!D11+0)</f>
        <v>263</v>
      </c>
      <c r="M11" s="6">
        <f>SUM(' HR Residual'!D11)</f>
        <v>12</v>
      </c>
      <c r="N11" s="6">
        <f>SUM(OFM!D11)</f>
        <v>78</v>
      </c>
      <c r="O11" s="6">
        <f>SUM(UFMS!D11)</f>
        <v>478</v>
      </c>
      <c r="P11" s="167">
        <f t="shared" si="0"/>
        <v>6525.994741974224</v>
      </c>
    </row>
    <row r="12" spans="1:16" ht="15">
      <c r="A12" s="4" t="s">
        <v>22</v>
      </c>
      <c r="B12" s="6">
        <f>SUM(OTT!D12)</f>
        <v>340</v>
      </c>
      <c r="C12" s="6">
        <f>SUM(Telcom!D12)</f>
        <v>464</v>
      </c>
      <c r="D12" s="6">
        <f>SUM('IT Software Dev'!D12)</f>
        <v>2114</v>
      </c>
      <c r="E12" s="6">
        <f>SUM('eRA Ongoing'!D12)</f>
        <v>990</v>
      </c>
      <c r="F12" s="6">
        <f>SUM('HR Ongoing'!D12)</f>
        <v>598</v>
      </c>
      <c r="G12" s="6">
        <f>SUM('CIT Assessments'!D12)</f>
        <v>3360.668130806391</v>
      </c>
      <c r="H12" s="6">
        <f>SUM(Bioethics!D12)</f>
        <v>34</v>
      </c>
      <c r="I12" s="6">
        <f>SUM('Grad Prog'!D12)</f>
        <v>48</v>
      </c>
      <c r="J12" s="6">
        <f>SUM('NRSA Payback'!D12)</f>
        <v>35</v>
      </c>
      <c r="K12" s="6">
        <f>SUM('Intern Prog'!D12)</f>
        <v>109</v>
      </c>
      <c r="L12" s="6">
        <f>SUM('NIH OHR  '!D12+0)</f>
        <v>1070</v>
      </c>
      <c r="M12" s="6">
        <f>SUM(' HR Residual'!D12)</f>
        <v>50</v>
      </c>
      <c r="N12" s="6">
        <f>SUM(OFM!D12)</f>
        <v>394</v>
      </c>
      <c r="O12" s="6">
        <f>SUM(UFMS!D12)</f>
        <v>312</v>
      </c>
      <c r="P12" s="167">
        <f t="shared" si="0"/>
        <v>9918.66813080639</v>
      </c>
    </row>
    <row r="13" spans="1:16" ht="15">
      <c r="A13" s="4" t="s">
        <v>23</v>
      </c>
      <c r="B13" s="6">
        <f>SUM(OTT!D13)</f>
        <v>74</v>
      </c>
      <c r="C13" s="6">
        <f>SUM(Telcom!D13)</f>
        <v>222</v>
      </c>
      <c r="D13" s="6">
        <f>SUM('IT Software Dev'!D13)</f>
        <v>1114</v>
      </c>
      <c r="E13" s="6">
        <f>SUM('eRA Ongoing'!D13)</f>
        <v>543</v>
      </c>
      <c r="F13" s="6">
        <f>SUM('HR Ongoing'!D13)</f>
        <v>223</v>
      </c>
      <c r="G13" s="6">
        <f>SUM('CIT Assessments'!D13)</f>
        <v>1089.4749342698203</v>
      </c>
      <c r="H13" s="6">
        <f>SUM(Bioethics!D13)</f>
        <v>18</v>
      </c>
      <c r="I13" s="6">
        <f>SUM('Grad Prog'!D13)</f>
        <v>7</v>
      </c>
      <c r="J13" s="6">
        <f>SUM('NRSA Payback'!D13)</f>
        <v>17</v>
      </c>
      <c r="K13" s="6">
        <f>SUM('Intern Prog'!D13)</f>
        <v>46</v>
      </c>
      <c r="L13" s="6">
        <f>SUM('NIH OHR  '!D13+0)</f>
        <v>450</v>
      </c>
      <c r="M13" s="6">
        <f>SUM(' HR Residual'!D13)</f>
        <v>21</v>
      </c>
      <c r="N13" s="6">
        <f>SUM(OFM!D13)</f>
        <v>146</v>
      </c>
      <c r="O13" s="6">
        <f>SUM(UFMS!D13)</f>
        <v>165</v>
      </c>
      <c r="P13" s="167">
        <f t="shared" si="0"/>
        <v>4135.474934269821</v>
      </c>
    </row>
    <row r="14" spans="1:16" ht="15">
      <c r="A14" s="4" t="s">
        <v>24</v>
      </c>
      <c r="B14" s="6">
        <f>SUM(OTT!D14)</f>
        <v>124</v>
      </c>
      <c r="C14" s="6">
        <f>SUM(Telcom!D14)</f>
        <v>14</v>
      </c>
      <c r="D14" s="6">
        <f>SUM('IT Software Dev'!D14)</f>
        <v>1072</v>
      </c>
      <c r="E14" s="6">
        <f>SUM('eRA Ongoing'!D14)</f>
        <v>431</v>
      </c>
      <c r="F14" s="6">
        <f>SUM('HR Ongoing'!D14)</f>
        <v>720</v>
      </c>
      <c r="G14" s="6">
        <f>SUM('CIT Assessments'!D14)</f>
        <v>2903.4745415466277</v>
      </c>
      <c r="H14" s="6">
        <f>SUM(Bioethics!D14)</f>
        <v>17</v>
      </c>
      <c r="I14" s="6">
        <f>SUM('Grad Prog'!D14)</f>
        <v>36</v>
      </c>
      <c r="J14" s="6">
        <f>SUM('NRSA Payback'!D14)</f>
        <v>12</v>
      </c>
      <c r="K14" s="6">
        <f>SUM('Intern Prog'!D14)</f>
        <v>137</v>
      </c>
      <c r="L14" s="6">
        <f>SUM('NIH OHR  '!D14+0)</f>
        <v>1338</v>
      </c>
      <c r="M14" s="6">
        <f>SUM(' HR Residual'!D14)</f>
        <v>62</v>
      </c>
      <c r="N14" s="6">
        <f>SUM(OFM!D14)</f>
        <v>364</v>
      </c>
      <c r="O14" s="6">
        <f>SUM(UFMS!D14)</f>
        <v>158</v>
      </c>
      <c r="P14" s="167">
        <f t="shared" si="0"/>
        <v>7388.474541546628</v>
      </c>
    </row>
    <row r="15" spans="1:16" ht="15">
      <c r="A15" s="4" t="s">
        <v>25</v>
      </c>
      <c r="B15" s="6">
        <f>SUM(OTT!D15)</f>
        <v>113</v>
      </c>
      <c r="C15" s="6">
        <f>SUM(Telcom!D15)</f>
        <v>123</v>
      </c>
      <c r="D15" s="6">
        <f>SUM('IT Software Dev'!D15)</f>
        <v>1749</v>
      </c>
      <c r="E15" s="6">
        <f>SUM('eRA Ongoing'!D15)</f>
        <v>852</v>
      </c>
      <c r="F15" s="6">
        <f>SUM('HR Ongoing'!D15)</f>
        <v>394</v>
      </c>
      <c r="G15" s="6">
        <f>SUM('CIT Assessments'!D15)</f>
        <v>1894.0359017088526</v>
      </c>
      <c r="H15" s="6">
        <f>SUM(Bioethics!D15)</f>
        <v>28</v>
      </c>
      <c r="I15" s="6">
        <f>SUM('Grad Prog'!D15)</f>
        <v>27</v>
      </c>
      <c r="J15" s="6">
        <f>SUM('NRSA Payback'!D15)</f>
        <v>9</v>
      </c>
      <c r="K15" s="6">
        <f>SUM('Intern Prog'!D15)</f>
        <v>78</v>
      </c>
      <c r="L15" s="6">
        <f>SUM('NIH OHR  '!D15+0)</f>
        <v>768</v>
      </c>
      <c r="M15" s="6">
        <f>SUM(' HR Residual'!D15)</f>
        <v>36</v>
      </c>
      <c r="N15" s="6">
        <f>SUM(OFM!D15)</f>
        <v>260</v>
      </c>
      <c r="O15" s="6">
        <f>SUM(UFMS!D15)</f>
        <v>259</v>
      </c>
      <c r="P15" s="167">
        <f t="shared" si="0"/>
        <v>6590.035901708852</v>
      </c>
    </row>
    <row r="16" spans="1:16" ht="15">
      <c r="A16" s="4" t="s">
        <v>26</v>
      </c>
      <c r="B16" s="6">
        <f>SUM(OTT!D16)</f>
        <v>140</v>
      </c>
      <c r="C16" s="6">
        <f>SUM(Telcom!D16)</f>
        <v>183</v>
      </c>
      <c r="D16" s="6">
        <f>SUM('IT Software Dev'!D16)</f>
        <v>849</v>
      </c>
      <c r="E16" s="6">
        <f>SUM('eRA Ongoing'!D16)</f>
        <v>408</v>
      </c>
      <c r="F16" s="6">
        <f>SUM('HR Ongoing'!D16)</f>
        <v>222</v>
      </c>
      <c r="G16" s="6">
        <f>SUM('CIT Assessments'!D16)</f>
        <v>930.8589458357803</v>
      </c>
      <c r="H16" s="6">
        <f>SUM(Bioethics!D16)</f>
        <v>14</v>
      </c>
      <c r="I16" s="6">
        <f>SUM('Grad Prog'!D16)</f>
        <v>9</v>
      </c>
      <c r="J16" s="6">
        <f>SUM('NRSA Payback'!D16)</f>
        <v>23</v>
      </c>
      <c r="K16" s="6">
        <f>SUM('Intern Prog'!D16)</f>
        <v>44</v>
      </c>
      <c r="L16" s="6">
        <f>SUM('NIH OHR  '!D16+0)</f>
        <v>435</v>
      </c>
      <c r="M16" s="6">
        <f>SUM(' HR Residual'!D16)</f>
        <v>20</v>
      </c>
      <c r="N16" s="6">
        <f>SUM(OFM!D16)</f>
        <v>161</v>
      </c>
      <c r="O16" s="6">
        <f>SUM(UFMS!D16)</f>
        <v>125</v>
      </c>
      <c r="P16" s="167">
        <f t="shared" si="0"/>
        <v>3563.85894583578</v>
      </c>
    </row>
    <row r="17" spans="1:16" ht="15">
      <c r="A17" s="4" t="s">
        <v>27</v>
      </c>
      <c r="B17" s="6">
        <f>SUM(OTT!D17)</f>
        <v>42</v>
      </c>
      <c r="C17" s="6">
        <f>SUM(Telcom!D17)</f>
        <v>118</v>
      </c>
      <c r="D17" s="6">
        <f>SUM('IT Software Dev'!D17)</f>
        <v>658</v>
      </c>
      <c r="E17" s="6">
        <f>SUM('eRA Ongoing'!D17)</f>
        <v>322</v>
      </c>
      <c r="F17" s="6">
        <f>SUM('HR Ongoing'!D17)</f>
        <v>154</v>
      </c>
      <c r="G17" s="6">
        <f>SUM('CIT Assessments'!D17)</f>
        <v>630.8766372505866</v>
      </c>
      <c r="H17" s="6">
        <f>SUM(Bioethics!D17)</f>
        <v>11</v>
      </c>
      <c r="I17" s="6">
        <f>SUM('Grad Prog'!D17)</f>
        <v>16</v>
      </c>
      <c r="J17" s="6">
        <f>SUM('NRSA Payback'!D17)</f>
        <v>5</v>
      </c>
      <c r="K17" s="6">
        <f>SUM('Intern Prog'!D17)</f>
        <v>29</v>
      </c>
      <c r="L17" s="6">
        <f>SUM('NIH OHR  '!D17+0)</f>
        <v>287</v>
      </c>
      <c r="M17" s="6">
        <f>SUM(' HR Residual'!D17)</f>
        <v>13</v>
      </c>
      <c r="N17" s="6">
        <f>SUM(OFM!D17)</f>
        <v>92</v>
      </c>
      <c r="O17" s="6">
        <f>SUM(UFMS!D17)</f>
        <v>97</v>
      </c>
      <c r="P17" s="167">
        <f t="shared" si="0"/>
        <v>2474.8766372505866</v>
      </c>
    </row>
    <row r="18" spans="1:16" ht="15">
      <c r="A18" s="4" t="s">
        <v>28</v>
      </c>
      <c r="B18" s="6">
        <f>SUM(OTT!D18)</f>
        <v>184</v>
      </c>
      <c r="C18" s="6">
        <f>SUM(Telcom!D18)</f>
        <v>517</v>
      </c>
      <c r="D18" s="6">
        <f>SUM('IT Software Dev'!D18)</f>
        <v>2346</v>
      </c>
      <c r="E18" s="6">
        <f>SUM('eRA Ongoing'!D18)</f>
        <v>1114</v>
      </c>
      <c r="F18" s="6">
        <f>SUM('HR Ongoing'!D18)</f>
        <v>703</v>
      </c>
      <c r="G18" s="6">
        <f>SUM('CIT Assessments'!D18)</f>
        <v>2916.492431263107</v>
      </c>
      <c r="H18" s="6">
        <f>SUM(Bioethics!D18)</f>
        <v>38</v>
      </c>
      <c r="I18" s="6">
        <f>SUM('Grad Prog'!D18)</f>
        <v>70</v>
      </c>
      <c r="J18" s="6">
        <f>SUM('NRSA Payback'!D18)</f>
        <v>28</v>
      </c>
      <c r="K18" s="6">
        <f>SUM('Intern Prog'!D18)</f>
        <v>146</v>
      </c>
      <c r="L18" s="6">
        <f>SUM('NIH OHR  '!D18+0)</f>
        <v>1427</v>
      </c>
      <c r="M18" s="6">
        <f>SUM(' HR Residual'!D18)</f>
        <v>67</v>
      </c>
      <c r="N18" s="6">
        <f>SUM(OFM!D18)</f>
        <v>308</v>
      </c>
      <c r="O18" s="6">
        <f>SUM(UFMS!D18)</f>
        <v>347</v>
      </c>
      <c r="P18" s="167">
        <f t="shared" si="0"/>
        <v>10211.492431263106</v>
      </c>
    </row>
    <row r="19" spans="1:16" ht="15">
      <c r="A19" s="4" t="s">
        <v>29</v>
      </c>
      <c r="B19" s="6">
        <f>SUM(OTT!D19)</f>
        <v>76</v>
      </c>
      <c r="C19" s="6">
        <f>SUM(Telcom!D19)</f>
        <v>122</v>
      </c>
      <c r="D19" s="6">
        <f>SUM('IT Software Dev'!D19)</f>
        <v>1672</v>
      </c>
      <c r="E19" s="6">
        <f>SUM('eRA Ongoing'!D19)</f>
        <v>815</v>
      </c>
      <c r="F19" s="6">
        <f>SUM('HR Ongoing'!D19)</f>
        <v>355</v>
      </c>
      <c r="G19" s="6">
        <f>SUM('CIT Assessments'!D19)</f>
        <v>1519.5318923759721</v>
      </c>
      <c r="H19" s="6">
        <f>SUM(Bioethics!D19)</f>
        <v>27</v>
      </c>
      <c r="I19" s="6">
        <f>SUM('Grad Prog'!D19)</f>
        <v>22.6</v>
      </c>
      <c r="J19" s="6">
        <f>SUM('NRSA Payback'!D19)</f>
        <v>6</v>
      </c>
      <c r="K19" s="6">
        <f>SUM('Intern Prog'!D19)</f>
        <v>76</v>
      </c>
      <c r="L19" s="6">
        <f>SUM('NIH OHR  '!D19+0)</f>
        <v>743</v>
      </c>
      <c r="M19" s="6">
        <f>SUM(' HR Residual'!D19)</f>
        <v>35</v>
      </c>
      <c r="N19" s="6">
        <f>SUM(OFM!D19)</f>
        <v>164</v>
      </c>
      <c r="O19" s="6">
        <f>SUM(UFMS!D19)</f>
        <v>247</v>
      </c>
      <c r="P19" s="167">
        <f t="shared" si="0"/>
        <v>5880.131892375973</v>
      </c>
    </row>
    <row r="20" spans="1:16" ht="15">
      <c r="A20" s="4" t="s">
        <v>30</v>
      </c>
      <c r="B20" s="6">
        <f>SUM(OTT!D20)</f>
        <v>42</v>
      </c>
      <c r="C20" s="6">
        <f>SUM(Telcom!D20)</f>
        <v>148</v>
      </c>
      <c r="D20" s="6">
        <f>SUM('IT Software Dev'!D20)</f>
        <v>729</v>
      </c>
      <c r="E20" s="6">
        <f>SUM('eRA Ongoing'!D20)</f>
        <v>345</v>
      </c>
      <c r="F20" s="6">
        <f>SUM('HR Ongoing'!D20)</f>
        <v>265</v>
      </c>
      <c r="G20" s="6">
        <f>SUM('CIT Assessments'!D20)</f>
        <v>762.2199523137753</v>
      </c>
      <c r="H20" s="6">
        <f>SUM(Bioethics!D20)</f>
        <v>12</v>
      </c>
      <c r="I20" s="6">
        <f>SUM('Grad Prog'!D20)</f>
        <v>20</v>
      </c>
      <c r="J20" s="6">
        <f>SUM('NRSA Payback'!D20)</f>
        <v>5</v>
      </c>
      <c r="K20" s="6">
        <f>SUM('Intern Prog'!D20)</f>
        <v>47</v>
      </c>
      <c r="L20" s="6">
        <f>SUM('NIH OHR  '!D20+0)</f>
        <v>464</v>
      </c>
      <c r="M20" s="6">
        <f>SUM(' HR Residual'!D20)</f>
        <v>22</v>
      </c>
      <c r="N20" s="6">
        <f>SUM(OFM!D20)</f>
        <v>116</v>
      </c>
      <c r="O20" s="6">
        <f>SUM(UFMS!D20)</f>
        <v>108</v>
      </c>
      <c r="P20" s="167">
        <f t="shared" si="0"/>
        <v>3085.219952313775</v>
      </c>
    </row>
    <row r="21" spans="1:16" ht="15">
      <c r="A21" s="4" t="s">
        <v>31</v>
      </c>
      <c r="B21" s="6">
        <f>SUM(OTT!D21)</f>
        <v>1</v>
      </c>
      <c r="C21" s="6">
        <f>SUM(Telcom!D21)</f>
        <v>26</v>
      </c>
      <c r="D21" s="6">
        <f>SUM('IT Software Dev'!D21)</f>
        <v>230</v>
      </c>
      <c r="E21" s="6">
        <f>SUM('eRA Ongoing'!D21)</f>
        <v>119</v>
      </c>
      <c r="F21" s="6">
        <f>SUM('HR Ongoing'!D21)</f>
        <v>53</v>
      </c>
      <c r="G21" s="6">
        <f>SUM('CIT Assessments'!D21)</f>
        <v>144.48601861984412</v>
      </c>
      <c r="H21" s="6">
        <f>SUM(Bioethics!D21)</f>
        <v>4</v>
      </c>
      <c r="I21" s="6">
        <f>SUM('Grad Prog'!D21)</f>
        <v>0</v>
      </c>
      <c r="J21" s="6">
        <f>SUM('NRSA Payback'!D21)</f>
        <v>6</v>
      </c>
      <c r="K21" s="6">
        <f>SUM('Intern Prog'!D21)</f>
        <v>8</v>
      </c>
      <c r="L21" s="6">
        <f>SUM('NIH OHR  '!D21+0)</f>
        <v>78</v>
      </c>
      <c r="M21" s="6">
        <f>SUM(' HR Residual'!D21)</f>
        <v>4</v>
      </c>
      <c r="N21" s="6">
        <f>SUM(OFM!D21)</f>
        <v>19</v>
      </c>
      <c r="O21" s="6">
        <f>SUM(UFMS!D21)</f>
        <v>34</v>
      </c>
      <c r="P21" s="167">
        <f t="shared" si="0"/>
        <v>726.4860186198441</v>
      </c>
    </row>
    <row r="22" spans="1:16" ht="15">
      <c r="A22" s="4" t="s">
        <v>32</v>
      </c>
      <c r="B22" s="6">
        <f>SUM(OTT!D22)</f>
        <v>154</v>
      </c>
      <c r="C22" s="6">
        <f>SUM(Telcom!D22)</f>
        <v>284</v>
      </c>
      <c r="D22" s="6">
        <f>SUM('IT Software Dev'!D22)</f>
        <v>812</v>
      </c>
      <c r="E22" s="6">
        <f>SUM('eRA Ongoing'!D22)</f>
        <v>346</v>
      </c>
      <c r="F22" s="6">
        <f>SUM('HR Ongoing'!D22)</f>
        <v>315</v>
      </c>
      <c r="G22" s="6">
        <f>SUM('CIT Assessments'!D22)</f>
        <v>1312.8162331208591</v>
      </c>
      <c r="H22" s="6">
        <f>SUM(Bioethics!D22)</f>
        <v>13</v>
      </c>
      <c r="I22" s="6">
        <f>SUM('Grad Prog'!D22)</f>
        <v>38</v>
      </c>
      <c r="J22" s="6">
        <f>SUM('NRSA Payback'!D22)</f>
        <v>6</v>
      </c>
      <c r="K22" s="6">
        <f>SUM('Intern Prog'!D22)</f>
        <v>57</v>
      </c>
      <c r="L22" s="6">
        <f>SUM('NIH OHR  '!D22+0)</f>
        <v>558</v>
      </c>
      <c r="M22" s="6">
        <f>SUM(' HR Residual'!D22)</f>
        <v>26</v>
      </c>
      <c r="N22" s="6">
        <f>SUM(OFM!D22)</f>
        <v>260</v>
      </c>
      <c r="O22" s="6">
        <f>SUM(UFMS!D22)</f>
        <v>120</v>
      </c>
      <c r="P22" s="167">
        <f t="shared" si="0"/>
        <v>4301.816233120859</v>
      </c>
    </row>
    <row r="23" spans="1:16" ht="15">
      <c r="A23" s="4" t="s">
        <v>33</v>
      </c>
      <c r="B23" s="6">
        <f>SUM(OTT!D23)</f>
        <v>0</v>
      </c>
      <c r="C23" s="6">
        <f>SUM(Telcom!D23)</f>
        <v>32</v>
      </c>
      <c r="D23" s="6">
        <f>SUM('IT Software Dev'!D23)</f>
        <v>496</v>
      </c>
      <c r="E23" s="6">
        <f>SUM('eRA Ongoing'!D23)</f>
        <v>258</v>
      </c>
      <c r="F23" s="6">
        <f>SUM('HR Ongoing'!D23)</f>
        <v>46</v>
      </c>
      <c r="G23" s="6">
        <f>SUM('CIT Assessments'!D23)</f>
        <v>176.73724466763295</v>
      </c>
      <c r="H23" s="6">
        <f>SUM(Bioethics!D23)</f>
        <v>8</v>
      </c>
      <c r="I23" s="6">
        <f>SUM('Grad Prog'!D23)</f>
        <v>0</v>
      </c>
      <c r="J23" s="6">
        <f>SUM('NRSA Payback'!D23)</f>
        <v>1</v>
      </c>
      <c r="K23" s="6">
        <f>SUM('Intern Prog'!D23)</f>
        <v>11</v>
      </c>
      <c r="L23" s="6">
        <f>SUM('NIH OHR  '!D23+0)</f>
        <v>105</v>
      </c>
      <c r="M23" s="6">
        <f>SUM(' HR Residual'!D23)</f>
        <v>5</v>
      </c>
      <c r="N23" s="6">
        <f>SUM(OFM!D23)</f>
        <v>26</v>
      </c>
      <c r="O23" s="6">
        <f>SUM(UFMS!D23)</f>
        <v>73</v>
      </c>
      <c r="P23" s="167">
        <f t="shared" si="0"/>
        <v>1237.737244667633</v>
      </c>
    </row>
    <row r="24" spans="1:16" ht="15">
      <c r="A24" s="4" t="s">
        <v>34</v>
      </c>
      <c r="B24" s="6">
        <f>SUM(OTT!D24)</f>
        <v>0</v>
      </c>
      <c r="C24" s="6">
        <f>SUM(Telcom!D24)</f>
        <v>56</v>
      </c>
      <c r="D24" s="6">
        <f>SUM('IT Software Dev'!D24)</f>
        <v>1821</v>
      </c>
      <c r="E24" s="6">
        <f>SUM('eRA Ongoing'!D24)</f>
        <v>998</v>
      </c>
      <c r="F24" s="6">
        <f>SUM('HR Ongoing'!D24)</f>
        <v>113</v>
      </c>
      <c r="G24" s="6">
        <f>SUM('CIT Assessments'!D24)</f>
        <v>269.4204351131176</v>
      </c>
      <c r="H24" s="6">
        <f>SUM(Bioethics!D24)</f>
        <v>29</v>
      </c>
      <c r="I24" s="6">
        <f>SUM('Grad Prog'!D24)</f>
        <v>0</v>
      </c>
      <c r="J24" s="6">
        <f>SUM('NRSA Payback'!D24)</f>
        <v>3</v>
      </c>
      <c r="K24" s="6">
        <f>SUM('Intern Prog'!D24)</f>
        <v>18</v>
      </c>
      <c r="L24" s="6">
        <f>SUM('NIH OHR  '!D24+0)</f>
        <v>177</v>
      </c>
      <c r="M24" s="6">
        <f>SUM(' HR Residual'!D24)</f>
        <v>8</v>
      </c>
      <c r="N24" s="6">
        <f>SUM(OFM!D24)</f>
        <v>36</v>
      </c>
      <c r="O24" s="6">
        <f>SUM(UFMS!D24)</f>
        <v>269</v>
      </c>
      <c r="P24" s="167">
        <f t="shared" si="0"/>
        <v>3797.4204351131175</v>
      </c>
    </row>
    <row r="25" spans="1:16" ht="15">
      <c r="A25" s="4" t="s">
        <v>35</v>
      </c>
      <c r="B25" s="6">
        <f>SUM(OTT!D25)</f>
        <v>2</v>
      </c>
      <c r="C25" s="6">
        <f>SUM(Telcom!D25)</f>
        <v>20</v>
      </c>
      <c r="D25" s="6">
        <f>SUM('IT Software Dev'!D25)</f>
        <v>203</v>
      </c>
      <c r="E25" s="6">
        <f>SUM('eRA Ongoing'!D25)</f>
        <v>95</v>
      </c>
      <c r="F25" s="6">
        <f>SUM('HR Ongoing'!D25)</f>
        <v>95</v>
      </c>
      <c r="G25" s="6">
        <f>SUM('CIT Assessments'!D25)</f>
        <v>235.26038146123403</v>
      </c>
      <c r="H25" s="6">
        <f>SUM(Bioethics!D25)</f>
        <v>3</v>
      </c>
      <c r="I25" s="6">
        <f>SUM('Grad Prog'!D25)</f>
        <v>2</v>
      </c>
      <c r="J25" s="6">
        <f>SUM('NRSA Payback'!D25)</f>
        <v>1</v>
      </c>
      <c r="K25" s="6">
        <f>SUM('Intern Prog'!D25)</f>
        <v>16</v>
      </c>
      <c r="L25" s="6">
        <f>SUM('NIH OHR  '!D25+0)</f>
        <v>156</v>
      </c>
      <c r="M25" s="6">
        <f>SUM(' HR Residual'!D25)</f>
        <v>7</v>
      </c>
      <c r="N25" s="6">
        <f>SUM(OFM!D25)</f>
        <v>27</v>
      </c>
      <c r="O25" s="6">
        <f>SUM(UFMS!D25)</f>
        <v>30</v>
      </c>
      <c r="P25" s="167">
        <f t="shared" si="0"/>
        <v>892.260381461234</v>
      </c>
    </row>
    <row r="26" spans="1:16" ht="15">
      <c r="A26" s="4" t="s">
        <v>36</v>
      </c>
      <c r="B26" s="6">
        <f>SUM(OTT!D26)</f>
        <v>0</v>
      </c>
      <c r="C26" s="6">
        <f>SUM(Telcom!D26)</f>
        <v>16</v>
      </c>
      <c r="D26" s="6">
        <f>SUM('IT Software Dev'!D26)</f>
        <v>327</v>
      </c>
      <c r="E26" s="6">
        <f>SUM('eRA Ongoing'!D26)</f>
        <v>175</v>
      </c>
      <c r="F26" s="6">
        <f>SUM('HR Ongoing'!D26)</f>
        <v>25</v>
      </c>
      <c r="G26" s="6">
        <f>SUM('CIT Assessments'!D26)</f>
        <v>116.63210141906235</v>
      </c>
      <c r="H26" s="6">
        <f>SUM(Bioethics!D26)</f>
        <v>5</v>
      </c>
      <c r="I26" s="6">
        <f>SUM('Grad Prog'!D26)</f>
        <v>0</v>
      </c>
      <c r="J26" s="6">
        <f>SUM('NRSA Payback'!D26)</f>
        <v>0</v>
      </c>
      <c r="K26" s="6">
        <f>SUM('Intern Prog'!D26)</f>
        <v>6</v>
      </c>
      <c r="L26" s="6">
        <f>SUM('NIH OHR  '!D26+0)</f>
        <v>62</v>
      </c>
      <c r="M26" s="6">
        <f>SUM(' HR Residual'!D26)</f>
        <v>3</v>
      </c>
      <c r="N26" s="6">
        <f>SUM(OFM!D26)</f>
        <v>15</v>
      </c>
      <c r="O26" s="6">
        <f>SUM(UFMS!D26)</f>
        <v>48</v>
      </c>
      <c r="P26" s="167">
        <f t="shared" si="0"/>
        <v>798.6321014190623</v>
      </c>
    </row>
    <row r="27" spans="1:16" ht="15">
      <c r="A27" s="4" t="s">
        <v>37</v>
      </c>
      <c r="B27" s="6">
        <f>SUM(OTT!D27)</f>
        <v>0</v>
      </c>
      <c r="C27" s="6">
        <f>SUM(Telcom!D27)</f>
        <v>31</v>
      </c>
      <c r="D27" s="6">
        <f>SUM('IT Software Dev'!D27)</f>
        <v>111</v>
      </c>
      <c r="E27" s="6">
        <f>SUM('eRA Ongoing'!D27)</f>
        <v>51</v>
      </c>
      <c r="F27" s="6">
        <f>SUM('HR Ongoing'!D27)</f>
        <v>63</v>
      </c>
      <c r="G27" s="6">
        <f>SUM('CIT Assessments'!D27)</f>
        <v>150.85420095762794</v>
      </c>
      <c r="H27" s="6">
        <f>SUM(Bioethics!D27)</f>
        <v>2</v>
      </c>
      <c r="I27" s="6">
        <f>SUM('Grad Prog'!D27)</f>
        <v>0</v>
      </c>
      <c r="J27" s="6">
        <f>SUM('NRSA Payback'!D27)</f>
        <v>0</v>
      </c>
      <c r="K27" s="6">
        <f>SUM('Intern Prog'!D27)</f>
        <v>12</v>
      </c>
      <c r="L27" s="6">
        <f>SUM('NIH OHR  '!D27+0)</f>
        <v>115</v>
      </c>
      <c r="M27" s="6">
        <f>SUM(' HR Residual'!D27)</f>
        <v>5</v>
      </c>
      <c r="N27" s="6">
        <f>SUM(OFM!D27)</f>
        <v>18</v>
      </c>
      <c r="O27" s="6">
        <f>SUM(UFMS!D27)</f>
        <v>16</v>
      </c>
      <c r="P27" s="167">
        <f t="shared" si="0"/>
        <v>574.8542009576279</v>
      </c>
    </row>
    <row r="28" spans="1:16" ht="15">
      <c r="A28" s="4" t="s">
        <v>38</v>
      </c>
      <c r="B28" s="6">
        <f>SUM(OTT!D28)</f>
        <v>5</v>
      </c>
      <c r="C28" s="6">
        <f>SUM(Telcom!D28)</f>
        <v>459</v>
      </c>
      <c r="D28" s="6">
        <f>SUM('IT Software Dev'!D28)</f>
        <v>526</v>
      </c>
      <c r="E28" s="6">
        <f>SUM('eRA Ongoing'!D28)</f>
        <v>64</v>
      </c>
      <c r="F28" s="6">
        <f>SUM('HR Ongoing'!D28)</f>
        <v>715</v>
      </c>
      <c r="G28" s="6">
        <f>SUM('CIT Assessments'!D28)</f>
        <v>2798.22217971774</v>
      </c>
      <c r="H28" s="6">
        <f>SUM(Bioethics!D28)</f>
        <v>8</v>
      </c>
      <c r="I28" s="6">
        <f>SUM('Grad Prog'!D28)</f>
        <v>23</v>
      </c>
      <c r="J28" s="6">
        <f>SUM('NRSA Payback'!D28)</f>
        <v>0</v>
      </c>
      <c r="K28" s="6">
        <f>SUM('Intern Prog'!D28)</f>
        <v>136</v>
      </c>
      <c r="L28" s="6">
        <f>SUM('NIH OHR  '!D28+0)</f>
        <v>1326</v>
      </c>
      <c r="M28" s="6">
        <f>SUM(' HR Residual'!D28)</f>
        <v>62</v>
      </c>
      <c r="N28" s="6">
        <f>SUM(OFM!D28)</f>
        <v>123</v>
      </c>
      <c r="O28" s="6">
        <f>SUM(UFMS!D28)</f>
        <v>78</v>
      </c>
      <c r="P28" s="167">
        <f t="shared" si="0"/>
        <v>6323.22217971774</v>
      </c>
    </row>
    <row r="29" spans="1:16" ht="15">
      <c r="A29" s="4" t="s">
        <v>39</v>
      </c>
      <c r="B29" s="6">
        <f>SUM(OTT!D29)</f>
        <v>450</v>
      </c>
      <c r="C29" s="6">
        <f>SUM(Telcom!D29)</f>
        <v>0</v>
      </c>
      <c r="D29" s="6">
        <f>SUM('IT Software Dev'!D29)</f>
        <v>0</v>
      </c>
      <c r="E29" s="6">
        <f>SUM('eRA Ongoing'!D29)</f>
        <v>0</v>
      </c>
      <c r="F29" s="6">
        <f>SUM('HR Ongoing'!D29)</f>
        <v>0</v>
      </c>
      <c r="G29" s="6">
        <f>SUM('CIT Assessments'!D29)</f>
        <v>878.1491276350345</v>
      </c>
      <c r="H29" s="6">
        <f>SUM(Bioethics!D29)</f>
        <v>0</v>
      </c>
      <c r="I29" s="6">
        <f>SUM('Grad Prog'!D29)</f>
        <v>0</v>
      </c>
      <c r="J29" s="6">
        <f>SUM('NRSA Payback'!D29)</f>
        <v>0</v>
      </c>
      <c r="K29" s="6">
        <f>SUM('Intern Prog'!D29)</f>
        <v>0</v>
      </c>
      <c r="L29" s="6">
        <f>SUM('NIH OHR  '!D29+0)</f>
        <v>0</v>
      </c>
      <c r="M29" s="6">
        <f>SUM(' HR Residual'!D29)</f>
        <v>0</v>
      </c>
      <c r="N29" s="6">
        <f>SUM(OFM!D29)</f>
        <v>0</v>
      </c>
      <c r="O29" s="6">
        <f>SUM(UFMS!D29)</f>
        <v>0</v>
      </c>
      <c r="P29" s="167">
        <f t="shared" si="0"/>
        <v>1328.1491276350343</v>
      </c>
    </row>
    <row r="30" spans="1:16" ht="15">
      <c r="A30" s="4" t="s">
        <v>8</v>
      </c>
      <c r="B30" s="6">
        <f>SUM(OTT!D30)</f>
        <v>0</v>
      </c>
      <c r="C30" s="6">
        <f>SUM(Telcom!D30)</f>
        <v>926</v>
      </c>
      <c r="D30" s="6">
        <f>SUM('IT Software Dev'!D30)</f>
        <v>637</v>
      </c>
      <c r="E30" s="6">
        <f>SUM('eRA Ongoing'!D30)</f>
        <v>182</v>
      </c>
      <c r="F30" s="6">
        <f>SUM('HR Ongoing'!D30)</f>
        <v>573</v>
      </c>
      <c r="G30" s="6">
        <f>SUM('CIT Assessments'!D30)</f>
        <v>1856.3249635388129</v>
      </c>
      <c r="H30" s="6">
        <f>SUM(Bioethics!D30)</f>
        <v>1557</v>
      </c>
      <c r="I30" s="6">
        <f>SUM('Grad Prog'!D30)</f>
        <v>107</v>
      </c>
      <c r="J30" s="6">
        <f>SUM('NRSA Payback'!D30)</f>
        <v>0</v>
      </c>
      <c r="K30" s="6">
        <f>SUM('Intern Prog'!D30)</f>
        <v>129</v>
      </c>
      <c r="L30" s="6">
        <f>SUM('NIH OHR  '!D30+0)</f>
        <v>1267</v>
      </c>
      <c r="M30" s="6">
        <f>SUM(' HR Residual'!D30)</f>
        <v>59</v>
      </c>
      <c r="N30" s="6">
        <f>SUM(OFM!D30)</f>
        <v>240</v>
      </c>
      <c r="O30" s="6">
        <f>SUM(UFMS!D30)</f>
        <v>94</v>
      </c>
      <c r="P30" s="167">
        <f t="shared" si="0"/>
        <v>7627.324963538813</v>
      </c>
    </row>
    <row r="31" spans="1:16" ht="15">
      <c r="A31" s="4" t="s">
        <v>52</v>
      </c>
      <c r="B31" s="6">
        <f>SUM(OTT!D31)</f>
        <v>0</v>
      </c>
      <c r="C31" s="6">
        <f>SUM(Telcom!D31)</f>
        <v>0</v>
      </c>
      <c r="D31" s="6">
        <f>SUM('IT Software Dev'!D31)</f>
        <v>0</v>
      </c>
      <c r="E31" s="6">
        <f>SUM('eRA Ongoing'!D31)</f>
        <v>0</v>
      </c>
      <c r="F31" s="6">
        <f>SUM('HR Ongoing'!D31)</f>
        <v>0</v>
      </c>
      <c r="G31" s="6">
        <f>SUM('CIT Assessments'!D31)</f>
        <v>2098.3546703207076</v>
      </c>
      <c r="H31" s="6">
        <f>SUM(Bioethics!D31)</f>
        <v>0</v>
      </c>
      <c r="I31" s="6">
        <f>SUM('Grad Prog'!D31)</f>
        <v>0</v>
      </c>
      <c r="J31" s="6">
        <f>SUM('NRSA Payback'!D31)</f>
        <v>0</v>
      </c>
      <c r="K31" s="6">
        <f>SUM('Intern Prog'!D31)</f>
        <v>297</v>
      </c>
      <c r="L31" s="6">
        <f>SUM('NIH OHR  '!D31+0)</f>
        <v>2907</v>
      </c>
      <c r="M31" s="6">
        <f>SUM(' HR Residual'!D31)</f>
        <v>136</v>
      </c>
      <c r="N31" s="6">
        <f>SUM(OFM!D31)</f>
        <v>958</v>
      </c>
      <c r="O31" s="6">
        <f>SUM(UFMS!D31)</f>
        <v>0</v>
      </c>
      <c r="P31" s="167">
        <f t="shared" si="0"/>
        <v>6396.354670320708</v>
      </c>
    </row>
    <row r="32" spans="1:16" ht="15">
      <c r="A32" s="4" t="s">
        <v>40</v>
      </c>
      <c r="B32" s="6">
        <f>SUM(OTT!D32)</f>
        <v>154</v>
      </c>
      <c r="C32" s="6">
        <f>SUM(Telcom!D32)</f>
        <v>1334</v>
      </c>
      <c r="D32" s="6">
        <f>SUM('IT Software Dev'!D32)</f>
        <v>0</v>
      </c>
      <c r="E32" s="6">
        <f>SUM('eRA Ongoing'!D32)</f>
        <v>0</v>
      </c>
      <c r="F32" s="6">
        <f>SUM('HR Ongoing'!D32)</f>
        <v>0</v>
      </c>
      <c r="G32" s="6">
        <f>SUM('CIT Assessments'!D32)</f>
        <v>4887.978990061109</v>
      </c>
      <c r="H32" s="6">
        <f>SUM(Bioethics!D32)</f>
        <v>0</v>
      </c>
      <c r="I32" s="6">
        <f>SUM('Grad Prog'!D32)</f>
        <v>7</v>
      </c>
      <c r="J32" s="6">
        <f>SUM('NRSA Payback'!D32)</f>
        <v>0</v>
      </c>
      <c r="K32" s="6">
        <f>SUM('Intern Prog'!D32)</f>
        <v>387</v>
      </c>
      <c r="L32" s="6">
        <f>SUM('NIH OHR  '!D32+0)</f>
        <v>3784</v>
      </c>
      <c r="M32" s="6">
        <f>SUM(' HR Residual'!D32)</f>
        <v>177</v>
      </c>
      <c r="N32" s="6">
        <f>SUM(OFM!D32)</f>
        <v>338</v>
      </c>
      <c r="O32" s="6">
        <f>SUM(UFMS!D32)</f>
        <v>0</v>
      </c>
      <c r="P32" s="167">
        <f t="shared" si="0"/>
        <v>11068.978990061109</v>
      </c>
    </row>
    <row r="33" spans="1:16" ht="15">
      <c r="A33" s="4" t="s">
        <v>5</v>
      </c>
      <c r="B33" s="6">
        <f>SUM(OTT!D33)</f>
        <v>0</v>
      </c>
      <c r="C33" s="6">
        <f>SUM(Telcom!D33)</f>
        <v>146</v>
      </c>
      <c r="D33" s="6">
        <f>SUM('IT Software Dev'!D33)</f>
        <v>0</v>
      </c>
      <c r="E33" s="6">
        <f>SUM('eRA Ongoing'!D33)</f>
        <v>0</v>
      </c>
      <c r="F33" s="6">
        <f>SUM('HR Ongoing'!D33)</f>
        <v>0</v>
      </c>
      <c r="G33" s="6">
        <f>SUM('CIT Assessments'!D33)</f>
        <v>879.3635683640777</v>
      </c>
      <c r="H33" s="6">
        <f>SUM(Bioethics!D33)</f>
        <v>0</v>
      </c>
      <c r="I33" s="6">
        <f>SUM('Grad Prog'!D33)</f>
        <v>0</v>
      </c>
      <c r="J33" s="6">
        <f>SUM('NRSA Payback'!D33)</f>
        <v>0</v>
      </c>
      <c r="K33" s="6">
        <f>SUM('Intern Prog'!D33)</f>
        <v>57</v>
      </c>
      <c r="L33" s="6">
        <f>SUM('NIH OHR  '!D33+0)</f>
        <v>558</v>
      </c>
      <c r="M33" s="6">
        <f>SUM(' HR Residual'!D33)</f>
        <v>26</v>
      </c>
      <c r="N33" s="6">
        <f>SUM(OFM!D33)</f>
        <v>97</v>
      </c>
      <c r="O33" s="6">
        <f>SUM(UFMS!D33)</f>
        <v>0</v>
      </c>
      <c r="P33" s="167">
        <f t="shared" si="0"/>
        <v>1763.3635683640778</v>
      </c>
    </row>
    <row r="34" spans="1:16" ht="15">
      <c r="A34" s="4" t="s">
        <v>6</v>
      </c>
      <c r="B34" s="6">
        <f>SUM(OTT!D34)</f>
        <v>2</v>
      </c>
      <c r="C34" s="6">
        <f>SUM(Telcom!D34)</f>
        <v>685</v>
      </c>
      <c r="D34" s="6">
        <f>SUM('IT Software Dev'!D34)</f>
        <v>0</v>
      </c>
      <c r="E34" s="6">
        <f>SUM('eRA Ongoing'!D34)</f>
        <v>0</v>
      </c>
      <c r="F34" s="6">
        <f>SUM('HR Ongoing'!D34)</f>
        <v>0</v>
      </c>
      <c r="G34" s="6">
        <f>SUM('CIT Assessments'!D34)</f>
        <v>1760.0891692557043</v>
      </c>
      <c r="H34" s="6">
        <f>SUM(Bioethics!D34)</f>
        <v>0</v>
      </c>
      <c r="I34" s="6">
        <f>SUM('Grad Prog'!D34)</f>
        <v>0</v>
      </c>
      <c r="J34" s="6">
        <f>SUM('NRSA Payback'!D34)</f>
        <v>0</v>
      </c>
      <c r="K34" s="6">
        <f>SUM('Intern Prog'!D34)</f>
        <v>89</v>
      </c>
      <c r="L34" s="6">
        <f>SUM('NIH OHR  '!D34+0)</f>
        <v>866</v>
      </c>
      <c r="M34" s="6">
        <f>SUM(' HR Residual'!D34)</f>
        <v>40</v>
      </c>
      <c r="N34" s="6">
        <f>SUM(OFM!D34)</f>
        <v>130</v>
      </c>
      <c r="O34" s="6">
        <f>SUM(UFMS!D34)</f>
        <v>0</v>
      </c>
      <c r="P34" s="167">
        <f t="shared" si="0"/>
        <v>3572.0891692557043</v>
      </c>
    </row>
    <row r="35" spans="1:16" ht="15">
      <c r="A35" s="4" t="s">
        <v>9</v>
      </c>
      <c r="B35" s="6">
        <f>SUM(OTT!D35)</f>
        <v>49</v>
      </c>
      <c r="C35" s="6">
        <f>SUM(Telcom!D35)</f>
        <v>504</v>
      </c>
      <c r="D35" s="6">
        <f>SUM('IT Software Dev'!D35)</f>
        <v>0</v>
      </c>
      <c r="E35" s="6">
        <f>SUM('eRA Ongoing'!D35)</f>
        <v>0</v>
      </c>
      <c r="F35" s="6">
        <f>SUM('HR Ongoing'!D35)</f>
        <v>0</v>
      </c>
      <c r="G35" s="6">
        <f>SUM('CIT Assessments'!D35)</f>
        <v>2643</v>
      </c>
      <c r="H35" s="6">
        <f>SUM(Bioethics!D35)</f>
        <v>0</v>
      </c>
      <c r="I35" s="6">
        <f>SUM('Grad Prog'!D35)</f>
        <v>0</v>
      </c>
      <c r="J35" s="6">
        <f>SUM('NRSA Payback'!D35)</f>
        <v>0</v>
      </c>
      <c r="K35" s="6">
        <f>SUM('Intern Prog'!D35)</f>
        <v>142</v>
      </c>
      <c r="L35" s="6">
        <f>SUM('NIH OHR  '!D35+0)</f>
        <v>1390</v>
      </c>
      <c r="M35" s="6">
        <f>SUM(' HR Residual'!D35)</f>
        <v>65</v>
      </c>
      <c r="N35" s="6">
        <f>SUM(OFM!D35)</f>
        <v>444</v>
      </c>
      <c r="O35" s="6">
        <f>SUM(UFMS!D35)</f>
        <v>0</v>
      </c>
      <c r="P35" s="167">
        <f t="shared" si="0"/>
        <v>5237</v>
      </c>
    </row>
    <row r="36" spans="1:16" ht="15">
      <c r="A36" s="4" t="s">
        <v>165</v>
      </c>
      <c r="B36" s="6">
        <f>SUM(OTT!D36)</f>
        <v>0</v>
      </c>
      <c r="C36" s="6">
        <f>SUM(Telcom!D36)</f>
        <v>478</v>
      </c>
      <c r="D36" s="6">
        <f>SUM('IT Software Dev'!D36)</f>
        <v>0</v>
      </c>
      <c r="E36" s="6">
        <f>SUM('eRA Ongoing'!D36)</f>
        <v>0</v>
      </c>
      <c r="F36" s="6">
        <f>SUM('HR Ongoing'!D36)</f>
        <v>0</v>
      </c>
      <c r="G36" s="6">
        <f>SUM('CIT Assessments'!D36)</f>
        <v>1598</v>
      </c>
      <c r="H36" s="6">
        <f>SUM(Bioethics!D36)</f>
        <v>0</v>
      </c>
      <c r="I36" s="6">
        <f>SUM('Grad Prog'!D36)</f>
        <v>0</v>
      </c>
      <c r="J36" s="6">
        <f>SUM('NRSA Payback'!D36)</f>
        <v>0</v>
      </c>
      <c r="K36" s="6">
        <f>SUM('Intern Prog'!D36)</f>
        <v>118</v>
      </c>
      <c r="L36" s="6">
        <f>SUM('NIH OHR  '!D36+0)</f>
        <v>1158</v>
      </c>
      <c r="M36" s="6">
        <f>SUM(' HR Residual'!D36)</f>
        <v>54</v>
      </c>
      <c r="N36" s="6">
        <f>SUM(OFM!D36)</f>
        <v>101</v>
      </c>
      <c r="O36" s="6">
        <f>SUM(UFMS!D36)</f>
        <v>0</v>
      </c>
      <c r="P36" s="167">
        <f t="shared" si="0"/>
        <v>3507</v>
      </c>
    </row>
    <row r="37" spans="1:16" ht="15">
      <c r="A37" s="11" t="s">
        <v>147</v>
      </c>
      <c r="B37" s="12">
        <f>SUM(OTT!D37)</f>
        <v>0</v>
      </c>
      <c r="C37" s="12">
        <f>SUM(Telcom!D37)</f>
        <v>0</v>
      </c>
      <c r="D37" s="12">
        <f>SUM('IT Software Dev'!D37)</f>
        <v>0</v>
      </c>
      <c r="E37" s="12">
        <f>SUM('eRA Ongoing'!D37)</f>
        <v>0</v>
      </c>
      <c r="F37" s="12">
        <f>SUM('HR Ongoing'!D37)</f>
        <v>0</v>
      </c>
      <c r="G37" s="12">
        <f>SUM('CIT Assessments'!D37)</f>
        <v>602</v>
      </c>
      <c r="H37" s="12">
        <f>SUM(Bioethics!D37)</f>
        <v>0</v>
      </c>
      <c r="I37" s="12">
        <f>SUM('Grad Prog'!D37)</f>
        <v>0</v>
      </c>
      <c r="J37" s="12">
        <f>SUM('NRSA Payback'!D37)</f>
        <v>0</v>
      </c>
      <c r="K37" s="12">
        <f>SUM('Intern Prog'!D37)</f>
        <v>0</v>
      </c>
      <c r="L37" s="12">
        <f>SUM('NIH OHR  '!D37+0)</f>
        <v>0</v>
      </c>
      <c r="M37" s="12">
        <f>SUM(' HR Residual'!D37)</f>
        <v>0</v>
      </c>
      <c r="N37" s="12">
        <f>SUM(OFM!D37)</f>
        <v>0</v>
      </c>
      <c r="O37" s="12">
        <f>SUM(UFMS!D37)</f>
        <v>0</v>
      </c>
      <c r="P37" s="168">
        <f t="shared" si="0"/>
        <v>602</v>
      </c>
    </row>
    <row r="38" spans="1:16" ht="15.75">
      <c r="A38" s="7"/>
      <c r="B38" s="3"/>
      <c r="C38" s="3"/>
      <c r="D38" s="3"/>
      <c r="E38" s="3"/>
      <c r="F38" s="3"/>
      <c r="G38" s="3"/>
      <c r="H38" s="3"/>
      <c r="I38" s="5"/>
      <c r="J38" s="5"/>
      <c r="K38" s="3"/>
      <c r="L38" s="3"/>
      <c r="M38" s="3"/>
      <c r="N38" s="3"/>
      <c r="O38" s="3"/>
      <c r="P38" s="169"/>
    </row>
    <row r="39" spans="1:16" ht="15.75">
      <c r="A39" s="8" t="s">
        <v>41</v>
      </c>
      <c r="B39" s="217">
        <f>SUM(B5:B38)</f>
        <v>8309</v>
      </c>
      <c r="C39" s="217">
        <f aca="true" t="shared" si="1" ref="C39:O39">SUM(C5:C38)</f>
        <v>11600</v>
      </c>
      <c r="D39" s="217">
        <f t="shared" si="1"/>
        <v>47289</v>
      </c>
      <c r="E39" s="217">
        <f t="shared" si="1"/>
        <v>22063</v>
      </c>
      <c r="F39" s="217">
        <f t="shared" si="1"/>
        <v>12867</v>
      </c>
      <c r="G39" s="217">
        <f t="shared" si="1"/>
        <v>66448.99757065356</v>
      </c>
      <c r="H39" s="217">
        <f t="shared" si="1"/>
        <v>2299</v>
      </c>
      <c r="I39" s="217">
        <f t="shared" si="1"/>
        <v>803.6</v>
      </c>
      <c r="J39" s="217">
        <f t="shared" si="1"/>
        <v>527</v>
      </c>
      <c r="K39" s="217">
        <f t="shared" si="1"/>
        <v>3620</v>
      </c>
      <c r="L39" s="217">
        <f t="shared" si="1"/>
        <v>35425</v>
      </c>
      <c r="M39" s="217">
        <f t="shared" si="1"/>
        <v>1654</v>
      </c>
      <c r="N39" s="217">
        <f t="shared" si="1"/>
        <v>8779</v>
      </c>
      <c r="O39" s="217">
        <f t="shared" si="1"/>
        <v>6988</v>
      </c>
      <c r="P39" s="170">
        <f>SUM(P5:P38)</f>
        <v>228672.59757065357</v>
      </c>
    </row>
    <row r="40" spans="1:16" ht="12.75">
      <c r="A40" s="87" t="s">
        <v>116</v>
      </c>
      <c r="B40" s="34"/>
      <c r="C40" s="34"/>
      <c r="D40" s="34"/>
      <c r="E40" s="34"/>
      <c r="F40" s="215"/>
      <c r="G40" s="94"/>
      <c r="H40" s="34"/>
      <c r="I40" s="130"/>
      <c r="J40" s="130"/>
      <c r="P40" s="130"/>
    </row>
    <row r="41" spans="2:8" s="214" customFormat="1" ht="12.75">
      <c r="B41" s="215"/>
      <c r="C41" s="218"/>
      <c r="D41" s="218"/>
      <c r="E41" s="215"/>
      <c r="F41" s="215"/>
      <c r="G41" s="219"/>
      <c r="H41" s="215"/>
    </row>
    <row r="42" spans="2:8" s="214" customFormat="1" ht="12.75">
      <c r="B42" s="215"/>
      <c r="C42" s="215"/>
      <c r="D42" s="215"/>
      <c r="E42" s="215"/>
      <c r="F42" s="215"/>
      <c r="G42" s="215"/>
      <c r="H42" s="219"/>
    </row>
    <row r="43" spans="2:8" s="214" customFormat="1" ht="12.75">
      <c r="B43" s="215"/>
      <c r="C43" s="219"/>
      <c r="D43" s="215"/>
      <c r="E43" s="215"/>
      <c r="F43" s="215"/>
      <c r="G43" s="220"/>
      <c r="H43" s="219"/>
    </row>
    <row r="44" spans="2:6" s="214" customFormat="1" ht="12.75">
      <c r="B44" s="215"/>
      <c r="C44" s="219"/>
      <c r="D44" s="215"/>
      <c r="E44" s="215"/>
      <c r="F44" s="215"/>
    </row>
    <row r="45" spans="1:8" s="214" customFormat="1" ht="12.75">
      <c r="A45" s="227"/>
      <c r="B45" s="227"/>
      <c r="C45" s="215"/>
      <c r="D45" s="215"/>
      <c r="E45" s="215"/>
      <c r="F45" s="215"/>
      <c r="G45" s="215"/>
      <c r="H45" s="219"/>
    </row>
    <row r="46" spans="2:8" s="214" customFormat="1" ht="12.75">
      <c r="B46" s="215"/>
      <c r="C46" s="219"/>
      <c r="D46" s="215"/>
      <c r="E46" s="215"/>
      <c r="F46" s="215"/>
      <c r="G46" s="215"/>
      <c r="H46" s="215"/>
    </row>
    <row r="47" spans="2:8" s="214" customFormat="1" ht="12.75">
      <c r="B47" s="215"/>
      <c r="C47" s="219"/>
      <c r="D47" s="215"/>
      <c r="E47" s="215"/>
      <c r="F47" s="215"/>
      <c r="G47" s="215"/>
      <c r="H47" s="215"/>
    </row>
    <row r="48" spans="2:8" s="214" customFormat="1" ht="12.75">
      <c r="B48" s="215"/>
      <c r="C48" s="219"/>
      <c r="D48" s="215"/>
      <c r="E48" s="215"/>
      <c r="F48" s="215"/>
      <c r="G48" s="215"/>
      <c r="H48" s="215"/>
    </row>
    <row r="49" spans="1:8" s="214" customFormat="1" ht="12.75">
      <c r="A49" s="137"/>
      <c r="B49" s="216"/>
      <c r="C49" s="219"/>
      <c r="D49" s="215"/>
      <c r="E49" s="215"/>
      <c r="F49" s="215"/>
      <c r="G49" s="215"/>
      <c r="H49" s="215"/>
    </row>
    <row r="50" spans="5:8" s="214" customFormat="1" ht="12.75">
      <c r="E50" s="215"/>
      <c r="F50" s="215"/>
      <c r="G50" s="215"/>
      <c r="H50" s="215"/>
    </row>
    <row r="51" spans="2:4" s="214" customFormat="1" ht="12.75">
      <c r="B51" s="215"/>
      <c r="D51" s="215"/>
    </row>
    <row r="52" spans="2:8" s="214" customFormat="1" ht="12.75">
      <c r="B52" s="215"/>
      <c r="C52" s="215"/>
      <c r="D52" s="215"/>
      <c r="E52" s="215"/>
      <c r="F52" s="215"/>
      <c r="G52" s="215"/>
      <c r="H52" s="215"/>
    </row>
  </sheetData>
  <mergeCells count="3">
    <mergeCell ref="A1:P1"/>
    <mergeCell ref="A2:P2"/>
    <mergeCell ref="A45:B45"/>
  </mergeCells>
  <printOptions/>
  <pageMargins left="0.42" right="0.46" top="0.72" bottom="0.6" header="0.5" footer="0.5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M12" sqref="M12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4" width="14.7109375" style="0" customWidth="1"/>
    <col min="5" max="5" width="1.8515625" style="0" customWidth="1"/>
    <col min="6" max="6" width="14.00390625" style="0" customWidth="1"/>
    <col min="7" max="7" width="1.421875" style="0" customWidth="1"/>
    <col min="8" max="8" width="14.140625" style="0" customWidth="1"/>
    <col min="9" max="9" width="1.1484375" style="0" customWidth="1"/>
  </cols>
  <sheetData>
    <row r="2" ht="18">
      <c r="A2" s="25" t="s">
        <v>75</v>
      </c>
    </row>
    <row r="3" spans="1:8" ht="12.75">
      <c r="A3" s="13"/>
      <c r="B3" s="229" t="s">
        <v>41</v>
      </c>
      <c r="C3" s="230"/>
      <c r="D3" s="231"/>
      <c r="F3" s="160" t="s">
        <v>61</v>
      </c>
      <c r="H3" s="160" t="s">
        <v>119</v>
      </c>
    </row>
    <row r="4" spans="1:8" ht="12.75">
      <c r="A4" s="14"/>
      <c r="B4" s="21" t="s">
        <v>42</v>
      </c>
      <c r="C4" s="21" t="s">
        <v>43</v>
      </c>
      <c r="D4" s="22" t="s">
        <v>44</v>
      </c>
      <c r="F4" s="22" t="s">
        <v>44</v>
      </c>
      <c r="H4" s="22" t="s">
        <v>44</v>
      </c>
    </row>
    <row r="5" spans="1:8" ht="12.75">
      <c r="A5" s="4" t="s">
        <v>0</v>
      </c>
      <c r="B5" s="32">
        <f>SUM('FTEs &amp; onbrd'!E5)</f>
        <v>2841</v>
      </c>
      <c r="C5" s="77">
        <f>SUM(B5/$B$38)</f>
        <v>0.23452204061416543</v>
      </c>
      <c r="D5" s="36">
        <f aca="true" t="shared" si="0" ref="D5:D30">SUM(F5+H5)</f>
        <v>3018</v>
      </c>
      <c r="F5" s="36">
        <f>ROUND(C5*$F$43,0)-1</f>
        <v>724</v>
      </c>
      <c r="H5" s="53">
        <f>ROUND(C5*$H$43,0)+1</f>
        <v>2294</v>
      </c>
    </row>
    <row r="6" spans="1:8" ht="12.75">
      <c r="A6" s="4" t="s">
        <v>16</v>
      </c>
      <c r="B6" s="32">
        <f>SUM('FTEs &amp; onbrd'!E6)</f>
        <v>809</v>
      </c>
      <c r="C6" s="77">
        <f aca="true" t="shared" si="1" ref="C6:C30">SUM(B6/$B$38)</f>
        <v>0.0667822354300809</v>
      </c>
      <c r="D6" s="32">
        <f t="shared" si="0"/>
        <v>859</v>
      </c>
      <c r="F6" s="32">
        <f aca="true" t="shared" si="2" ref="F6:F30">ROUND(C6*$F$43,0)</f>
        <v>206</v>
      </c>
      <c r="H6" s="32">
        <f>ROUND(C6*$H$43,0)</f>
        <v>653</v>
      </c>
    </row>
    <row r="7" spans="1:8" ht="12.75">
      <c r="A7" s="4" t="s">
        <v>17</v>
      </c>
      <c r="B7" s="32">
        <f>SUM('FTEs &amp; onbrd'!E7)</f>
        <v>257</v>
      </c>
      <c r="C7" s="77">
        <f t="shared" si="1"/>
        <v>0.02121512299818392</v>
      </c>
      <c r="D7" s="32">
        <f t="shared" si="0"/>
        <v>273</v>
      </c>
      <c r="F7" s="32">
        <f t="shared" si="2"/>
        <v>66</v>
      </c>
      <c r="H7" s="32">
        <f aca="true" t="shared" si="3" ref="H7:H30">ROUND(C7*$H$43,0)</f>
        <v>207</v>
      </c>
    </row>
    <row r="8" spans="1:8" ht="12.75">
      <c r="A8" s="4" t="s">
        <v>18</v>
      </c>
      <c r="B8" s="32">
        <f>SUM('FTEs &amp; onbrd'!E8)</f>
        <v>652</v>
      </c>
      <c r="C8" s="77">
        <f t="shared" si="1"/>
        <v>0.05382202410434209</v>
      </c>
      <c r="D8" s="32">
        <f t="shared" si="0"/>
        <v>692</v>
      </c>
      <c r="F8" s="32">
        <f t="shared" si="2"/>
        <v>166</v>
      </c>
      <c r="H8" s="32">
        <f t="shared" si="3"/>
        <v>526</v>
      </c>
    </row>
    <row r="9" spans="1:8" ht="12.75">
      <c r="A9" s="4" t="s">
        <v>19</v>
      </c>
      <c r="B9" s="32">
        <f>SUM('FTEs &amp; onbrd'!E9)</f>
        <v>530</v>
      </c>
      <c r="C9" s="77">
        <f t="shared" si="1"/>
        <v>0.04375103186395905</v>
      </c>
      <c r="D9" s="32">
        <f t="shared" si="0"/>
        <v>563</v>
      </c>
      <c r="F9" s="32">
        <f t="shared" si="2"/>
        <v>135</v>
      </c>
      <c r="H9" s="32">
        <f t="shared" si="3"/>
        <v>428</v>
      </c>
    </row>
    <row r="10" spans="1:8" ht="12.75">
      <c r="A10" s="4" t="s">
        <v>20</v>
      </c>
      <c r="B10" s="32">
        <f>SUM('FTEs &amp; onbrd'!E10)</f>
        <v>1597</v>
      </c>
      <c r="C10" s="77">
        <f t="shared" si="1"/>
        <v>0.13183093940894833</v>
      </c>
      <c r="D10" s="32">
        <f t="shared" si="0"/>
        <v>1696</v>
      </c>
      <c r="F10" s="32">
        <f t="shared" si="2"/>
        <v>407</v>
      </c>
      <c r="H10" s="32">
        <f t="shared" si="3"/>
        <v>1289</v>
      </c>
    </row>
    <row r="11" spans="1:8" ht="12.75">
      <c r="A11" s="4" t="s">
        <v>21</v>
      </c>
      <c r="B11" s="32">
        <f>SUM('FTEs &amp; onbrd'!E11)</f>
        <v>126</v>
      </c>
      <c r="C11" s="77">
        <f t="shared" si="1"/>
        <v>0.010401188707280832</v>
      </c>
      <c r="D11" s="32">
        <f t="shared" si="0"/>
        <v>134</v>
      </c>
      <c r="F11" s="32">
        <f t="shared" si="2"/>
        <v>32</v>
      </c>
      <c r="H11" s="32">
        <f t="shared" si="3"/>
        <v>102</v>
      </c>
    </row>
    <row r="12" spans="1:8" ht="12.75">
      <c r="A12" s="4" t="s">
        <v>22</v>
      </c>
      <c r="B12" s="32">
        <f>SUM('FTEs &amp; onbrd'!E12)</f>
        <v>563</v>
      </c>
      <c r="C12" s="77">
        <f t="shared" si="1"/>
        <v>0.04647515271586594</v>
      </c>
      <c r="D12" s="32">
        <f t="shared" si="0"/>
        <v>598</v>
      </c>
      <c r="F12" s="32">
        <f t="shared" si="2"/>
        <v>144</v>
      </c>
      <c r="H12" s="32">
        <f t="shared" si="3"/>
        <v>454</v>
      </c>
    </row>
    <row r="13" spans="1:8" ht="12.75">
      <c r="A13" s="4" t="s">
        <v>23</v>
      </c>
      <c r="B13" s="32">
        <f>SUM('FTEs &amp; onbrd'!E13)</f>
        <v>210</v>
      </c>
      <c r="C13" s="77">
        <f t="shared" si="1"/>
        <v>0.01733531451213472</v>
      </c>
      <c r="D13" s="32">
        <f t="shared" si="0"/>
        <v>223</v>
      </c>
      <c r="F13" s="32">
        <f t="shared" si="2"/>
        <v>54</v>
      </c>
      <c r="H13" s="32">
        <f t="shared" si="3"/>
        <v>169</v>
      </c>
    </row>
    <row r="14" spans="1:8" ht="12.75">
      <c r="A14" s="4" t="s">
        <v>24</v>
      </c>
      <c r="B14" s="32">
        <f>SUM('FTEs &amp; onbrd'!E14)</f>
        <v>678</v>
      </c>
      <c r="C14" s="77">
        <f t="shared" si="1"/>
        <v>0.05596830113917781</v>
      </c>
      <c r="D14" s="32">
        <f t="shared" si="0"/>
        <v>720</v>
      </c>
      <c r="F14" s="32">
        <f t="shared" si="2"/>
        <v>173</v>
      </c>
      <c r="H14" s="32">
        <f t="shared" si="3"/>
        <v>547</v>
      </c>
    </row>
    <row r="15" spans="1:8" ht="12.75">
      <c r="A15" s="4" t="s">
        <v>25</v>
      </c>
      <c r="B15" s="32">
        <f>SUM('FTEs &amp; onbrd'!E15)</f>
        <v>371</v>
      </c>
      <c r="C15" s="77">
        <f t="shared" si="1"/>
        <v>0.030625722304771338</v>
      </c>
      <c r="D15" s="32">
        <f t="shared" si="0"/>
        <v>394</v>
      </c>
      <c r="F15" s="32">
        <f t="shared" si="2"/>
        <v>95</v>
      </c>
      <c r="H15" s="32">
        <f t="shared" si="3"/>
        <v>299</v>
      </c>
    </row>
    <row r="16" spans="1:8" ht="12.75">
      <c r="A16" s="4" t="s">
        <v>26</v>
      </c>
      <c r="B16" s="32">
        <f>SUM('FTEs &amp; onbrd'!E16)</f>
        <v>209</v>
      </c>
      <c r="C16" s="77">
        <f t="shared" si="1"/>
        <v>0.01725276539541027</v>
      </c>
      <c r="D16" s="32">
        <f t="shared" si="0"/>
        <v>222</v>
      </c>
      <c r="F16" s="32">
        <f t="shared" si="2"/>
        <v>53</v>
      </c>
      <c r="H16" s="32">
        <f t="shared" si="3"/>
        <v>169</v>
      </c>
    </row>
    <row r="17" spans="1:8" ht="12.75">
      <c r="A17" s="4" t="s">
        <v>27</v>
      </c>
      <c r="B17" s="32">
        <f>SUM('FTEs &amp; onbrd'!E17)</f>
        <v>145</v>
      </c>
      <c r="C17" s="77">
        <f t="shared" si="1"/>
        <v>0.011969621925045403</v>
      </c>
      <c r="D17" s="32">
        <f t="shared" si="0"/>
        <v>154</v>
      </c>
      <c r="F17" s="32">
        <f t="shared" si="2"/>
        <v>37</v>
      </c>
      <c r="H17" s="32">
        <f t="shared" si="3"/>
        <v>117</v>
      </c>
    </row>
    <row r="18" spans="1:8" ht="12.75">
      <c r="A18" s="4" t="s">
        <v>28</v>
      </c>
      <c r="B18" s="32">
        <f>SUM('FTEs &amp; onbrd'!E18)</f>
        <v>662</v>
      </c>
      <c r="C18" s="77">
        <f t="shared" si="1"/>
        <v>0.054647515271586594</v>
      </c>
      <c r="D18" s="32">
        <f t="shared" si="0"/>
        <v>703</v>
      </c>
      <c r="F18" s="32">
        <f t="shared" si="2"/>
        <v>169</v>
      </c>
      <c r="H18" s="32">
        <f t="shared" si="3"/>
        <v>534</v>
      </c>
    </row>
    <row r="19" spans="1:8" ht="12.75">
      <c r="A19" s="4" t="s">
        <v>29</v>
      </c>
      <c r="B19" s="32">
        <f>SUM('FTEs &amp; onbrd'!E19)</f>
        <v>334</v>
      </c>
      <c r="C19" s="77">
        <f t="shared" si="1"/>
        <v>0.02757140498596665</v>
      </c>
      <c r="D19" s="32">
        <f t="shared" si="0"/>
        <v>355</v>
      </c>
      <c r="F19" s="32">
        <f t="shared" si="2"/>
        <v>85</v>
      </c>
      <c r="H19" s="32">
        <f t="shared" si="3"/>
        <v>270</v>
      </c>
    </row>
    <row r="20" spans="1:8" ht="12.75">
      <c r="A20" s="4" t="s">
        <v>30</v>
      </c>
      <c r="B20" s="32">
        <f>SUM('FTEs &amp; onbrd'!E20)</f>
        <v>249</v>
      </c>
      <c r="C20" s="77">
        <f t="shared" si="1"/>
        <v>0.02055473006438831</v>
      </c>
      <c r="D20" s="32">
        <f t="shared" si="0"/>
        <v>265</v>
      </c>
      <c r="F20" s="32">
        <f t="shared" si="2"/>
        <v>64</v>
      </c>
      <c r="H20" s="32">
        <f t="shared" si="3"/>
        <v>201</v>
      </c>
    </row>
    <row r="21" spans="1:8" ht="12.75">
      <c r="A21" s="4" t="s">
        <v>31</v>
      </c>
      <c r="B21" s="32">
        <f>SUM('FTEs &amp; onbrd'!E21)</f>
        <v>50</v>
      </c>
      <c r="C21" s="77">
        <f t="shared" si="1"/>
        <v>0.0041274558362225525</v>
      </c>
      <c r="D21" s="32">
        <f t="shared" si="0"/>
        <v>53</v>
      </c>
      <c r="F21" s="32">
        <f t="shared" si="2"/>
        <v>13</v>
      </c>
      <c r="H21" s="32">
        <f t="shared" si="3"/>
        <v>40</v>
      </c>
    </row>
    <row r="22" spans="1:8" ht="12.75">
      <c r="A22" s="4" t="s">
        <v>32</v>
      </c>
      <c r="B22" s="32">
        <f>SUM('FTEs &amp; onbrd'!E22)</f>
        <v>296</v>
      </c>
      <c r="C22" s="77">
        <f t="shared" si="1"/>
        <v>0.02443453855043751</v>
      </c>
      <c r="D22" s="32">
        <f t="shared" si="0"/>
        <v>315</v>
      </c>
      <c r="F22" s="32">
        <f t="shared" si="2"/>
        <v>76</v>
      </c>
      <c r="H22" s="32">
        <f t="shared" si="3"/>
        <v>239</v>
      </c>
    </row>
    <row r="23" spans="1:8" ht="12.75">
      <c r="A23" s="4" t="s">
        <v>33</v>
      </c>
      <c r="B23" s="32">
        <f>SUM('FTEs &amp; onbrd'!E23)</f>
        <v>43</v>
      </c>
      <c r="C23" s="77">
        <f t="shared" si="1"/>
        <v>0.003549612019151395</v>
      </c>
      <c r="D23" s="32">
        <f t="shared" si="0"/>
        <v>46</v>
      </c>
      <c r="F23" s="32">
        <f t="shared" si="2"/>
        <v>11</v>
      </c>
      <c r="H23" s="32">
        <f t="shared" si="3"/>
        <v>35</v>
      </c>
    </row>
    <row r="24" spans="1:8" ht="12.75">
      <c r="A24" s="4" t="s">
        <v>34</v>
      </c>
      <c r="B24" s="32">
        <f>SUM('FTEs &amp; onbrd'!E24)</f>
        <v>107</v>
      </c>
      <c r="C24" s="77">
        <f t="shared" si="1"/>
        <v>0.008832755489516262</v>
      </c>
      <c r="D24" s="32">
        <f t="shared" si="0"/>
        <v>113</v>
      </c>
      <c r="F24" s="32">
        <f t="shared" si="2"/>
        <v>27</v>
      </c>
      <c r="H24" s="32">
        <f t="shared" si="3"/>
        <v>86</v>
      </c>
    </row>
    <row r="25" spans="1:8" ht="12.75">
      <c r="A25" s="4" t="s">
        <v>35</v>
      </c>
      <c r="B25" s="32">
        <f>SUM('FTEs &amp; onbrd'!E25)</f>
        <v>89</v>
      </c>
      <c r="C25" s="77">
        <f t="shared" si="1"/>
        <v>0.007346871388476143</v>
      </c>
      <c r="D25" s="32">
        <f t="shared" si="0"/>
        <v>95</v>
      </c>
      <c r="F25" s="32">
        <f t="shared" si="2"/>
        <v>23</v>
      </c>
      <c r="H25" s="32">
        <f t="shared" si="3"/>
        <v>72</v>
      </c>
    </row>
    <row r="26" spans="1:8" ht="12.75">
      <c r="A26" s="4" t="s">
        <v>36</v>
      </c>
      <c r="B26" s="32">
        <f>SUM('FTEs &amp; onbrd'!E26)</f>
        <v>24</v>
      </c>
      <c r="C26" s="77">
        <f t="shared" si="1"/>
        <v>0.001981178801386825</v>
      </c>
      <c r="D26" s="32">
        <f t="shared" si="0"/>
        <v>25</v>
      </c>
      <c r="F26" s="32">
        <f t="shared" si="2"/>
        <v>6</v>
      </c>
      <c r="H26" s="32">
        <f t="shared" si="3"/>
        <v>19</v>
      </c>
    </row>
    <row r="27" spans="1:8" ht="12.75">
      <c r="A27" s="4" t="s">
        <v>37</v>
      </c>
      <c r="B27" s="32">
        <f>SUM('FTEs &amp; onbrd'!E27)</f>
        <v>60</v>
      </c>
      <c r="C27" s="77">
        <f t="shared" si="1"/>
        <v>0.004952947003467063</v>
      </c>
      <c r="D27" s="32">
        <f t="shared" si="0"/>
        <v>63</v>
      </c>
      <c r="F27" s="32">
        <f t="shared" si="2"/>
        <v>15</v>
      </c>
      <c r="H27" s="32">
        <f t="shared" si="3"/>
        <v>48</v>
      </c>
    </row>
    <row r="28" spans="1:8" ht="12.75">
      <c r="A28" s="4" t="s">
        <v>38</v>
      </c>
      <c r="B28" s="32">
        <f>SUM('FTEs &amp; onbrd'!E28)</f>
        <v>673</v>
      </c>
      <c r="C28" s="77">
        <f t="shared" si="1"/>
        <v>0.05555555555555555</v>
      </c>
      <c r="D28" s="32">
        <f t="shared" si="0"/>
        <v>715</v>
      </c>
      <c r="F28" s="32">
        <f t="shared" si="2"/>
        <v>172</v>
      </c>
      <c r="H28" s="32">
        <f t="shared" si="3"/>
        <v>543</v>
      </c>
    </row>
    <row r="29" spans="1:8" ht="12.75">
      <c r="A29" s="4" t="s">
        <v>39</v>
      </c>
      <c r="B29" s="32">
        <f>SUM('FTEs &amp; onbrd'!E29)</f>
        <v>0</v>
      </c>
      <c r="C29" s="77">
        <f t="shared" si="1"/>
        <v>0</v>
      </c>
      <c r="D29" s="33">
        <f t="shared" si="0"/>
        <v>0</v>
      </c>
      <c r="F29" s="33">
        <f t="shared" si="2"/>
        <v>0</v>
      </c>
      <c r="H29" s="32">
        <f t="shared" si="3"/>
        <v>0</v>
      </c>
    </row>
    <row r="30" spans="1:8" ht="12.75">
      <c r="A30" s="4" t="s">
        <v>8</v>
      </c>
      <c r="B30" s="32">
        <f>SUM('FTEs &amp; onbrd'!E30)</f>
        <v>539</v>
      </c>
      <c r="C30" s="77">
        <f t="shared" si="1"/>
        <v>0.04449397391447912</v>
      </c>
      <c r="D30" s="32">
        <f t="shared" si="0"/>
        <v>573</v>
      </c>
      <c r="F30" s="32">
        <f t="shared" si="2"/>
        <v>138</v>
      </c>
      <c r="H30" s="32">
        <f t="shared" si="3"/>
        <v>435</v>
      </c>
    </row>
    <row r="31" spans="1:8" ht="12.75">
      <c r="A31" s="4" t="s">
        <v>52</v>
      </c>
      <c r="B31" s="32"/>
      <c r="C31" s="17"/>
      <c r="D31" s="33"/>
      <c r="F31" s="55"/>
      <c r="H31" s="32"/>
    </row>
    <row r="32" spans="1:8" ht="12.75">
      <c r="A32" s="4" t="s">
        <v>40</v>
      </c>
      <c r="B32" s="32"/>
      <c r="C32" s="17"/>
      <c r="D32" s="17"/>
      <c r="F32" s="17"/>
      <c r="H32" s="55"/>
    </row>
    <row r="33" spans="1:8" ht="12.75">
      <c r="A33" s="4" t="s">
        <v>5</v>
      </c>
      <c r="B33" s="32"/>
      <c r="C33" s="17"/>
      <c r="D33" s="17"/>
      <c r="F33" s="17"/>
      <c r="H33" s="17"/>
    </row>
    <row r="34" spans="1:8" ht="12.75">
      <c r="A34" s="4" t="s">
        <v>6</v>
      </c>
      <c r="B34" s="32"/>
      <c r="C34" s="17"/>
      <c r="D34" s="17"/>
      <c r="F34" s="17"/>
      <c r="H34" s="17"/>
    </row>
    <row r="35" spans="1:8" ht="12.75">
      <c r="A35" s="4" t="s">
        <v>9</v>
      </c>
      <c r="B35" s="33"/>
      <c r="C35" s="33"/>
      <c r="D35" s="50"/>
      <c r="F35" s="17"/>
      <c r="H35" s="17"/>
    </row>
    <row r="36" spans="1:8" ht="12.75">
      <c r="A36" s="4" t="s">
        <v>165</v>
      </c>
      <c r="B36" s="32"/>
      <c r="C36" s="33"/>
      <c r="D36" s="50"/>
      <c r="F36" s="17"/>
      <c r="H36" s="17"/>
    </row>
    <row r="37" spans="1:8" ht="12.75">
      <c r="A37" s="4" t="s">
        <v>147</v>
      </c>
      <c r="B37" s="37">
        <f>SUM('FTEs &amp; onbrd'!E37)</f>
        <v>0</v>
      </c>
      <c r="C37" s="77">
        <f>SUM(B37/$B$38)</f>
        <v>0</v>
      </c>
      <c r="D37" s="44">
        <f>SUM(F37+H37)</f>
        <v>0</v>
      </c>
      <c r="F37" s="37">
        <f>ROUND(C37*F75,0)</f>
        <v>0</v>
      </c>
      <c r="H37" s="37">
        <f>ROUND(C37*$H$43,0)</f>
        <v>0</v>
      </c>
    </row>
    <row r="38" spans="1:8" ht="12.75">
      <c r="A38" s="20" t="s">
        <v>41</v>
      </c>
      <c r="B38" s="37">
        <f>SUM(B5:B37)</f>
        <v>12114</v>
      </c>
      <c r="C38" s="86">
        <f>SUM(C5:C37)</f>
        <v>1.0000000000000002</v>
      </c>
      <c r="D38" s="54">
        <f>SUM(D5:D37)</f>
        <v>12867</v>
      </c>
      <c r="F38" s="54">
        <f>SUM(F5:F37)</f>
        <v>3091</v>
      </c>
      <c r="H38" s="54">
        <f>SUM(H5:H37)</f>
        <v>9776</v>
      </c>
    </row>
    <row r="39" ht="12.75">
      <c r="A39" s="23" t="s">
        <v>110</v>
      </c>
    </row>
    <row r="40" ht="12.75">
      <c r="B40" s="34"/>
    </row>
    <row r="43" spans="6:8" ht="12.75">
      <c r="F43" s="98">
        <v>3091</v>
      </c>
      <c r="H43" s="98">
        <v>9776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D42" sqref="D42"/>
    </sheetView>
  </sheetViews>
  <sheetFormatPr defaultColWidth="9.140625" defaultRowHeight="12.75"/>
  <cols>
    <col min="1" max="1" width="9.7109375" style="0" customWidth="1"/>
    <col min="2" max="2" width="10.421875" style="0" hidden="1" customWidth="1"/>
    <col min="3" max="3" width="10.57421875" style="0" hidden="1" customWidth="1"/>
    <col min="4" max="4" width="12.28125" style="0" customWidth="1"/>
    <col min="5" max="5" width="1.7109375" style="0" customWidth="1"/>
    <col min="6" max="6" width="6.7109375" style="0" customWidth="1"/>
    <col min="7" max="7" width="9.8515625" style="0" customWidth="1"/>
    <col min="8" max="8" width="10.00390625" style="0" customWidth="1"/>
    <col min="9" max="9" width="1.28515625" style="0" customWidth="1"/>
    <col min="12" max="12" width="10.28125" style="0" bestFit="1" customWidth="1"/>
    <col min="13" max="13" width="1.421875" style="0" customWidth="1"/>
    <col min="14" max="14" width="9.28125" style="0" bestFit="1" customWidth="1"/>
    <col min="16" max="16" width="9.28125" style="0" bestFit="1" customWidth="1"/>
    <col min="17" max="17" width="1.1484375" style="0" customWidth="1"/>
    <col min="18" max="18" width="9.28125" style="0" customWidth="1"/>
    <col min="19" max="19" width="9.00390625" style="0" customWidth="1"/>
    <col min="21" max="21" width="1.7109375" style="0" customWidth="1"/>
  </cols>
  <sheetData>
    <row r="2" ht="18">
      <c r="A2" s="25" t="s">
        <v>139</v>
      </c>
    </row>
    <row r="3" spans="1:20" ht="12.75">
      <c r="A3" s="13"/>
      <c r="B3" s="229" t="s">
        <v>41</v>
      </c>
      <c r="C3" s="230"/>
      <c r="D3" s="231"/>
      <c r="F3" s="229" t="s">
        <v>218</v>
      </c>
      <c r="G3" s="230"/>
      <c r="H3" s="231"/>
      <c r="J3" s="229" t="s">
        <v>58</v>
      </c>
      <c r="K3" s="230"/>
      <c r="L3" s="231"/>
      <c r="N3" s="229" t="s">
        <v>234</v>
      </c>
      <c r="O3" s="230"/>
      <c r="P3" s="231"/>
      <c r="R3" s="229" t="s">
        <v>215</v>
      </c>
      <c r="S3" s="230"/>
      <c r="T3" s="231"/>
    </row>
    <row r="4" spans="1:20" ht="12.75">
      <c r="A4" s="14"/>
      <c r="B4" s="21"/>
      <c r="C4" s="21"/>
      <c r="D4" s="22" t="s">
        <v>44</v>
      </c>
      <c r="F4" s="21"/>
      <c r="G4" s="21" t="s">
        <v>43</v>
      </c>
      <c r="H4" s="22" t="s">
        <v>44</v>
      </c>
      <c r="J4" s="21" t="s">
        <v>42</v>
      </c>
      <c r="K4" s="21" t="s">
        <v>43</v>
      </c>
      <c r="L4" s="126" t="s">
        <v>44</v>
      </c>
      <c r="N4" s="21" t="s">
        <v>42</v>
      </c>
      <c r="O4" s="21" t="s">
        <v>43</v>
      </c>
      <c r="P4" s="22" t="s">
        <v>44</v>
      </c>
      <c r="R4" s="21" t="s">
        <v>42</v>
      </c>
      <c r="S4" s="21" t="s">
        <v>43</v>
      </c>
      <c r="T4" s="22" t="s">
        <v>44</v>
      </c>
    </row>
    <row r="5" spans="1:20" ht="12.75">
      <c r="A5" s="4" t="s">
        <v>0</v>
      </c>
      <c r="B5" s="33"/>
      <c r="C5" s="77"/>
      <c r="D5" s="35">
        <f>SUM(H5+L5+P5+T5)</f>
        <v>11368.381362278162</v>
      </c>
      <c r="F5" s="19"/>
      <c r="G5" s="206">
        <v>0.15832883867317726</v>
      </c>
      <c r="H5" s="35">
        <v>2711.3813622781618</v>
      </c>
      <c r="J5" s="45">
        <f>SUM(Census!H5)</f>
        <v>5379</v>
      </c>
      <c r="K5" s="77">
        <f>SUM(J5/$J$38)</f>
        <v>0.17549182734657923</v>
      </c>
      <c r="L5" s="35">
        <f>ROUND(K5*$L$43,0)+1</f>
        <v>6463</v>
      </c>
      <c r="N5" s="45">
        <f>SUM(Census!H5)</f>
        <v>5379</v>
      </c>
      <c r="O5" s="77">
        <f aca="true" t="shared" si="0" ref="O5:O12">SUM(N5/$N$38)</f>
        <v>0.17549182734657923</v>
      </c>
      <c r="P5" s="35">
        <f>ROUND(O5*$P$43,0)</f>
        <v>456</v>
      </c>
      <c r="R5" s="45">
        <f>SUM(Census!H5)</f>
        <v>5379</v>
      </c>
      <c r="S5" s="77">
        <f>SUM(R5/$R$38)</f>
        <v>0.17549182734657923</v>
      </c>
      <c r="T5" s="35">
        <f>ROUND(S5*$T$43,0)+1</f>
        <v>1738</v>
      </c>
    </row>
    <row r="6" spans="1:20" ht="12.75">
      <c r="A6" s="4" t="s">
        <v>16</v>
      </c>
      <c r="B6" s="33"/>
      <c r="C6" s="77"/>
      <c r="D6" s="32">
        <f>SUM(H6+L6+P6+T6)</f>
        <v>2644.079184480514</v>
      </c>
      <c r="F6" s="17"/>
      <c r="G6" s="206">
        <v>0.03953747062659934</v>
      </c>
      <c r="H6" s="32">
        <v>677.079184480514</v>
      </c>
      <c r="J6" s="32">
        <f>SUM(Census!H6)</f>
        <v>1222</v>
      </c>
      <c r="K6" s="77">
        <f aca="true" t="shared" si="1" ref="K6:K37">SUM(J6/$J$38)</f>
        <v>0.03986819353365306</v>
      </c>
      <c r="L6" s="32">
        <f>ROUND(K6*$L$43,0)</f>
        <v>1468</v>
      </c>
      <c r="N6" s="32">
        <f>SUM(Census!H6)</f>
        <v>1222</v>
      </c>
      <c r="O6" s="77">
        <f t="shared" si="0"/>
        <v>0.03986819353365306</v>
      </c>
      <c r="P6" s="32">
        <f>ROUND(O6*$P$43,0)</f>
        <v>104</v>
      </c>
      <c r="R6" s="32">
        <f>SUM(Census!H6)</f>
        <v>1222</v>
      </c>
      <c r="S6" s="77">
        <f aca="true" t="shared" si="2" ref="S6:S37">SUM(R6/$R$38)</f>
        <v>0.03986819353365306</v>
      </c>
      <c r="T6" s="32">
        <f>ROUND(S6*$T$43,0)</f>
        <v>395</v>
      </c>
    </row>
    <row r="7" spans="1:20" ht="12.75">
      <c r="A7" s="4" t="s">
        <v>17</v>
      </c>
      <c r="B7" s="33"/>
      <c r="C7" s="77"/>
      <c r="D7" s="32">
        <f aca="true" t="shared" si="3" ref="D7:D37">SUM(H7+L7+P7+T7)</f>
        <v>1246.9494240262502</v>
      </c>
      <c r="F7" s="17"/>
      <c r="G7" s="206">
        <v>0.021894856877445263</v>
      </c>
      <c r="H7" s="32">
        <v>374.9494240262503</v>
      </c>
      <c r="J7" s="32">
        <f>SUM(Census!H7)</f>
        <v>542</v>
      </c>
      <c r="K7" s="77">
        <f t="shared" si="1"/>
        <v>0.01768294672278229</v>
      </c>
      <c r="L7" s="32">
        <f aca="true" t="shared" si="4" ref="L7:L37">ROUND(K7*$L$43,0)</f>
        <v>651</v>
      </c>
      <c r="N7" s="32">
        <f>SUM(Census!H7)</f>
        <v>542</v>
      </c>
      <c r="O7" s="77">
        <f t="shared" si="0"/>
        <v>0.01768294672278229</v>
      </c>
      <c r="P7" s="32">
        <f aca="true" t="shared" si="5" ref="P7:P37">ROUND(O7*$P$43,0)</f>
        <v>46</v>
      </c>
      <c r="R7" s="32">
        <f>SUM(Census!H7)</f>
        <v>542</v>
      </c>
      <c r="S7" s="77">
        <f t="shared" si="2"/>
        <v>0.01768294672278229</v>
      </c>
      <c r="T7" s="32">
        <f aca="true" t="shared" si="6" ref="T7:T37">ROUND(S7*$T$43,0)</f>
        <v>175</v>
      </c>
    </row>
    <row r="8" spans="1:20" ht="12.75">
      <c r="A8" s="4" t="s">
        <v>18</v>
      </c>
      <c r="B8" s="33"/>
      <c r="C8" s="77"/>
      <c r="D8" s="32">
        <f t="shared" si="3"/>
        <v>2815.8854039734933</v>
      </c>
      <c r="F8" s="17"/>
      <c r="G8" s="206">
        <v>0.05675243234881712</v>
      </c>
      <c r="H8" s="32">
        <v>971.8854039734933</v>
      </c>
      <c r="J8" s="32">
        <f>SUM(Census!H8)</f>
        <v>1146</v>
      </c>
      <c r="K8" s="77">
        <f t="shared" si="1"/>
        <v>0.03738866594890868</v>
      </c>
      <c r="L8" s="32">
        <f t="shared" si="4"/>
        <v>1377</v>
      </c>
      <c r="N8" s="32">
        <f>SUM(Census!H8)</f>
        <v>1146</v>
      </c>
      <c r="O8" s="77">
        <f t="shared" si="0"/>
        <v>0.03738866594890868</v>
      </c>
      <c r="P8" s="32">
        <f t="shared" si="5"/>
        <v>97</v>
      </c>
      <c r="R8" s="32">
        <f>SUM(Census!H8)</f>
        <v>1146</v>
      </c>
      <c r="S8" s="77">
        <f t="shared" si="2"/>
        <v>0.03738866594890868</v>
      </c>
      <c r="T8" s="32">
        <f t="shared" si="6"/>
        <v>370</v>
      </c>
    </row>
    <row r="9" spans="1:20" ht="12.75">
      <c r="A9" s="4" t="s">
        <v>19</v>
      </c>
      <c r="B9" s="33"/>
      <c r="C9" s="77"/>
      <c r="D9" s="32">
        <f t="shared" si="3"/>
        <v>2347.268900784303</v>
      </c>
      <c r="F9" s="17"/>
      <c r="G9" s="206">
        <v>0.04299380442536073</v>
      </c>
      <c r="H9" s="32">
        <v>736.2689007843028</v>
      </c>
      <c r="J9" s="32">
        <f>SUM(Census!H9)</f>
        <v>1001</v>
      </c>
      <c r="K9" s="77">
        <f t="shared" si="1"/>
        <v>0.03265798832012006</v>
      </c>
      <c r="L9" s="32">
        <f t="shared" si="4"/>
        <v>1203</v>
      </c>
      <c r="N9" s="32">
        <f>SUM(Census!H9)</f>
        <v>1001</v>
      </c>
      <c r="O9" s="77">
        <f t="shared" si="0"/>
        <v>0.03265798832012006</v>
      </c>
      <c r="P9" s="32">
        <f t="shared" si="5"/>
        <v>85</v>
      </c>
      <c r="R9" s="32">
        <f>SUM(Census!H9)</f>
        <v>1001</v>
      </c>
      <c r="S9" s="77">
        <f t="shared" si="2"/>
        <v>0.03265798832012006</v>
      </c>
      <c r="T9" s="32">
        <f t="shared" si="6"/>
        <v>323</v>
      </c>
    </row>
    <row r="10" spans="1:20" ht="12.75">
      <c r="A10" s="4" t="s">
        <v>20</v>
      </c>
      <c r="B10" s="33"/>
      <c r="C10" s="132"/>
      <c r="D10" s="32">
        <f t="shared" si="3"/>
        <v>7254.115901513145</v>
      </c>
      <c r="F10" s="17"/>
      <c r="G10" s="206">
        <v>0.15848851979638795</v>
      </c>
      <c r="H10" s="32">
        <v>2714.1159015131448</v>
      </c>
      <c r="J10" s="32">
        <f>SUM(Census!H10)</f>
        <v>2822</v>
      </c>
      <c r="K10" s="77">
        <f t="shared" si="1"/>
        <v>0.0920687742651137</v>
      </c>
      <c r="L10" s="32">
        <f t="shared" si="4"/>
        <v>3390</v>
      </c>
      <c r="N10" s="32">
        <f>SUM(Census!H10)</f>
        <v>2822</v>
      </c>
      <c r="O10" s="77">
        <f t="shared" si="0"/>
        <v>0.0920687742651137</v>
      </c>
      <c r="P10" s="32">
        <f t="shared" si="5"/>
        <v>239</v>
      </c>
      <c r="R10" s="32">
        <f>SUM(Census!H10)</f>
        <v>2822</v>
      </c>
      <c r="S10" s="77">
        <f t="shared" si="2"/>
        <v>0.0920687742651137</v>
      </c>
      <c r="T10" s="32">
        <f t="shared" si="6"/>
        <v>911</v>
      </c>
    </row>
    <row r="11" spans="1:20" ht="12.75">
      <c r="A11" s="4" t="s">
        <v>21</v>
      </c>
      <c r="B11" s="33"/>
      <c r="C11" s="77"/>
      <c r="D11" s="32">
        <f t="shared" si="3"/>
        <v>356.99474197422353</v>
      </c>
      <c r="F11" s="17"/>
      <c r="G11" s="206">
        <v>0.003736919239370716</v>
      </c>
      <c r="H11" s="32">
        <v>63.99474197422354</v>
      </c>
      <c r="J11" s="32">
        <f>SUM(Census!H11)</f>
        <v>182</v>
      </c>
      <c r="K11" s="77">
        <f t="shared" si="1"/>
        <v>0.005937816058203648</v>
      </c>
      <c r="L11" s="32">
        <f t="shared" si="4"/>
        <v>219</v>
      </c>
      <c r="N11" s="32">
        <f>SUM(Census!H11)</f>
        <v>182</v>
      </c>
      <c r="O11" s="77">
        <f t="shared" si="0"/>
        <v>0.005937816058203648</v>
      </c>
      <c r="P11" s="32">
        <f t="shared" si="5"/>
        <v>15</v>
      </c>
      <c r="R11" s="32">
        <f>SUM(Census!H11)</f>
        <v>182</v>
      </c>
      <c r="S11" s="77">
        <f t="shared" si="2"/>
        <v>0.005937816058203648</v>
      </c>
      <c r="T11" s="32">
        <f t="shared" si="6"/>
        <v>59</v>
      </c>
    </row>
    <row r="12" spans="1:20" ht="12.75">
      <c r="A12" s="4" t="s">
        <v>22</v>
      </c>
      <c r="B12" s="33"/>
      <c r="C12" s="77"/>
      <c r="D12" s="32">
        <f t="shared" si="3"/>
        <v>3360.668130806391</v>
      </c>
      <c r="F12" s="32"/>
      <c r="G12" s="206">
        <v>0.06853536530256298</v>
      </c>
      <c r="H12" s="32">
        <v>1173.6681308063912</v>
      </c>
      <c r="J12" s="32">
        <f>SUM(Census!H12)</f>
        <v>1359</v>
      </c>
      <c r="K12" s="77">
        <f t="shared" si="1"/>
        <v>0.04433786825878438</v>
      </c>
      <c r="L12" s="32">
        <f t="shared" si="4"/>
        <v>1633</v>
      </c>
      <c r="N12" s="32">
        <f>SUM(Census!H12)</f>
        <v>1359</v>
      </c>
      <c r="O12" s="77">
        <f t="shared" si="0"/>
        <v>0.04433786825878438</v>
      </c>
      <c r="P12" s="32">
        <f t="shared" si="5"/>
        <v>115</v>
      </c>
      <c r="R12" s="32">
        <f>SUM(Census!H12)</f>
        <v>1359</v>
      </c>
      <c r="S12" s="77">
        <f t="shared" si="2"/>
        <v>0.04433786825878438</v>
      </c>
      <c r="T12" s="32">
        <f t="shared" si="6"/>
        <v>439</v>
      </c>
    </row>
    <row r="13" spans="1:20" ht="12.75">
      <c r="A13" s="4" t="s">
        <v>23</v>
      </c>
      <c r="B13" s="33"/>
      <c r="C13" s="77"/>
      <c r="D13" s="32">
        <f t="shared" si="3"/>
        <v>1089.4749342698203</v>
      </c>
      <c r="F13" s="17"/>
      <c r="G13" s="206">
        <v>0.015618974263931105</v>
      </c>
      <c r="H13" s="32">
        <v>267.4749342698203</v>
      </c>
      <c r="J13" s="32">
        <f>SUM(Census!H13)</f>
        <v>511</v>
      </c>
      <c r="K13" s="77">
        <f t="shared" si="1"/>
        <v>0.01667156047111024</v>
      </c>
      <c r="L13" s="32">
        <f t="shared" si="4"/>
        <v>614</v>
      </c>
      <c r="N13" s="32">
        <f>SUM(Census!H13)</f>
        <v>511</v>
      </c>
      <c r="O13" s="77">
        <f>SUM(N13/$N$38)</f>
        <v>0.01667156047111024</v>
      </c>
      <c r="P13" s="32">
        <f t="shared" si="5"/>
        <v>43</v>
      </c>
      <c r="R13" s="32">
        <f>SUM(Census!H13)</f>
        <v>511</v>
      </c>
      <c r="S13" s="77">
        <f t="shared" si="2"/>
        <v>0.01667156047111024</v>
      </c>
      <c r="T13" s="32">
        <f t="shared" si="6"/>
        <v>165</v>
      </c>
    </row>
    <row r="14" spans="1:20" ht="12.75">
      <c r="A14" s="4" t="s">
        <v>24</v>
      </c>
      <c r="B14" s="33"/>
      <c r="C14" s="77"/>
      <c r="D14" s="32">
        <f t="shared" si="3"/>
        <v>2903.4745415466277</v>
      </c>
      <c r="F14" s="17"/>
      <c r="G14" s="206">
        <v>0.03710800242608043</v>
      </c>
      <c r="H14" s="32">
        <v>635.4745415466276</v>
      </c>
      <c r="J14" s="32">
        <f>SUM(Census!H14)</f>
        <v>1409</v>
      </c>
      <c r="K14" s="77">
        <f t="shared" si="1"/>
        <v>0.045969136406642526</v>
      </c>
      <c r="L14" s="32">
        <f t="shared" si="4"/>
        <v>1693</v>
      </c>
      <c r="N14" s="32">
        <f>SUM(Census!H14)</f>
        <v>1409</v>
      </c>
      <c r="O14" s="77">
        <f aca="true" t="shared" si="7" ref="O14:O37">SUM(N14/$N$38)</f>
        <v>0.045969136406642526</v>
      </c>
      <c r="P14" s="32">
        <f t="shared" si="5"/>
        <v>120</v>
      </c>
      <c r="R14" s="32">
        <f>SUM(Census!H14)</f>
        <v>1409</v>
      </c>
      <c r="S14" s="77">
        <f t="shared" si="2"/>
        <v>0.045969136406642526</v>
      </c>
      <c r="T14" s="32">
        <f t="shared" si="6"/>
        <v>455</v>
      </c>
    </row>
    <row r="15" spans="1:20" ht="12.75">
      <c r="A15" s="4" t="s">
        <v>25</v>
      </c>
      <c r="B15" s="33"/>
      <c r="C15" s="77"/>
      <c r="D15" s="32">
        <f t="shared" si="3"/>
        <v>1894.0359017088526</v>
      </c>
      <c r="F15" s="17"/>
      <c r="G15" s="206">
        <v>0.02645465119467751</v>
      </c>
      <c r="H15" s="32">
        <v>453.0359017088525</v>
      </c>
      <c r="J15" s="32">
        <f>SUM(Census!H15)</f>
        <v>896</v>
      </c>
      <c r="K15" s="77">
        <f t="shared" si="1"/>
        <v>0.02923232520961796</v>
      </c>
      <c r="L15" s="32">
        <f t="shared" si="4"/>
        <v>1076</v>
      </c>
      <c r="N15" s="32">
        <f>SUM(Census!H15)</f>
        <v>896</v>
      </c>
      <c r="O15" s="77">
        <f t="shared" si="7"/>
        <v>0.02923232520961796</v>
      </c>
      <c r="P15" s="32">
        <f t="shared" si="5"/>
        <v>76</v>
      </c>
      <c r="R15" s="32">
        <f>SUM(Census!H15)</f>
        <v>896</v>
      </c>
      <c r="S15" s="77">
        <f t="shared" si="2"/>
        <v>0.02923232520961796</v>
      </c>
      <c r="T15" s="32">
        <f t="shared" si="6"/>
        <v>289</v>
      </c>
    </row>
    <row r="16" spans="1:20" ht="12.75">
      <c r="A16" s="4" t="s">
        <v>26</v>
      </c>
      <c r="B16" s="33"/>
      <c r="C16" s="77"/>
      <c r="D16" s="32">
        <f t="shared" si="3"/>
        <v>930.8589458357803</v>
      </c>
      <c r="F16" s="17"/>
      <c r="G16" s="206">
        <v>0.014999062530556505</v>
      </c>
      <c r="H16" s="32">
        <v>256.8589458357803</v>
      </c>
      <c r="J16" s="32">
        <f>SUM(Census!H16)</f>
        <v>419</v>
      </c>
      <c r="K16" s="77">
        <f t="shared" si="1"/>
        <v>0.013670027079051255</v>
      </c>
      <c r="L16" s="32">
        <f t="shared" si="4"/>
        <v>503</v>
      </c>
      <c r="N16" s="32">
        <f>SUM(Census!H16)</f>
        <v>419</v>
      </c>
      <c r="O16" s="77">
        <f t="shared" si="7"/>
        <v>0.013670027079051255</v>
      </c>
      <c r="P16" s="32">
        <f t="shared" si="5"/>
        <v>36</v>
      </c>
      <c r="R16" s="32">
        <f>SUM(Census!H16)</f>
        <v>419</v>
      </c>
      <c r="S16" s="77">
        <f t="shared" si="2"/>
        <v>0.013670027079051255</v>
      </c>
      <c r="T16" s="32">
        <f t="shared" si="6"/>
        <v>135</v>
      </c>
    </row>
    <row r="17" spans="1:20" ht="12.75">
      <c r="A17" s="4" t="s">
        <v>27</v>
      </c>
      <c r="B17" s="33"/>
      <c r="C17" s="77"/>
      <c r="D17" s="32">
        <f t="shared" si="3"/>
        <v>630.8766372505866</v>
      </c>
      <c r="F17" s="17"/>
      <c r="G17" s="206">
        <v>0.009686226992734978</v>
      </c>
      <c r="H17" s="32">
        <v>165.87663725058658</v>
      </c>
      <c r="J17" s="32">
        <f>SUM(Census!H17)</f>
        <v>289</v>
      </c>
      <c r="K17" s="77">
        <f t="shared" si="1"/>
        <v>0.009428729894620078</v>
      </c>
      <c r="L17" s="32">
        <f t="shared" si="4"/>
        <v>347</v>
      </c>
      <c r="N17" s="32">
        <f>SUM(Census!H17)</f>
        <v>289</v>
      </c>
      <c r="O17" s="77">
        <f t="shared" si="7"/>
        <v>0.009428729894620078</v>
      </c>
      <c r="P17" s="32">
        <f t="shared" si="5"/>
        <v>25</v>
      </c>
      <c r="R17" s="32">
        <f>SUM(Census!H17)</f>
        <v>289</v>
      </c>
      <c r="S17" s="77">
        <f t="shared" si="2"/>
        <v>0.009428729894620078</v>
      </c>
      <c r="T17" s="32">
        <f t="shared" si="6"/>
        <v>93</v>
      </c>
    </row>
    <row r="18" spans="1:20" ht="12.75">
      <c r="A18" s="4" t="s">
        <v>28</v>
      </c>
      <c r="B18" s="33"/>
      <c r="C18" s="77"/>
      <c r="D18" s="32">
        <f t="shared" si="3"/>
        <v>2916.492431263107</v>
      </c>
      <c r="F18" s="17"/>
      <c r="G18" s="206">
        <v>0.04271488649711571</v>
      </c>
      <c r="H18" s="32">
        <v>731.4924312631068</v>
      </c>
      <c r="J18" s="32">
        <f>SUM(Census!H18)</f>
        <v>1358</v>
      </c>
      <c r="K18" s="77">
        <f t="shared" si="1"/>
        <v>0.04430524289582721</v>
      </c>
      <c r="L18" s="32">
        <f t="shared" si="4"/>
        <v>1631</v>
      </c>
      <c r="N18" s="32">
        <f>SUM(Census!H18)</f>
        <v>1358</v>
      </c>
      <c r="O18" s="77">
        <f t="shared" si="7"/>
        <v>0.04430524289582721</v>
      </c>
      <c r="P18" s="32">
        <f t="shared" si="5"/>
        <v>115</v>
      </c>
      <c r="R18" s="32">
        <f>SUM(Census!H18)</f>
        <v>1358</v>
      </c>
      <c r="S18" s="77">
        <f t="shared" si="2"/>
        <v>0.04430524289582721</v>
      </c>
      <c r="T18" s="32">
        <f t="shared" si="6"/>
        <v>439</v>
      </c>
    </row>
    <row r="19" spans="1:20" ht="12.75">
      <c r="A19" s="4" t="s">
        <v>29</v>
      </c>
      <c r="B19" s="33"/>
      <c r="C19" s="77"/>
      <c r="D19" s="32">
        <f t="shared" si="3"/>
        <v>1519.5318923759721</v>
      </c>
      <c r="F19" s="17"/>
      <c r="G19" s="206">
        <v>0.01825003751100567</v>
      </c>
      <c r="H19" s="32">
        <v>312.5318923759722</v>
      </c>
      <c r="J19" s="32">
        <f>SUM(Census!H19)</f>
        <v>750</v>
      </c>
      <c r="K19" s="77">
        <f t="shared" si="1"/>
        <v>0.024469022217872175</v>
      </c>
      <c r="L19" s="32">
        <f t="shared" si="4"/>
        <v>901</v>
      </c>
      <c r="N19" s="32">
        <f>SUM(Census!H19)</f>
        <v>750</v>
      </c>
      <c r="O19" s="77">
        <f t="shared" si="7"/>
        <v>0.024469022217872175</v>
      </c>
      <c r="P19" s="32">
        <f t="shared" si="5"/>
        <v>64</v>
      </c>
      <c r="R19" s="32">
        <f>SUM(Census!H19)</f>
        <v>750</v>
      </c>
      <c r="S19" s="77">
        <f t="shared" si="2"/>
        <v>0.024469022217872175</v>
      </c>
      <c r="T19" s="32">
        <f t="shared" si="6"/>
        <v>242</v>
      </c>
    </row>
    <row r="20" spans="1:20" ht="12.75">
      <c r="A20" s="4" t="s">
        <v>30</v>
      </c>
      <c r="B20" s="33"/>
      <c r="C20" s="77"/>
      <c r="D20" s="32">
        <f t="shared" si="3"/>
        <v>762.2199523137753</v>
      </c>
      <c r="F20" s="17"/>
      <c r="G20" s="206">
        <v>0.010815763638760594</v>
      </c>
      <c r="H20" s="32">
        <v>185.21995231377528</v>
      </c>
      <c r="J20" s="32">
        <f>SUM(Census!H20)</f>
        <v>359</v>
      </c>
      <c r="K20" s="77">
        <f t="shared" si="1"/>
        <v>0.011712505301621481</v>
      </c>
      <c r="L20" s="32">
        <f t="shared" si="4"/>
        <v>431</v>
      </c>
      <c r="N20" s="32">
        <f>SUM(Census!H20)</f>
        <v>359</v>
      </c>
      <c r="O20" s="77">
        <f t="shared" si="7"/>
        <v>0.011712505301621481</v>
      </c>
      <c r="P20" s="32">
        <f t="shared" si="5"/>
        <v>30</v>
      </c>
      <c r="R20" s="32">
        <f>SUM(Census!H20)</f>
        <v>359</v>
      </c>
      <c r="S20" s="77">
        <f t="shared" si="2"/>
        <v>0.011712505301621481</v>
      </c>
      <c r="T20" s="32">
        <f t="shared" si="6"/>
        <v>116</v>
      </c>
    </row>
    <row r="21" spans="1:20" ht="12.75">
      <c r="A21" s="4" t="s">
        <v>31</v>
      </c>
      <c r="B21" s="33"/>
      <c r="C21" s="77"/>
      <c r="D21" s="32">
        <f t="shared" si="3"/>
        <v>144.48601861984412</v>
      </c>
      <c r="F21" s="17"/>
      <c r="G21" s="206">
        <v>0.001838599627436152</v>
      </c>
      <c r="H21" s="32">
        <v>31.486018619844117</v>
      </c>
      <c r="J21" s="32">
        <f>SUM(Census!H21)</f>
        <v>70</v>
      </c>
      <c r="K21" s="77">
        <f t="shared" si="1"/>
        <v>0.002283775407001403</v>
      </c>
      <c r="L21" s="32">
        <f t="shared" si="4"/>
        <v>84</v>
      </c>
      <c r="N21" s="32">
        <f>SUM(Census!H21)</f>
        <v>70</v>
      </c>
      <c r="O21" s="77">
        <f t="shared" si="7"/>
        <v>0.002283775407001403</v>
      </c>
      <c r="P21" s="32">
        <f t="shared" si="5"/>
        <v>6</v>
      </c>
      <c r="R21" s="32">
        <f>SUM(Census!H21)</f>
        <v>70</v>
      </c>
      <c r="S21" s="77">
        <f t="shared" si="2"/>
        <v>0.002283775407001403</v>
      </c>
      <c r="T21" s="32">
        <f t="shared" si="6"/>
        <v>23</v>
      </c>
    </row>
    <row r="22" spans="1:20" ht="12.75">
      <c r="A22" s="4" t="s">
        <v>32</v>
      </c>
      <c r="B22" s="33"/>
      <c r="C22" s="77"/>
      <c r="D22" s="32">
        <f t="shared" si="3"/>
        <v>1312.8162331208591</v>
      </c>
      <c r="F22" s="17"/>
      <c r="G22" s="206">
        <v>0.0245148165326049</v>
      </c>
      <c r="H22" s="32">
        <v>419.81623312085907</v>
      </c>
      <c r="J22" s="32">
        <f>SUM(Census!H22)</f>
        <v>555</v>
      </c>
      <c r="K22" s="77">
        <f t="shared" si="1"/>
        <v>0.01810707644122541</v>
      </c>
      <c r="L22" s="32">
        <f t="shared" si="4"/>
        <v>667</v>
      </c>
      <c r="N22" s="32">
        <f>SUM(Census!H22)</f>
        <v>555</v>
      </c>
      <c r="O22" s="77">
        <f t="shared" si="7"/>
        <v>0.01810707644122541</v>
      </c>
      <c r="P22" s="32">
        <f t="shared" si="5"/>
        <v>47</v>
      </c>
      <c r="R22" s="32">
        <f>SUM(Census!H22)</f>
        <v>555</v>
      </c>
      <c r="S22" s="77">
        <f t="shared" si="2"/>
        <v>0.01810707644122541</v>
      </c>
      <c r="T22" s="32">
        <f t="shared" si="6"/>
        <v>179</v>
      </c>
    </row>
    <row r="23" spans="1:20" ht="12.75">
      <c r="A23" s="4" t="s">
        <v>33</v>
      </c>
      <c r="B23" s="33"/>
      <c r="C23" s="77"/>
      <c r="D23" s="32">
        <f t="shared" si="3"/>
        <v>176.73724466763295</v>
      </c>
      <c r="F23" s="17"/>
      <c r="G23" s="206">
        <v>0.0018532697616136023</v>
      </c>
      <c r="H23" s="32">
        <v>31.737244667632954</v>
      </c>
      <c r="J23" s="32">
        <f>SUM(Census!H23)</f>
        <v>90</v>
      </c>
      <c r="K23" s="77">
        <f t="shared" si="1"/>
        <v>0.002936282666144661</v>
      </c>
      <c r="L23" s="32">
        <f t="shared" si="4"/>
        <v>108</v>
      </c>
      <c r="N23" s="32">
        <f>SUM(Census!H23)</f>
        <v>90</v>
      </c>
      <c r="O23" s="77">
        <f t="shared" si="7"/>
        <v>0.002936282666144661</v>
      </c>
      <c r="P23" s="32">
        <f t="shared" si="5"/>
        <v>8</v>
      </c>
      <c r="R23" s="32">
        <f>SUM(Census!H23)</f>
        <v>90</v>
      </c>
      <c r="S23" s="77">
        <f t="shared" si="2"/>
        <v>0.002936282666144661</v>
      </c>
      <c r="T23" s="32">
        <f t="shared" si="6"/>
        <v>29</v>
      </c>
    </row>
    <row r="24" spans="1:20" ht="12.75">
      <c r="A24" s="4" t="s">
        <v>34</v>
      </c>
      <c r="B24" s="33"/>
      <c r="C24" s="77"/>
      <c r="D24" s="32">
        <f t="shared" si="3"/>
        <v>269.4204351131176</v>
      </c>
      <c r="F24" s="17"/>
      <c r="G24" s="206">
        <v>0.0032946239482112448</v>
      </c>
      <c r="H24" s="32">
        <v>56.42043511311759</v>
      </c>
      <c r="J24" s="32">
        <f>SUM(Census!H24)</f>
        <v>132</v>
      </c>
      <c r="K24" s="77">
        <f t="shared" si="1"/>
        <v>0.004306547910345503</v>
      </c>
      <c r="L24" s="32">
        <f t="shared" si="4"/>
        <v>159</v>
      </c>
      <c r="N24" s="32">
        <f>SUM(Census!H24)</f>
        <v>132</v>
      </c>
      <c r="O24" s="77">
        <f t="shared" si="7"/>
        <v>0.004306547910345503</v>
      </c>
      <c r="P24" s="32">
        <f t="shared" si="5"/>
        <v>11</v>
      </c>
      <c r="R24" s="32">
        <f>SUM(Census!H24)</f>
        <v>132</v>
      </c>
      <c r="S24" s="77">
        <f t="shared" si="2"/>
        <v>0.004306547910345503</v>
      </c>
      <c r="T24" s="32">
        <f t="shared" si="6"/>
        <v>43</v>
      </c>
    </row>
    <row r="25" spans="1:20" ht="12.75">
      <c r="A25" s="4" t="s">
        <v>35</v>
      </c>
      <c r="B25" s="33"/>
      <c r="C25" s="77"/>
      <c r="D25" s="32">
        <f t="shared" si="3"/>
        <v>235.26038146123403</v>
      </c>
      <c r="F25" s="17"/>
      <c r="G25" s="206">
        <v>0.0026429419831377524</v>
      </c>
      <c r="H25" s="32">
        <v>45.260381461234026</v>
      </c>
      <c r="J25" s="32">
        <f>SUM(Census!H25)</f>
        <v>118</v>
      </c>
      <c r="K25" s="77">
        <f t="shared" si="1"/>
        <v>0.003849792828945222</v>
      </c>
      <c r="L25" s="32">
        <f t="shared" si="4"/>
        <v>142</v>
      </c>
      <c r="N25" s="32">
        <f>SUM(Census!H25)</f>
        <v>118</v>
      </c>
      <c r="O25" s="77">
        <f t="shared" si="7"/>
        <v>0.003849792828945222</v>
      </c>
      <c r="P25" s="32">
        <f t="shared" si="5"/>
        <v>10</v>
      </c>
      <c r="R25" s="32">
        <f>SUM(Census!H25)</f>
        <v>118</v>
      </c>
      <c r="S25" s="77">
        <f t="shared" si="2"/>
        <v>0.003849792828945222</v>
      </c>
      <c r="T25" s="32">
        <f t="shared" si="6"/>
        <v>38</v>
      </c>
    </row>
    <row r="26" spans="1:20" ht="12.75">
      <c r="A26" s="4" t="s">
        <v>36</v>
      </c>
      <c r="B26" s="33"/>
      <c r="C26" s="77"/>
      <c r="D26" s="32">
        <f t="shared" si="3"/>
        <v>116.63210141906235</v>
      </c>
      <c r="F26" s="17"/>
      <c r="G26" s="206">
        <v>0.0028398307397992603</v>
      </c>
      <c r="H26" s="32">
        <v>48.63210141906235</v>
      </c>
      <c r="J26" s="32">
        <f>SUM(Census!H26)</f>
        <v>42</v>
      </c>
      <c r="K26" s="77">
        <f t="shared" si="1"/>
        <v>0.0013702652442008417</v>
      </c>
      <c r="L26" s="32">
        <f t="shared" si="4"/>
        <v>50</v>
      </c>
      <c r="N26" s="32">
        <f>SUM(Census!H26)</f>
        <v>42</v>
      </c>
      <c r="O26" s="77">
        <f t="shared" si="7"/>
        <v>0.0013702652442008417</v>
      </c>
      <c r="P26" s="32">
        <f t="shared" si="5"/>
        <v>4</v>
      </c>
      <c r="R26" s="32">
        <f>SUM(Census!H26)</f>
        <v>42</v>
      </c>
      <c r="S26" s="77">
        <f t="shared" si="2"/>
        <v>0.0013702652442008417</v>
      </c>
      <c r="T26" s="32">
        <f t="shared" si="6"/>
        <v>14</v>
      </c>
    </row>
    <row r="27" spans="1:20" ht="12.75">
      <c r="A27" s="4" t="s">
        <v>37</v>
      </c>
      <c r="B27" s="33"/>
      <c r="C27" s="77"/>
      <c r="D27" s="32">
        <f t="shared" si="3"/>
        <v>150.85420095762794</v>
      </c>
      <c r="F27" s="17"/>
      <c r="G27" s="206">
        <v>0.00180170516540893</v>
      </c>
      <c r="H27" s="32">
        <v>30.85420095762794</v>
      </c>
      <c r="J27" s="32">
        <f>SUM(Census!H27)</f>
        <v>75</v>
      </c>
      <c r="K27" s="77">
        <f t="shared" si="1"/>
        <v>0.0024469022217872174</v>
      </c>
      <c r="L27" s="32">
        <f t="shared" si="4"/>
        <v>90</v>
      </c>
      <c r="N27" s="32">
        <f>SUM(Census!H27)</f>
        <v>75</v>
      </c>
      <c r="O27" s="77">
        <f t="shared" si="7"/>
        <v>0.0024469022217872174</v>
      </c>
      <c r="P27" s="32">
        <f t="shared" si="5"/>
        <v>6</v>
      </c>
      <c r="R27" s="32">
        <f>SUM(Census!H27)</f>
        <v>75</v>
      </c>
      <c r="S27" s="77">
        <f t="shared" si="2"/>
        <v>0.0024469022217872174</v>
      </c>
      <c r="T27" s="32">
        <f t="shared" si="6"/>
        <v>24</v>
      </c>
    </row>
    <row r="28" spans="1:20" ht="12.75">
      <c r="A28" s="4" t="s">
        <v>38</v>
      </c>
      <c r="B28" s="33"/>
      <c r="C28" s="77"/>
      <c r="D28" s="32">
        <f t="shared" si="3"/>
        <v>2798.22217971774</v>
      </c>
      <c r="F28" s="17"/>
      <c r="G28" s="206">
        <v>0.03172100319519648</v>
      </c>
      <c r="H28" s="32">
        <v>543.2221797177399</v>
      </c>
      <c r="J28" s="32">
        <f>SUM(Census!H28)</f>
        <v>1401</v>
      </c>
      <c r="K28" s="77">
        <f t="shared" si="1"/>
        <v>0.04570813350298522</v>
      </c>
      <c r="L28" s="32">
        <f t="shared" si="4"/>
        <v>1683</v>
      </c>
      <c r="N28" s="32">
        <f>SUM(Census!H28)</f>
        <v>1401</v>
      </c>
      <c r="O28" s="77">
        <f t="shared" si="7"/>
        <v>0.04570813350298522</v>
      </c>
      <c r="P28" s="32">
        <f t="shared" si="5"/>
        <v>119</v>
      </c>
      <c r="R28" s="32">
        <f>SUM(Census!H28)</f>
        <v>1401</v>
      </c>
      <c r="S28" s="77">
        <f t="shared" si="2"/>
        <v>0.04570813350298522</v>
      </c>
      <c r="T28" s="32">
        <f t="shared" si="6"/>
        <v>453</v>
      </c>
    </row>
    <row r="29" spans="1:20" ht="12.75">
      <c r="A29" s="4" t="s">
        <v>39</v>
      </c>
      <c r="B29" s="33"/>
      <c r="C29" s="77"/>
      <c r="D29" s="32">
        <f t="shared" si="3"/>
        <v>878.1491276350345</v>
      </c>
      <c r="F29" s="17"/>
      <c r="G29" s="206">
        <v>0.008884620591826823</v>
      </c>
      <c r="H29" s="32">
        <v>152.14912763503443</v>
      </c>
      <c r="J29" s="32">
        <f>SUM(Census!H29)</f>
        <v>451</v>
      </c>
      <c r="K29" s="77">
        <f t="shared" si="1"/>
        <v>0.014714038693680468</v>
      </c>
      <c r="L29" s="32">
        <f t="shared" si="4"/>
        <v>542</v>
      </c>
      <c r="N29" s="32">
        <f>SUM(Census!H29)</f>
        <v>451</v>
      </c>
      <c r="O29" s="77">
        <f t="shared" si="7"/>
        <v>0.014714038693680468</v>
      </c>
      <c r="P29" s="32">
        <f t="shared" si="5"/>
        <v>38</v>
      </c>
      <c r="R29" s="32">
        <f>SUM(Census!H29)</f>
        <v>451</v>
      </c>
      <c r="S29" s="77">
        <f t="shared" si="2"/>
        <v>0.014714038693680468</v>
      </c>
      <c r="T29" s="32">
        <f t="shared" si="6"/>
        <v>146</v>
      </c>
    </row>
    <row r="30" spans="1:20" ht="12.75">
      <c r="A30" s="4" t="s">
        <v>8</v>
      </c>
      <c r="B30" s="33"/>
      <c r="C30" s="77"/>
      <c r="D30" s="32">
        <f t="shared" si="3"/>
        <v>1856.3249635388129</v>
      </c>
      <c r="F30" s="17"/>
      <c r="G30" s="206">
        <v>0.02758101976868978</v>
      </c>
      <c r="H30" s="32">
        <v>472.32496353881277</v>
      </c>
      <c r="J30" s="32">
        <f>SUM(Census!H30)</f>
        <v>860</v>
      </c>
      <c r="K30" s="77">
        <f t="shared" si="1"/>
        <v>0.028057812143160093</v>
      </c>
      <c r="L30" s="32">
        <f t="shared" si="4"/>
        <v>1033</v>
      </c>
      <c r="N30" s="32">
        <f>SUM(Census!H30)</f>
        <v>860</v>
      </c>
      <c r="O30" s="77">
        <f t="shared" si="7"/>
        <v>0.028057812143160093</v>
      </c>
      <c r="P30" s="32">
        <f t="shared" si="5"/>
        <v>73</v>
      </c>
      <c r="R30" s="32">
        <f>SUM(Census!H30)</f>
        <v>860</v>
      </c>
      <c r="S30" s="77">
        <f t="shared" si="2"/>
        <v>0.028057812143160093</v>
      </c>
      <c r="T30" s="32">
        <f t="shared" si="6"/>
        <v>278</v>
      </c>
    </row>
    <row r="31" spans="1:20" ht="12.75">
      <c r="A31" s="4" t="s">
        <v>52</v>
      </c>
      <c r="B31" s="33"/>
      <c r="C31" s="77"/>
      <c r="D31" s="32">
        <f t="shared" si="3"/>
        <v>2098.3546703207076</v>
      </c>
      <c r="F31" s="17"/>
      <c r="G31" s="206">
        <v>0.01631268147858144</v>
      </c>
      <c r="H31" s="32">
        <v>279.35467032070727</v>
      </c>
      <c r="J31" s="32">
        <f>SUM(Census!H34)</f>
        <v>1130</v>
      </c>
      <c r="K31" s="77">
        <f t="shared" si="1"/>
        <v>0.03686666014159407</v>
      </c>
      <c r="L31" s="32">
        <f t="shared" si="4"/>
        <v>1358</v>
      </c>
      <c r="N31" s="32">
        <f>SUM(Census!H34)</f>
        <v>1130</v>
      </c>
      <c r="O31" s="77">
        <f t="shared" si="7"/>
        <v>0.03686666014159407</v>
      </c>
      <c r="P31" s="32">
        <f t="shared" si="5"/>
        <v>96</v>
      </c>
      <c r="R31" s="32">
        <f>SUM(Census!H34)</f>
        <v>1130</v>
      </c>
      <c r="S31" s="77">
        <f t="shared" si="2"/>
        <v>0.03686666014159407</v>
      </c>
      <c r="T31" s="32">
        <f t="shared" si="6"/>
        <v>365</v>
      </c>
    </row>
    <row r="32" spans="1:20" ht="12.75">
      <c r="A32" s="4" t="s">
        <v>40</v>
      </c>
      <c r="B32" s="33"/>
      <c r="C32" s="77"/>
      <c r="D32" s="32">
        <f t="shared" si="3"/>
        <v>4887.978990061109</v>
      </c>
      <c r="F32" s="17"/>
      <c r="G32" s="206">
        <v>0.059268846134955186</v>
      </c>
      <c r="H32" s="32">
        <v>1014.978990061108</v>
      </c>
      <c r="J32" s="32">
        <f>SUM(Census!H36)</f>
        <v>2407</v>
      </c>
      <c r="K32" s="77">
        <f t="shared" si="1"/>
        <v>0.0785292486378911</v>
      </c>
      <c r="L32" s="32">
        <f t="shared" si="4"/>
        <v>2892</v>
      </c>
      <c r="N32" s="32">
        <f>SUM(Census!H36)</f>
        <v>2407</v>
      </c>
      <c r="O32" s="77">
        <f t="shared" si="7"/>
        <v>0.0785292486378911</v>
      </c>
      <c r="P32" s="32">
        <f t="shared" si="5"/>
        <v>204</v>
      </c>
      <c r="R32" s="32">
        <f>SUM(Census!H36)</f>
        <v>2407</v>
      </c>
      <c r="S32" s="77">
        <f t="shared" si="2"/>
        <v>0.0785292486378911</v>
      </c>
      <c r="T32" s="32">
        <f t="shared" si="6"/>
        <v>777</v>
      </c>
    </row>
    <row r="33" spans="1:20" ht="12.75">
      <c r="A33" s="4" t="s">
        <v>5</v>
      </c>
      <c r="B33" s="33"/>
      <c r="C33" s="77"/>
      <c r="D33" s="32">
        <f t="shared" si="3"/>
        <v>879.3635683640777</v>
      </c>
      <c r="F33" s="17"/>
      <c r="G33" s="206">
        <v>0.008546777714690663</v>
      </c>
      <c r="H33" s="32">
        <v>146.36356836407765</v>
      </c>
      <c r="J33" s="32">
        <f>SUM(Census!H37)</f>
        <v>455</v>
      </c>
      <c r="K33" s="77">
        <f t="shared" si="1"/>
        <v>0.014844540145509118</v>
      </c>
      <c r="L33" s="32">
        <f t="shared" si="4"/>
        <v>547</v>
      </c>
      <c r="N33" s="32">
        <f>SUM(Census!H37)</f>
        <v>455</v>
      </c>
      <c r="O33" s="77">
        <f t="shared" si="7"/>
        <v>0.014844540145509118</v>
      </c>
      <c r="P33" s="32">
        <f t="shared" si="5"/>
        <v>39</v>
      </c>
      <c r="R33" s="32">
        <f>SUM(Census!H37)</f>
        <v>455</v>
      </c>
      <c r="S33" s="77">
        <f t="shared" si="2"/>
        <v>0.014844540145509118</v>
      </c>
      <c r="T33" s="32">
        <f t="shared" si="6"/>
        <v>147</v>
      </c>
    </row>
    <row r="34" spans="1:20" ht="12.75">
      <c r="A34" s="4" t="s">
        <v>6</v>
      </c>
      <c r="B34" s="33"/>
      <c r="C34" s="77"/>
      <c r="D34" s="32">
        <f t="shared" si="3"/>
        <v>1760.0891692557043</v>
      </c>
      <c r="F34" s="17"/>
      <c r="G34" s="206">
        <v>0.017640243460187097</v>
      </c>
      <c r="H34" s="32">
        <v>302.0891692557042</v>
      </c>
      <c r="J34" s="32">
        <f>SUM(Census!H38)</f>
        <v>906</v>
      </c>
      <c r="K34" s="77">
        <f t="shared" si="1"/>
        <v>0.029558578839189584</v>
      </c>
      <c r="L34" s="32">
        <f t="shared" si="4"/>
        <v>1088</v>
      </c>
      <c r="N34" s="32">
        <f>SUM(Census!H38)</f>
        <v>906</v>
      </c>
      <c r="O34" s="77">
        <f t="shared" si="7"/>
        <v>0.029558578839189584</v>
      </c>
      <c r="P34" s="32">
        <f t="shared" si="5"/>
        <v>77</v>
      </c>
      <c r="R34" s="32">
        <f>SUM(Census!H38)</f>
        <v>906</v>
      </c>
      <c r="S34" s="77">
        <f t="shared" si="2"/>
        <v>0.029558578839189584</v>
      </c>
      <c r="T34" s="32">
        <f t="shared" si="6"/>
        <v>293</v>
      </c>
    </row>
    <row r="35" spans="1:20" ht="12.75">
      <c r="A35" s="4" t="s">
        <v>9</v>
      </c>
      <c r="B35" s="33">
        <v>0</v>
      </c>
      <c r="C35" s="33">
        <v>0</v>
      </c>
      <c r="D35" s="32">
        <f t="shared" si="3"/>
        <v>2643</v>
      </c>
      <c r="F35" s="17"/>
      <c r="G35" s="206">
        <v>0.02019734066496729</v>
      </c>
      <c r="H35" s="32">
        <v>684</v>
      </c>
      <c r="J35" s="32">
        <f>SUM(Census!H39)</f>
        <v>1218</v>
      </c>
      <c r="K35" s="77">
        <f t="shared" si="1"/>
        <v>0.03973769208182441</v>
      </c>
      <c r="L35" s="32">
        <f t="shared" si="4"/>
        <v>1463</v>
      </c>
      <c r="N35" s="32">
        <f>SUM(Census!H39)</f>
        <v>1218</v>
      </c>
      <c r="O35" s="77">
        <f t="shared" si="7"/>
        <v>0.03973769208182441</v>
      </c>
      <c r="P35" s="32">
        <f t="shared" si="5"/>
        <v>103</v>
      </c>
      <c r="R35" s="32">
        <f>SUM(Census!H39)</f>
        <v>1218</v>
      </c>
      <c r="S35" s="77">
        <f t="shared" si="2"/>
        <v>0.03973769208182441</v>
      </c>
      <c r="T35" s="32">
        <f t="shared" si="6"/>
        <v>393</v>
      </c>
    </row>
    <row r="36" spans="1:20" ht="12.75">
      <c r="A36" s="4" t="s">
        <v>165</v>
      </c>
      <c r="B36" s="32"/>
      <c r="C36" s="33"/>
      <c r="D36" s="32">
        <f t="shared" si="3"/>
        <v>1598</v>
      </c>
      <c r="F36" s="17"/>
      <c r="G36" s="206">
        <v>0.005203745391667481</v>
      </c>
      <c r="H36" s="32">
        <v>346</v>
      </c>
      <c r="J36" s="32">
        <f>SUM(Census!H40)</f>
        <v>778</v>
      </c>
      <c r="K36" s="77">
        <f t="shared" si="1"/>
        <v>0.025382532380672736</v>
      </c>
      <c r="L36" s="32">
        <f t="shared" si="4"/>
        <v>935</v>
      </c>
      <c r="N36" s="32">
        <f>SUM(Census!H40)</f>
        <v>778</v>
      </c>
      <c r="O36" s="77">
        <f t="shared" si="7"/>
        <v>0.025382532380672736</v>
      </c>
      <c r="P36" s="32">
        <f t="shared" si="5"/>
        <v>66</v>
      </c>
      <c r="R36" s="32">
        <f>SUM(Census!H40)</f>
        <v>778</v>
      </c>
      <c r="S36" s="77">
        <f t="shared" si="2"/>
        <v>0.025382532380672736</v>
      </c>
      <c r="T36" s="32">
        <f t="shared" si="6"/>
        <v>251</v>
      </c>
    </row>
    <row r="37" spans="1:20" ht="12.75">
      <c r="A37" s="4" t="s">
        <v>147</v>
      </c>
      <c r="B37" s="18"/>
      <c r="C37" s="17"/>
      <c r="D37" s="37">
        <f t="shared" si="3"/>
        <v>602</v>
      </c>
      <c r="F37" s="18"/>
      <c r="G37" s="206">
        <v>0.03994212149644164</v>
      </c>
      <c r="H37" s="37">
        <v>89</v>
      </c>
      <c r="J37" s="37">
        <f>SUM(Census!H35)</f>
        <v>319</v>
      </c>
      <c r="K37" s="77">
        <f t="shared" si="1"/>
        <v>0.010407490783334965</v>
      </c>
      <c r="L37" s="37">
        <f t="shared" si="4"/>
        <v>383</v>
      </c>
      <c r="N37" s="37">
        <f>SUM(Census!H35)</f>
        <v>319</v>
      </c>
      <c r="O37" s="77">
        <f t="shared" si="7"/>
        <v>0.010407490783334965</v>
      </c>
      <c r="P37" s="37">
        <f t="shared" si="5"/>
        <v>27</v>
      </c>
      <c r="R37" s="37">
        <f>SUM(Census!H35)</f>
        <v>319</v>
      </c>
      <c r="S37" s="77">
        <f t="shared" si="2"/>
        <v>0.010407490783334965</v>
      </c>
      <c r="T37" s="37">
        <f t="shared" si="6"/>
        <v>103</v>
      </c>
    </row>
    <row r="38" spans="1:20" ht="12.75">
      <c r="A38" s="20" t="s">
        <v>41</v>
      </c>
      <c r="B38" s="44">
        <f>SUM(B5:B37)</f>
        <v>0</v>
      </c>
      <c r="C38" s="86"/>
      <c r="D38" s="54">
        <f>SUM(D5:D37)</f>
        <v>66448.99757065356</v>
      </c>
      <c r="F38" s="201"/>
      <c r="G38" s="202">
        <f>SUM(G5:G37)</f>
        <v>0.9999999999999994</v>
      </c>
      <c r="H38" s="203">
        <f>SUM(H5:H37)</f>
        <v>17124.997570653562</v>
      </c>
      <c r="J38" s="44">
        <f>SUM(J5:J37)</f>
        <v>30651</v>
      </c>
      <c r="K38" s="86">
        <f>SUM(K5:K37)</f>
        <v>1</v>
      </c>
      <c r="L38" s="51">
        <f>SUM(L5:L37)</f>
        <v>36824</v>
      </c>
      <c r="N38" s="44">
        <f>SUM(N5:N37)</f>
        <v>30651</v>
      </c>
      <c r="O38" s="86">
        <f>SUM(O5:O37)</f>
        <v>1</v>
      </c>
      <c r="P38" s="51">
        <f>SUM(P5:P37)</f>
        <v>2600</v>
      </c>
      <c r="R38" s="44">
        <f>SUM(R5:R37)</f>
        <v>30651</v>
      </c>
      <c r="S38" s="86">
        <f>SUM(S5:S37)</f>
        <v>1</v>
      </c>
      <c r="T38" s="51">
        <f>SUM(T5:T37)</f>
        <v>9900</v>
      </c>
    </row>
    <row r="39" spans="1:18" ht="12.75">
      <c r="A39" s="127" t="s">
        <v>279</v>
      </c>
      <c r="B39" s="127"/>
      <c r="C39" s="127"/>
      <c r="D39" s="200"/>
      <c r="F39" s="234" t="s">
        <v>220</v>
      </c>
      <c r="G39" s="234"/>
      <c r="H39" s="234"/>
      <c r="J39" s="127" t="s">
        <v>219</v>
      </c>
      <c r="N39" s="127" t="s">
        <v>219</v>
      </c>
      <c r="R39" s="127" t="s">
        <v>219</v>
      </c>
    </row>
    <row r="40" spans="1:14" ht="12.75">
      <c r="A40" s="127" t="s">
        <v>280</v>
      </c>
      <c r="B40" s="127"/>
      <c r="C40" s="127"/>
      <c r="D40" s="163"/>
      <c r="F40" s="127" t="s">
        <v>221</v>
      </c>
      <c r="M40" t="s">
        <v>278</v>
      </c>
      <c r="N40" t="s">
        <v>235</v>
      </c>
    </row>
    <row r="41" ht="12.75">
      <c r="A41" s="147" t="s">
        <v>281</v>
      </c>
    </row>
    <row r="42" spans="8:20" ht="12.75">
      <c r="H42" s="76"/>
      <c r="L42" s="76"/>
      <c r="P42" s="76"/>
      <c r="T42" s="76"/>
    </row>
    <row r="43" spans="8:20" ht="12.75">
      <c r="H43" s="98">
        <v>0</v>
      </c>
      <c r="L43" s="98">
        <v>36824</v>
      </c>
      <c r="P43" s="98">
        <v>2600</v>
      </c>
      <c r="T43" s="98">
        <v>9900</v>
      </c>
    </row>
  </sheetData>
  <mergeCells count="6">
    <mergeCell ref="N3:P3"/>
    <mergeCell ref="R3:T3"/>
    <mergeCell ref="F39:H39"/>
    <mergeCell ref="B3:D3"/>
    <mergeCell ref="F3:H3"/>
    <mergeCell ref="J3:L3"/>
  </mergeCells>
  <printOptions/>
  <pageMargins left="0.17" right="0.17" top="1" bottom="0.62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8">
      <selection activeCell="E39" sqref="E39"/>
    </sheetView>
  </sheetViews>
  <sheetFormatPr defaultColWidth="9.140625" defaultRowHeight="12.75"/>
  <cols>
    <col min="2" max="2" width="12.421875" style="0" customWidth="1"/>
    <col min="3" max="3" width="11.7109375" style="0" customWidth="1"/>
    <col min="4" max="4" width="14.57421875" style="0" customWidth="1"/>
  </cols>
  <sheetData>
    <row r="2" ht="18">
      <c r="A2" s="25" t="s">
        <v>217</v>
      </c>
    </row>
    <row r="3" spans="1:4" ht="12.75">
      <c r="A3" s="172"/>
      <c r="B3" s="229" t="s">
        <v>41</v>
      </c>
      <c r="C3" s="230"/>
      <c r="D3" s="231"/>
    </row>
    <row r="4" spans="1:4" ht="12.75">
      <c r="A4" s="173"/>
      <c r="B4" s="21" t="s">
        <v>42</v>
      </c>
      <c r="C4" s="21" t="s">
        <v>43</v>
      </c>
      <c r="D4" s="22" t="s">
        <v>44</v>
      </c>
    </row>
    <row r="5" spans="1:4" ht="15">
      <c r="A5" s="4" t="s">
        <v>0</v>
      </c>
      <c r="B5" s="175"/>
      <c r="C5" s="174"/>
      <c r="D5" s="209">
        <v>128</v>
      </c>
    </row>
    <row r="6" spans="1:4" ht="15">
      <c r="A6" s="4" t="s">
        <v>16</v>
      </c>
      <c r="B6" s="176"/>
      <c r="C6" s="174"/>
      <c r="D6" s="210">
        <v>78</v>
      </c>
    </row>
    <row r="7" spans="1:4" ht="15">
      <c r="A7" s="4" t="s">
        <v>17</v>
      </c>
      <c r="B7" s="176"/>
      <c r="C7" s="174"/>
      <c r="D7" s="210">
        <v>10</v>
      </c>
    </row>
    <row r="8" spans="1:4" ht="15">
      <c r="A8" s="4" t="s">
        <v>18</v>
      </c>
      <c r="B8" s="176"/>
      <c r="C8" s="174"/>
      <c r="D8" s="210">
        <v>46</v>
      </c>
    </row>
    <row r="9" spans="1:4" ht="15">
      <c r="A9" s="4" t="s">
        <v>19</v>
      </c>
      <c r="B9" s="176"/>
      <c r="C9" s="174"/>
      <c r="D9" s="210">
        <v>41</v>
      </c>
    </row>
    <row r="10" spans="1:4" ht="15">
      <c r="A10" s="4" t="s">
        <v>20</v>
      </c>
      <c r="B10" s="176"/>
      <c r="C10" s="174"/>
      <c r="D10" s="210">
        <v>116</v>
      </c>
    </row>
    <row r="11" spans="1:4" ht="15">
      <c r="A11" s="4" t="s">
        <v>21</v>
      </c>
      <c r="B11" s="176"/>
      <c r="C11" s="174"/>
      <c r="D11" s="210">
        <v>52</v>
      </c>
    </row>
    <row r="12" spans="1:4" ht="15">
      <c r="A12" s="4" t="s">
        <v>22</v>
      </c>
      <c r="B12" s="176"/>
      <c r="C12" s="174"/>
      <c r="D12" s="210">
        <v>34</v>
      </c>
    </row>
    <row r="13" spans="1:4" ht="15">
      <c r="A13" s="4" t="s">
        <v>23</v>
      </c>
      <c r="B13" s="176"/>
      <c r="C13" s="174"/>
      <c r="D13" s="210">
        <v>18</v>
      </c>
    </row>
    <row r="14" spans="1:4" ht="15">
      <c r="A14" s="4" t="s">
        <v>24</v>
      </c>
      <c r="B14" s="176"/>
      <c r="C14" s="174"/>
      <c r="D14" s="210">
        <v>17</v>
      </c>
    </row>
    <row r="15" spans="1:4" ht="15">
      <c r="A15" s="4" t="s">
        <v>25</v>
      </c>
      <c r="B15" s="176"/>
      <c r="C15" s="174"/>
      <c r="D15" s="210">
        <v>28</v>
      </c>
    </row>
    <row r="16" spans="1:4" ht="15">
      <c r="A16" s="4" t="s">
        <v>26</v>
      </c>
      <c r="B16" s="176"/>
      <c r="C16" s="174"/>
      <c r="D16" s="210">
        <v>14</v>
      </c>
    </row>
    <row r="17" spans="1:4" ht="15">
      <c r="A17" s="4" t="s">
        <v>27</v>
      </c>
      <c r="B17" s="176"/>
      <c r="C17" s="174"/>
      <c r="D17" s="210">
        <v>11</v>
      </c>
    </row>
    <row r="18" spans="1:4" ht="15">
      <c r="A18" s="4" t="s">
        <v>28</v>
      </c>
      <c r="B18" s="176"/>
      <c r="C18" s="174"/>
      <c r="D18" s="210">
        <v>38</v>
      </c>
    </row>
    <row r="19" spans="1:4" ht="15">
      <c r="A19" s="4" t="s">
        <v>29</v>
      </c>
      <c r="B19" s="176"/>
      <c r="C19" s="174"/>
      <c r="D19" s="210">
        <v>27</v>
      </c>
    </row>
    <row r="20" spans="1:4" ht="15">
      <c r="A20" s="4" t="s">
        <v>30</v>
      </c>
      <c r="B20" s="176"/>
      <c r="C20" s="174"/>
      <c r="D20" s="210">
        <v>12</v>
      </c>
    </row>
    <row r="21" spans="1:4" ht="15">
      <c r="A21" s="4" t="s">
        <v>31</v>
      </c>
      <c r="B21" s="176"/>
      <c r="C21" s="174"/>
      <c r="D21" s="210">
        <v>4</v>
      </c>
    </row>
    <row r="22" spans="1:4" ht="15">
      <c r="A22" s="4" t="s">
        <v>32</v>
      </c>
      <c r="B22" s="176"/>
      <c r="C22" s="174"/>
      <c r="D22" s="210">
        <v>13</v>
      </c>
    </row>
    <row r="23" spans="1:4" ht="15">
      <c r="A23" s="4" t="s">
        <v>33</v>
      </c>
      <c r="B23" s="176"/>
      <c r="C23" s="174"/>
      <c r="D23" s="210">
        <v>8</v>
      </c>
    </row>
    <row r="24" spans="1:4" ht="15">
      <c r="A24" s="4" t="s">
        <v>34</v>
      </c>
      <c r="B24" s="176"/>
      <c r="C24" s="174"/>
      <c r="D24" s="210">
        <v>29</v>
      </c>
    </row>
    <row r="25" spans="1:4" ht="15">
      <c r="A25" s="4" t="s">
        <v>35</v>
      </c>
      <c r="B25" s="176"/>
      <c r="C25" s="174"/>
      <c r="D25" s="210">
        <v>3</v>
      </c>
    </row>
    <row r="26" spans="1:4" ht="15">
      <c r="A26" s="4" t="s">
        <v>36</v>
      </c>
      <c r="B26" s="176"/>
      <c r="C26" s="174"/>
      <c r="D26" s="210">
        <v>5</v>
      </c>
    </row>
    <row r="27" spans="1:4" ht="15">
      <c r="A27" s="4" t="s">
        <v>37</v>
      </c>
      <c r="B27" s="176"/>
      <c r="C27" s="174"/>
      <c r="D27" s="210">
        <v>2</v>
      </c>
    </row>
    <row r="28" spans="1:4" ht="15">
      <c r="A28" s="4" t="s">
        <v>38</v>
      </c>
      <c r="B28" s="176"/>
      <c r="C28" s="174"/>
      <c r="D28" s="210">
        <v>8</v>
      </c>
    </row>
    <row r="29" spans="1:4" ht="12.75">
      <c r="A29" s="4" t="s">
        <v>39</v>
      </c>
      <c r="B29" s="176"/>
      <c r="C29" s="174"/>
      <c r="D29" s="178">
        <v>0</v>
      </c>
    </row>
    <row r="30" spans="1:4" ht="12.75">
      <c r="A30" s="4" t="s">
        <v>8</v>
      </c>
      <c r="B30" s="176"/>
      <c r="C30" s="174"/>
      <c r="D30" s="178">
        <v>1557</v>
      </c>
    </row>
    <row r="31" spans="1:4" ht="12.75">
      <c r="A31" s="4" t="s">
        <v>52</v>
      </c>
      <c r="B31" s="176"/>
      <c r="C31" s="174"/>
      <c r="D31" s="178">
        <v>0</v>
      </c>
    </row>
    <row r="32" spans="1:4" ht="12.75">
      <c r="A32" s="4" t="s">
        <v>40</v>
      </c>
      <c r="B32" s="176"/>
      <c r="C32" s="174"/>
      <c r="D32" s="178">
        <v>0</v>
      </c>
    </row>
    <row r="33" spans="1:4" ht="12.75">
      <c r="A33" s="4" t="s">
        <v>5</v>
      </c>
      <c r="B33" s="176"/>
      <c r="C33" s="174"/>
      <c r="D33" s="178">
        <v>0</v>
      </c>
    </row>
    <row r="34" spans="1:4" ht="12.75">
      <c r="A34" s="4" t="s">
        <v>6</v>
      </c>
      <c r="B34" s="176"/>
      <c r="C34" s="174"/>
      <c r="D34" s="178">
        <v>0</v>
      </c>
    </row>
    <row r="35" spans="1:4" ht="12.75">
      <c r="A35" s="4" t="s">
        <v>9</v>
      </c>
      <c r="B35" s="176"/>
      <c r="C35" s="174"/>
      <c r="D35" s="178">
        <v>0</v>
      </c>
    </row>
    <row r="36" spans="1:4" ht="12.75">
      <c r="A36" s="4" t="s">
        <v>165</v>
      </c>
      <c r="B36" s="176"/>
      <c r="C36" s="174"/>
      <c r="D36" s="178">
        <v>0</v>
      </c>
    </row>
    <row r="37" spans="1:4" ht="12.75">
      <c r="A37" s="4" t="s">
        <v>147</v>
      </c>
      <c r="B37" s="177"/>
      <c r="C37" s="173"/>
      <c r="D37" s="179">
        <v>0</v>
      </c>
    </row>
    <row r="38" spans="1:4" ht="12.75">
      <c r="A38" s="20" t="s">
        <v>41</v>
      </c>
      <c r="B38" s="177"/>
      <c r="C38" s="173"/>
      <c r="D38" s="177">
        <f>SUM(D5:D37)</f>
        <v>2299</v>
      </c>
    </row>
    <row r="39" ht="12.75">
      <c r="A39" s="23" t="s">
        <v>230</v>
      </c>
    </row>
    <row r="43" ht="12.75">
      <c r="D43" s="98">
        <v>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2">
      <selection activeCell="D39" sqref="D39"/>
    </sheetView>
  </sheetViews>
  <sheetFormatPr defaultColWidth="9.140625" defaultRowHeight="12.75"/>
  <cols>
    <col min="1" max="1" width="9.7109375" style="0" customWidth="1"/>
    <col min="2" max="2" width="17.00390625" style="0" customWidth="1"/>
    <col min="3" max="3" width="16.28125" style="0" customWidth="1"/>
    <col min="4" max="4" width="14.7109375" style="0" customWidth="1"/>
    <col min="5" max="5" width="1.28515625" style="0" customWidth="1"/>
  </cols>
  <sheetData>
    <row r="2" ht="18">
      <c r="A2" s="25" t="s">
        <v>76</v>
      </c>
    </row>
    <row r="3" spans="1:4" ht="12.75">
      <c r="A3" s="13"/>
      <c r="B3" s="229" t="s">
        <v>41</v>
      </c>
      <c r="C3" s="230"/>
      <c r="D3" s="231"/>
    </row>
    <row r="4" spans="1:10" ht="12.75">
      <c r="A4" s="14"/>
      <c r="B4" s="186" t="s">
        <v>247</v>
      </c>
      <c r="C4" s="186" t="s">
        <v>248</v>
      </c>
      <c r="D4" s="81" t="s">
        <v>44</v>
      </c>
      <c r="J4" s="192"/>
    </row>
    <row r="5" spans="1:10" ht="12.75">
      <c r="A5" s="4" t="s">
        <v>0</v>
      </c>
      <c r="B5" s="15">
        <v>53</v>
      </c>
      <c r="C5" s="212">
        <v>2.263</v>
      </c>
      <c r="D5" s="213">
        <v>120</v>
      </c>
      <c r="J5" s="192"/>
    </row>
    <row r="6" spans="1:10" ht="12.75">
      <c r="A6" s="4" t="s">
        <v>16</v>
      </c>
      <c r="B6" s="15">
        <v>22</v>
      </c>
      <c r="C6" s="199">
        <v>2.263</v>
      </c>
      <c r="D6" s="32">
        <v>50</v>
      </c>
      <c r="J6" s="192"/>
    </row>
    <row r="7" spans="1:10" ht="12.75">
      <c r="A7" s="4" t="s">
        <v>17</v>
      </c>
      <c r="B7" s="15">
        <v>4</v>
      </c>
      <c r="C7" s="199">
        <v>2.263</v>
      </c>
      <c r="D7" s="32">
        <v>9</v>
      </c>
      <c r="J7" s="192"/>
    </row>
    <row r="8" spans="1:10" ht="12.75">
      <c r="A8" s="4" t="s">
        <v>18</v>
      </c>
      <c r="B8" s="15">
        <v>23</v>
      </c>
      <c r="C8" s="199">
        <v>2.263</v>
      </c>
      <c r="D8" s="32">
        <v>52</v>
      </c>
      <c r="J8" s="192"/>
    </row>
    <row r="9" spans="1:10" ht="12.75">
      <c r="A9" s="4" t="s">
        <v>19</v>
      </c>
      <c r="B9" s="15">
        <v>30</v>
      </c>
      <c r="C9" s="199">
        <v>2.263</v>
      </c>
      <c r="D9" s="32">
        <v>68</v>
      </c>
      <c r="J9" s="192"/>
    </row>
    <row r="10" spans="1:10" ht="12.75">
      <c r="A10" s="4" t="s">
        <v>20</v>
      </c>
      <c r="B10" s="15">
        <v>32</v>
      </c>
      <c r="C10" s="199">
        <v>2.263</v>
      </c>
      <c r="D10" s="32">
        <v>72</v>
      </c>
      <c r="J10" s="192"/>
    </row>
    <row r="11" spans="1:10" ht="12.75">
      <c r="A11" s="4" t="s">
        <v>21</v>
      </c>
      <c r="B11" s="146">
        <v>0</v>
      </c>
      <c r="C11" s="146">
        <v>0</v>
      </c>
      <c r="D11" s="32">
        <f>SUM(C11*B11)</f>
        <v>0</v>
      </c>
      <c r="J11" s="192"/>
    </row>
    <row r="12" spans="1:10" ht="12.75">
      <c r="A12" s="4" t="s">
        <v>22</v>
      </c>
      <c r="B12" s="15">
        <v>21</v>
      </c>
      <c r="C12" s="199">
        <v>2.263</v>
      </c>
      <c r="D12" s="32">
        <v>48</v>
      </c>
      <c r="J12" s="192"/>
    </row>
    <row r="13" spans="1:10" ht="12.75">
      <c r="A13" s="4" t="s">
        <v>23</v>
      </c>
      <c r="B13" s="15">
        <v>3</v>
      </c>
      <c r="C13" s="199">
        <v>2.263</v>
      </c>
      <c r="D13" s="32">
        <v>7</v>
      </c>
      <c r="J13" s="192"/>
    </row>
    <row r="14" spans="1:10" ht="12.75">
      <c r="A14" s="4" t="s">
        <v>24</v>
      </c>
      <c r="B14" s="15">
        <v>16</v>
      </c>
      <c r="C14" s="199">
        <v>2.263</v>
      </c>
      <c r="D14" s="32">
        <v>36</v>
      </c>
      <c r="J14" s="192"/>
    </row>
    <row r="15" spans="1:10" ht="12.75">
      <c r="A15" s="4" t="s">
        <v>25</v>
      </c>
      <c r="B15" s="15">
        <v>12</v>
      </c>
      <c r="C15" s="199">
        <v>2.263</v>
      </c>
      <c r="D15" s="32">
        <v>27</v>
      </c>
      <c r="J15" s="192"/>
    </row>
    <row r="16" spans="1:10" ht="12.75">
      <c r="A16" s="4" t="s">
        <v>26</v>
      </c>
      <c r="B16" s="15">
        <v>4</v>
      </c>
      <c r="C16" s="199">
        <v>2.263</v>
      </c>
      <c r="D16" s="32">
        <v>9</v>
      </c>
      <c r="J16" s="192"/>
    </row>
    <row r="17" spans="1:10" ht="12.75">
      <c r="A17" s="4" t="s">
        <v>27</v>
      </c>
      <c r="B17" s="15">
        <v>7</v>
      </c>
      <c r="C17" s="199">
        <v>2.263</v>
      </c>
      <c r="D17" s="32">
        <v>16</v>
      </c>
      <c r="J17" s="192"/>
    </row>
    <row r="18" spans="1:10" ht="12.75">
      <c r="A18" s="4" t="s">
        <v>28</v>
      </c>
      <c r="B18" s="15">
        <v>31</v>
      </c>
      <c r="C18" s="199">
        <v>2.263</v>
      </c>
      <c r="D18" s="32">
        <v>70</v>
      </c>
      <c r="J18" s="192"/>
    </row>
    <row r="19" spans="1:10" ht="12.75">
      <c r="A19" s="4" t="s">
        <v>29</v>
      </c>
      <c r="B19" s="15">
        <v>10</v>
      </c>
      <c r="C19" s="199">
        <v>2.263</v>
      </c>
      <c r="D19" s="208">
        <v>22.6</v>
      </c>
      <c r="J19" s="192"/>
    </row>
    <row r="20" spans="1:10" ht="12.75">
      <c r="A20" s="4" t="s">
        <v>30</v>
      </c>
      <c r="B20" s="15">
        <v>9</v>
      </c>
      <c r="C20" s="199">
        <v>2.263</v>
      </c>
      <c r="D20" s="32">
        <v>20</v>
      </c>
      <c r="J20" s="192"/>
    </row>
    <row r="21" spans="1:10" ht="12.75">
      <c r="A21" s="4" t="s">
        <v>31</v>
      </c>
      <c r="B21" s="146">
        <v>0</v>
      </c>
      <c r="C21" s="199">
        <v>2.263</v>
      </c>
      <c r="D21" s="32">
        <f>SUM(C21*B21)</f>
        <v>0</v>
      </c>
      <c r="J21" s="192"/>
    </row>
    <row r="22" spans="1:10" ht="12.75">
      <c r="A22" s="4" t="s">
        <v>32</v>
      </c>
      <c r="B22" s="15">
        <v>17</v>
      </c>
      <c r="C22" s="199">
        <v>2.263</v>
      </c>
      <c r="D22" s="32">
        <v>38</v>
      </c>
      <c r="J22" s="192"/>
    </row>
    <row r="23" spans="1:10" ht="12.75">
      <c r="A23" s="4" t="s">
        <v>33</v>
      </c>
      <c r="B23" s="33">
        <v>0</v>
      </c>
      <c r="C23" s="144">
        <v>0</v>
      </c>
      <c r="D23" s="32">
        <f>SUM(C23*B23)</f>
        <v>0</v>
      </c>
      <c r="J23" s="192"/>
    </row>
    <row r="24" spans="1:10" ht="12.75">
      <c r="A24" s="4" t="s">
        <v>34</v>
      </c>
      <c r="B24" s="33">
        <v>0</v>
      </c>
      <c r="C24" s="144">
        <v>0</v>
      </c>
      <c r="D24" s="32">
        <f>SUM(C24*B24)</f>
        <v>0</v>
      </c>
      <c r="J24" s="192"/>
    </row>
    <row r="25" spans="1:10" ht="12.75">
      <c r="A25" s="4" t="s">
        <v>35</v>
      </c>
      <c r="B25" s="33">
        <v>1</v>
      </c>
      <c r="C25" s="199">
        <v>2.263</v>
      </c>
      <c r="D25" s="32">
        <v>2</v>
      </c>
      <c r="J25" s="192"/>
    </row>
    <row r="26" spans="1:10" ht="12.75">
      <c r="A26" s="4" t="s">
        <v>36</v>
      </c>
      <c r="B26" s="33">
        <v>0</v>
      </c>
      <c r="C26" s="144">
        <v>0</v>
      </c>
      <c r="D26" s="32">
        <f>SUM(C26*B26)</f>
        <v>0</v>
      </c>
      <c r="J26" s="192"/>
    </row>
    <row r="27" spans="1:4" ht="12.75">
      <c r="A27" s="4" t="s">
        <v>37</v>
      </c>
      <c r="B27" s="33">
        <v>0</v>
      </c>
      <c r="C27" s="144">
        <v>0</v>
      </c>
      <c r="D27" s="32">
        <f>SUM(C27*B27)</f>
        <v>0</v>
      </c>
    </row>
    <row r="28" spans="1:4" ht="12.75">
      <c r="A28" s="4" t="s">
        <v>38</v>
      </c>
      <c r="B28" s="33">
        <v>10</v>
      </c>
      <c r="C28" s="199">
        <v>2.263</v>
      </c>
      <c r="D28" s="32">
        <v>23</v>
      </c>
    </row>
    <row r="29" spans="1:4" ht="12.75">
      <c r="A29" s="4" t="s">
        <v>39</v>
      </c>
      <c r="B29" s="33">
        <v>0</v>
      </c>
      <c r="C29" s="144">
        <v>0</v>
      </c>
      <c r="D29" s="32">
        <f>SUM(C29*B29)</f>
        <v>0</v>
      </c>
    </row>
    <row r="30" spans="1:4" ht="12.75">
      <c r="A30" s="4" t="s">
        <v>8</v>
      </c>
      <c r="B30" s="33">
        <v>47</v>
      </c>
      <c r="C30" s="199">
        <v>2.263</v>
      </c>
      <c r="D30" s="32">
        <v>107</v>
      </c>
    </row>
    <row r="31" spans="1:4" ht="12.75">
      <c r="A31" s="4" t="s">
        <v>52</v>
      </c>
      <c r="B31" s="33">
        <v>0</v>
      </c>
      <c r="C31" s="144">
        <v>0</v>
      </c>
      <c r="D31" s="32">
        <f>SUM(C31*B31)</f>
        <v>0</v>
      </c>
    </row>
    <row r="32" spans="1:4" ht="12.75">
      <c r="A32" s="4" t="s">
        <v>40</v>
      </c>
      <c r="B32" s="33">
        <v>3</v>
      </c>
      <c r="C32" s="199">
        <v>2.45</v>
      </c>
      <c r="D32" s="32">
        <v>7</v>
      </c>
    </row>
    <row r="33" spans="1:4" ht="12.75">
      <c r="A33" s="4" t="s">
        <v>5</v>
      </c>
      <c r="B33" s="33">
        <v>0</v>
      </c>
      <c r="C33" s="144">
        <v>0</v>
      </c>
      <c r="D33" s="32">
        <f>SUM(C33*B33)</f>
        <v>0</v>
      </c>
    </row>
    <row r="34" spans="1:4" ht="12.75">
      <c r="A34" s="4" t="s">
        <v>6</v>
      </c>
      <c r="B34" s="33">
        <v>0</v>
      </c>
      <c r="C34" s="144">
        <v>0</v>
      </c>
      <c r="D34" s="32">
        <f>SUM(C34*B34)</f>
        <v>0</v>
      </c>
    </row>
    <row r="35" spans="1:4" ht="12.75">
      <c r="A35" s="4" t="s">
        <v>9</v>
      </c>
      <c r="B35" s="33">
        <v>0</v>
      </c>
      <c r="C35" s="33">
        <v>0</v>
      </c>
      <c r="D35" s="32">
        <f>SUM(C35*B35)</f>
        <v>0</v>
      </c>
    </row>
    <row r="36" spans="1:4" ht="12.75">
      <c r="A36" s="4" t="s">
        <v>165</v>
      </c>
      <c r="B36" s="32">
        <v>0</v>
      </c>
      <c r="C36" s="33">
        <v>0</v>
      </c>
      <c r="D36" s="32">
        <f>SUM(C36*B36)</f>
        <v>0</v>
      </c>
    </row>
    <row r="37" spans="1:4" ht="12.75">
      <c r="A37" s="4" t="s">
        <v>147</v>
      </c>
      <c r="B37" s="37">
        <v>0</v>
      </c>
      <c r="C37" s="33">
        <v>0</v>
      </c>
      <c r="D37" s="37">
        <f>SUM(C37*B37)</f>
        <v>0</v>
      </c>
    </row>
    <row r="38" spans="1:4" ht="12.75">
      <c r="A38" s="20" t="s">
        <v>41</v>
      </c>
      <c r="B38" s="18">
        <f>SUM(B5:B37)</f>
        <v>355</v>
      </c>
      <c r="C38" s="18"/>
      <c r="D38" s="211">
        <f>SUM(D5:D37)</f>
        <v>803.6</v>
      </c>
    </row>
    <row r="39" ht="12.75">
      <c r="A39" s="23" t="s">
        <v>318</v>
      </c>
    </row>
    <row r="40" ht="12.75">
      <c r="A40" s="80"/>
    </row>
    <row r="43" ht="12.75">
      <c r="D43" s="98">
        <v>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2" width="16.28125" style="0" customWidth="1"/>
    <col min="3" max="4" width="14.7109375" style="0" customWidth="1"/>
  </cols>
  <sheetData>
    <row r="2" ht="18">
      <c r="A2" s="25" t="s">
        <v>77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4.25" customHeight="1">
      <c r="A5" s="4" t="s">
        <v>0</v>
      </c>
      <c r="B5" s="33">
        <v>400</v>
      </c>
      <c r="C5" s="77">
        <f>SUM(B5/$B$38)</f>
        <v>0.08998875140607424</v>
      </c>
      <c r="D5" s="36">
        <f>ROUND(C5*D43,0)-2</f>
        <v>45</v>
      </c>
    </row>
    <row r="6" spans="1:4" ht="12.75">
      <c r="A6" s="4" t="s">
        <v>16</v>
      </c>
      <c r="B6" s="33">
        <v>783</v>
      </c>
      <c r="C6" s="77">
        <f aca="true" t="shared" si="0" ref="C6:C34">SUM(B6/$B$38)</f>
        <v>0.1761529808773903</v>
      </c>
      <c r="D6" s="33">
        <f>ROUND(C6*$D$43,0)</f>
        <v>93</v>
      </c>
    </row>
    <row r="7" spans="1:4" ht="12.75">
      <c r="A7" s="4" t="s">
        <v>17</v>
      </c>
      <c r="B7" s="33">
        <v>131</v>
      </c>
      <c r="C7" s="77">
        <f t="shared" si="0"/>
        <v>0.029471316085489314</v>
      </c>
      <c r="D7" s="33">
        <f aca="true" t="shared" si="1" ref="D7:D36">ROUND(C7*$D$43,0)</f>
        <v>16</v>
      </c>
    </row>
    <row r="8" spans="1:4" ht="12.75">
      <c r="A8" s="4" t="s">
        <v>18</v>
      </c>
      <c r="B8" s="33">
        <v>662</v>
      </c>
      <c r="C8" s="77">
        <f t="shared" si="0"/>
        <v>0.14893138357705288</v>
      </c>
      <c r="D8" s="33">
        <f t="shared" si="1"/>
        <v>78</v>
      </c>
    </row>
    <row r="9" spans="1:4" ht="12.75">
      <c r="A9" s="4" t="s">
        <v>19</v>
      </c>
      <c r="B9" s="33">
        <v>360</v>
      </c>
      <c r="C9" s="77">
        <f t="shared" si="0"/>
        <v>0.08098987626546682</v>
      </c>
      <c r="D9" s="33">
        <f t="shared" si="1"/>
        <v>43</v>
      </c>
    </row>
    <row r="10" spans="1:4" ht="12.75">
      <c r="A10" s="4" t="s">
        <v>20</v>
      </c>
      <c r="B10" s="33">
        <v>395</v>
      </c>
      <c r="C10" s="77">
        <f t="shared" si="0"/>
        <v>0.08886389201349831</v>
      </c>
      <c r="D10" s="33">
        <f t="shared" si="1"/>
        <v>47</v>
      </c>
    </row>
    <row r="11" spans="1:4" ht="12.75">
      <c r="A11" s="4" t="s">
        <v>21</v>
      </c>
      <c r="B11" s="33">
        <v>409</v>
      </c>
      <c r="C11" s="77">
        <f t="shared" si="0"/>
        <v>0.09201349831271091</v>
      </c>
      <c r="D11" s="33">
        <f t="shared" si="1"/>
        <v>48</v>
      </c>
    </row>
    <row r="12" spans="1:4" ht="12.75">
      <c r="A12" s="4" t="s">
        <v>22</v>
      </c>
      <c r="B12" s="134">
        <v>295</v>
      </c>
      <c r="C12" s="77">
        <f t="shared" si="0"/>
        <v>0.06636670416197975</v>
      </c>
      <c r="D12" s="33">
        <f t="shared" si="1"/>
        <v>35</v>
      </c>
    </row>
    <row r="13" spans="1:4" ht="12.75">
      <c r="A13" s="4" t="s">
        <v>23</v>
      </c>
      <c r="B13" s="33">
        <v>143</v>
      </c>
      <c r="C13" s="77">
        <f t="shared" si="0"/>
        <v>0.03217097862767154</v>
      </c>
      <c r="D13" s="33">
        <f t="shared" si="1"/>
        <v>17</v>
      </c>
    </row>
    <row r="14" spans="1:4" ht="12.75">
      <c r="A14" s="4" t="s">
        <v>24</v>
      </c>
      <c r="B14" s="33">
        <v>97</v>
      </c>
      <c r="C14" s="77">
        <f t="shared" si="0"/>
        <v>0.021822272215973004</v>
      </c>
      <c r="D14" s="33">
        <f t="shared" si="1"/>
        <v>12</v>
      </c>
    </row>
    <row r="15" spans="1:4" ht="12.75">
      <c r="A15" s="4" t="s">
        <v>25</v>
      </c>
      <c r="B15" s="33">
        <v>77</v>
      </c>
      <c r="C15" s="77">
        <f t="shared" si="0"/>
        <v>0.01732283464566929</v>
      </c>
      <c r="D15" s="33">
        <f t="shared" si="1"/>
        <v>9</v>
      </c>
    </row>
    <row r="16" spans="1:4" ht="12.75">
      <c r="A16" s="4" t="s">
        <v>26</v>
      </c>
      <c r="B16" s="33">
        <v>190</v>
      </c>
      <c r="C16" s="77">
        <f t="shared" si="0"/>
        <v>0.04274465691788527</v>
      </c>
      <c r="D16" s="33">
        <f t="shared" si="1"/>
        <v>23</v>
      </c>
    </row>
    <row r="17" spans="1:4" ht="12.75">
      <c r="A17" s="4" t="s">
        <v>27</v>
      </c>
      <c r="B17" s="33">
        <v>46</v>
      </c>
      <c r="C17" s="77">
        <f t="shared" si="0"/>
        <v>0.010348706411698537</v>
      </c>
      <c r="D17" s="33">
        <f t="shared" si="1"/>
        <v>5</v>
      </c>
    </row>
    <row r="18" spans="1:4" ht="12.75">
      <c r="A18" s="4" t="s">
        <v>28</v>
      </c>
      <c r="B18" s="33">
        <v>232</v>
      </c>
      <c r="C18" s="77">
        <f t="shared" si="0"/>
        <v>0.05219347581552306</v>
      </c>
      <c r="D18" s="33">
        <f t="shared" si="1"/>
        <v>28</v>
      </c>
    </row>
    <row r="19" spans="1:4" ht="12.75">
      <c r="A19" s="4" t="s">
        <v>29</v>
      </c>
      <c r="B19" s="33">
        <v>49</v>
      </c>
      <c r="C19" s="77">
        <f t="shared" si="0"/>
        <v>0.011023622047244094</v>
      </c>
      <c r="D19" s="33">
        <f t="shared" si="1"/>
        <v>6</v>
      </c>
    </row>
    <row r="20" spans="1:4" ht="12.75">
      <c r="A20" s="4" t="s">
        <v>30</v>
      </c>
      <c r="B20" s="33">
        <v>42</v>
      </c>
      <c r="C20" s="77">
        <f t="shared" si="0"/>
        <v>0.009448818897637795</v>
      </c>
      <c r="D20" s="33">
        <f t="shared" si="1"/>
        <v>5</v>
      </c>
    </row>
    <row r="21" spans="1:4" ht="12.75">
      <c r="A21" s="4" t="s">
        <v>31</v>
      </c>
      <c r="B21" s="33">
        <v>54</v>
      </c>
      <c r="C21" s="77">
        <f t="shared" si="0"/>
        <v>0.012148481439820023</v>
      </c>
      <c r="D21" s="33">
        <f t="shared" si="1"/>
        <v>6</v>
      </c>
    </row>
    <row r="22" spans="1:4" ht="12.75">
      <c r="A22" s="4" t="s">
        <v>32</v>
      </c>
      <c r="B22" s="33">
        <v>47</v>
      </c>
      <c r="C22" s="77">
        <f t="shared" si="0"/>
        <v>0.010573678290213724</v>
      </c>
      <c r="D22" s="33">
        <f t="shared" si="1"/>
        <v>6</v>
      </c>
    </row>
    <row r="23" spans="1:4" ht="12.75">
      <c r="A23" s="4" t="s">
        <v>33</v>
      </c>
      <c r="B23" s="33">
        <v>5</v>
      </c>
      <c r="C23" s="77">
        <f t="shared" si="0"/>
        <v>0.0011248593925759281</v>
      </c>
      <c r="D23" s="33">
        <f t="shared" si="1"/>
        <v>1</v>
      </c>
    </row>
    <row r="24" spans="1:4" ht="12.75">
      <c r="A24" s="4" t="s">
        <v>34</v>
      </c>
      <c r="B24" s="33">
        <v>23</v>
      </c>
      <c r="C24" s="77">
        <f t="shared" si="0"/>
        <v>0.005174353205849269</v>
      </c>
      <c r="D24" s="33">
        <f t="shared" si="1"/>
        <v>3</v>
      </c>
    </row>
    <row r="25" spans="1:5" ht="12.75">
      <c r="A25" s="4" t="s">
        <v>35</v>
      </c>
      <c r="B25" s="33">
        <v>5</v>
      </c>
      <c r="C25" s="77">
        <f t="shared" si="0"/>
        <v>0.0011248593925759281</v>
      </c>
      <c r="D25" s="33">
        <f t="shared" si="1"/>
        <v>1</v>
      </c>
      <c r="E25" s="76"/>
    </row>
    <row r="26" spans="1:4" ht="12.75">
      <c r="A26" s="4" t="s">
        <v>36</v>
      </c>
      <c r="B26" s="33">
        <v>0</v>
      </c>
      <c r="C26" s="77">
        <f t="shared" si="0"/>
        <v>0</v>
      </c>
      <c r="D26" s="33">
        <f t="shared" si="1"/>
        <v>0</v>
      </c>
    </row>
    <row r="27" spans="1:4" ht="12.75">
      <c r="A27" s="4" t="s">
        <v>37</v>
      </c>
      <c r="B27" s="33">
        <v>0</v>
      </c>
      <c r="C27" s="77">
        <f t="shared" si="0"/>
        <v>0</v>
      </c>
      <c r="D27" s="33">
        <f t="shared" si="1"/>
        <v>0</v>
      </c>
    </row>
    <row r="28" spans="1:4" ht="12.75">
      <c r="A28" s="4" t="s">
        <v>38</v>
      </c>
      <c r="B28" s="33">
        <v>0</v>
      </c>
      <c r="C28" s="77">
        <f t="shared" si="0"/>
        <v>0</v>
      </c>
      <c r="D28" s="33">
        <f t="shared" si="1"/>
        <v>0</v>
      </c>
    </row>
    <row r="29" spans="1:4" ht="12.75">
      <c r="A29" s="4" t="s">
        <v>39</v>
      </c>
      <c r="B29" s="33">
        <v>0</v>
      </c>
      <c r="C29" s="77">
        <f t="shared" si="0"/>
        <v>0</v>
      </c>
      <c r="D29" s="33">
        <f t="shared" si="1"/>
        <v>0</v>
      </c>
    </row>
    <row r="30" spans="1:4" ht="12.75">
      <c r="A30" s="4" t="s">
        <v>8</v>
      </c>
      <c r="B30" s="33">
        <v>0</v>
      </c>
      <c r="C30" s="32">
        <f t="shared" si="0"/>
        <v>0</v>
      </c>
      <c r="D30" s="33">
        <f t="shared" si="1"/>
        <v>0</v>
      </c>
    </row>
    <row r="31" spans="1:4" ht="12.75">
      <c r="A31" s="4" t="s">
        <v>52</v>
      </c>
      <c r="B31" s="33">
        <v>0</v>
      </c>
      <c r="C31" s="32">
        <f t="shared" si="0"/>
        <v>0</v>
      </c>
      <c r="D31" s="33">
        <f t="shared" si="1"/>
        <v>0</v>
      </c>
    </row>
    <row r="32" spans="1:4" ht="12.75">
      <c r="A32" s="4" t="s">
        <v>40</v>
      </c>
      <c r="B32" s="33">
        <v>0</v>
      </c>
      <c r="C32" s="32">
        <f t="shared" si="0"/>
        <v>0</v>
      </c>
      <c r="D32" s="33">
        <f t="shared" si="1"/>
        <v>0</v>
      </c>
    </row>
    <row r="33" spans="1:4" ht="12.75">
      <c r="A33" s="4" t="s">
        <v>5</v>
      </c>
      <c r="B33" s="33">
        <v>0</v>
      </c>
      <c r="C33" s="32">
        <f t="shared" si="0"/>
        <v>0</v>
      </c>
      <c r="D33" s="33">
        <f t="shared" si="1"/>
        <v>0</v>
      </c>
    </row>
    <row r="34" spans="1:4" ht="12.75">
      <c r="A34" s="4" t="s">
        <v>6</v>
      </c>
      <c r="B34" s="33">
        <v>0</v>
      </c>
      <c r="C34" s="32">
        <f t="shared" si="0"/>
        <v>0</v>
      </c>
      <c r="D34" s="33">
        <f t="shared" si="1"/>
        <v>0</v>
      </c>
    </row>
    <row r="35" spans="1:4" ht="12.75">
      <c r="A35" s="4" t="s">
        <v>9</v>
      </c>
      <c r="B35" s="33">
        <v>0</v>
      </c>
      <c r="C35" s="33">
        <v>0</v>
      </c>
      <c r="D35" s="33">
        <f t="shared" si="1"/>
        <v>0</v>
      </c>
    </row>
    <row r="36" spans="1:4" ht="12.75">
      <c r="A36" s="4" t="s">
        <v>165</v>
      </c>
      <c r="B36" s="32">
        <v>0</v>
      </c>
      <c r="C36" s="33"/>
      <c r="D36" s="33">
        <f t="shared" si="1"/>
        <v>0</v>
      </c>
    </row>
    <row r="37" spans="1:4" ht="12.75">
      <c r="A37" s="4" t="s">
        <v>147</v>
      </c>
      <c r="B37" s="37">
        <v>0</v>
      </c>
      <c r="C37" s="32"/>
      <c r="D37" s="37">
        <v>0</v>
      </c>
    </row>
    <row r="38" spans="1:4" ht="12.75">
      <c r="A38" s="20" t="s">
        <v>41</v>
      </c>
      <c r="B38" s="37">
        <f>SUM(B5:B37)</f>
        <v>4445</v>
      </c>
      <c r="C38" s="86">
        <f>SUM(C5:C35)</f>
        <v>0.9999999999999999</v>
      </c>
      <c r="D38" s="37">
        <f>SUM(D5:D37)</f>
        <v>527</v>
      </c>
    </row>
    <row r="39" ht="12.75" customHeight="1">
      <c r="A39" s="23" t="s">
        <v>103</v>
      </c>
    </row>
    <row r="40" ht="12.75">
      <c r="A40" s="80" t="s">
        <v>104</v>
      </c>
    </row>
    <row r="41" ht="12.75">
      <c r="A41" s="80" t="s">
        <v>105</v>
      </c>
    </row>
    <row r="42" spans="1:3" ht="12.75">
      <c r="A42" t="s">
        <v>106</v>
      </c>
      <c r="C42" t="s">
        <v>136</v>
      </c>
    </row>
    <row r="43" ht="12.75">
      <c r="D43" s="98">
        <v>527</v>
      </c>
    </row>
    <row r="44" ht="12.75">
      <c r="A44" s="80"/>
    </row>
    <row r="45" ht="12.75" hidden="1">
      <c r="D45" s="76">
        <f>SUM(D5:D37)</f>
        <v>527</v>
      </c>
    </row>
    <row r="46" ht="12.75" hidden="1">
      <c r="D46" s="76">
        <f>SUM(D5:D37)</f>
        <v>527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J9" sqref="J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2" ht="18">
      <c r="A2" s="25" t="s">
        <v>107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32">
        <f>SUM('FTEs &amp; onbrd'!B5)</f>
        <v>2904</v>
      </c>
      <c r="C5" s="47">
        <f>SUM(B5/$B$38)</f>
        <v>0.16828929068150209</v>
      </c>
      <c r="D5" s="35">
        <f>ROUND(C5*$D$43,0)</f>
        <v>609</v>
      </c>
    </row>
    <row r="6" spans="1:4" ht="12.75">
      <c r="A6" s="4" t="s">
        <v>16</v>
      </c>
      <c r="B6" s="32">
        <f>SUM('FTEs &amp; onbrd'!B6)</f>
        <v>796</v>
      </c>
      <c r="C6" s="47">
        <f aca="true" t="shared" si="0" ref="C6:C37">SUM(B6/$B$38)</f>
        <v>0.04612888270746407</v>
      </c>
      <c r="D6" s="32">
        <f>ROUND(C6*$D$43,0)</f>
        <v>167</v>
      </c>
    </row>
    <row r="7" spans="1:4" ht="12.75">
      <c r="A7" s="4" t="s">
        <v>17</v>
      </c>
      <c r="B7" s="32">
        <f>SUM('FTEs &amp; onbrd'!B7)</f>
        <v>261</v>
      </c>
      <c r="C7" s="47">
        <f t="shared" si="0"/>
        <v>0.015125173852573018</v>
      </c>
      <c r="D7" s="32">
        <f aca="true" t="shared" si="1" ref="D7:D37">ROUND(C7*$D$43,0)</f>
        <v>55</v>
      </c>
    </row>
    <row r="8" spans="1:4" ht="12.75">
      <c r="A8" s="4" t="s">
        <v>18</v>
      </c>
      <c r="B8" s="32">
        <f>SUM('FTEs &amp; onbrd'!B8)</f>
        <v>637</v>
      </c>
      <c r="C8" s="47">
        <f t="shared" si="0"/>
        <v>0.0369146963375058</v>
      </c>
      <c r="D8" s="32">
        <f t="shared" si="1"/>
        <v>134</v>
      </c>
    </row>
    <row r="9" spans="1:4" ht="12.75">
      <c r="A9" s="4" t="s">
        <v>19</v>
      </c>
      <c r="B9" s="32">
        <f>SUM('FTEs &amp; onbrd'!B9)</f>
        <v>548</v>
      </c>
      <c r="C9" s="47">
        <f t="shared" si="0"/>
        <v>0.03175707000463607</v>
      </c>
      <c r="D9" s="32">
        <f t="shared" si="1"/>
        <v>115</v>
      </c>
    </row>
    <row r="10" spans="1:4" ht="12.75">
      <c r="A10" s="4" t="s">
        <v>20</v>
      </c>
      <c r="B10" s="32">
        <f>SUM('FTEs &amp; onbrd'!B10)</f>
        <v>1515</v>
      </c>
      <c r="C10" s="47">
        <f t="shared" si="0"/>
        <v>0.08779554937413074</v>
      </c>
      <c r="D10" s="32">
        <f t="shared" si="1"/>
        <v>318</v>
      </c>
    </row>
    <row r="11" spans="1:4" ht="12.75">
      <c r="A11" s="4" t="s">
        <v>21</v>
      </c>
      <c r="B11" s="32">
        <f>SUM('FTEs &amp; onbrd'!B11)</f>
        <v>128</v>
      </c>
      <c r="C11" s="47">
        <f t="shared" si="0"/>
        <v>0.007417709782104775</v>
      </c>
      <c r="D11" s="32">
        <f t="shared" si="1"/>
        <v>27</v>
      </c>
    </row>
    <row r="12" spans="1:4" ht="12.75">
      <c r="A12" s="4" t="s">
        <v>22</v>
      </c>
      <c r="B12" s="32">
        <f>SUM('FTEs &amp; onbrd'!B12)</f>
        <v>521</v>
      </c>
      <c r="C12" s="47">
        <f t="shared" si="0"/>
        <v>0.03019239684747334</v>
      </c>
      <c r="D12" s="32">
        <f t="shared" si="1"/>
        <v>109</v>
      </c>
    </row>
    <row r="13" spans="1:4" ht="12.75">
      <c r="A13" s="4" t="s">
        <v>23</v>
      </c>
      <c r="B13" s="32">
        <f>SUM('FTEs &amp; onbrd'!B13)</f>
        <v>219</v>
      </c>
      <c r="C13" s="47">
        <f t="shared" si="0"/>
        <v>0.012691237830319889</v>
      </c>
      <c r="D13" s="32">
        <f t="shared" si="1"/>
        <v>46</v>
      </c>
    </row>
    <row r="14" spans="1:4" ht="12.75">
      <c r="A14" s="4" t="s">
        <v>24</v>
      </c>
      <c r="B14" s="32">
        <f>SUM('FTEs &amp; onbrd'!B14)</f>
        <v>652</v>
      </c>
      <c r="C14" s="47">
        <f t="shared" si="0"/>
        <v>0.037783959202596196</v>
      </c>
      <c r="D14" s="32">
        <f t="shared" si="1"/>
        <v>137</v>
      </c>
    </row>
    <row r="15" spans="1:4" ht="12.75">
      <c r="A15" s="4" t="s">
        <v>25</v>
      </c>
      <c r="B15" s="32">
        <f>SUM('FTEs &amp; onbrd'!B15)</f>
        <v>374</v>
      </c>
      <c r="C15" s="47">
        <f t="shared" si="0"/>
        <v>0.02167362076958739</v>
      </c>
      <c r="D15" s="32">
        <f t="shared" si="1"/>
        <v>78</v>
      </c>
    </row>
    <row r="16" spans="1:4" ht="12.75">
      <c r="A16" s="4" t="s">
        <v>26</v>
      </c>
      <c r="B16" s="32">
        <f>SUM('FTEs &amp; onbrd'!B16)</f>
        <v>212</v>
      </c>
      <c r="C16" s="47">
        <f t="shared" si="0"/>
        <v>0.012285581826611033</v>
      </c>
      <c r="D16" s="32">
        <f t="shared" si="1"/>
        <v>44</v>
      </c>
    </row>
    <row r="17" spans="1:4" ht="12.75">
      <c r="A17" s="4" t="s">
        <v>27</v>
      </c>
      <c r="B17" s="32">
        <f>SUM('FTEs &amp; onbrd'!B17)</f>
        <v>140</v>
      </c>
      <c r="C17" s="47">
        <f t="shared" si="0"/>
        <v>0.008113120074177098</v>
      </c>
      <c r="D17" s="32">
        <f t="shared" si="1"/>
        <v>29</v>
      </c>
    </row>
    <row r="18" spans="1:4" ht="12.75">
      <c r="A18" s="4" t="s">
        <v>28</v>
      </c>
      <c r="B18" s="32">
        <f>SUM('FTEs &amp; onbrd'!B18)</f>
        <v>695</v>
      </c>
      <c r="C18" s="47">
        <f t="shared" si="0"/>
        <v>0.04027584608252202</v>
      </c>
      <c r="D18" s="32">
        <f t="shared" si="1"/>
        <v>146</v>
      </c>
    </row>
    <row r="19" spans="1:4" ht="12.75">
      <c r="A19" s="4" t="s">
        <v>29</v>
      </c>
      <c r="B19" s="32">
        <f>SUM('FTEs &amp; onbrd'!B19)</f>
        <v>362</v>
      </c>
      <c r="C19" s="47">
        <f t="shared" si="0"/>
        <v>0.020978210477515066</v>
      </c>
      <c r="D19" s="32">
        <f t="shared" si="1"/>
        <v>76</v>
      </c>
    </row>
    <row r="20" spans="1:4" ht="12.75">
      <c r="A20" s="4" t="s">
        <v>30</v>
      </c>
      <c r="B20" s="32">
        <f>SUM('FTEs &amp; onbrd'!B20)</f>
        <v>226</v>
      </c>
      <c r="C20" s="47">
        <f t="shared" si="0"/>
        <v>0.013096893834028744</v>
      </c>
      <c r="D20" s="32">
        <f t="shared" si="1"/>
        <v>47</v>
      </c>
    </row>
    <row r="21" spans="1:4" ht="12.75">
      <c r="A21" s="4" t="s">
        <v>31</v>
      </c>
      <c r="B21" s="32">
        <f>SUM('FTEs &amp; onbrd'!B21)</f>
        <v>38</v>
      </c>
      <c r="C21" s="47">
        <f t="shared" si="0"/>
        <v>0.002202132591562355</v>
      </c>
      <c r="D21" s="32">
        <f t="shared" si="1"/>
        <v>8</v>
      </c>
    </row>
    <row r="22" spans="1:4" ht="12.75">
      <c r="A22" s="4" t="s">
        <v>32</v>
      </c>
      <c r="B22" s="32">
        <f>SUM('FTEs &amp; onbrd'!B22)</f>
        <v>272</v>
      </c>
      <c r="C22" s="47">
        <f t="shared" si="0"/>
        <v>0.01576263328697265</v>
      </c>
      <c r="D22" s="32">
        <f t="shared" si="1"/>
        <v>57</v>
      </c>
    </row>
    <row r="23" spans="1:4" ht="12.75">
      <c r="A23" s="4" t="s">
        <v>33</v>
      </c>
      <c r="B23" s="32">
        <f>SUM('FTEs &amp; onbrd'!B23)</f>
        <v>51</v>
      </c>
      <c r="C23" s="47">
        <f t="shared" si="0"/>
        <v>0.0029554937413073714</v>
      </c>
      <c r="D23" s="32">
        <f t="shared" si="1"/>
        <v>11</v>
      </c>
    </row>
    <row r="24" spans="1:4" ht="12.75">
      <c r="A24" s="4" t="s">
        <v>34</v>
      </c>
      <c r="B24" s="32">
        <f>SUM('FTEs &amp; onbrd'!B24)</f>
        <v>86</v>
      </c>
      <c r="C24" s="47">
        <f t="shared" si="0"/>
        <v>0.0049837737598516455</v>
      </c>
      <c r="D24" s="32">
        <f t="shared" si="1"/>
        <v>18</v>
      </c>
    </row>
    <row r="25" spans="1:4" ht="12.75">
      <c r="A25" s="4" t="s">
        <v>35</v>
      </c>
      <c r="B25" s="32">
        <f>SUM('FTEs &amp; onbrd'!B25)</f>
        <v>76</v>
      </c>
      <c r="C25" s="47">
        <f t="shared" si="0"/>
        <v>0.00440426518312471</v>
      </c>
      <c r="D25" s="32">
        <f t="shared" si="1"/>
        <v>16</v>
      </c>
    </row>
    <row r="26" spans="1:4" ht="12.75">
      <c r="A26" s="4" t="s">
        <v>36</v>
      </c>
      <c r="B26" s="32">
        <f>SUM('FTEs &amp; onbrd'!B26)</f>
        <v>30</v>
      </c>
      <c r="C26" s="47">
        <f t="shared" si="0"/>
        <v>0.0017385257301808068</v>
      </c>
      <c r="D26" s="32">
        <f t="shared" si="1"/>
        <v>6</v>
      </c>
    </row>
    <row r="27" spans="1:4" ht="12.75">
      <c r="A27" s="4" t="s">
        <v>37</v>
      </c>
      <c r="B27" s="32">
        <f>SUM('FTEs &amp; onbrd'!B27)</f>
        <v>56</v>
      </c>
      <c r="C27" s="47">
        <f t="shared" si="0"/>
        <v>0.003245248029670839</v>
      </c>
      <c r="D27" s="32">
        <f t="shared" si="1"/>
        <v>12</v>
      </c>
    </row>
    <row r="28" spans="1:4" ht="12.75">
      <c r="A28" s="4" t="s">
        <v>38</v>
      </c>
      <c r="B28" s="32">
        <f>SUM('FTEs &amp; onbrd'!B28)</f>
        <v>646</v>
      </c>
      <c r="C28" s="47">
        <f t="shared" si="0"/>
        <v>0.03743625405656004</v>
      </c>
      <c r="D28" s="32">
        <f t="shared" si="1"/>
        <v>136</v>
      </c>
    </row>
    <row r="29" spans="1:4" ht="12.75">
      <c r="A29" s="4" t="s">
        <v>39</v>
      </c>
      <c r="B29" s="32">
        <f>SUM('FTEs &amp; onbrd'!B29)</f>
        <v>0</v>
      </c>
      <c r="C29" s="47">
        <f t="shared" si="0"/>
        <v>0</v>
      </c>
      <c r="D29" s="32">
        <f t="shared" si="1"/>
        <v>0</v>
      </c>
    </row>
    <row r="30" spans="1:4" ht="12.75">
      <c r="A30" s="4" t="s">
        <v>8</v>
      </c>
      <c r="B30" s="32">
        <f>SUM('FTEs &amp; onbrd'!B30)</f>
        <v>617</v>
      </c>
      <c r="C30" s="47">
        <f t="shared" si="0"/>
        <v>0.035755679184051925</v>
      </c>
      <c r="D30" s="32">
        <f t="shared" si="1"/>
        <v>129</v>
      </c>
    </row>
    <row r="31" spans="1:4" ht="12.75">
      <c r="A31" s="4" t="s">
        <v>52</v>
      </c>
      <c r="B31" s="32">
        <f>SUM('FTEs &amp; onbrd'!B31)</f>
        <v>1416</v>
      </c>
      <c r="C31" s="47">
        <f t="shared" si="0"/>
        <v>0.08205841446453407</v>
      </c>
      <c r="D31" s="32">
        <f t="shared" si="1"/>
        <v>297</v>
      </c>
    </row>
    <row r="32" spans="1:4" ht="12.75">
      <c r="A32" s="4" t="s">
        <v>40</v>
      </c>
      <c r="B32" s="32">
        <f>SUM('FTEs &amp; onbrd'!B32)</f>
        <v>1843</v>
      </c>
      <c r="C32" s="47">
        <f t="shared" si="0"/>
        <v>0.10680343069077422</v>
      </c>
      <c r="D32" s="32">
        <f t="shared" si="1"/>
        <v>387</v>
      </c>
    </row>
    <row r="33" spans="1:4" ht="12.75">
      <c r="A33" s="4" t="s">
        <v>5</v>
      </c>
      <c r="B33" s="32">
        <f>SUM('FTEs &amp; onbrd'!B33)</f>
        <v>272</v>
      </c>
      <c r="C33" s="47">
        <f t="shared" si="0"/>
        <v>0.01576263328697265</v>
      </c>
      <c r="D33" s="32">
        <f t="shared" si="1"/>
        <v>57</v>
      </c>
    </row>
    <row r="34" spans="1:4" ht="12.75">
      <c r="A34" s="4" t="s">
        <v>6</v>
      </c>
      <c r="B34" s="32">
        <f>SUM('FTEs &amp; onbrd'!B34)</f>
        <v>422</v>
      </c>
      <c r="C34" s="47">
        <f t="shared" si="0"/>
        <v>0.02445526193787668</v>
      </c>
      <c r="D34" s="32">
        <f t="shared" si="1"/>
        <v>89</v>
      </c>
    </row>
    <row r="35" spans="1:4" ht="12.75">
      <c r="A35" s="4" t="s">
        <v>9</v>
      </c>
      <c r="B35" s="32">
        <f>SUM('FTEs &amp; onbrd'!B35)</f>
        <v>677</v>
      </c>
      <c r="C35" s="47">
        <f t="shared" si="0"/>
        <v>0.03923273064441354</v>
      </c>
      <c r="D35" s="32">
        <f t="shared" si="1"/>
        <v>142</v>
      </c>
    </row>
    <row r="36" spans="1:4" ht="12.75">
      <c r="A36" s="4" t="s">
        <v>165</v>
      </c>
      <c r="B36" s="32">
        <f>SUM('FTEs &amp; onbrd'!B36)</f>
        <v>564</v>
      </c>
      <c r="C36" s="47">
        <f t="shared" si="0"/>
        <v>0.03268428372739916</v>
      </c>
      <c r="D36" s="32">
        <f t="shared" si="1"/>
        <v>118</v>
      </c>
    </row>
    <row r="37" spans="1:6" ht="12.75">
      <c r="A37" s="4" t="s">
        <v>147</v>
      </c>
      <c r="B37" s="37">
        <f>SUM('FTEs &amp; onbrd'!B37)</f>
        <v>0</v>
      </c>
      <c r="C37" s="47">
        <f t="shared" si="0"/>
        <v>0</v>
      </c>
      <c r="D37" s="37">
        <f t="shared" si="1"/>
        <v>0</v>
      </c>
      <c r="F37" s="76"/>
    </row>
    <row r="38" spans="1:4" ht="12.75">
      <c r="A38" s="20" t="s">
        <v>41</v>
      </c>
      <c r="B38" s="44">
        <f>SUM(B5:B37)</f>
        <v>17256</v>
      </c>
      <c r="C38" s="48">
        <f>SUM(C5:C37)</f>
        <v>1.0000000000000002</v>
      </c>
      <c r="D38" s="51">
        <f>SUM(D5:D37)</f>
        <v>3620</v>
      </c>
    </row>
    <row r="39" ht="12.75">
      <c r="A39" s="23" t="s">
        <v>237</v>
      </c>
    </row>
    <row r="40" ht="12.75">
      <c r="D40" s="76"/>
    </row>
    <row r="41" ht="12.75">
      <c r="D41" s="76"/>
    </row>
    <row r="43" ht="12.75">
      <c r="D43" s="98">
        <v>3620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0" customWidth="1"/>
    <col min="2" max="2" width="13.28125" style="0" customWidth="1"/>
    <col min="3" max="4" width="14.7109375" style="0" customWidth="1"/>
    <col min="5" max="5" width="3.57421875" style="0" customWidth="1"/>
  </cols>
  <sheetData>
    <row r="1" ht="12.75" customHeight="1">
      <c r="A1" s="25"/>
    </row>
    <row r="2" ht="18">
      <c r="A2" s="25" t="s">
        <v>272</v>
      </c>
    </row>
    <row r="3" spans="1:4" ht="12.75">
      <c r="A3" s="13"/>
      <c r="B3" s="235" t="s">
        <v>228</v>
      </c>
      <c r="C3" s="236"/>
      <c r="D3" s="237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5" ht="12.75">
      <c r="A5" s="4" t="s">
        <v>0</v>
      </c>
      <c r="B5" s="32">
        <f>SUM('FTEs &amp; onbrd'!B5)</f>
        <v>2904</v>
      </c>
      <c r="C5" s="47">
        <f>SUM(B5/$B$38)</f>
        <v>0.16828929068150209</v>
      </c>
      <c r="D5" s="88">
        <f>ROUND(C5*$D$43,0)-2</f>
        <v>5960</v>
      </c>
      <c r="E5" s="76"/>
    </row>
    <row r="6" spans="1:4" ht="12.75">
      <c r="A6" s="4" t="s">
        <v>16</v>
      </c>
      <c r="B6" s="32">
        <f>SUM('FTEs &amp; onbrd'!B6)</f>
        <v>796</v>
      </c>
      <c r="C6" s="47">
        <f aca="true" t="shared" si="0" ref="C6:C37">SUM(B6/$B$38)</f>
        <v>0.04612888270746407</v>
      </c>
      <c r="D6" s="32">
        <f>ROUND(C6*$D$43,0)</f>
        <v>1634</v>
      </c>
    </row>
    <row r="7" spans="1:4" ht="12.75">
      <c r="A7" s="4" t="s">
        <v>17</v>
      </c>
      <c r="B7" s="32">
        <f>SUM('FTEs &amp; onbrd'!B7)</f>
        <v>261</v>
      </c>
      <c r="C7" s="47">
        <f t="shared" si="0"/>
        <v>0.015125173852573018</v>
      </c>
      <c r="D7" s="32">
        <f aca="true" t="shared" si="1" ref="D7:D37">ROUND(C7*$D$43,0)</f>
        <v>536</v>
      </c>
    </row>
    <row r="8" spans="1:4" ht="12.75">
      <c r="A8" s="4" t="s">
        <v>18</v>
      </c>
      <c r="B8" s="32">
        <f>SUM('FTEs &amp; onbrd'!B8)</f>
        <v>637</v>
      </c>
      <c r="C8" s="47">
        <f t="shared" si="0"/>
        <v>0.0369146963375058</v>
      </c>
      <c r="D8" s="32">
        <f t="shared" si="1"/>
        <v>1308</v>
      </c>
    </row>
    <row r="9" spans="1:4" ht="12.75">
      <c r="A9" s="4" t="s">
        <v>19</v>
      </c>
      <c r="B9" s="32">
        <f>SUM('FTEs &amp; onbrd'!B9)</f>
        <v>548</v>
      </c>
      <c r="C9" s="47">
        <f t="shared" si="0"/>
        <v>0.03175707000463607</v>
      </c>
      <c r="D9" s="32">
        <f t="shared" si="1"/>
        <v>1125</v>
      </c>
    </row>
    <row r="10" spans="1:4" ht="12.75">
      <c r="A10" s="4" t="s">
        <v>20</v>
      </c>
      <c r="B10" s="32">
        <f>SUM('FTEs &amp; onbrd'!B10)</f>
        <v>1515</v>
      </c>
      <c r="C10" s="47">
        <f t="shared" si="0"/>
        <v>0.08779554937413074</v>
      </c>
      <c r="D10" s="32">
        <f t="shared" si="1"/>
        <v>3110</v>
      </c>
    </row>
    <row r="11" spans="1:4" ht="12.75">
      <c r="A11" s="4" t="s">
        <v>21</v>
      </c>
      <c r="B11" s="32">
        <f>SUM('FTEs &amp; onbrd'!B11)</f>
        <v>128</v>
      </c>
      <c r="C11" s="47">
        <f t="shared" si="0"/>
        <v>0.007417709782104775</v>
      </c>
      <c r="D11" s="32">
        <f t="shared" si="1"/>
        <v>263</v>
      </c>
    </row>
    <row r="12" spans="1:4" ht="12.75">
      <c r="A12" s="4" t="s">
        <v>22</v>
      </c>
      <c r="B12" s="32">
        <f>SUM('FTEs &amp; onbrd'!B12)</f>
        <v>521</v>
      </c>
      <c r="C12" s="47">
        <f t="shared" si="0"/>
        <v>0.03019239684747334</v>
      </c>
      <c r="D12" s="32">
        <f t="shared" si="1"/>
        <v>1070</v>
      </c>
    </row>
    <row r="13" spans="1:4" ht="12.75">
      <c r="A13" s="4" t="s">
        <v>23</v>
      </c>
      <c r="B13" s="32">
        <f>SUM('FTEs &amp; onbrd'!B13)</f>
        <v>219</v>
      </c>
      <c r="C13" s="47">
        <f t="shared" si="0"/>
        <v>0.012691237830319889</v>
      </c>
      <c r="D13" s="32">
        <f t="shared" si="1"/>
        <v>450</v>
      </c>
    </row>
    <row r="14" spans="1:4" ht="12.75">
      <c r="A14" s="4" t="s">
        <v>24</v>
      </c>
      <c r="B14" s="32">
        <f>SUM('FTEs &amp; onbrd'!B14)</f>
        <v>652</v>
      </c>
      <c r="C14" s="47">
        <f t="shared" si="0"/>
        <v>0.037783959202596196</v>
      </c>
      <c r="D14" s="32">
        <f t="shared" si="1"/>
        <v>1338</v>
      </c>
    </row>
    <row r="15" spans="1:4" ht="12.75">
      <c r="A15" s="4" t="s">
        <v>25</v>
      </c>
      <c r="B15" s="32">
        <f>SUM('FTEs &amp; onbrd'!B15)</f>
        <v>374</v>
      </c>
      <c r="C15" s="47">
        <f t="shared" si="0"/>
        <v>0.02167362076958739</v>
      </c>
      <c r="D15" s="32">
        <f t="shared" si="1"/>
        <v>768</v>
      </c>
    </row>
    <row r="16" spans="1:4" ht="12.75">
      <c r="A16" s="4" t="s">
        <v>26</v>
      </c>
      <c r="B16" s="32">
        <f>SUM('FTEs &amp; onbrd'!B16)</f>
        <v>212</v>
      </c>
      <c r="C16" s="47">
        <f t="shared" si="0"/>
        <v>0.012285581826611033</v>
      </c>
      <c r="D16" s="32">
        <f t="shared" si="1"/>
        <v>435</v>
      </c>
    </row>
    <row r="17" spans="1:4" ht="12.75">
      <c r="A17" s="4" t="s">
        <v>27</v>
      </c>
      <c r="B17" s="32">
        <f>SUM('FTEs &amp; onbrd'!B17)</f>
        <v>140</v>
      </c>
      <c r="C17" s="47">
        <f t="shared" si="0"/>
        <v>0.008113120074177098</v>
      </c>
      <c r="D17" s="32">
        <f t="shared" si="1"/>
        <v>287</v>
      </c>
    </row>
    <row r="18" spans="1:4" ht="12.75">
      <c r="A18" s="4" t="s">
        <v>28</v>
      </c>
      <c r="B18" s="32">
        <f>SUM('FTEs &amp; onbrd'!B18)</f>
        <v>695</v>
      </c>
      <c r="C18" s="47">
        <f t="shared" si="0"/>
        <v>0.04027584608252202</v>
      </c>
      <c r="D18" s="32">
        <f t="shared" si="1"/>
        <v>1427</v>
      </c>
    </row>
    <row r="19" spans="1:4" ht="12.75">
      <c r="A19" s="4" t="s">
        <v>29</v>
      </c>
      <c r="B19" s="32">
        <f>SUM('FTEs &amp; onbrd'!B19)</f>
        <v>362</v>
      </c>
      <c r="C19" s="47">
        <f t="shared" si="0"/>
        <v>0.020978210477515066</v>
      </c>
      <c r="D19" s="32">
        <f t="shared" si="1"/>
        <v>743</v>
      </c>
    </row>
    <row r="20" spans="1:4" ht="12.75">
      <c r="A20" s="4" t="s">
        <v>30</v>
      </c>
      <c r="B20" s="32">
        <f>SUM('FTEs &amp; onbrd'!B20)</f>
        <v>226</v>
      </c>
      <c r="C20" s="47">
        <f t="shared" si="0"/>
        <v>0.013096893834028744</v>
      </c>
      <c r="D20" s="32">
        <f t="shared" si="1"/>
        <v>464</v>
      </c>
    </row>
    <row r="21" spans="1:4" ht="12.75">
      <c r="A21" s="4" t="s">
        <v>31</v>
      </c>
      <c r="B21" s="32">
        <f>SUM('FTEs &amp; onbrd'!B21)</f>
        <v>38</v>
      </c>
      <c r="C21" s="47">
        <f t="shared" si="0"/>
        <v>0.002202132591562355</v>
      </c>
      <c r="D21" s="32">
        <f t="shared" si="1"/>
        <v>78</v>
      </c>
    </row>
    <row r="22" spans="1:4" ht="12.75">
      <c r="A22" s="4" t="s">
        <v>32</v>
      </c>
      <c r="B22" s="32">
        <f>SUM('FTEs &amp; onbrd'!B22)</f>
        <v>272</v>
      </c>
      <c r="C22" s="47">
        <f t="shared" si="0"/>
        <v>0.01576263328697265</v>
      </c>
      <c r="D22" s="32">
        <f t="shared" si="1"/>
        <v>558</v>
      </c>
    </row>
    <row r="23" spans="1:4" ht="12.75">
      <c r="A23" s="4" t="s">
        <v>33</v>
      </c>
      <c r="B23" s="32">
        <f>SUM('FTEs &amp; onbrd'!B23)</f>
        <v>51</v>
      </c>
      <c r="C23" s="47">
        <f t="shared" si="0"/>
        <v>0.0029554937413073714</v>
      </c>
      <c r="D23" s="32">
        <f t="shared" si="1"/>
        <v>105</v>
      </c>
    </row>
    <row r="24" spans="1:4" ht="12.75">
      <c r="A24" s="4" t="s">
        <v>34</v>
      </c>
      <c r="B24" s="32">
        <f>SUM('FTEs &amp; onbrd'!B24)</f>
        <v>86</v>
      </c>
      <c r="C24" s="47">
        <f t="shared" si="0"/>
        <v>0.0049837737598516455</v>
      </c>
      <c r="D24" s="32">
        <f t="shared" si="1"/>
        <v>177</v>
      </c>
    </row>
    <row r="25" spans="1:4" ht="12.75">
      <c r="A25" s="4" t="s">
        <v>35</v>
      </c>
      <c r="B25" s="32">
        <f>SUM('FTEs &amp; onbrd'!B25)</f>
        <v>76</v>
      </c>
      <c r="C25" s="47">
        <f t="shared" si="0"/>
        <v>0.00440426518312471</v>
      </c>
      <c r="D25" s="32">
        <f t="shared" si="1"/>
        <v>156</v>
      </c>
    </row>
    <row r="26" spans="1:4" ht="12.75">
      <c r="A26" s="4" t="s">
        <v>36</v>
      </c>
      <c r="B26" s="32">
        <f>SUM('FTEs &amp; onbrd'!B26)</f>
        <v>30</v>
      </c>
      <c r="C26" s="47">
        <f t="shared" si="0"/>
        <v>0.0017385257301808068</v>
      </c>
      <c r="D26" s="32">
        <f t="shared" si="1"/>
        <v>62</v>
      </c>
    </row>
    <row r="27" spans="1:4" ht="12.75">
      <c r="A27" s="4" t="s">
        <v>37</v>
      </c>
      <c r="B27" s="32">
        <f>SUM('FTEs &amp; onbrd'!B27)</f>
        <v>56</v>
      </c>
      <c r="C27" s="47">
        <f t="shared" si="0"/>
        <v>0.003245248029670839</v>
      </c>
      <c r="D27" s="32">
        <f t="shared" si="1"/>
        <v>115</v>
      </c>
    </row>
    <row r="28" spans="1:4" ht="12.75">
      <c r="A28" s="4" t="s">
        <v>38</v>
      </c>
      <c r="B28" s="32">
        <f>SUM('FTEs &amp; onbrd'!B28)</f>
        <v>646</v>
      </c>
      <c r="C28" s="47">
        <f t="shared" si="0"/>
        <v>0.03743625405656004</v>
      </c>
      <c r="D28" s="32">
        <f t="shared" si="1"/>
        <v>1326</v>
      </c>
    </row>
    <row r="29" spans="1:4" ht="12.75">
      <c r="A29" s="4" t="s">
        <v>39</v>
      </c>
      <c r="B29" s="32">
        <f>SUM('FTEs &amp; onbrd'!B29)</f>
        <v>0</v>
      </c>
      <c r="C29" s="47">
        <f t="shared" si="0"/>
        <v>0</v>
      </c>
      <c r="D29" s="32">
        <f t="shared" si="1"/>
        <v>0</v>
      </c>
    </row>
    <row r="30" spans="1:4" ht="12.75">
      <c r="A30" s="4" t="s">
        <v>8</v>
      </c>
      <c r="B30" s="32">
        <f>SUM('FTEs &amp; onbrd'!B30)</f>
        <v>617</v>
      </c>
      <c r="C30" s="47">
        <f t="shared" si="0"/>
        <v>0.035755679184051925</v>
      </c>
      <c r="D30" s="32">
        <f t="shared" si="1"/>
        <v>1267</v>
      </c>
    </row>
    <row r="31" spans="1:4" ht="12.75">
      <c r="A31" s="4" t="s">
        <v>52</v>
      </c>
      <c r="B31" s="32">
        <f>SUM('FTEs &amp; onbrd'!B31)</f>
        <v>1416</v>
      </c>
      <c r="C31" s="47">
        <f t="shared" si="0"/>
        <v>0.08205841446453407</v>
      </c>
      <c r="D31" s="32">
        <f t="shared" si="1"/>
        <v>2907</v>
      </c>
    </row>
    <row r="32" spans="1:4" ht="12.75">
      <c r="A32" s="4" t="s">
        <v>40</v>
      </c>
      <c r="B32" s="32">
        <f>SUM('FTEs &amp; onbrd'!B32)</f>
        <v>1843</v>
      </c>
      <c r="C32" s="47">
        <f t="shared" si="0"/>
        <v>0.10680343069077422</v>
      </c>
      <c r="D32" s="32">
        <f t="shared" si="1"/>
        <v>3784</v>
      </c>
    </row>
    <row r="33" spans="1:4" ht="12.75">
      <c r="A33" s="4" t="s">
        <v>5</v>
      </c>
      <c r="B33" s="32">
        <f>SUM('FTEs &amp; onbrd'!B33)</f>
        <v>272</v>
      </c>
      <c r="C33" s="47">
        <f t="shared" si="0"/>
        <v>0.01576263328697265</v>
      </c>
      <c r="D33" s="32">
        <f t="shared" si="1"/>
        <v>558</v>
      </c>
    </row>
    <row r="34" spans="1:4" ht="12.75">
      <c r="A34" s="4" t="s">
        <v>6</v>
      </c>
      <c r="B34" s="32">
        <f>SUM('FTEs &amp; onbrd'!B34)</f>
        <v>422</v>
      </c>
      <c r="C34" s="47">
        <f t="shared" si="0"/>
        <v>0.02445526193787668</v>
      </c>
      <c r="D34" s="32">
        <f t="shared" si="1"/>
        <v>866</v>
      </c>
    </row>
    <row r="35" spans="1:4" ht="12.75">
      <c r="A35" s="4" t="s">
        <v>9</v>
      </c>
      <c r="B35" s="32">
        <f>SUM('FTEs &amp; onbrd'!B35)</f>
        <v>677</v>
      </c>
      <c r="C35" s="47">
        <f t="shared" si="0"/>
        <v>0.03923273064441354</v>
      </c>
      <c r="D35" s="32">
        <f t="shared" si="1"/>
        <v>1390</v>
      </c>
    </row>
    <row r="36" spans="1:4" ht="12.75">
      <c r="A36" s="4" t="s">
        <v>165</v>
      </c>
      <c r="B36" s="32">
        <f>SUM('FTEs &amp; onbrd'!B36)</f>
        <v>564</v>
      </c>
      <c r="C36" s="47">
        <f t="shared" si="0"/>
        <v>0.03268428372739916</v>
      </c>
      <c r="D36" s="32">
        <f t="shared" si="1"/>
        <v>1158</v>
      </c>
    </row>
    <row r="37" spans="1:5" ht="12.75">
      <c r="A37" s="4" t="s">
        <v>147</v>
      </c>
      <c r="B37" s="37">
        <f>SUM('FTEs &amp; onbrd'!B37)</f>
        <v>0</v>
      </c>
      <c r="C37" s="47">
        <f t="shared" si="0"/>
        <v>0</v>
      </c>
      <c r="D37" s="37">
        <f t="shared" si="1"/>
        <v>0</v>
      </c>
      <c r="E37" s="76"/>
    </row>
    <row r="38" spans="1:5" ht="12.75">
      <c r="A38" s="20" t="s">
        <v>41</v>
      </c>
      <c r="B38" s="44">
        <f>SUM(B5:B37)</f>
        <v>17256</v>
      </c>
      <c r="C38" s="48">
        <f>SUM(C5:C37)</f>
        <v>1.0000000000000002</v>
      </c>
      <c r="D38" s="51">
        <f>SUM(D5:D37)</f>
        <v>35425</v>
      </c>
      <c r="E38" s="76"/>
    </row>
    <row r="39" spans="1:4" ht="12.75">
      <c r="A39" s="23" t="s">
        <v>237</v>
      </c>
      <c r="D39" s="76"/>
    </row>
    <row r="40" ht="12.75">
      <c r="D40" s="76"/>
    </row>
    <row r="43" ht="12.75">
      <c r="D43" s="98">
        <v>35425</v>
      </c>
    </row>
  </sheetData>
  <mergeCells count="1">
    <mergeCell ref="B3:D3"/>
  </mergeCells>
  <printOptions/>
  <pageMargins left="0.75" right="0.75" top="1" bottom="1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6" sqref="H6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1.57421875" style="0" customWidth="1"/>
  </cols>
  <sheetData>
    <row r="1" spans="1:4" ht="18">
      <c r="A1" s="239" t="s">
        <v>288</v>
      </c>
      <c r="B1" s="239"/>
      <c r="C1" s="239"/>
      <c r="D1" s="239"/>
    </row>
    <row r="2" spans="1:4" ht="12.75">
      <c r="A2" s="238" t="s">
        <v>289</v>
      </c>
      <c r="B2" s="238"/>
      <c r="C2" s="238"/>
      <c r="D2" s="238"/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32">
        <f>SUM('FTEs &amp; onbrd'!B5)</f>
        <v>2904</v>
      </c>
      <c r="C5" s="47">
        <f>SUM(B5/$B$38)</f>
        <v>0.16828929068150209</v>
      </c>
      <c r="D5" s="35">
        <f>ROUND(C5*$D$43,0)+1</f>
        <v>279</v>
      </c>
    </row>
    <row r="6" spans="1:4" ht="12.75">
      <c r="A6" s="4" t="s">
        <v>16</v>
      </c>
      <c r="B6" s="32">
        <f>SUM('FTEs &amp; onbrd'!B6)</f>
        <v>796</v>
      </c>
      <c r="C6" s="47">
        <f aca="true" t="shared" si="0" ref="C6:C37">SUM(B6/$B$38)</f>
        <v>0.04612888270746407</v>
      </c>
      <c r="D6" s="32">
        <f>ROUND(C6*$D$43,0)</f>
        <v>76</v>
      </c>
    </row>
    <row r="7" spans="1:4" ht="12.75">
      <c r="A7" s="4" t="s">
        <v>17</v>
      </c>
      <c r="B7" s="32">
        <f>SUM('FTEs &amp; onbrd'!B7)</f>
        <v>261</v>
      </c>
      <c r="C7" s="47">
        <f t="shared" si="0"/>
        <v>0.015125173852573018</v>
      </c>
      <c r="D7" s="32">
        <f aca="true" t="shared" si="1" ref="D7:D37">ROUND(C7*$D$43,0)</f>
        <v>25</v>
      </c>
    </row>
    <row r="8" spans="1:4" ht="12.75">
      <c r="A8" s="4" t="s">
        <v>18</v>
      </c>
      <c r="B8" s="32">
        <f>SUM('FTEs &amp; onbrd'!B8)</f>
        <v>637</v>
      </c>
      <c r="C8" s="47">
        <f t="shared" si="0"/>
        <v>0.0369146963375058</v>
      </c>
      <c r="D8" s="32">
        <f t="shared" si="1"/>
        <v>61</v>
      </c>
    </row>
    <row r="9" spans="1:4" ht="12.75">
      <c r="A9" s="4" t="s">
        <v>19</v>
      </c>
      <c r="B9" s="32">
        <f>SUM('FTEs &amp; onbrd'!B9)</f>
        <v>548</v>
      </c>
      <c r="C9" s="47">
        <f t="shared" si="0"/>
        <v>0.03175707000463607</v>
      </c>
      <c r="D9" s="32">
        <f t="shared" si="1"/>
        <v>53</v>
      </c>
    </row>
    <row r="10" spans="1:4" ht="12.75">
      <c r="A10" s="4" t="s">
        <v>20</v>
      </c>
      <c r="B10" s="32">
        <f>SUM('FTEs &amp; onbrd'!B10)</f>
        <v>1515</v>
      </c>
      <c r="C10" s="47">
        <f t="shared" si="0"/>
        <v>0.08779554937413074</v>
      </c>
      <c r="D10" s="32">
        <f t="shared" si="1"/>
        <v>145</v>
      </c>
    </row>
    <row r="11" spans="1:4" ht="12.75">
      <c r="A11" s="4" t="s">
        <v>21</v>
      </c>
      <c r="B11" s="32">
        <f>SUM('FTEs &amp; onbrd'!B11)</f>
        <v>128</v>
      </c>
      <c r="C11" s="47">
        <f t="shared" si="0"/>
        <v>0.007417709782104775</v>
      </c>
      <c r="D11" s="32">
        <f t="shared" si="1"/>
        <v>12</v>
      </c>
    </row>
    <row r="12" spans="1:4" ht="12.75">
      <c r="A12" s="4" t="s">
        <v>22</v>
      </c>
      <c r="B12" s="32">
        <f>SUM('FTEs &amp; onbrd'!B12)</f>
        <v>521</v>
      </c>
      <c r="C12" s="47">
        <f t="shared" si="0"/>
        <v>0.03019239684747334</v>
      </c>
      <c r="D12" s="32">
        <f t="shared" si="1"/>
        <v>50</v>
      </c>
    </row>
    <row r="13" spans="1:4" ht="12.75">
      <c r="A13" s="4" t="s">
        <v>23</v>
      </c>
      <c r="B13" s="32">
        <f>SUM('FTEs &amp; onbrd'!B13)</f>
        <v>219</v>
      </c>
      <c r="C13" s="47">
        <f t="shared" si="0"/>
        <v>0.012691237830319889</v>
      </c>
      <c r="D13" s="32">
        <f t="shared" si="1"/>
        <v>21</v>
      </c>
    </row>
    <row r="14" spans="1:4" ht="12.75">
      <c r="A14" s="4" t="s">
        <v>24</v>
      </c>
      <c r="B14" s="32">
        <f>SUM('FTEs &amp; onbrd'!B14)</f>
        <v>652</v>
      </c>
      <c r="C14" s="47">
        <f t="shared" si="0"/>
        <v>0.037783959202596196</v>
      </c>
      <c r="D14" s="32">
        <f t="shared" si="1"/>
        <v>62</v>
      </c>
    </row>
    <row r="15" spans="1:4" ht="12.75">
      <c r="A15" s="4" t="s">
        <v>25</v>
      </c>
      <c r="B15" s="32">
        <f>SUM('FTEs &amp; onbrd'!B15)</f>
        <v>374</v>
      </c>
      <c r="C15" s="47">
        <f t="shared" si="0"/>
        <v>0.02167362076958739</v>
      </c>
      <c r="D15" s="32">
        <f t="shared" si="1"/>
        <v>36</v>
      </c>
    </row>
    <row r="16" spans="1:4" ht="12.75">
      <c r="A16" s="4" t="s">
        <v>26</v>
      </c>
      <c r="B16" s="32">
        <f>SUM('FTEs &amp; onbrd'!B16)</f>
        <v>212</v>
      </c>
      <c r="C16" s="47">
        <f t="shared" si="0"/>
        <v>0.012285581826611033</v>
      </c>
      <c r="D16" s="32">
        <f t="shared" si="1"/>
        <v>20</v>
      </c>
    </row>
    <row r="17" spans="1:4" ht="12.75">
      <c r="A17" s="4" t="s">
        <v>27</v>
      </c>
      <c r="B17" s="32">
        <f>SUM('FTEs &amp; onbrd'!B17)</f>
        <v>140</v>
      </c>
      <c r="C17" s="47">
        <f t="shared" si="0"/>
        <v>0.008113120074177098</v>
      </c>
      <c r="D17" s="32">
        <f t="shared" si="1"/>
        <v>13</v>
      </c>
    </row>
    <row r="18" spans="1:4" ht="12.75">
      <c r="A18" s="4" t="s">
        <v>28</v>
      </c>
      <c r="B18" s="32">
        <f>SUM('FTEs &amp; onbrd'!B18)</f>
        <v>695</v>
      </c>
      <c r="C18" s="47">
        <f t="shared" si="0"/>
        <v>0.04027584608252202</v>
      </c>
      <c r="D18" s="32">
        <f t="shared" si="1"/>
        <v>67</v>
      </c>
    </row>
    <row r="19" spans="1:4" ht="12.75">
      <c r="A19" s="4" t="s">
        <v>29</v>
      </c>
      <c r="B19" s="32">
        <f>SUM('FTEs &amp; onbrd'!B19)</f>
        <v>362</v>
      </c>
      <c r="C19" s="47">
        <f t="shared" si="0"/>
        <v>0.020978210477515066</v>
      </c>
      <c r="D19" s="32">
        <f t="shared" si="1"/>
        <v>35</v>
      </c>
    </row>
    <row r="20" spans="1:4" ht="12.75">
      <c r="A20" s="4" t="s">
        <v>30</v>
      </c>
      <c r="B20" s="32">
        <f>SUM('FTEs &amp; onbrd'!B20)</f>
        <v>226</v>
      </c>
      <c r="C20" s="47">
        <f t="shared" si="0"/>
        <v>0.013096893834028744</v>
      </c>
      <c r="D20" s="32">
        <f t="shared" si="1"/>
        <v>22</v>
      </c>
    </row>
    <row r="21" spans="1:4" ht="12.75">
      <c r="A21" s="4" t="s">
        <v>31</v>
      </c>
      <c r="B21" s="32">
        <f>SUM('FTEs &amp; onbrd'!B21)</f>
        <v>38</v>
      </c>
      <c r="C21" s="47">
        <f t="shared" si="0"/>
        <v>0.002202132591562355</v>
      </c>
      <c r="D21" s="32">
        <f t="shared" si="1"/>
        <v>4</v>
      </c>
    </row>
    <row r="22" spans="1:4" ht="12.75">
      <c r="A22" s="4" t="s">
        <v>32</v>
      </c>
      <c r="B22" s="32">
        <f>SUM('FTEs &amp; onbrd'!B22)</f>
        <v>272</v>
      </c>
      <c r="C22" s="47">
        <f t="shared" si="0"/>
        <v>0.01576263328697265</v>
      </c>
      <c r="D22" s="32">
        <f t="shared" si="1"/>
        <v>26</v>
      </c>
    </row>
    <row r="23" spans="1:4" ht="12.75">
      <c r="A23" s="4" t="s">
        <v>33</v>
      </c>
      <c r="B23" s="32">
        <f>SUM('FTEs &amp; onbrd'!B23)</f>
        <v>51</v>
      </c>
      <c r="C23" s="47">
        <f t="shared" si="0"/>
        <v>0.0029554937413073714</v>
      </c>
      <c r="D23" s="32">
        <f t="shared" si="1"/>
        <v>5</v>
      </c>
    </row>
    <row r="24" spans="1:4" ht="12.75">
      <c r="A24" s="4" t="s">
        <v>34</v>
      </c>
      <c r="B24" s="32">
        <f>SUM('FTEs &amp; onbrd'!B24)</f>
        <v>86</v>
      </c>
      <c r="C24" s="47">
        <f t="shared" si="0"/>
        <v>0.0049837737598516455</v>
      </c>
      <c r="D24" s="32">
        <f t="shared" si="1"/>
        <v>8</v>
      </c>
    </row>
    <row r="25" spans="1:4" ht="12.75">
      <c r="A25" s="4" t="s">
        <v>35</v>
      </c>
      <c r="B25" s="32">
        <f>SUM('FTEs &amp; onbrd'!B25)</f>
        <v>76</v>
      </c>
      <c r="C25" s="47">
        <f t="shared" si="0"/>
        <v>0.00440426518312471</v>
      </c>
      <c r="D25" s="32">
        <f t="shared" si="1"/>
        <v>7</v>
      </c>
    </row>
    <row r="26" spans="1:4" ht="12.75">
      <c r="A26" s="4" t="s">
        <v>36</v>
      </c>
      <c r="B26" s="32">
        <f>SUM('FTEs &amp; onbrd'!B26)</f>
        <v>30</v>
      </c>
      <c r="C26" s="47">
        <f t="shared" si="0"/>
        <v>0.0017385257301808068</v>
      </c>
      <c r="D26" s="32">
        <f t="shared" si="1"/>
        <v>3</v>
      </c>
    </row>
    <row r="27" spans="1:4" ht="12.75">
      <c r="A27" s="4" t="s">
        <v>37</v>
      </c>
      <c r="B27" s="32">
        <f>SUM('FTEs &amp; onbrd'!B27)</f>
        <v>56</v>
      </c>
      <c r="C27" s="47">
        <f t="shared" si="0"/>
        <v>0.003245248029670839</v>
      </c>
      <c r="D27" s="32">
        <f t="shared" si="1"/>
        <v>5</v>
      </c>
    </row>
    <row r="28" spans="1:4" ht="12.75">
      <c r="A28" s="4" t="s">
        <v>38</v>
      </c>
      <c r="B28" s="32">
        <f>SUM('FTEs &amp; onbrd'!B28)</f>
        <v>646</v>
      </c>
      <c r="C28" s="47">
        <f t="shared" si="0"/>
        <v>0.03743625405656004</v>
      </c>
      <c r="D28" s="32">
        <f t="shared" si="1"/>
        <v>62</v>
      </c>
    </row>
    <row r="29" spans="1:4" ht="12.75">
      <c r="A29" s="4" t="s">
        <v>39</v>
      </c>
      <c r="B29" s="32">
        <f>SUM('FTEs &amp; onbrd'!B29)</f>
        <v>0</v>
      </c>
      <c r="C29" s="47">
        <f t="shared" si="0"/>
        <v>0</v>
      </c>
      <c r="D29" s="32">
        <f t="shared" si="1"/>
        <v>0</v>
      </c>
    </row>
    <row r="30" spans="1:4" ht="12.75">
      <c r="A30" s="4" t="s">
        <v>8</v>
      </c>
      <c r="B30" s="32">
        <f>SUM('FTEs &amp; onbrd'!B30)</f>
        <v>617</v>
      </c>
      <c r="C30" s="47">
        <f t="shared" si="0"/>
        <v>0.035755679184051925</v>
      </c>
      <c r="D30" s="32">
        <f t="shared" si="1"/>
        <v>59</v>
      </c>
    </row>
    <row r="31" spans="1:4" ht="12.75">
      <c r="A31" s="4" t="s">
        <v>52</v>
      </c>
      <c r="B31" s="32">
        <f>SUM('FTEs &amp; onbrd'!B31)</f>
        <v>1416</v>
      </c>
      <c r="C31" s="47">
        <f t="shared" si="0"/>
        <v>0.08205841446453407</v>
      </c>
      <c r="D31" s="32">
        <f t="shared" si="1"/>
        <v>136</v>
      </c>
    </row>
    <row r="32" spans="1:4" ht="12.75">
      <c r="A32" s="4" t="s">
        <v>40</v>
      </c>
      <c r="B32" s="32">
        <f>SUM('FTEs &amp; onbrd'!B32)</f>
        <v>1843</v>
      </c>
      <c r="C32" s="47">
        <f t="shared" si="0"/>
        <v>0.10680343069077422</v>
      </c>
      <c r="D32" s="32">
        <f t="shared" si="1"/>
        <v>177</v>
      </c>
    </row>
    <row r="33" spans="1:4" ht="12.75">
      <c r="A33" s="4" t="s">
        <v>5</v>
      </c>
      <c r="B33" s="32">
        <f>SUM('FTEs &amp; onbrd'!B33)</f>
        <v>272</v>
      </c>
      <c r="C33" s="47">
        <f t="shared" si="0"/>
        <v>0.01576263328697265</v>
      </c>
      <c r="D33" s="32">
        <f t="shared" si="1"/>
        <v>26</v>
      </c>
    </row>
    <row r="34" spans="1:4" ht="12.75">
      <c r="A34" s="4" t="s">
        <v>6</v>
      </c>
      <c r="B34" s="32">
        <f>SUM('FTEs &amp; onbrd'!B34)</f>
        <v>422</v>
      </c>
      <c r="C34" s="47">
        <f t="shared" si="0"/>
        <v>0.02445526193787668</v>
      </c>
      <c r="D34" s="32">
        <f t="shared" si="1"/>
        <v>40</v>
      </c>
    </row>
    <row r="35" spans="1:4" ht="12.75">
      <c r="A35" s="4" t="s">
        <v>9</v>
      </c>
      <c r="B35" s="32">
        <f>SUM('FTEs &amp; onbrd'!B35)</f>
        <v>677</v>
      </c>
      <c r="C35" s="47">
        <f t="shared" si="0"/>
        <v>0.03923273064441354</v>
      </c>
      <c r="D35" s="32">
        <f t="shared" si="1"/>
        <v>65</v>
      </c>
    </row>
    <row r="36" spans="1:4" ht="12.75">
      <c r="A36" s="4" t="s">
        <v>165</v>
      </c>
      <c r="B36" s="32">
        <f>SUM('FTEs &amp; onbrd'!B36)</f>
        <v>564</v>
      </c>
      <c r="C36" s="47">
        <f t="shared" si="0"/>
        <v>0.03268428372739916</v>
      </c>
      <c r="D36" s="32">
        <f t="shared" si="1"/>
        <v>54</v>
      </c>
    </row>
    <row r="37" spans="1:6" ht="12.75">
      <c r="A37" s="4" t="s">
        <v>147</v>
      </c>
      <c r="B37" s="37">
        <f>SUM('FTEs &amp; onbrd'!B37)</f>
        <v>0</v>
      </c>
      <c r="C37" s="47">
        <f t="shared" si="0"/>
        <v>0</v>
      </c>
      <c r="D37" s="37">
        <f t="shared" si="1"/>
        <v>0</v>
      </c>
      <c r="F37" s="76"/>
    </row>
    <row r="38" spans="1:6" ht="12.75">
      <c r="A38" s="20" t="s">
        <v>41</v>
      </c>
      <c r="B38" s="44">
        <f>SUM(B5:B37)</f>
        <v>17256</v>
      </c>
      <c r="C38" s="48">
        <f>SUM(C5:C37)</f>
        <v>1.0000000000000002</v>
      </c>
      <c r="D38" s="54">
        <f>SUM(D5:D37)</f>
        <v>1654</v>
      </c>
      <c r="F38" s="76"/>
    </row>
    <row r="39" ht="12.75">
      <c r="A39" s="23" t="s">
        <v>237</v>
      </c>
    </row>
    <row r="40" ht="12.75">
      <c r="A40" s="23" t="s">
        <v>172</v>
      </c>
    </row>
    <row r="41" ht="12.75">
      <c r="A41" s="23" t="s">
        <v>173</v>
      </c>
    </row>
    <row r="42" ht="12.75">
      <c r="A42" s="147"/>
    </row>
    <row r="43" ht="12.75">
      <c r="D43" s="98">
        <v>1654</v>
      </c>
    </row>
  </sheetData>
  <mergeCells count="3">
    <mergeCell ref="B3:D3"/>
    <mergeCell ref="A2:D2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3">
      <selection activeCell="A39" sqref="A3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140625" style="0" customWidth="1"/>
    <col min="7" max="8" width="0" style="0" hidden="1" customWidth="1"/>
    <col min="9" max="9" width="10.00390625" style="0" customWidth="1"/>
  </cols>
  <sheetData>
    <row r="2" ht="18">
      <c r="A2" s="25" t="s">
        <v>137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10" ht="12.75">
      <c r="A5" s="4" t="s">
        <v>0</v>
      </c>
      <c r="B5" s="33">
        <v>1523732</v>
      </c>
      <c r="C5" s="77">
        <f>SUM(B5/$B$38)</f>
        <v>0.17307812012280258</v>
      </c>
      <c r="D5" s="35">
        <f>ROUND(C5*$D$43,0)+4</f>
        <v>1523</v>
      </c>
      <c r="I5" s="34"/>
      <c r="J5" s="66"/>
    </row>
    <row r="6" spans="1:10" ht="12.75">
      <c r="A6" s="4" t="s">
        <v>16</v>
      </c>
      <c r="B6" s="33">
        <v>434280</v>
      </c>
      <c r="C6" s="77">
        <f>SUM(B6/$B$38)</f>
        <v>0.04932912481127305</v>
      </c>
      <c r="D6" s="33">
        <f>ROUND(C6*$D$43,0)</f>
        <v>433</v>
      </c>
      <c r="I6" s="34"/>
      <c r="J6" s="66"/>
    </row>
    <row r="7" spans="1:10" ht="12.75">
      <c r="A7" s="4" t="s">
        <v>17</v>
      </c>
      <c r="B7" s="34">
        <v>157838</v>
      </c>
      <c r="C7" s="77">
        <f aca="true" t="shared" si="0" ref="C7:C36">SUM(B7/$B$38)</f>
        <v>0.017928549327534574</v>
      </c>
      <c r="D7" s="33">
        <f aca="true" t="shared" si="1" ref="D7:D36">ROUND(C7*$D$43,0)</f>
        <v>157</v>
      </c>
      <c r="I7" s="34"/>
      <c r="J7" s="66"/>
    </row>
    <row r="8" spans="1:10" ht="12.75">
      <c r="A8" s="4" t="s">
        <v>18</v>
      </c>
      <c r="B8" s="34">
        <v>496863</v>
      </c>
      <c r="C8" s="77">
        <f t="shared" si="0"/>
        <v>0.056437821085713276</v>
      </c>
      <c r="D8" s="33">
        <f t="shared" si="1"/>
        <v>495</v>
      </c>
      <c r="I8" s="34"/>
      <c r="J8" s="66"/>
    </row>
    <row r="9" spans="1:10" ht="12.75">
      <c r="A9" s="4" t="s">
        <v>19</v>
      </c>
      <c r="B9" s="33">
        <v>363863</v>
      </c>
      <c r="C9" s="77">
        <f t="shared" si="0"/>
        <v>0.041330577832744415</v>
      </c>
      <c r="D9" s="33">
        <f t="shared" si="1"/>
        <v>363</v>
      </c>
      <c r="I9" s="34"/>
      <c r="J9" s="66"/>
    </row>
    <row r="10" spans="1:10" ht="12.75">
      <c r="A10" s="4" t="s">
        <v>20</v>
      </c>
      <c r="B10" s="33">
        <v>895410</v>
      </c>
      <c r="C10" s="77">
        <f t="shared" si="0"/>
        <v>0.10170809534692364</v>
      </c>
      <c r="D10" s="33">
        <f t="shared" si="1"/>
        <v>893</v>
      </c>
      <c r="I10" s="34"/>
      <c r="J10" s="66"/>
    </row>
    <row r="11" spans="1:10" ht="12.75">
      <c r="A11" s="4" t="s">
        <v>21</v>
      </c>
      <c r="B11" s="33">
        <v>78625</v>
      </c>
      <c r="C11" s="77">
        <f t="shared" si="0"/>
        <v>0.008930879704997566</v>
      </c>
      <c r="D11" s="33">
        <f t="shared" si="1"/>
        <v>78</v>
      </c>
      <c r="I11" s="34"/>
      <c r="J11" s="66"/>
    </row>
    <row r="12" spans="1:10" ht="12.75">
      <c r="A12" s="4" t="s">
        <v>22</v>
      </c>
      <c r="B12" s="33">
        <v>395606</v>
      </c>
      <c r="C12" s="77">
        <f t="shared" si="0"/>
        <v>0.04493621108521803</v>
      </c>
      <c r="D12" s="33">
        <f t="shared" si="1"/>
        <v>394</v>
      </c>
      <c r="I12" s="34"/>
      <c r="J12" s="66"/>
    </row>
    <row r="13" spans="1:10" ht="12.75">
      <c r="A13" s="4" t="s">
        <v>23</v>
      </c>
      <c r="B13" s="33">
        <v>146427</v>
      </c>
      <c r="C13" s="77">
        <f t="shared" si="0"/>
        <v>0.016632393291747902</v>
      </c>
      <c r="D13" s="33">
        <f t="shared" si="1"/>
        <v>146</v>
      </c>
      <c r="I13" s="34"/>
      <c r="J13" s="66"/>
    </row>
    <row r="14" spans="1:10" ht="12.75">
      <c r="A14" s="4" t="s">
        <v>24</v>
      </c>
      <c r="B14" s="33">
        <v>365049</v>
      </c>
      <c r="C14" s="77">
        <f t="shared" si="0"/>
        <v>0.04146529355077465</v>
      </c>
      <c r="D14" s="33">
        <f t="shared" si="1"/>
        <v>364</v>
      </c>
      <c r="I14" s="34"/>
      <c r="J14" s="66"/>
    </row>
    <row r="15" spans="1:10" ht="12.75">
      <c r="A15" s="4" t="s">
        <v>25</v>
      </c>
      <c r="B15" s="33">
        <v>260478</v>
      </c>
      <c r="C15" s="77">
        <f t="shared" si="0"/>
        <v>0.02958725194020167</v>
      </c>
      <c r="D15" s="33">
        <f t="shared" si="1"/>
        <v>260</v>
      </c>
      <c r="I15" s="34"/>
      <c r="J15" s="66"/>
    </row>
    <row r="16" spans="1:10" ht="12.75">
      <c r="A16" s="4" t="s">
        <v>26</v>
      </c>
      <c r="B16" s="33">
        <v>161757</v>
      </c>
      <c r="C16" s="77">
        <f t="shared" si="0"/>
        <v>0.018373701856169048</v>
      </c>
      <c r="D16" s="33">
        <f t="shared" si="1"/>
        <v>161</v>
      </c>
      <c r="I16" s="34"/>
      <c r="J16" s="66"/>
    </row>
    <row r="17" spans="1:10" ht="12.75">
      <c r="A17" s="4" t="s">
        <v>27</v>
      </c>
      <c r="B17" s="33">
        <v>92572</v>
      </c>
      <c r="C17" s="77">
        <f t="shared" si="0"/>
        <v>0.010515095657246865</v>
      </c>
      <c r="D17" s="33">
        <f t="shared" si="1"/>
        <v>92</v>
      </c>
      <c r="I17" s="34"/>
      <c r="J17" s="66"/>
    </row>
    <row r="18" spans="1:10" ht="12.75">
      <c r="A18" s="4" t="s">
        <v>28</v>
      </c>
      <c r="B18" s="33">
        <v>309212</v>
      </c>
      <c r="C18" s="77">
        <f t="shared" si="0"/>
        <v>0.035122863915315834</v>
      </c>
      <c r="D18" s="33">
        <f t="shared" si="1"/>
        <v>308</v>
      </c>
      <c r="I18" s="34"/>
      <c r="J18" s="66"/>
    </row>
    <row r="19" spans="1:10" ht="12.75">
      <c r="A19" s="4" t="s">
        <v>29</v>
      </c>
      <c r="B19" s="33">
        <v>164260</v>
      </c>
      <c r="C19" s="77">
        <f t="shared" si="0"/>
        <v>0.018658013358892216</v>
      </c>
      <c r="D19" s="33">
        <f t="shared" si="1"/>
        <v>164</v>
      </c>
      <c r="I19" s="34"/>
      <c r="J19" s="66"/>
    </row>
    <row r="20" spans="1:10" ht="12.75">
      <c r="A20" s="4" t="s">
        <v>30</v>
      </c>
      <c r="B20" s="33">
        <v>116258</v>
      </c>
      <c r="C20" s="77">
        <f t="shared" si="0"/>
        <v>0.013205548015816942</v>
      </c>
      <c r="D20" s="33">
        <f t="shared" si="1"/>
        <v>116</v>
      </c>
      <c r="I20" s="34"/>
      <c r="J20" s="66"/>
    </row>
    <row r="21" spans="1:10" ht="12.75">
      <c r="A21" s="4" t="s">
        <v>31</v>
      </c>
      <c r="B21" s="33">
        <v>19416</v>
      </c>
      <c r="C21" s="77">
        <f t="shared" si="0"/>
        <v>0.002205430338343183</v>
      </c>
      <c r="D21" s="33">
        <f t="shared" si="1"/>
        <v>19</v>
      </c>
      <c r="I21" s="34"/>
      <c r="J21" s="66"/>
    </row>
    <row r="22" spans="1:10" ht="12.75">
      <c r="A22" s="4" t="s">
        <v>32</v>
      </c>
      <c r="B22" s="33">
        <v>260276</v>
      </c>
      <c r="C22" s="77">
        <f t="shared" si="0"/>
        <v>0.029564307104584377</v>
      </c>
      <c r="D22" s="33">
        <f t="shared" si="1"/>
        <v>260</v>
      </c>
      <c r="I22" s="34"/>
      <c r="J22" s="66"/>
    </row>
    <row r="23" spans="1:10" ht="12.75">
      <c r="A23" s="4" t="s">
        <v>33</v>
      </c>
      <c r="B23" s="33">
        <v>26460</v>
      </c>
      <c r="C23" s="77">
        <f t="shared" si="0"/>
        <v>0.0030055462892748567</v>
      </c>
      <c r="D23" s="33">
        <f t="shared" si="1"/>
        <v>26</v>
      </c>
      <c r="I23" s="34"/>
      <c r="J23" s="66"/>
    </row>
    <row r="24" spans="1:10" ht="12.75">
      <c r="A24" s="4" t="s">
        <v>34</v>
      </c>
      <c r="B24" s="33">
        <v>36466</v>
      </c>
      <c r="C24" s="77">
        <f t="shared" si="0"/>
        <v>0.004142110770396709</v>
      </c>
      <c r="D24" s="33">
        <f t="shared" si="1"/>
        <v>36</v>
      </c>
      <c r="I24" s="34"/>
      <c r="J24" s="66"/>
    </row>
    <row r="25" spans="1:10" ht="12.75">
      <c r="A25" s="4" t="s">
        <v>35</v>
      </c>
      <c r="B25" s="33">
        <v>26933</v>
      </c>
      <c r="C25" s="77">
        <f t="shared" si="0"/>
        <v>0.003059273552873761</v>
      </c>
      <c r="D25" s="33">
        <f t="shared" si="1"/>
        <v>27</v>
      </c>
      <c r="I25" s="34"/>
      <c r="J25" s="66"/>
    </row>
    <row r="26" spans="1:10" ht="12.75">
      <c r="A26" s="4" t="s">
        <v>36</v>
      </c>
      <c r="B26" s="33">
        <v>15493</v>
      </c>
      <c r="C26" s="77">
        <f t="shared" si="0"/>
        <v>0.0017598234565281692</v>
      </c>
      <c r="D26" s="33">
        <f t="shared" si="1"/>
        <v>15</v>
      </c>
      <c r="I26" s="34"/>
      <c r="J26" s="66"/>
    </row>
    <row r="27" spans="1:10" ht="12.75">
      <c r="A27" s="4" t="s">
        <v>37</v>
      </c>
      <c r="B27" s="33">
        <v>18375</v>
      </c>
      <c r="C27" s="77">
        <f t="shared" si="0"/>
        <v>0.0020871849231075394</v>
      </c>
      <c r="D27" s="33">
        <f t="shared" si="1"/>
        <v>18</v>
      </c>
      <c r="I27" s="34"/>
      <c r="J27" s="66"/>
    </row>
    <row r="28" spans="1:10" ht="12.75">
      <c r="A28" s="4" t="s">
        <v>38</v>
      </c>
      <c r="B28" s="33">
        <v>123428</v>
      </c>
      <c r="C28" s="77">
        <f t="shared" si="0"/>
        <v>0.01401997609193564</v>
      </c>
      <c r="D28" s="33">
        <f t="shared" si="1"/>
        <v>123</v>
      </c>
      <c r="I28" s="34"/>
      <c r="J28" s="66"/>
    </row>
    <row r="29" spans="1:10" ht="12.75">
      <c r="A29" s="4" t="s">
        <v>39</v>
      </c>
      <c r="B29" s="162">
        <v>0</v>
      </c>
      <c r="C29" s="77">
        <f t="shared" si="0"/>
        <v>0</v>
      </c>
      <c r="D29" s="33">
        <f t="shared" si="1"/>
        <v>0</v>
      </c>
      <c r="I29" s="34"/>
      <c r="J29" s="66"/>
    </row>
    <row r="30" spans="1:10" ht="12.75">
      <c r="A30" s="4" t="s">
        <v>8</v>
      </c>
      <c r="B30" s="33">
        <v>240199</v>
      </c>
      <c r="C30" s="77">
        <f t="shared" si="0"/>
        <v>0.02728379490315689</v>
      </c>
      <c r="D30" s="33">
        <f t="shared" si="1"/>
        <v>240</v>
      </c>
      <c r="I30" s="34"/>
      <c r="J30" s="66"/>
    </row>
    <row r="31" spans="1:10" ht="12.75">
      <c r="A31" s="4" t="s">
        <v>52</v>
      </c>
      <c r="B31" s="33">
        <v>960202</v>
      </c>
      <c r="C31" s="77">
        <f t="shared" si="0"/>
        <v>0.10906770816531731</v>
      </c>
      <c r="D31" s="33">
        <f t="shared" si="1"/>
        <v>958</v>
      </c>
      <c r="I31" s="34"/>
      <c r="J31" s="66"/>
    </row>
    <row r="32" spans="1:10" ht="12.75">
      <c r="A32" s="4" t="s">
        <v>40</v>
      </c>
      <c r="B32" s="33">
        <v>339103</v>
      </c>
      <c r="C32" s="77">
        <f t="shared" si="0"/>
        <v>0.03851813164519924</v>
      </c>
      <c r="D32" s="33">
        <f t="shared" si="1"/>
        <v>338</v>
      </c>
      <c r="I32" s="34"/>
      <c r="J32" s="66"/>
    </row>
    <row r="33" spans="1:10" ht="12.75">
      <c r="A33" s="4" t="s">
        <v>5</v>
      </c>
      <c r="B33" s="34">
        <v>97351</v>
      </c>
      <c r="C33" s="77">
        <f t="shared" si="0"/>
        <v>0.011057934119697528</v>
      </c>
      <c r="D33" s="33">
        <f t="shared" si="1"/>
        <v>97</v>
      </c>
      <c r="I33" s="34"/>
      <c r="J33" s="66"/>
    </row>
    <row r="34" spans="1:10" ht="12.75">
      <c r="A34" s="4" t="s">
        <v>6</v>
      </c>
      <c r="B34" s="33">
        <v>130692</v>
      </c>
      <c r="C34" s="77">
        <f t="shared" si="0"/>
        <v>0.014845081467797037</v>
      </c>
      <c r="D34" s="33">
        <f t="shared" si="1"/>
        <v>130</v>
      </c>
      <c r="J34" s="66"/>
    </row>
    <row r="35" spans="1:10" ht="12.75">
      <c r="A35" s="4" t="s">
        <v>9</v>
      </c>
      <c r="B35" s="33">
        <v>445545</v>
      </c>
      <c r="C35" s="77">
        <f t="shared" si="0"/>
        <v>0.05060869695597</v>
      </c>
      <c r="D35" s="33">
        <f t="shared" si="1"/>
        <v>444</v>
      </c>
      <c r="J35" s="66"/>
    </row>
    <row r="36" spans="1:10" ht="12.75">
      <c r="A36" s="4" t="s">
        <v>165</v>
      </c>
      <c r="B36" s="32">
        <v>101555</v>
      </c>
      <c r="C36" s="77">
        <f t="shared" si="0"/>
        <v>0.011535459312445507</v>
      </c>
      <c r="D36" s="33">
        <f t="shared" si="1"/>
        <v>101</v>
      </c>
      <c r="F36" s="163"/>
      <c r="J36" s="66"/>
    </row>
    <row r="37" spans="1:10" ht="12.75">
      <c r="A37" s="4" t="s">
        <v>147</v>
      </c>
      <c r="B37" s="18"/>
      <c r="C37" s="17"/>
      <c r="D37" s="18"/>
      <c r="J37" s="66"/>
    </row>
    <row r="38" spans="1:10" ht="12.75">
      <c r="A38" s="20" t="s">
        <v>41</v>
      </c>
      <c r="B38" s="37">
        <f>SUM(B5:B37)</f>
        <v>8803724</v>
      </c>
      <c r="C38" s="86">
        <f>SUM(C5:C36)</f>
        <v>1</v>
      </c>
      <c r="D38" s="51">
        <f>SUM(D5:D37)</f>
        <v>8779</v>
      </c>
      <c r="J38" s="66"/>
    </row>
    <row r="39" spans="1:10" ht="12.75">
      <c r="A39" s="23" t="s">
        <v>238</v>
      </c>
      <c r="B39" s="34"/>
      <c r="G39">
        <v>10679</v>
      </c>
      <c r="H39" t="s">
        <v>140</v>
      </c>
      <c r="J39" s="66"/>
    </row>
    <row r="40" spans="7:10" ht="12.75">
      <c r="G40">
        <v>-1900</v>
      </c>
      <c r="H40" t="s">
        <v>271</v>
      </c>
      <c r="J40" s="66"/>
    </row>
    <row r="41" ht="12.75">
      <c r="G41">
        <f>SUM(G39:G40)</f>
        <v>8779</v>
      </c>
    </row>
    <row r="43" ht="12.75">
      <c r="D43" s="98">
        <v>8779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D11" sqref="D11"/>
    </sheetView>
  </sheetViews>
  <sheetFormatPr defaultColWidth="9.140625" defaultRowHeight="12.75"/>
  <cols>
    <col min="1" max="1" width="9.7109375" style="0" customWidth="1"/>
    <col min="2" max="3" width="14.7109375" style="0" customWidth="1"/>
    <col min="4" max="4" width="10.7109375" style="0" customWidth="1"/>
    <col min="5" max="5" width="1.8515625" style="0" customWidth="1"/>
  </cols>
  <sheetData>
    <row r="2" ht="18">
      <c r="A2" s="25" t="s">
        <v>78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148</v>
      </c>
      <c r="C4" s="21" t="s">
        <v>43</v>
      </c>
      <c r="D4" s="22" t="s">
        <v>44</v>
      </c>
    </row>
    <row r="5" spans="1:4" ht="12.75">
      <c r="A5" s="4" t="s">
        <v>0</v>
      </c>
      <c r="B5" s="35">
        <f>SUM('FY06 PB'!B6)</f>
        <v>4841774</v>
      </c>
      <c r="C5" s="47">
        <f>SUM(B5/$B$38)</f>
        <v>0.16942381038428178</v>
      </c>
      <c r="D5" s="35">
        <f>ROUND(C5*$D$43,0)+1</f>
        <v>1185</v>
      </c>
    </row>
    <row r="6" spans="1:4" ht="12.75">
      <c r="A6" s="4" t="s">
        <v>16</v>
      </c>
      <c r="B6" s="32">
        <f>SUM('FY06 PB'!B7)</f>
        <v>2951270</v>
      </c>
      <c r="C6" s="47">
        <f aca="true" t="shared" si="0" ref="C6:C30">SUM(B6/$B$38)</f>
        <v>0.10327111692384222</v>
      </c>
      <c r="D6" s="33">
        <f>ROUND(C6*$D$43,0)</f>
        <v>722</v>
      </c>
    </row>
    <row r="7" spans="1:4" ht="12.75">
      <c r="A7" s="4" t="s">
        <v>17</v>
      </c>
      <c r="B7" s="32">
        <f>SUM('FY06 PB'!B8)</f>
        <v>393269</v>
      </c>
      <c r="C7" s="47">
        <f t="shared" si="0"/>
        <v>0.013761305770574196</v>
      </c>
      <c r="D7" s="33">
        <f>ROUND(C7*$D$43,0)</f>
        <v>96</v>
      </c>
    </row>
    <row r="8" spans="1:4" ht="12.75">
      <c r="A8" s="4" t="s">
        <v>18</v>
      </c>
      <c r="B8" s="32">
        <f>SUM('FY06 PB'!B9)</f>
        <v>1872146</v>
      </c>
      <c r="C8" s="47">
        <f t="shared" si="0"/>
        <v>0.06551030860087471</v>
      </c>
      <c r="D8" s="33">
        <f aca="true" t="shared" si="1" ref="D8:D30">ROUND(C8*$D$43,0)</f>
        <v>458</v>
      </c>
    </row>
    <row r="9" spans="1:4" ht="12.75">
      <c r="A9" s="4" t="s">
        <v>19</v>
      </c>
      <c r="B9" s="32">
        <f>SUM('FY06 PB'!B10)</f>
        <v>1550260</v>
      </c>
      <c r="C9" s="47">
        <f t="shared" si="0"/>
        <v>0.0542468434681868</v>
      </c>
      <c r="D9" s="33">
        <f t="shared" si="1"/>
        <v>379</v>
      </c>
    </row>
    <row r="10" spans="1:4" ht="12.75">
      <c r="A10" s="4" t="s">
        <v>20</v>
      </c>
      <c r="B10" s="32">
        <f>SUM('FY06 PB'!B11)</f>
        <v>4459395</v>
      </c>
      <c r="C10" s="47">
        <f t="shared" si="0"/>
        <v>0.15604356851612947</v>
      </c>
      <c r="D10" s="33">
        <f t="shared" si="1"/>
        <v>1090</v>
      </c>
    </row>
    <row r="11" spans="1:4" ht="12.75">
      <c r="A11" s="4" t="s">
        <v>21</v>
      </c>
      <c r="B11" s="32">
        <f>SUM('FY06 PB'!B12)</f>
        <v>1955170</v>
      </c>
      <c r="C11" s="47">
        <f t="shared" si="0"/>
        <v>0.0684154922036915</v>
      </c>
      <c r="D11" s="33">
        <f t="shared" si="1"/>
        <v>478</v>
      </c>
    </row>
    <row r="12" spans="1:4" ht="12.75">
      <c r="A12" s="4" t="s">
        <v>22</v>
      </c>
      <c r="B12" s="32">
        <f>SUM('FY06 PB'!B13)</f>
        <v>1277544</v>
      </c>
      <c r="C12" s="47">
        <f t="shared" si="0"/>
        <v>0.044703939591888606</v>
      </c>
      <c r="D12" s="33">
        <f t="shared" si="1"/>
        <v>312</v>
      </c>
    </row>
    <row r="13" spans="1:4" ht="12.75">
      <c r="A13" s="4" t="s">
        <v>23</v>
      </c>
      <c r="B13" s="32">
        <f>SUM('FY06 PB'!B14)</f>
        <v>673491</v>
      </c>
      <c r="C13" s="47">
        <f t="shared" si="0"/>
        <v>0.023566860303583008</v>
      </c>
      <c r="D13" s="33">
        <f t="shared" si="1"/>
        <v>165</v>
      </c>
    </row>
    <row r="14" spans="1:4" ht="12.75">
      <c r="A14" s="4" t="s">
        <v>24</v>
      </c>
      <c r="B14" s="32">
        <f>SUM('FY06 PB'!B15)</f>
        <v>647608</v>
      </c>
      <c r="C14" s="47">
        <f t="shared" si="0"/>
        <v>0.022661159937523715</v>
      </c>
      <c r="D14" s="33">
        <f t="shared" si="1"/>
        <v>158</v>
      </c>
    </row>
    <row r="15" spans="1:4" ht="12.75">
      <c r="A15" s="4" t="s">
        <v>25</v>
      </c>
      <c r="B15" s="32">
        <f>SUM('FY06 PB'!B16)</f>
        <v>1057203</v>
      </c>
      <c r="C15" s="47">
        <f t="shared" si="0"/>
        <v>0.036993746632885766</v>
      </c>
      <c r="D15" s="33">
        <f t="shared" si="1"/>
        <v>259</v>
      </c>
    </row>
    <row r="16" spans="1:4" ht="12.75">
      <c r="A16" s="4" t="s">
        <v>26</v>
      </c>
      <c r="B16" s="32">
        <f>SUM('FY06 PB'!B17)</f>
        <v>513063</v>
      </c>
      <c r="C16" s="47">
        <f t="shared" si="0"/>
        <v>0.017953148665590498</v>
      </c>
      <c r="D16" s="33">
        <f t="shared" si="1"/>
        <v>125</v>
      </c>
    </row>
    <row r="17" spans="1:4" ht="12.75">
      <c r="A17" s="4" t="s">
        <v>27</v>
      </c>
      <c r="B17" s="32">
        <f>SUM('FY06 PB'!B18)</f>
        <v>397432</v>
      </c>
      <c r="C17" s="47">
        <f t="shared" si="0"/>
        <v>0.013906977857422894</v>
      </c>
      <c r="D17" s="33">
        <f t="shared" si="1"/>
        <v>97</v>
      </c>
    </row>
    <row r="18" spans="1:4" ht="12.75">
      <c r="A18" s="4" t="s">
        <v>28</v>
      </c>
      <c r="B18" s="32">
        <f>SUM('FY06 PB'!B19)</f>
        <v>1417692</v>
      </c>
      <c r="C18" s="47">
        <f t="shared" si="0"/>
        <v>0.049608011565866805</v>
      </c>
      <c r="D18" s="33">
        <f t="shared" si="1"/>
        <v>347</v>
      </c>
    </row>
    <row r="19" spans="1:4" ht="12.75">
      <c r="A19" s="4" t="s">
        <v>29</v>
      </c>
      <c r="B19" s="32">
        <f>SUM('FY06 PB'!B20)</f>
        <v>1010130</v>
      </c>
      <c r="C19" s="47">
        <f t="shared" si="0"/>
        <v>0.03534656379737562</v>
      </c>
      <c r="D19" s="33">
        <f t="shared" si="1"/>
        <v>247</v>
      </c>
    </row>
    <row r="20" spans="1:4" ht="12.75">
      <c r="A20" s="4" t="s">
        <v>30</v>
      </c>
      <c r="B20" s="32">
        <f>SUM('FY06 PB'!B21)</f>
        <v>440333</v>
      </c>
      <c r="C20" s="47">
        <f t="shared" si="0"/>
        <v>0.015408173677239364</v>
      </c>
      <c r="D20" s="33">
        <f t="shared" si="1"/>
        <v>108</v>
      </c>
    </row>
    <row r="21" spans="1:4" ht="12.75">
      <c r="A21" s="4" t="s">
        <v>31</v>
      </c>
      <c r="B21" s="32">
        <f>SUM('FY06 PB'!B22)</f>
        <v>138729</v>
      </c>
      <c r="C21" s="47">
        <f t="shared" si="0"/>
        <v>0.004854418192753529</v>
      </c>
      <c r="D21" s="33">
        <f t="shared" si="1"/>
        <v>34</v>
      </c>
    </row>
    <row r="22" spans="1:4" ht="12.75">
      <c r="A22" s="4" t="s">
        <v>32</v>
      </c>
      <c r="B22" s="32">
        <f>SUM('FY06 PB'!B23)</f>
        <v>490959</v>
      </c>
      <c r="C22" s="47">
        <f t="shared" si="0"/>
        <v>0.01717968342232756</v>
      </c>
      <c r="D22" s="33">
        <f t="shared" si="1"/>
        <v>120</v>
      </c>
    </row>
    <row r="23" spans="1:4" ht="12.75">
      <c r="A23" s="4" t="s">
        <v>33</v>
      </c>
      <c r="B23" s="32">
        <f>SUM('FY06 PB'!B24)</f>
        <v>299808</v>
      </c>
      <c r="C23" s="47">
        <f t="shared" si="0"/>
        <v>0.010490909683866028</v>
      </c>
      <c r="D23" s="33">
        <f t="shared" si="1"/>
        <v>73</v>
      </c>
    </row>
    <row r="24" spans="1:4" ht="12.75">
      <c r="A24" s="4" t="s">
        <v>34</v>
      </c>
      <c r="B24" s="32">
        <f>SUM('FY06 PB'!B25)</f>
        <v>1100203</v>
      </c>
      <c r="C24" s="47">
        <f t="shared" si="0"/>
        <v>0.03849840666999698</v>
      </c>
      <c r="D24" s="33">
        <f t="shared" si="1"/>
        <v>269</v>
      </c>
    </row>
    <row r="25" spans="1:4" ht="12.75">
      <c r="A25" s="4" t="s">
        <v>35</v>
      </c>
      <c r="B25" s="32">
        <f>SUM('FY06 PB'!B26)</f>
        <v>122692</v>
      </c>
      <c r="C25" s="47">
        <f t="shared" si="0"/>
        <v>0.004293249983098818</v>
      </c>
      <c r="D25" s="33">
        <f t="shared" si="1"/>
        <v>30</v>
      </c>
    </row>
    <row r="26" spans="1:4" ht="12.75">
      <c r="A26" s="4" t="s">
        <v>36</v>
      </c>
      <c r="B26" s="32">
        <f>SUM('FY06 PB'!B27)</f>
        <v>197379</v>
      </c>
      <c r="C26" s="47">
        <f t="shared" si="0"/>
        <v>0.006906704499185454</v>
      </c>
      <c r="D26" s="33">
        <f t="shared" si="1"/>
        <v>48</v>
      </c>
    </row>
    <row r="27" spans="1:4" ht="12.75">
      <c r="A27" s="4" t="s">
        <v>37</v>
      </c>
      <c r="B27" s="32">
        <f>SUM('FY06 PB'!B28)</f>
        <v>67048</v>
      </c>
      <c r="C27" s="47">
        <f t="shared" si="0"/>
        <v>0.0023461499108891337</v>
      </c>
      <c r="D27" s="33">
        <f t="shared" si="1"/>
        <v>16</v>
      </c>
    </row>
    <row r="28" spans="1:4" ht="12.75">
      <c r="A28" s="4" t="s">
        <v>38</v>
      </c>
      <c r="B28" s="32">
        <f>SUM('FY06 PB'!B29)</f>
        <v>318091</v>
      </c>
      <c r="C28" s="47">
        <f t="shared" si="0"/>
        <v>0.011130670136389385</v>
      </c>
      <c r="D28" s="33">
        <f t="shared" si="1"/>
        <v>78</v>
      </c>
    </row>
    <row r="29" spans="1:4" ht="12.75">
      <c r="A29" s="4" t="s">
        <v>39</v>
      </c>
      <c r="B29" s="32">
        <f>SUM('FY06 PB'!B30)</f>
        <v>0</v>
      </c>
      <c r="C29" s="47">
        <f t="shared" si="0"/>
        <v>0</v>
      </c>
      <c r="D29" s="33">
        <f t="shared" si="1"/>
        <v>0</v>
      </c>
    </row>
    <row r="30" spans="1:4" ht="12.75">
      <c r="A30" s="4" t="s">
        <v>8</v>
      </c>
      <c r="B30" s="32">
        <f>SUM('FY06 PB'!B31)</f>
        <v>385195</v>
      </c>
      <c r="C30" s="47">
        <f t="shared" si="0"/>
        <v>0.013478779604536152</v>
      </c>
      <c r="D30" s="33">
        <f t="shared" si="1"/>
        <v>94</v>
      </c>
    </row>
    <row r="31" spans="1:4" ht="12.75">
      <c r="A31" s="4" t="s">
        <v>52</v>
      </c>
      <c r="B31" s="33"/>
      <c r="C31" s="47"/>
      <c r="D31" s="33"/>
    </row>
    <row r="32" spans="1:4" ht="12.75">
      <c r="A32" s="4" t="s">
        <v>40</v>
      </c>
      <c r="B32" s="15"/>
      <c r="C32" s="17"/>
      <c r="D32" s="55"/>
    </row>
    <row r="33" spans="1:4" ht="12.75">
      <c r="A33" s="4" t="s">
        <v>5</v>
      </c>
      <c r="B33" s="15"/>
      <c r="C33" s="17"/>
      <c r="D33" s="17"/>
    </row>
    <row r="34" spans="1:4" ht="12.75">
      <c r="A34" s="4" t="s">
        <v>6</v>
      </c>
      <c r="B34" s="15"/>
      <c r="C34" s="17"/>
      <c r="D34" s="17"/>
    </row>
    <row r="35" spans="1:4" ht="12.75">
      <c r="A35" s="4" t="s">
        <v>9</v>
      </c>
      <c r="B35" s="33"/>
      <c r="C35" s="33"/>
      <c r="D35" s="50"/>
    </row>
    <row r="36" spans="1:4" ht="12.75">
      <c r="A36" s="4" t="s">
        <v>165</v>
      </c>
      <c r="B36" s="32"/>
      <c r="C36" s="33"/>
      <c r="D36" s="50"/>
    </row>
    <row r="37" spans="1:4" ht="12.75">
      <c r="A37" s="4" t="s">
        <v>147</v>
      </c>
      <c r="B37" s="18"/>
      <c r="C37" s="17"/>
      <c r="D37" s="18"/>
    </row>
    <row r="38" spans="1:4" ht="12.75">
      <c r="A38" s="20" t="s">
        <v>41</v>
      </c>
      <c r="B38" s="51">
        <f>SUM(B5:B37)</f>
        <v>28577884</v>
      </c>
      <c r="C38" s="48">
        <f>SUM(C5:C37)</f>
        <v>0.9999999999999998</v>
      </c>
      <c r="D38" s="51">
        <f>SUM(D5:D30)</f>
        <v>6988</v>
      </c>
    </row>
    <row r="39" spans="1:4" ht="12.75">
      <c r="A39" s="23" t="s">
        <v>69</v>
      </c>
      <c r="D39" s="76"/>
    </row>
    <row r="40" ht="12.75">
      <c r="A40" s="124"/>
    </row>
    <row r="43" ht="12.75">
      <c r="D43" s="98">
        <v>6988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D22" sqref="D22"/>
    </sheetView>
  </sheetViews>
  <sheetFormatPr defaultColWidth="9.140625" defaultRowHeight="12.75"/>
  <cols>
    <col min="1" max="1" width="22.8515625" style="0" customWidth="1"/>
    <col min="2" max="2" width="15.57421875" style="0" customWidth="1"/>
  </cols>
  <sheetData>
    <row r="1" spans="1:2" ht="15">
      <c r="A1" s="228" t="s">
        <v>259</v>
      </c>
      <c r="B1" s="228"/>
    </row>
    <row r="2" spans="1:2" ht="12.75">
      <c r="A2" s="40"/>
      <c r="B2" s="40"/>
    </row>
    <row r="3" spans="1:2" ht="12.75">
      <c r="A3" s="191" t="s">
        <v>269</v>
      </c>
      <c r="B3" s="191" t="s">
        <v>270</v>
      </c>
    </row>
    <row r="4" spans="1:2" ht="12.75">
      <c r="A4" t="s">
        <v>260</v>
      </c>
      <c r="B4" t="s">
        <v>8</v>
      </c>
    </row>
    <row r="5" spans="1:2" ht="12.75">
      <c r="A5" t="s">
        <v>261</v>
      </c>
      <c r="B5" t="s">
        <v>8</v>
      </c>
    </row>
    <row r="6" spans="1:2" ht="12.75">
      <c r="A6" t="s">
        <v>175</v>
      </c>
      <c r="B6" t="s">
        <v>8</v>
      </c>
    </row>
    <row r="7" spans="1:2" ht="12.75">
      <c r="A7" t="s">
        <v>233</v>
      </c>
      <c r="B7" t="s">
        <v>8</v>
      </c>
    </row>
    <row r="8" spans="1:2" ht="12.75">
      <c r="A8" t="s">
        <v>183</v>
      </c>
      <c r="B8" t="s">
        <v>8</v>
      </c>
    </row>
    <row r="9" spans="1:2" ht="12.75">
      <c r="A9" t="s">
        <v>316</v>
      </c>
      <c r="B9" t="s">
        <v>8</v>
      </c>
    </row>
    <row r="11" spans="1:2" ht="12.75">
      <c r="A11" t="s">
        <v>262</v>
      </c>
      <c r="B11" t="s">
        <v>40</v>
      </c>
    </row>
    <row r="12" spans="1:2" ht="12.75">
      <c r="A12" t="s">
        <v>317</v>
      </c>
      <c r="B12" t="s">
        <v>40</v>
      </c>
    </row>
    <row r="14" spans="1:2" ht="12.75">
      <c r="A14" t="s">
        <v>263</v>
      </c>
      <c r="B14" t="s">
        <v>9</v>
      </c>
    </row>
    <row r="15" spans="1:2" ht="12.75">
      <c r="A15" t="s">
        <v>312</v>
      </c>
      <c r="B15" t="s">
        <v>313</v>
      </c>
    </row>
    <row r="17" spans="1:2" ht="12.75">
      <c r="A17" t="s">
        <v>264</v>
      </c>
      <c r="B17" t="s">
        <v>197</v>
      </c>
    </row>
    <row r="18" spans="1:2" ht="12.75">
      <c r="A18" t="s">
        <v>265</v>
      </c>
      <c r="B18" t="s">
        <v>197</v>
      </c>
    </row>
    <row r="19" spans="1:2" ht="12.75">
      <c r="A19" t="s">
        <v>266</v>
      </c>
      <c r="B19" t="s">
        <v>197</v>
      </c>
    </row>
    <row r="20" spans="1:2" ht="12.75">
      <c r="A20" t="s">
        <v>267</v>
      </c>
      <c r="B20" t="s">
        <v>197</v>
      </c>
    </row>
    <row r="21" spans="1:2" ht="12.75">
      <c r="A21" t="s">
        <v>268</v>
      </c>
      <c r="B21" t="s">
        <v>197</v>
      </c>
    </row>
    <row r="22" spans="1:2" ht="12.75">
      <c r="A22" t="s">
        <v>314</v>
      </c>
      <c r="B22" t="s">
        <v>197</v>
      </c>
    </row>
    <row r="24" spans="1:2" ht="15">
      <c r="A24" s="228" t="s">
        <v>319</v>
      </c>
      <c r="B24" s="228"/>
    </row>
    <row r="25" spans="1:2" ht="15">
      <c r="A25" s="205"/>
      <c r="B25" s="205"/>
    </row>
    <row r="26" spans="1:2" ht="12.75">
      <c r="A26" s="191" t="s">
        <v>269</v>
      </c>
      <c r="B26" s="191" t="s">
        <v>270</v>
      </c>
    </row>
    <row r="27" spans="1:2" ht="12.75">
      <c r="A27" t="s">
        <v>315</v>
      </c>
      <c r="B27" t="s">
        <v>320</v>
      </c>
    </row>
  </sheetData>
  <mergeCells count="2">
    <mergeCell ref="A1:B1"/>
    <mergeCell ref="A24:B24"/>
  </mergeCells>
  <printOptions/>
  <pageMargins left="0.75" right="0.75" top="1" bottom="1" header="0.5" footer="0.5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D7" sqref="D7"/>
    </sheetView>
  </sheetViews>
  <sheetFormatPr defaultColWidth="9.140625" defaultRowHeight="12.75"/>
  <cols>
    <col min="2" max="2" width="2.00390625" style="0" customWidth="1"/>
    <col min="3" max="4" width="9.28125" style="0" bestFit="1" customWidth="1"/>
    <col min="8" max="8" width="9.28125" style="0" bestFit="1" customWidth="1"/>
    <col min="9" max="9" width="10.00390625" style="0" customWidth="1"/>
    <col min="10" max="10" width="10.28125" style="0" customWidth="1"/>
    <col min="11" max="11" width="5.140625" style="0" customWidth="1"/>
    <col min="12" max="18" width="0" style="0" hidden="1" customWidth="1"/>
  </cols>
  <sheetData>
    <row r="1" spans="1:10" ht="12.75">
      <c r="A1" s="240" t="s">
        <v>254</v>
      </c>
      <c r="B1" s="240"/>
      <c r="C1" s="240"/>
      <c r="D1" s="240"/>
      <c r="E1" s="240"/>
      <c r="F1" s="240"/>
      <c r="G1" s="240"/>
      <c r="H1" s="240"/>
      <c r="I1" s="240"/>
      <c r="J1" s="240"/>
    </row>
    <row r="3" spans="4:17" ht="12.75">
      <c r="D3" s="40"/>
      <c r="E3" s="40"/>
      <c r="F3" s="40" t="s">
        <v>50</v>
      </c>
      <c r="G3" s="40"/>
      <c r="H3" s="40"/>
      <c r="I3" s="40" t="s">
        <v>120</v>
      </c>
      <c r="J3" s="40" t="s">
        <v>125</v>
      </c>
      <c r="L3" s="241" t="s">
        <v>256</v>
      </c>
      <c r="M3" s="241"/>
      <c r="N3" s="241"/>
      <c r="O3" s="241"/>
      <c r="P3" s="241"/>
      <c r="Q3" s="241"/>
    </row>
    <row r="4" spans="3:17" ht="12.75">
      <c r="C4" s="16" t="s">
        <v>46</v>
      </c>
      <c r="D4" s="26" t="s">
        <v>47</v>
      </c>
      <c r="E4" s="26" t="s">
        <v>131</v>
      </c>
      <c r="F4" s="26" t="s">
        <v>51</v>
      </c>
      <c r="G4" s="26" t="s">
        <v>233</v>
      </c>
      <c r="H4" s="26" t="s">
        <v>41</v>
      </c>
      <c r="I4" s="26" t="s">
        <v>124</v>
      </c>
      <c r="J4" s="95" t="s">
        <v>126</v>
      </c>
      <c r="L4" s="95" t="s">
        <v>162</v>
      </c>
      <c r="M4" s="95" t="s">
        <v>161</v>
      </c>
      <c r="N4" s="95" t="s">
        <v>163</v>
      </c>
      <c r="O4" s="95" t="s">
        <v>164</v>
      </c>
      <c r="P4" s="95" t="s">
        <v>233</v>
      </c>
      <c r="Q4" s="95" t="s">
        <v>41</v>
      </c>
    </row>
    <row r="5" spans="1:17" ht="12.75">
      <c r="A5" t="s">
        <v>0</v>
      </c>
      <c r="C5" s="34">
        <v>3446</v>
      </c>
      <c r="D5" s="34">
        <v>927</v>
      </c>
      <c r="E5" s="34">
        <v>275</v>
      </c>
      <c r="F5" s="34">
        <v>786</v>
      </c>
      <c r="G5" s="34">
        <v>-55</v>
      </c>
      <c r="H5" s="34">
        <f>SUM(C5:G5)</f>
        <v>5379</v>
      </c>
      <c r="I5" s="66">
        <f aca="true" t="shared" si="0" ref="I5:I30">SUM(H5/$H$43,0)</f>
        <v>0.17549182734657923</v>
      </c>
      <c r="J5" s="66">
        <f aca="true" t="shared" si="1" ref="J5:J30">SUM(H5/$H$31)</f>
        <v>0.22949910401911425</v>
      </c>
      <c r="K5" s="94"/>
      <c r="L5" s="34">
        <v>2535</v>
      </c>
      <c r="M5" s="34">
        <v>2111</v>
      </c>
      <c r="N5" s="34">
        <v>788</v>
      </c>
      <c r="O5" s="34"/>
      <c r="P5" s="34"/>
      <c r="Q5" s="34">
        <f>SUM(L5:P5)</f>
        <v>5434</v>
      </c>
    </row>
    <row r="6" spans="1:17" ht="12.75">
      <c r="A6" t="s">
        <v>16</v>
      </c>
      <c r="C6" s="34">
        <v>742</v>
      </c>
      <c r="D6" s="34">
        <v>533</v>
      </c>
      <c r="E6" s="34"/>
      <c r="F6" s="34"/>
      <c r="G6" s="34">
        <v>-53</v>
      </c>
      <c r="H6" s="34">
        <f aca="true" t="shared" si="2" ref="H6:H30">SUM(C6:G6)</f>
        <v>1222</v>
      </c>
      <c r="I6" s="66">
        <f t="shared" si="0"/>
        <v>0.03986819353365306</v>
      </c>
      <c r="J6" s="66">
        <f t="shared" si="1"/>
        <v>0.05213755439883949</v>
      </c>
      <c r="L6" s="34">
        <v>839</v>
      </c>
      <c r="M6" s="34">
        <v>430</v>
      </c>
      <c r="N6" s="34">
        <v>6</v>
      </c>
      <c r="O6" s="34"/>
      <c r="P6" s="34">
        <v>-53</v>
      </c>
      <c r="Q6" s="34">
        <f>SUM(L6:P6)</f>
        <v>1222</v>
      </c>
    </row>
    <row r="7" spans="1:17" ht="12.75">
      <c r="A7" t="s">
        <v>17</v>
      </c>
      <c r="C7" s="34">
        <v>399</v>
      </c>
      <c r="D7" s="34">
        <v>160</v>
      </c>
      <c r="E7" s="34"/>
      <c r="F7" s="34"/>
      <c r="G7" s="34">
        <v>-17</v>
      </c>
      <c r="H7" s="34">
        <f t="shared" si="2"/>
        <v>542</v>
      </c>
      <c r="I7" s="66">
        <f t="shared" si="0"/>
        <v>0.01768294672278229</v>
      </c>
      <c r="J7" s="66">
        <f t="shared" si="1"/>
        <v>0.02312484000341326</v>
      </c>
      <c r="L7" s="34">
        <v>557</v>
      </c>
      <c r="M7" s="34">
        <v>2</v>
      </c>
      <c r="N7" s="34"/>
      <c r="O7" s="34"/>
      <c r="P7" s="34">
        <v>-17</v>
      </c>
      <c r="Q7" s="34">
        <f aca="true" t="shared" si="3" ref="Q7:Q29">SUM(L7:P7)</f>
        <v>542</v>
      </c>
    </row>
    <row r="8" spans="1:17" ht="12.75">
      <c r="A8" t="s">
        <v>18</v>
      </c>
      <c r="C8" s="34">
        <v>863</v>
      </c>
      <c r="D8" s="34">
        <v>319</v>
      </c>
      <c r="E8" s="34"/>
      <c r="F8" s="34"/>
      <c r="G8" s="34">
        <v>-36</v>
      </c>
      <c r="H8" s="34">
        <f t="shared" si="2"/>
        <v>1146</v>
      </c>
      <c r="I8" s="66">
        <f t="shared" si="0"/>
        <v>0.03738866594890868</v>
      </c>
      <c r="J8" s="66">
        <f t="shared" si="1"/>
        <v>0.048894956907585975</v>
      </c>
      <c r="L8" s="34">
        <v>881</v>
      </c>
      <c r="M8" s="34">
        <v>255</v>
      </c>
      <c r="N8" s="34">
        <v>46</v>
      </c>
      <c r="O8" s="34"/>
      <c r="P8" s="34"/>
      <c r="Q8" s="34">
        <f t="shared" si="3"/>
        <v>1182</v>
      </c>
    </row>
    <row r="9" spans="1:17" ht="12.75">
      <c r="A9" t="s">
        <v>19</v>
      </c>
      <c r="C9" s="34">
        <v>775</v>
      </c>
      <c r="D9" s="34">
        <v>254</v>
      </c>
      <c r="E9" s="34"/>
      <c r="F9" s="34"/>
      <c r="G9" s="34">
        <v>-28</v>
      </c>
      <c r="H9" s="34">
        <f t="shared" si="2"/>
        <v>1001</v>
      </c>
      <c r="I9" s="66">
        <f t="shared" si="0"/>
        <v>0.03265798832012006</v>
      </c>
      <c r="J9" s="66">
        <f t="shared" si="1"/>
        <v>0.04270842222032597</v>
      </c>
      <c r="L9" s="34">
        <v>792</v>
      </c>
      <c r="M9" s="34">
        <v>236</v>
      </c>
      <c r="N9" s="34">
        <v>1</v>
      </c>
      <c r="O9" s="34"/>
      <c r="P9" s="34"/>
      <c r="Q9" s="34">
        <f t="shared" si="3"/>
        <v>1029</v>
      </c>
    </row>
    <row r="10" spans="1:17" ht="12.75">
      <c r="A10" t="s">
        <v>20</v>
      </c>
      <c r="C10" s="34">
        <v>1641</v>
      </c>
      <c r="D10" s="34">
        <v>1251</v>
      </c>
      <c r="E10" s="34"/>
      <c r="F10" s="34"/>
      <c r="G10" s="34">
        <v>-70</v>
      </c>
      <c r="H10" s="34">
        <f t="shared" si="2"/>
        <v>2822</v>
      </c>
      <c r="I10" s="66">
        <f t="shared" si="0"/>
        <v>0.0920687742651137</v>
      </c>
      <c r="J10" s="66">
        <f t="shared" si="1"/>
        <v>0.12040276474101885</v>
      </c>
      <c r="L10" s="34">
        <v>1105</v>
      </c>
      <c r="M10" s="34">
        <v>1534</v>
      </c>
      <c r="N10" s="34">
        <v>253</v>
      </c>
      <c r="O10" s="34"/>
      <c r="P10" s="34"/>
      <c r="Q10" s="34">
        <f t="shared" si="3"/>
        <v>2892</v>
      </c>
    </row>
    <row r="11" spans="1:17" ht="12.75">
      <c r="A11" t="s">
        <v>21</v>
      </c>
      <c r="C11" s="34">
        <v>13</v>
      </c>
      <c r="D11" s="34">
        <v>214</v>
      </c>
      <c r="E11" s="34"/>
      <c r="F11" s="34"/>
      <c r="G11" s="34">
        <v>-45</v>
      </c>
      <c r="H11" s="34">
        <f t="shared" si="2"/>
        <v>182</v>
      </c>
      <c r="I11" s="66">
        <f t="shared" si="0"/>
        <v>0.005937816058203648</v>
      </c>
      <c r="J11" s="66">
        <f t="shared" si="1"/>
        <v>0.007765167676422903</v>
      </c>
      <c r="L11" s="34">
        <v>227</v>
      </c>
      <c r="M11" s="34">
        <v>0</v>
      </c>
      <c r="N11" s="34">
        <v>0</v>
      </c>
      <c r="O11" s="34"/>
      <c r="P11" s="34">
        <v>-45</v>
      </c>
      <c r="Q11" s="34">
        <f t="shared" si="3"/>
        <v>182</v>
      </c>
    </row>
    <row r="12" spans="1:17" ht="12.75">
      <c r="A12" t="s">
        <v>22</v>
      </c>
      <c r="C12" s="34">
        <v>1124</v>
      </c>
      <c r="D12" s="34">
        <v>272</v>
      </c>
      <c r="E12" s="34"/>
      <c r="F12" s="34"/>
      <c r="G12" s="34">
        <v>-37</v>
      </c>
      <c r="H12" s="34">
        <f t="shared" si="2"/>
        <v>1359</v>
      </c>
      <c r="I12" s="66">
        <f t="shared" si="0"/>
        <v>0.04433786825878438</v>
      </c>
      <c r="J12" s="66">
        <f t="shared" si="1"/>
        <v>0.0579827630343886</v>
      </c>
      <c r="L12" s="34">
        <v>969</v>
      </c>
      <c r="M12" s="34">
        <v>374</v>
      </c>
      <c r="N12" s="34">
        <v>19</v>
      </c>
      <c r="O12" s="34">
        <v>34</v>
      </c>
      <c r="P12" s="34">
        <v>-37</v>
      </c>
      <c r="Q12" s="34">
        <f t="shared" si="3"/>
        <v>1359</v>
      </c>
    </row>
    <row r="13" spans="1:17" ht="12.75">
      <c r="A13" t="s">
        <v>23</v>
      </c>
      <c r="C13" s="34">
        <v>417</v>
      </c>
      <c r="D13" s="34">
        <v>102</v>
      </c>
      <c r="E13" s="34"/>
      <c r="F13" s="34"/>
      <c r="G13" s="34">
        <v>-8</v>
      </c>
      <c r="H13" s="34">
        <f t="shared" si="2"/>
        <v>511</v>
      </c>
      <c r="I13" s="66">
        <f t="shared" si="0"/>
        <v>0.01667156047111024</v>
      </c>
      <c r="J13" s="66">
        <f t="shared" si="1"/>
        <v>0.021802201553033536</v>
      </c>
      <c r="L13" s="34">
        <v>471</v>
      </c>
      <c r="M13" s="34">
        <v>48</v>
      </c>
      <c r="N13" s="34"/>
      <c r="O13" s="34"/>
      <c r="P13" s="34">
        <v>-8</v>
      </c>
      <c r="Q13" s="34">
        <f t="shared" si="3"/>
        <v>511</v>
      </c>
    </row>
    <row r="14" spans="1:17" ht="12.75">
      <c r="A14" t="s">
        <v>24</v>
      </c>
      <c r="C14" s="34">
        <v>1304</v>
      </c>
      <c r="D14" s="34">
        <v>111</v>
      </c>
      <c r="E14" s="34">
        <v>8</v>
      </c>
      <c r="F14" s="34"/>
      <c r="G14" s="34">
        <v>-14</v>
      </c>
      <c r="H14" s="34">
        <f t="shared" si="2"/>
        <v>1409</v>
      </c>
      <c r="I14" s="66">
        <f t="shared" si="0"/>
        <v>0.045969136406642526</v>
      </c>
      <c r="J14" s="66">
        <f t="shared" si="1"/>
        <v>0.060116050857581704</v>
      </c>
      <c r="L14" s="34">
        <v>25</v>
      </c>
      <c r="M14" s="34">
        <v>1398</v>
      </c>
      <c r="N14" s="34"/>
      <c r="O14" s="34"/>
      <c r="P14" s="34">
        <v>-14</v>
      </c>
      <c r="Q14" s="34">
        <f t="shared" si="3"/>
        <v>1409</v>
      </c>
    </row>
    <row r="15" spans="1:17" ht="12.75">
      <c r="A15" t="s">
        <v>25</v>
      </c>
      <c r="C15" s="34">
        <v>727</v>
      </c>
      <c r="D15" s="34">
        <v>194</v>
      </c>
      <c r="E15" s="34"/>
      <c r="F15" s="34"/>
      <c r="G15" s="34">
        <v>-25</v>
      </c>
      <c r="H15" s="34">
        <f t="shared" si="2"/>
        <v>896</v>
      </c>
      <c r="I15" s="66">
        <f t="shared" si="0"/>
        <v>0.02923232520961796</v>
      </c>
      <c r="J15" s="66">
        <f t="shared" si="1"/>
        <v>0.038228517791620446</v>
      </c>
      <c r="L15" s="34">
        <v>124</v>
      </c>
      <c r="M15" s="34">
        <v>158</v>
      </c>
      <c r="N15" s="34">
        <v>639</v>
      </c>
      <c r="O15" s="34"/>
      <c r="P15" s="34">
        <v>-25</v>
      </c>
      <c r="Q15" s="34">
        <f t="shared" si="3"/>
        <v>896</v>
      </c>
    </row>
    <row r="16" spans="1:17" ht="12.75">
      <c r="A16" t="s">
        <v>26</v>
      </c>
      <c r="C16" s="34">
        <v>285</v>
      </c>
      <c r="D16" s="34">
        <v>151</v>
      </c>
      <c r="E16" s="34"/>
      <c r="F16" s="34"/>
      <c r="G16" s="34">
        <v>-17</v>
      </c>
      <c r="H16" s="34">
        <f t="shared" si="2"/>
        <v>419</v>
      </c>
      <c r="I16" s="66">
        <f t="shared" si="0"/>
        <v>0.013670027079051255</v>
      </c>
      <c r="J16" s="66">
        <f t="shared" si="1"/>
        <v>0.01787695195835822</v>
      </c>
      <c r="L16" s="34">
        <v>344</v>
      </c>
      <c r="M16" s="34">
        <v>92</v>
      </c>
      <c r="N16" s="34"/>
      <c r="O16" s="34"/>
      <c r="P16" s="34">
        <v>-17</v>
      </c>
      <c r="Q16" s="34">
        <f t="shared" si="3"/>
        <v>419</v>
      </c>
    </row>
    <row r="17" spans="1:17" ht="12.75">
      <c r="A17" t="s">
        <v>27</v>
      </c>
      <c r="C17" s="34">
        <v>185</v>
      </c>
      <c r="D17" s="34">
        <v>112</v>
      </c>
      <c r="E17" s="34"/>
      <c r="F17" s="34"/>
      <c r="G17" s="34">
        <v>-8</v>
      </c>
      <c r="H17" s="34">
        <f t="shared" si="2"/>
        <v>289</v>
      </c>
      <c r="I17" s="66">
        <f t="shared" si="0"/>
        <v>0.009428729894620078</v>
      </c>
      <c r="J17" s="66">
        <f t="shared" si="1"/>
        <v>0.012330403618056148</v>
      </c>
      <c r="L17" s="34">
        <v>121</v>
      </c>
      <c r="M17" s="34">
        <v>176</v>
      </c>
      <c r="N17" s="34"/>
      <c r="O17" s="34"/>
      <c r="P17" s="34">
        <v>-8</v>
      </c>
      <c r="Q17" s="34">
        <f t="shared" si="3"/>
        <v>289</v>
      </c>
    </row>
    <row r="18" spans="1:17" ht="12.75">
      <c r="A18" t="s">
        <v>28</v>
      </c>
      <c r="C18" s="34">
        <v>1026</v>
      </c>
      <c r="D18" s="34">
        <v>361</v>
      </c>
      <c r="E18" s="34"/>
      <c r="F18" s="34"/>
      <c r="G18" s="34">
        <v>-29</v>
      </c>
      <c r="H18" s="34">
        <f t="shared" si="2"/>
        <v>1358</v>
      </c>
      <c r="I18" s="66">
        <f t="shared" si="0"/>
        <v>0.04430524289582721</v>
      </c>
      <c r="J18" s="66">
        <f t="shared" si="1"/>
        <v>0.057940097277924735</v>
      </c>
      <c r="L18" s="34">
        <v>982</v>
      </c>
      <c r="M18" s="34">
        <v>398</v>
      </c>
      <c r="N18" s="34"/>
      <c r="O18" s="34">
        <v>7</v>
      </c>
      <c r="P18" s="34"/>
      <c r="Q18" s="34">
        <f t="shared" si="3"/>
        <v>1387</v>
      </c>
    </row>
    <row r="19" spans="1:17" ht="12.75">
      <c r="A19" t="s">
        <v>29</v>
      </c>
      <c r="C19" s="34">
        <v>455</v>
      </c>
      <c r="D19" s="34">
        <v>321</v>
      </c>
      <c r="E19" s="34"/>
      <c r="F19" s="34"/>
      <c r="G19" s="34">
        <v>-26</v>
      </c>
      <c r="H19" s="34">
        <f t="shared" si="2"/>
        <v>750</v>
      </c>
      <c r="I19" s="66">
        <f t="shared" si="0"/>
        <v>0.024469022217872175</v>
      </c>
      <c r="J19" s="66">
        <f t="shared" si="1"/>
        <v>0.03199931734789658</v>
      </c>
      <c r="L19" s="34">
        <v>8</v>
      </c>
      <c r="M19" s="34">
        <v>318</v>
      </c>
      <c r="N19" s="34">
        <v>450</v>
      </c>
      <c r="O19" s="34"/>
      <c r="P19" s="34">
        <v>-26</v>
      </c>
      <c r="Q19" s="34">
        <f t="shared" si="3"/>
        <v>750</v>
      </c>
    </row>
    <row r="20" spans="1:17" ht="12.75">
      <c r="A20" t="s">
        <v>30</v>
      </c>
      <c r="C20" s="34">
        <v>229</v>
      </c>
      <c r="D20" s="34">
        <v>143</v>
      </c>
      <c r="E20" s="34"/>
      <c r="F20" s="34"/>
      <c r="G20" s="34">
        <v>-13</v>
      </c>
      <c r="H20" s="34">
        <f t="shared" si="2"/>
        <v>359</v>
      </c>
      <c r="I20" s="66">
        <f t="shared" si="0"/>
        <v>0.011712505301621481</v>
      </c>
      <c r="J20" s="66">
        <f t="shared" si="1"/>
        <v>0.015317006570526495</v>
      </c>
      <c r="L20" s="34">
        <v>55</v>
      </c>
      <c r="M20" s="34">
        <v>304</v>
      </c>
      <c r="N20" s="34">
        <v>6</v>
      </c>
      <c r="O20" s="34">
        <v>7</v>
      </c>
      <c r="P20" s="34">
        <v>-13</v>
      </c>
      <c r="Q20" s="34">
        <f t="shared" si="3"/>
        <v>359</v>
      </c>
    </row>
    <row r="21" spans="1:17" ht="12.75">
      <c r="A21" t="s">
        <v>31</v>
      </c>
      <c r="C21" s="34">
        <v>19</v>
      </c>
      <c r="D21" s="34">
        <v>58</v>
      </c>
      <c r="E21" s="34"/>
      <c r="F21" s="34"/>
      <c r="G21" s="34">
        <v>-7</v>
      </c>
      <c r="H21" s="34">
        <f t="shared" si="2"/>
        <v>70</v>
      </c>
      <c r="I21" s="66">
        <f t="shared" si="0"/>
        <v>0.002283775407001403</v>
      </c>
      <c r="J21" s="66">
        <f t="shared" si="1"/>
        <v>0.0029866029524703475</v>
      </c>
      <c r="L21" s="34">
        <v>49</v>
      </c>
      <c r="M21" s="34">
        <v>28</v>
      </c>
      <c r="N21" s="34"/>
      <c r="O21" s="34"/>
      <c r="P21" s="34"/>
      <c r="Q21" s="34">
        <f t="shared" si="3"/>
        <v>77</v>
      </c>
    </row>
    <row r="22" spans="1:17" ht="12.75">
      <c r="A22" t="s">
        <v>32</v>
      </c>
      <c r="C22" s="34">
        <v>456</v>
      </c>
      <c r="D22" s="34">
        <v>108</v>
      </c>
      <c r="E22" s="34"/>
      <c r="F22" s="34"/>
      <c r="G22" s="34">
        <v>-9</v>
      </c>
      <c r="H22" s="34">
        <f t="shared" si="2"/>
        <v>555</v>
      </c>
      <c r="I22" s="66">
        <f t="shared" si="0"/>
        <v>0.01810707644122541</v>
      </c>
      <c r="J22" s="66">
        <f t="shared" si="1"/>
        <v>0.023679494837443468</v>
      </c>
      <c r="L22" s="34">
        <v>411</v>
      </c>
      <c r="M22" s="34">
        <v>134</v>
      </c>
      <c r="N22" s="34">
        <v>19</v>
      </c>
      <c r="O22" s="34"/>
      <c r="P22" s="34">
        <v>-9</v>
      </c>
      <c r="Q22" s="34">
        <f t="shared" si="3"/>
        <v>555</v>
      </c>
    </row>
    <row r="23" spans="1:17" ht="12.75">
      <c r="A23" t="s">
        <v>33</v>
      </c>
      <c r="C23" s="34">
        <v>0</v>
      </c>
      <c r="D23" s="34">
        <v>96</v>
      </c>
      <c r="E23" s="34"/>
      <c r="F23" s="34"/>
      <c r="G23" s="34">
        <v>-6</v>
      </c>
      <c r="H23" s="34">
        <f t="shared" si="2"/>
        <v>90</v>
      </c>
      <c r="I23" s="66">
        <f t="shared" si="0"/>
        <v>0.002936282666144661</v>
      </c>
      <c r="J23" s="66">
        <f t="shared" si="1"/>
        <v>0.0038399180817475895</v>
      </c>
      <c r="L23" s="34">
        <v>35</v>
      </c>
      <c r="M23" s="34">
        <v>61</v>
      </c>
      <c r="N23" s="34"/>
      <c r="O23" s="34"/>
      <c r="P23" s="34"/>
      <c r="Q23" s="34">
        <f t="shared" si="3"/>
        <v>96</v>
      </c>
    </row>
    <row r="24" spans="1:17" ht="12.75">
      <c r="A24" t="s">
        <v>34</v>
      </c>
      <c r="C24" s="34">
        <v>0</v>
      </c>
      <c r="D24" s="34">
        <v>150</v>
      </c>
      <c r="E24" s="34"/>
      <c r="F24" s="34"/>
      <c r="G24" s="34">
        <v>-18</v>
      </c>
      <c r="H24" s="34">
        <f t="shared" si="2"/>
        <v>132</v>
      </c>
      <c r="I24" s="66">
        <f t="shared" si="0"/>
        <v>0.004306547910345503</v>
      </c>
      <c r="J24" s="66">
        <f t="shared" si="1"/>
        <v>0.005631879853229798</v>
      </c>
      <c r="L24" s="34">
        <v>14</v>
      </c>
      <c r="M24" s="34">
        <v>136</v>
      </c>
      <c r="N24" s="34"/>
      <c r="O24" s="34"/>
      <c r="P24" s="34"/>
      <c r="Q24" s="34">
        <f t="shared" si="3"/>
        <v>150</v>
      </c>
    </row>
    <row r="25" spans="1:17" ht="12.75">
      <c r="A25" t="s">
        <v>35</v>
      </c>
      <c r="C25" s="34">
        <v>37</v>
      </c>
      <c r="D25" s="34">
        <v>89</v>
      </c>
      <c r="E25" s="34"/>
      <c r="F25" s="34"/>
      <c r="G25" s="34">
        <v>-8</v>
      </c>
      <c r="H25" s="34">
        <f t="shared" si="2"/>
        <v>118</v>
      </c>
      <c r="I25" s="66">
        <f t="shared" si="0"/>
        <v>0.003849792828945222</v>
      </c>
      <c r="J25" s="66">
        <f t="shared" si="1"/>
        <v>0.005034559262735728</v>
      </c>
      <c r="L25" s="34">
        <v>70</v>
      </c>
      <c r="M25" s="34">
        <v>56</v>
      </c>
      <c r="N25" s="34"/>
      <c r="O25" s="34"/>
      <c r="P25" s="34"/>
      <c r="Q25" s="34">
        <f t="shared" si="3"/>
        <v>126</v>
      </c>
    </row>
    <row r="26" spans="1:17" ht="12.75">
      <c r="A26" t="s">
        <v>36</v>
      </c>
      <c r="C26" s="34">
        <v>0</v>
      </c>
      <c r="D26" s="34">
        <v>45</v>
      </c>
      <c r="E26" s="34"/>
      <c r="F26" s="34"/>
      <c r="G26" s="34">
        <v>-3</v>
      </c>
      <c r="H26" s="34">
        <f t="shared" si="2"/>
        <v>42</v>
      </c>
      <c r="I26" s="66">
        <f t="shared" si="0"/>
        <v>0.0013702652442008417</v>
      </c>
      <c r="J26" s="66">
        <f t="shared" si="1"/>
        <v>0.0017919617714822083</v>
      </c>
      <c r="L26" s="34">
        <v>1</v>
      </c>
      <c r="M26" s="34">
        <v>44</v>
      </c>
      <c r="N26" s="34"/>
      <c r="O26" s="34"/>
      <c r="P26" s="34"/>
      <c r="Q26" s="34">
        <f t="shared" si="3"/>
        <v>45</v>
      </c>
    </row>
    <row r="27" spans="1:17" ht="12.75">
      <c r="A27" t="s">
        <v>37</v>
      </c>
      <c r="C27" s="34">
        <v>0</v>
      </c>
      <c r="D27" s="34">
        <v>82</v>
      </c>
      <c r="E27" s="34"/>
      <c r="F27" s="34"/>
      <c r="G27" s="34">
        <v>-7</v>
      </c>
      <c r="H27" s="34">
        <f t="shared" si="2"/>
        <v>75</v>
      </c>
      <c r="I27" s="66">
        <f t="shared" si="0"/>
        <v>0.0024469022217872174</v>
      </c>
      <c r="J27" s="66">
        <f t="shared" si="1"/>
        <v>0.003199931734789658</v>
      </c>
      <c r="L27" s="34">
        <v>82</v>
      </c>
      <c r="M27" s="34"/>
      <c r="N27" s="34"/>
      <c r="O27" s="34"/>
      <c r="P27" s="34"/>
      <c r="Q27" s="34">
        <f t="shared" si="3"/>
        <v>82</v>
      </c>
    </row>
    <row r="28" spans="1:17" ht="12.75">
      <c r="A28" t="s">
        <v>38</v>
      </c>
      <c r="C28" s="34">
        <v>0</v>
      </c>
      <c r="D28" s="34">
        <v>1401</v>
      </c>
      <c r="E28" s="34"/>
      <c r="F28" s="34"/>
      <c r="G28" s="34">
        <v>0</v>
      </c>
      <c r="H28" s="34">
        <f t="shared" si="2"/>
        <v>1401</v>
      </c>
      <c r="I28" s="66">
        <f t="shared" si="0"/>
        <v>0.04570813350298522</v>
      </c>
      <c r="J28" s="66">
        <f t="shared" si="1"/>
        <v>0.05977472480587081</v>
      </c>
      <c r="L28" s="34">
        <v>1293</v>
      </c>
      <c r="M28" s="34">
        <v>102</v>
      </c>
      <c r="N28" s="34">
        <v>6</v>
      </c>
      <c r="O28" s="34"/>
      <c r="P28" s="34"/>
      <c r="Q28" s="34">
        <f t="shared" si="3"/>
        <v>1401</v>
      </c>
    </row>
    <row r="29" spans="1:17" ht="12.75">
      <c r="A29" t="s">
        <v>39</v>
      </c>
      <c r="C29" s="34">
        <v>0</v>
      </c>
      <c r="D29" s="34">
        <v>451</v>
      </c>
      <c r="E29" s="34"/>
      <c r="F29" s="34"/>
      <c r="G29" s="34"/>
      <c r="H29" s="34">
        <f t="shared" si="2"/>
        <v>451</v>
      </c>
      <c r="I29" s="66">
        <f t="shared" si="0"/>
        <v>0.014714038693680468</v>
      </c>
      <c r="J29" s="66">
        <f t="shared" si="1"/>
        <v>0.01924225616520181</v>
      </c>
      <c r="L29" s="34">
        <v>448</v>
      </c>
      <c r="M29" s="34">
        <v>3</v>
      </c>
      <c r="N29" s="34"/>
      <c r="O29" s="34"/>
      <c r="P29" s="34"/>
      <c r="Q29" s="34">
        <f t="shared" si="3"/>
        <v>451</v>
      </c>
    </row>
    <row r="30" spans="1:17" ht="12.75">
      <c r="A30" t="s">
        <v>8</v>
      </c>
      <c r="C30" s="41">
        <v>0</v>
      </c>
      <c r="D30" s="41">
        <v>860</v>
      </c>
      <c r="E30" s="41"/>
      <c r="F30" s="41"/>
      <c r="G30" s="41"/>
      <c r="H30" s="41">
        <f t="shared" si="2"/>
        <v>860</v>
      </c>
      <c r="I30" s="66">
        <f t="shared" si="0"/>
        <v>0.028057812143160093</v>
      </c>
      <c r="J30" s="66">
        <f t="shared" si="1"/>
        <v>0.03669255055892141</v>
      </c>
      <c r="L30" s="41">
        <v>0</v>
      </c>
      <c r="M30" s="41">
        <v>0</v>
      </c>
      <c r="N30" s="41"/>
      <c r="O30" s="41"/>
      <c r="P30" s="41"/>
      <c r="Q30" s="41">
        <f>SUM(L30:O30)</f>
        <v>0</v>
      </c>
    </row>
    <row r="31" spans="3:17" ht="12.75">
      <c r="C31" s="34">
        <f>SUM(C5:C30)</f>
        <v>14143</v>
      </c>
      <c r="D31" s="34">
        <f>SUM(D5:D30)</f>
        <v>8765</v>
      </c>
      <c r="E31" s="34">
        <f>SUM(E5:E30)</f>
        <v>283</v>
      </c>
      <c r="F31" s="34">
        <f>SUM(F5:F30)</f>
        <v>786</v>
      </c>
      <c r="G31" s="34"/>
      <c r="H31" s="34">
        <f>SUM(H5:H30)</f>
        <v>23438</v>
      </c>
      <c r="J31" s="89">
        <f>SUM(J5:J30)</f>
        <v>0.9999999999999999</v>
      </c>
      <c r="L31" s="34">
        <f>SUM(L5:L30)</f>
        <v>12438</v>
      </c>
      <c r="M31" s="34">
        <f>SUM(M5:M30)</f>
        <v>8398</v>
      </c>
      <c r="N31" s="34">
        <f>SUM(N5:N30)</f>
        <v>2233</v>
      </c>
      <c r="O31" s="34">
        <f>SUM(O5:O30)</f>
        <v>48</v>
      </c>
      <c r="P31" s="34"/>
      <c r="Q31" s="34">
        <f>SUM(Q5:Q30)</f>
        <v>22845</v>
      </c>
    </row>
    <row r="32" spans="12:17" ht="12.75">
      <c r="L32" s="34"/>
      <c r="M32" s="34"/>
      <c r="N32" s="34"/>
      <c r="O32" s="34"/>
      <c r="P32" s="34"/>
      <c r="Q32" s="34"/>
    </row>
    <row r="33" spans="3:17" ht="12.75">
      <c r="C33" s="26" t="s">
        <v>53</v>
      </c>
      <c r="D33" s="26" t="s">
        <v>54</v>
      </c>
      <c r="E33" s="26" t="s">
        <v>131</v>
      </c>
      <c r="F33" s="26"/>
      <c r="G33" s="26"/>
      <c r="H33" s="26" t="s">
        <v>41</v>
      </c>
      <c r="L33" s="34"/>
      <c r="M33" s="34"/>
      <c r="N33" s="34"/>
      <c r="O33" s="34"/>
      <c r="P33" s="34"/>
      <c r="Q33" s="34"/>
    </row>
    <row r="34" spans="1:17" ht="12.75">
      <c r="A34" t="s">
        <v>52</v>
      </c>
      <c r="C34" s="34">
        <v>177</v>
      </c>
      <c r="D34" s="34">
        <v>953</v>
      </c>
      <c r="E34" s="34"/>
      <c r="F34" s="34"/>
      <c r="G34" s="34"/>
      <c r="H34" s="34">
        <f>SUM(C34:E34)</f>
        <v>1130</v>
      </c>
      <c r="I34" s="66">
        <f aca="true" t="shared" si="4" ref="I34:I40">SUM(H34/$H$43,0)</f>
        <v>0.03686666014159407</v>
      </c>
      <c r="L34" s="34">
        <v>0</v>
      </c>
      <c r="M34" s="34">
        <v>0</v>
      </c>
      <c r="N34" s="34"/>
      <c r="O34" s="34"/>
      <c r="P34" s="34"/>
      <c r="Q34" s="34">
        <f aca="true" t="shared" si="5" ref="Q34:Q40">SUM(L34:O34)</f>
        <v>0</v>
      </c>
    </row>
    <row r="35" spans="1:17" ht="12.75">
      <c r="A35" t="s">
        <v>255</v>
      </c>
      <c r="C35" s="34"/>
      <c r="D35" s="34">
        <v>319</v>
      </c>
      <c r="E35" s="34"/>
      <c r="F35" s="34"/>
      <c r="G35" s="34"/>
      <c r="H35" s="34">
        <f>SUM(C35:F35)</f>
        <v>319</v>
      </c>
      <c r="I35" s="66">
        <f t="shared" si="4"/>
        <v>0.010407490783334965</v>
      </c>
      <c r="L35" s="34">
        <v>0</v>
      </c>
      <c r="M35" s="34">
        <v>0</v>
      </c>
      <c r="N35" s="34"/>
      <c r="O35" s="34"/>
      <c r="P35" s="34"/>
      <c r="Q35" s="34">
        <f t="shared" si="5"/>
        <v>0</v>
      </c>
    </row>
    <row r="36" spans="1:17" ht="12.75">
      <c r="A36" t="s">
        <v>40</v>
      </c>
      <c r="C36" s="34">
        <v>2362</v>
      </c>
      <c r="D36" s="34">
        <v>41</v>
      </c>
      <c r="E36" s="34">
        <v>4</v>
      </c>
      <c r="F36" s="34">
        <v>0</v>
      </c>
      <c r="G36" s="34"/>
      <c r="H36" s="34">
        <f>SUM(C36:F36)</f>
        <v>2407</v>
      </c>
      <c r="I36" s="66">
        <f t="shared" si="4"/>
        <v>0.0785292486378911</v>
      </c>
      <c r="L36" s="34">
        <v>2270</v>
      </c>
      <c r="M36" s="34">
        <v>137</v>
      </c>
      <c r="N36" s="34"/>
      <c r="O36" s="34"/>
      <c r="P36" s="34"/>
      <c r="Q36" s="34">
        <f t="shared" si="5"/>
        <v>2407</v>
      </c>
    </row>
    <row r="37" spans="1:17" ht="12.75">
      <c r="A37" t="s">
        <v>5</v>
      </c>
      <c r="C37" s="34">
        <v>455</v>
      </c>
      <c r="D37" s="34">
        <v>0</v>
      </c>
      <c r="E37" s="34"/>
      <c r="F37" s="34"/>
      <c r="G37" s="34"/>
      <c r="H37" s="34">
        <f>SUM(C37:F37)</f>
        <v>455</v>
      </c>
      <c r="I37" s="66">
        <f t="shared" si="4"/>
        <v>0.014844540145509118</v>
      </c>
      <c r="L37" s="34">
        <v>0</v>
      </c>
      <c r="M37" s="34">
        <v>455</v>
      </c>
      <c r="N37" s="34"/>
      <c r="O37" s="34"/>
      <c r="P37" s="34"/>
      <c r="Q37" s="34">
        <f t="shared" si="5"/>
        <v>455</v>
      </c>
    </row>
    <row r="38" spans="1:17" ht="12.75">
      <c r="A38" t="s">
        <v>6</v>
      </c>
      <c r="C38" s="34">
        <v>178</v>
      </c>
      <c r="D38" s="34">
        <v>728</v>
      </c>
      <c r="E38" s="34"/>
      <c r="F38" s="34"/>
      <c r="G38" s="34"/>
      <c r="H38" s="34">
        <f>SUM(C38:F38)</f>
        <v>906</v>
      </c>
      <c r="I38" s="66">
        <f t="shared" si="4"/>
        <v>0.029558578839189584</v>
      </c>
      <c r="L38" s="34">
        <v>303</v>
      </c>
      <c r="M38" s="34">
        <v>603</v>
      </c>
      <c r="N38" s="34"/>
      <c r="O38" s="34"/>
      <c r="P38" s="34"/>
      <c r="Q38" s="34">
        <f t="shared" si="5"/>
        <v>906</v>
      </c>
    </row>
    <row r="39" spans="1:17" ht="12.75">
      <c r="A39" t="s">
        <v>9</v>
      </c>
      <c r="C39" s="34">
        <v>447</v>
      </c>
      <c r="D39" s="34">
        <v>771</v>
      </c>
      <c r="E39" s="34"/>
      <c r="F39" s="34"/>
      <c r="G39" s="34"/>
      <c r="H39" s="34">
        <f>SUM(C39:F39)</f>
        <v>1218</v>
      </c>
      <c r="I39" s="66">
        <f t="shared" si="4"/>
        <v>0.03973769208182441</v>
      </c>
      <c r="L39" s="34">
        <v>1087</v>
      </c>
      <c r="M39" s="34">
        <v>79</v>
      </c>
      <c r="N39" s="34">
        <v>3</v>
      </c>
      <c r="O39" s="34">
        <v>49</v>
      </c>
      <c r="P39" s="34"/>
      <c r="Q39" s="34">
        <f t="shared" si="5"/>
        <v>1218</v>
      </c>
    </row>
    <row r="40" spans="1:17" ht="12.75">
      <c r="A40" t="s">
        <v>196</v>
      </c>
      <c r="C40" s="41">
        <v>101</v>
      </c>
      <c r="D40" s="41">
        <v>677</v>
      </c>
      <c r="E40" s="41"/>
      <c r="F40" s="41"/>
      <c r="G40" s="41"/>
      <c r="H40" s="41">
        <f>SUM(C40:E40)</f>
        <v>778</v>
      </c>
      <c r="I40" s="66">
        <f t="shared" si="4"/>
        <v>0.025382532380672736</v>
      </c>
      <c r="L40" s="41">
        <v>755</v>
      </c>
      <c r="M40" s="41">
        <v>5</v>
      </c>
      <c r="N40" s="41">
        <v>2</v>
      </c>
      <c r="O40" s="41">
        <v>16</v>
      </c>
      <c r="P40" s="41"/>
      <c r="Q40" s="41">
        <f t="shared" si="5"/>
        <v>778</v>
      </c>
    </row>
    <row r="41" spans="3:17" ht="12.75">
      <c r="C41" s="42">
        <f>SUM(C34:C40)</f>
        <v>3720</v>
      </c>
      <c r="D41" s="42">
        <f>SUM(D34:D40)</f>
        <v>3489</v>
      </c>
      <c r="E41" s="42">
        <f>SUM(E34:E40)</f>
        <v>4</v>
      </c>
      <c r="F41" s="42">
        <f>SUM(F34:F40)</f>
        <v>0</v>
      </c>
      <c r="G41" s="42"/>
      <c r="H41" s="42">
        <f>SUM(H34:H40)</f>
        <v>7213</v>
      </c>
      <c r="L41" s="34">
        <f>SUM(L34:L40)</f>
        <v>4415</v>
      </c>
      <c r="M41" s="34">
        <f>SUM(M34:M40)</f>
        <v>1279</v>
      </c>
      <c r="N41" s="34">
        <f>SUM(N34:N40)</f>
        <v>5</v>
      </c>
      <c r="O41" s="34">
        <f>SUM(O34:O40)</f>
        <v>65</v>
      </c>
      <c r="P41" s="34"/>
      <c r="Q41" s="34">
        <f>SUM(Q34:Q40)</f>
        <v>5764</v>
      </c>
    </row>
    <row r="42" spans="3:17" ht="12.75">
      <c r="C42" s="42"/>
      <c r="D42" s="42"/>
      <c r="E42" s="42"/>
      <c r="F42" s="42"/>
      <c r="G42" s="42"/>
      <c r="H42" s="42"/>
      <c r="I42" s="16"/>
      <c r="L42" s="34"/>
      <c r="M42" s="34"/>
      <c r="N42" s="34"/>
      <c r="O42" s="34"/>
      <c r="P42" s="34"/>
      <c r="Q42" s="34"/>
    </row>
    <row r="43" spans="1:17" ht="12.75">
      <c r="A43" t="s">
        <v>121</v>
      </c>
      <c r="C43" s="42">
        <f>SUM(C41+C31)</f>
        <v>17863</v>
      </c>
      <c r="D43" s="42">
        <f>SUM(D41+D31)</f>
        <v>12254</v>
      </c>
      <c r="E43" s="42">
        <f>SUM(E41+E31)</f>
        <v>287</v>
      </c>
      <c r="F43" s="42">
        <f>SUM(F41+F31)</f>
        <v>786</v>
      </c>
      <c r="G43" s="42"/>
      <c r="H43" s="42">
        <f>SUM(H41+H31)</f>
        <v>30651</v>
      </c>
      <c r="I43" s="89">
        <f>SUM(I5:I42)</f>
        <v>1</v>
      </c>
      <c r="L43" s="42">
        <f>SUM(L41+L31)</f>
        <v>16853</v>
      </c>
      <c r="M43" s="42">
        <f>SUM(M41+M31)</f>
        <v>9677</v>
      </c>
      <c r="N43" s="42">
        <f>SUM(N41+N31)</f>
        <v>2238</v>
      </c>
      <c r="O43" s="42">
        <f>SUM(O41+O31)</f>
        <v>113</v>
      </c>
      <c r="P43" s="42"/>
      <c r="Q43" s="42">
        <f>SUM(Q41+Q31)</f>
        <v>28609</v>
      </c>
    </row>
    <row r="44" spans="3:17" ht="12.75">
      <c r="C44" s="42"/>
      <c r="D44" s="42"/>
      <c r="E44" s="42"/>
      <c r="F44" s="42"/>
      <c r="G44" s="42"/>
      <c r="H44" s="42"/>
      <c r="I44" s="89"/>
      <c r="L44" s="34"/>
      <c r="M44" s="34"/>
      <c r="N44" s="34"/>
      <c r="O44" s="34"/>
      <c r="P44" s="34"/>
      <c r="Q44" s="34"/>
    </row>
    <row r="45" spans="1:17" ht="12.75">
      <c r="A45" t="s">
        <v>55</v>
      </c>
      <c r="D45" s="42">
        <v>0</v>
      </c>
      <c r="H45" s="34">
        <f>SUM(C45:F45)</f>
        <v>0</v>
      </c>
      <c r="I45" s="187">
        <f>SUM(H45/$H$43,0)</f>
        <v>0</v>
      </c>
      <c r="L45" s="149">
        <v>0</v>
      </c>
      <c r="M45" s="42">
        <v>0</v>
      </c>
      <c r="N45" s="149">
        <v>0</v>
      </c>
      <c r="Q45" s="42">
        <f>SUM(L45:O45)</f>
        <v>0</v>
      </c>
    </row>
    <row r="46" spans="1:17" ht="13.5" thickBot="1">
      <c r="A46" t="s">
        <v>122</v>
      </c>
      <c r="C46" s="43">
        <f>SUM(C43:C45)</f>
        <v>17863</v>
      </c>
      <c r="D46" s="43">
        <f>SUM(D43:D45)</f>
        <v>12254</v>
      </c>
      <c r="E46" s="43">
        <f>SUM(E43:E45)</f>
        <v>287</v>
      </c>
      <c r="F46" s="43">
        <f>SUM(F43:F45)</f>
        <v>786</v>
      </c>
      <c r="G46" s="43"/>
      <c r="H46" s="43">
        <f>SUM(H43:H45)</f>
        <v>30651</v>
      </c>
      <c r="I46" s="188">
        <v>1</v>
      </c>
      <c r="L46" s="43">
        <f>SUM(L43:L45)</f>
        <v>16853</v>
      </c>
      <c r="M46" s="43">
        <f>SUM(M43:M45)</f>
        <v>9677</v>
      </c>
      <c r="N46" s="43">
        <f>SUM(N43:N45)</f>
        <v>2238</v>
      </c>
      <c r="O46" s="43">
        <f>SUM(O43:O45)</f>
        <v>113</v>
      </c>
      <c r="P46" s="43"/>
      <c r="Q46" s="43">
        <f>SUM(Q43:Q45)</f>
        <v>28609</v>
      </c>
    </row>
    <row r="47" spans="4:17" ht="13.5" thickTop="1">
      <c r="D47" s="42"/>
      <c r="L47" s="34"/>
      <c r="M47" s="34"/>
      <c r="N47" s="34"/>
      <c r="O47" s="34"/>
      <c r="P47" s="34"/>
      <c r="Q47" s="34"/>
    </row>
    <row r="48" ht="12.75">
      <c r="A48" t="s">
        <v>118</v>
      </c>
    </row>
    <row r="49" ht="12.75">
      <c r="Q49" s="42"/>
    </row>
  </sheetData>
  <mergeCells count="2">
    <mergeCell ref="A1:J1"/>
    <mergeCell ref="L3:Q3"/>
  </mergeCells>
  <printOptions/>
  <pageMargins left="0.75" right="0.75" top="0.62" bottom="1" header="0.5" footer="0.5"/>
  <pageSetup horizontalDpi="600" verticalDpi="600"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4">
      <selection activeCell="B9" sqref="B9"/>
    </sheetView>
  </sheetViews>
  <sheetFormatPr defaultColWidth="9.140625" defaultRowHeight="12.75"/>
  <cols>
    <col min="1" max="1" width="12.421875" style="0" customWidth="1"/>
    <col min="2" max="3" width="14.57421875" style="0" customWidth="1"/>
    <col min="4" max="4" width="2.28125" style="0" customWidth="1"/>
    <col min="5" max="5" width="15.00390625" style="0" customWidth="1"/>
    <col min="7" max="7" width="13.28125" style="0" customWidth="1"/>
    <col min="8" max="8" width="11.28125" style="0" customWidth="1"/>
  </cols>
  <sheetData>
    <row r="1" spans="1:5" ht="12.75">
      <c r="A1" s="234" t="s">
        <v>273</v>
      </c>
      <c r="B1" s="234"/>
      <c r="C1" s="234"/>
      <c r="D1" s="234"/>
      <c r="E1" s="234"/>
    </row>
    <row r="3" spans="2:8" ht="12.75">
      <c r="B3" s="242" t="s">
        <v>274</v>
      </c>
      <c r="C3" s="243"/>
      <c r="E3" s="96" t="s">
        <v>166</v>
      </c>
      <c r="G3" s="196" t="s">
        <v>102</v>
      </c>
      <c r="H3" s="19"/>
    </row>
    <row r="4" spans="2:8" ht="12.75">
      <c r="B4" s="102" t="s">
        <v>275</v>
      </c>
      <c r="C4" s="194" t="s">
        <v>276</v>
      </c>
      <c r="E4" s="102" t="s">
        <v>167</v>
      </c>
      <c r="G4" s="198" t="s">
        <v>277</v>
      </c>
      <c r="H4" s="198" t="s">
        <v>166</v>
      </c>
    </row>
    <row r="5" spans="1:8" ht="12.75">
      <c r="A5" s="13" t="s">
        <v>0</v>
      </c>
      <c r="B5" s="45">
        <v>2904</v>
      </c>
      <c r="C5" s="33">
        <v>2</v>
      </c>
      <c r="E5" s="45">
        <v>2841</v>
      </c>
      <c r="F5" s="47">
        <v>0.18123456790123457</v>
      </c>
      <c r="G5" s="47">
        <f>SUM(B5/$B$38)</f>
        <v>0.16828929068150209</v>
      </c>
      <c r="H5" s="47">
        <f>SUM(E5/$E$38)</f>
        <v>0.1646193069880635</v>
      </c>
    </row>
    <row r="6" spans="1:8" ht="12.75">
      <c r="A6" s="14" t="s">
        <v>16</v>
      </c>
      <c r="B6" s="32">
        <v>796</v>
      </c>
      <c r="C6" s="33">
        <v>5</v>
      </c>
      <c r="E6" s="32">
        <v>809</v>
      </c>
      <c r="F6" s="47">
        <v>0.048950617283950615</v>
      </c>
      <c r="G6" s="47">
        <f>SUM(B6/$B$38)</f>
        <v>0.04612888270746407</v>
      </c>
      <c r="H6" s="47">
        <f>SUM(E6/$E$38)</f>
        <v>0.04687681075443273</v>
      </c>
    </row>
    <row r="7" spans="1:8" ht="12.75">
      <c r="A7" s="14" t="s">
        <v>17</v>
      </c>
      <c r="B7" s="32">
        <v>261</v>
      </c>
      <c r="C7" s="33">
        <v>0</v>
      </c>
      <c r="E7" s="32">
        <v>257</v>
      </c>
      <c r="F7" s="47">
        <v>0.016419753086419752</v>
      </c>
      <c r="G7" s="47">
        <f aca="true" t="shared" si="0" ref="G7:G17">SUM(B7/$B$38)</f>
        <v>0.015125173852573018</v>
      </c>
      <c r="H7" s="47">
        <f aca="true" t="shared" si="1" ref="H7:H37">SUM(E7/$E$38)</f>
        <v>0.014891644454745626</v>
      </c>
    </row>
    <row r="8" spans="1:8" ht="12.75">
      <c r="A8" s="14" t="s">
        <v>18</v>
      </c>
      <c r="B8" s="32">
        <v>637</v>
      </c>
      <c r="C8" s="33">
        <v>3</v>
      </c>
      <c r="E8" s="32">
        <v>652</v>
      </c>
      <c r="F8" s="47">
        <v>0.03827160493827161</v>
      </c>
      <c r="G8" s="47">
        <f t="shared" si="0"/>
        <v>0.0369146963375058</v>
      </c>
      <c r="H8" s="47">
        <f t="shared" si="1"/>
        <v>0.037779580484413024</v>
      </c>
    </row>
    <row r="9" spans="1:8" ht="12.75">
      <c r="A9" s="14" t="s">
        <v>19</v>
      </c>
      <c r="B9" s="32">
        <v>548</v>
      </c>
      <c r="C9" s="33">
        <v>1</v>
      </c>
      <c r="E9" s="32">
        <v>530</v>
      </c>
      <c r="F9" s="47">
        <v>0.03469135802469136</v>
      </c>
      <c r="G9" s="47">
        <f t="shared" si="0"/>
        <v>0.03175707000463607</v>
      </c>
      <c r="H9" s="47">
        <f t="shared" si="1"/>
        <v>0.0307103951790474</v>
      </c>
    </row>
    <row r="10" spans="1:8" ht="12.75">
      <c r="A10" s="14" t="s">
        <v>20</v>
      </c>
      <c r="B10" s="32">
        <v>1515</v>
      </c>
      <c r="C10" s="33">
        <v>0</v>
      </c>
      <c r="E10" s="32">
        <v>1597</v>
      </c>
      <c r="F10" s="47">
        <v>0.09302469135802469</v>
      </c>
      <c r="G10" s="47">
        <f t="shared" si="0"/>
        <v>0.08779554937413074</v>
      </c>
      <c r="H10" s="47">
        <f t="shared" si="1"/>
        <v>0.092536794530073</v>
      </c>
    </row>
    <row r="11" spans="1:8" ht="12.75">
      <c r="A11" s="14" t="s">
        <v>21</v>
      </c>
      <c r="B11" s="32">
        <v>128</v>
      </c>
      <c r="C11" s="33">
        <v>6</v>
      </c>
      <c r="E11" s="32">
        <v>126</v>
      </c>
      <c r="F11" s="47">
        <v>0.007962962962962963</v>
      </c>
      <c r="G11" s="47">
        <f t="shared" si="0"/>
        <v>0.007417709782104775</v>
      </c>
      <c r="H11" s="47">
        <f t="shared" si="1"/>
        <v>0.0073009618727546645</v>
      </c>
    </row>
    <row r="12" spans="1:8" ht="12.75">
      <c r="A12" s="14" t="s">
        <v>22</v>
      </c>
      <c r="B12" s="32">
        <v>521</v>
      </c>
      <c r="C12" s="33">
        <v>2</v>
      </c>
      <c r="E12" s="32">
        <v>563</v>
      </c>
      <c r="F12" s="47">
        <v>0.03376543209876543</v>
      </c>
      <c r="G12" s="47">
        <f t="shared" si="0"/>
        <v>0.03019239684747334</v>
      </c>
      <c r="H12" s="47">
        <f t="shared" si="1"/>
        <v>0.032622551860006954</v>
      </c>
    </row>
    <row r="13" spans="1:8" ht="12.75">
      <c r="A13" s="14" t="s">
        <v>23</v>
      </c>
      <c r="B13" s="32">
        <v>219</v>
      </c>
      <c r="C13" s="33">
        <v>2</v>
      </c>
      <c r="E13" s="32">
        <v>210</v>
      </c>
      <c r="F13" s="47">
        <v>0.013703703703703704</v>
      </c>
      <c r="G13" s="47">
        <f t="shared" si="0"/>
        <v>0.012691237830319889</v>
      </c>
      <c r="H13" s="47">
        <f t="shared" si="1"/>
        <v>0.012168269787924442</v>
      </c>
    </row>
    <row r="14" spans="1:8" ht="12.75">
      <c r="A14" s="14" t="s">
        <v>24</v>
      </c>
      <c r="B14" s="32">
        <v>652</v>
      </c>
      <c r="C14" s="33">
        <v>0</v>
      </c>
      <c r="E14" s="32">
        <v>678</v>
      </c>
      <c r="F14" s="47">
        <v>0.04080246913580247</v>
      </c>
      <c r="G14" s="47">
        <f t="shared" si="0"/>
        <v>0.037783959202596196</v>
      </c>
      <c r="H14" s="47">
        <f t="shared" si="1"/>
        <v>0.039286128172441766</v>
      </c>
    </row>
    <row r="15" spans="1:8" ht="12.75">
      <c r="A15" s="14" t="s">
        <v>25</v>
      </c>
      <c r="B15" s="32">
        <v>374</v>
      </c>
      <c r="C15" s="33">
        <v>0</v>
      </c>
      <c r="E15" s="32">
        <v>371</v>
      </c>
      <c r="F15" s="47">
        <v>0.02339506172839506</v>
      </c>
      <c r="G15" s="47">
        <f t="shared" si="0"/>
        <v>0.02167362076958739</v>
      </c>
      <c r="H15" s="47">
        <f t="shared" si="1"/>
        <v>0.02149727662533318</v>
      </c>
    </row>
    <row r="16" spans="1:8" ht="12.75">
      <c r="A16" s="14" t="s">
        <v>26</v>
      </c>
      <c r="B16" s="32">
        <v>212</v>
      </c>
      <c r="C16" s="33">
        <v>0</v>
      </c>
      <c r="E16" s="32">
        <v>209</v>
      </c>
      <c r="F16" s="47">
        <v>0.013580246913580247</v>
      </c>
      <c r="G16" s="47">
        <f t="shared" si="0"/>
        <v>0.012285581826611033</v>
      </c>
      <c r="H16" s="47">
        <f t="shared" si="1"/>
        <v>0.012110325646077181</v>
      </c>
    </row>
    <row r="17" spans="1:8" ht="12.75">
      <c r="A17" s="14" t="s">
        <v>27</v>
      </c>
      <c r="B17" s="32">
        <v>140</v>
      </c>
      <c r="C17" s="33">
        <v>0</v>
      </c>
      <c r="E17" s="32">
        <v>145</v>
      </c>
      <c r="F17" s="47">
        <v>0.008765432098765432</v>
      </c>
      <c r="G17" s="47">
        <f t="shared" si="0"/>
        <v>0.008113120074177098</v>
      </c>
      <c r="H17" s="47">
        <f t="shared" si="1"/>
        <v>0.00840190056785259</v>
      </c>
    </row>
    <row r="18" spans="1:8" ht="12.75">
      <c r="A18" s="14" t="s">
        <v>28</v>
      </c>
      <c r="B18" s="32">
        <v>695</v>
      </c>
      <c r="C18" s="33">
        <v>3</v>
      </c>
      <c r="E18" s="32">
        <v>662</v>
      </c>
      <c r="F18" s="47">
        <v>0.04395061728395062</v>
      </c>
      <c r="G18" s="47">
        <f aca="true" t="shared" si="2" ref="G18:G37">SUM(B18/$B$38)</f>
        <v>0.04027584608252202</v>
      </c>
      <c r="H18" s="47">
        <f t="shared" si="1"/>
        <v>0.03835902190288562</v>
      </c>
    </row>
    <row r="19" spans="1:8" ht="12.75">
      <c r="A19" s="14" t="s">
        <v>29</v>
      </c>
      <c r="B19" s="32">
        <v>362</v>
      </c>
      <c r="C19" s="33">
        <v>0</v>
      </c>
      <c r="E19" s="32">
        <v>334</v>
      </c>
      <c r="F19" s="47">
        <v>0.02148148148148148</v>
      </c>
      <c r="G19" s="47">
        <f t="shared" si="2"/>
        <v>0.020978210477515066</v>
      </c>
      <c r="H19" s="47">
        <f t="shared" si="1"/>
        <v>0.019353343376984588</v>
      </c>
    </row>
    <row r="20" spans="1:8" ht="12.75">
      <c r="A20" s="14" t="s">
        <v>30</v>
      </c>
      <c r="B20" s="32">
        <v>226</v>
      </c>
      <c r="C20" s="33">
        <v>0</v>
      </c>
      <c r="E20" s="32">
        <v>249</v>
      </c>
      <c r="F20" s="47">
        <v>0.014382716049382717</v>
      </c>
      <c r="G20" s="47">
        <f t="shared" si="2"/>
        <v>0.013096893834028744</v>
      </c>
      <c r="H20" s="47">
        <f t="shared" si="1"/>
        <v>0.014428091319967551</v>
      </c>
    </row>
    <row r="21" spans="1:8" ht="12.75">
      <c r="A21" s="14" t="s">
        <v>31</v>
      </c>
      <c r="B21" s="32">
        <v>38</v>
      </c>
      <c r="C21" s="33">
        <v>0</v>
      </c>
      <c r="E21" s="32">
        <v>50</v>
      </c>
      <c r="F21" s="47">
        <v>0.0024074074074074076</v>
      </c>
      <c r="G21" s="47">
        <f t="shared" si="2"/>
        <v>0.002202132591562355</v>
      </c>
      <c r="H21" s="47">
        <f t="shared" si="1"/>
        <v>0.002897207092362962</v>
      </c>
    </row>
    <row r="22" spans="1:8" ht="12.75">
      <c r="A22" s="14" t="s">
        <v>32</v>
      </c>
      <c r="B22" s="32">
        <v>272</v>
      </c>
      <c r="C22" s="33">
        <v>14</v>
      </c>
      <c r="E22" s="32">
        <v>296</v>
      </c>
      <c r="F22" s="47">
        <v>0.016975308641975308</v>
      </c>
      <c r="G22" s="47">
        <f t="shared" si="2"/>
        <v>0.01576263328697265</v>
      </c>
      <c r="H22" s="47">
        <f t="shared" si="1"/>
        <v>0.017151465986788735</v>
      </c>
    </row>
    <row r="23" spans="1:8" ht="12.75">
      <c r="A23" s="14" t="s">
        <v>33</v>
      </c>
      <c r="B23" s="32">
        <v>51</v>
      </c>
      <c r="C23" s="33">
        <v>2</v>
      </c>
      <c r="E23" s="32">
        <v>43</v>
      </c>
      <c r="F23" s="47">
        <v>0.0032098765432098763</v>
      </c>
      <c r="G23" s="47">
        <f t="shared" si="2"/>
        <v>0.0029554937413073714</v>
      </c>
      <c r="H23" s="47">
        <f t="shared" si="1"/>
        <v>0.0024915980994321472</v>
      </c>
    </row>
    <row r="24" spans="1:8" ht="12.75">
      <c r="A24" s="14" t="s">
        <v>34</v>
      </c>
      <c r="B24" s="32">
        <v>86</v>
      </c>
      <c r="C24" s="33">
        <v>8</v>
      </c>
      <c r="E24" s="32">
        <v>107</v>
      </c>
      <c r="F24" s="47">
        <v>0.005432098765432099</v>
      </c>
      <c r="G24" s="47">
        <f t="shared" si="2"/>
        <v>0.0049837737598516455</v>
      </c>
      <c r="H24" s="47">
        <f t="shared" si="1"/>
        <v>0.006200023177656739</v>
      </c>
    </row>
    <row r="25" spans="1:8" ht="12.75">
      <c r="A25" s="14" t="s">
        <v>35</v>
      </c>
      <c r="B25" s="32">
        <v>76</v>
      </c>
      <c r="C25" s="33">
        <v>0</v>
      </c>
      <c r="E25" s="32">
        <v>89</v>
      </c>
      <c r="F25" s="47">
        <v>0.004753086419753087</v>
      </c>
      <c r="G25" s="47">
        <f t="shared" si="2"/>
        <v>0.00440426518312471</v>
      </c>
      <c r="H25" s="47">
        <f t="shared" si="1"/>
        <v>0.005157028624406072</v>
      </c>
    </row>
    <row r="26" spans="1:8" ht="12.75">
      <c r="A26" s="14" t="s">
        <v>36</v>
      </c>
      <c r="B26" s="32">
        <v>30</v>
      </c>
      <c r="C26" s="33">
        <v>0</v>
      </c>
      <c r="E26" s="32">
        <v>24</v>
      </c>
      <c r="F26" s="47">
        <v>0.001851851851851852</v>
      </c>
      <c r="G26" s="47">
        <f t="shared" si="2"/>
        <v>0.0017385257301808068</v>
      </c>
      <c r="H26" s="47">
        <f t="shared" si="1"/>
        <v>0.0013906594043342217</v>
      </c>
    </row>
    <row r="27" spans="1:8" ht="12.75">
      <c r="A27" s="14" t="s">
        <v>37</v>
      </c>
      <c r="B27" s="32">
        <v>56</v>
      </c>
      <c r="C27" s="33">
        <v>0</v>
      </c>
      <c r="E27" s="32">
        <v>60</v>
      </c>
      <c r="F27" s="47">
        <v>0.0035185185185185185</v>
      </c>
      <c r="G27" s="47">
        <f t="shared" si="2"/>
        <v>0.003245248029670839</v>
      </c>
      <c r="H27" s="47">
        <f t="shared" si="1"/>
        <v>0.0034766485108355546</v>
      </c>
    </row>
    <row r="28" spans="1:8" ht="12.75">
      <c r="A28" s="14" t="s">
        <v>38</v>
      </c>
      <c r="B28" s="32">
        <v>646</v>
      </c>
      <c r="C28" s="33">
        <v>7</v>
      </c>
      <c r="E28" s="32">
        <v>673</v>
      </c>
      <c r="F28" s="47">
        <v>0.0404320987654321</v>
      </c>
      <c r="G28" s="47">
        <f t="shared" si="2"/>
        <v>0.03743625405656004</v>
      </c>
      <c r="H28" s="47">
        <f t="shared" si="1"/>
        <v>0.03899640746320547</v>
      </c>
    </row>
    <row r="29" spans="1:8" ht="12.75">
      <c r="A29" s="14" t="s">
        <v>39</v>
      </c>
      <c r="B29" s="32">
        <v>0</v>
      </c>
      <c r="C29" s="33"/>
      <c r="E29" s="32">
        <v>0</v>
      </c>
      <c r="F29" s="47">
        <v>0</v>
      </c>
      <c r="G29" s="47">
        <f t="shared" si="2"/>
        <v>0</v>
      </c>
      <c r="H29" s="47">
        <f t="shared" si="1"/>
        <v>0</v>
      </c>
    </row>
    <row r="30" spans="1:8" ht="12.75">
      <c r="A30" s="14" t="s">
        <v>8</v>
      </c>
      <c r="B30" s="32">
        <v>617</v>
      </c>
      <c r="C30" s="33">
        <v>15</v>
      </c>
      <c r="E30" s="32">
        <v>539</v>
      </c>
      <c r="F30" s="47">
        <v>0.03666666666666667</v>
      </c>
      <c r="G30" s="47">
        <f t="shared" si="2"/>
        <v>0.035755679184051925</v>
      </c>
      <c r="H30" s="47">
        <f t="shared" si="1"/>
        <v>0.031231892455672733</v>
      </c>
    </row>
    <row r="31" spans="1:8" ht="12.75">
      <c r="A31" s="14" t="s">
        <v>127</v>
      </c>
      <c r="B31" s="32">
        <v>1416</v>
      </c>
      <c r="C31" s="33">
        <v>0</v>
      </c>
      <c r="E31" s="32">
        <v>1374</v>
      </c>
      <c r="F31" s="47">
        <v>0.09067901234567902</v>
      </c>
      <c r="G31" s="47">
        <f t="shared" si="2"/>
        <v>0.08205841446453407</v>
      </c>
      <c r="H31" s="47">
        <f t="shared" si="1"/>
        <v>0.0796152508981342</v>
      </c>
    </row>
    <row r="32" spans="1:8" ht="12.75">
      <c r="A32" s="14" t="s">
        <v>40</v>
      </c>
      <c r="B32" s="32">
        <v>1843</v>
      </c>
      <c r="C32" s="33">
        <v>0</v>
      </c>
      <c r="E32" s="32">
        <v>1982</v>
      </c>
      <c r="F32" s="47">
        <v>0.11635802469135803</v>
      </c>
      <c r="G32" s="47">
        <f t="shared" si="2"/>
        <v>0.10680343069077422</v>
      </c>
      <c r="H32" s="47">
        <f t="shared" si="1"/>
        <v>0.11484528914126782</v>
      </c>
    </row>
    <row r="33" spans="1:8" ht="12.75">
      <c r="A33" s="14" t="s">
        <v>5</v>
      </c>
      <c r="B33" s="32">
        <v>272</v>
      </c>
      <c r="C33" s="33">
        <v>0</v>
      </c>
      <c r="E33" s="32">
        <v>301</v>
      </c>
      <c r="F33" s="47">
        <v>0.01691358024691358</v>
      </c>
      <c r="G33" s="47">
        <f t="shared" si="2"/>
        <v>0.01576263328697265</v>
      </c>
      <c r="H33" s="47">
        <f t="shared" si="1"/>
        <v>0.01744118669602503</v>
      </c>
    </row>
    <row r="34" spans="1:8" ht="12.75">
      <c r="A34" s="14" t="s">
        <v>6</v>
      </c>
      <c r="B34" s="32">
        <v>422</v>
      </c>
      <c r="C34" s="33">
        <v>0</v>
      </c>
      <c r="E34" s="32">
        <v>378</v>
      </c>
      <c r="F34" s="47">
        <v>0.026419753086419754</v>
      </c>
      <c r="G34" s="47">
        <f t="shared" si="2"/>
        <v>0.02445526193787668</v>
      </c>
      <c r="H34" s="47">
        <f t="shared" si="1"/>
        <v>0.021902885618263992</v>
      </c>
    </row>
    <row r="35" spans="1:8" ht="12.75">
      <c r="A35" s="14" t="s">
        <v>9</v>
      </c>
      <c r="B35" s="32">
        <v>677</v>
      </c>
      <c r="C35" s="33"/>
      <c r="E35" s="32">
        <v>597</v>
      </c>
      <c r="F35" s="47">
        <v>0</v>
      </c>
      <c r="G35" s="47">
        <f t="shared" si="2"/>
        <v>0.03923273064441354</v>
      </c>
      <c r="H35" s="47">
        <f t="shared" si="1"/>
        <v>0.034592652682813765</v>
      </c>
    </row>
    <row r="36" spans="1:8" ht="12.75">
      <c r="A36" s="14" t="s">
        <v>165</v>
      </c>
      <c r="B36" s="32">
        <v>564</v>
      </c>
      <c r="C36" s="33"/>
      <c r="E36" s="32">
        <v>512</v>
      </c>
      <c r="F36" s="47">
        <v>0</v>
      </c>
      <c r="G36" s="47">
        <f t="shared" si="2"/>
        <v>0.03268428372739916</v>
      </c>
      <c r="H36" s="47">
        <f t="shared" si="1"/>
        <v>0.02966740062579673</v>
      </c>
    </row>
    <row r="37" spans="1:8" ht="12.75">
      <c r="A37" s="14" t="s">
        <v>61</v>
      </c>
      <c r="B37" s="37">
        <v>0</v>
      </c>
      <c r="C37" s="37"/>
      <c r="E37" s="37">
        <v>0</v>
      </c>
      <c r="F37" s="197">
        <v>0</v>
      </c>
      <c r="G37" s="197">
        <f t="shared" si="2"/>
        <v>0</v>
      </c>
      <c r="H37" s="197">
        <f t="shared" si="1"/>
        <v>0</v>
      </c>
    </row>
    <row r="38" spans="1:8" ht="12.75">
      <c r="A38" s="98" t="s">
        <v>128</v>
      </c>
      <c r="B38" s="97">
        <f>SUM(B5:B37)</f>
        <v>17256</v>
      </c>
      <c r="C38" s="97">
        <f>SUM(C5:C37)</f>
        <v>70</v>
      </c>
      <c r="E38" s="97">
        <f>SUM(E5:E37)</f>
        <v>17258</v>
      </c>
      <c r="G38" s="48">
        <f>SUM(G5:G37)</f>
        <v>1.0000000000000002</v>
      </c>
      <c r="H38" s="48">
        <f>SUM(H5:H37)</f>
        <v>1</v>
      </c>
    </row>
    <row r="39" spans="1:5" ht="12.75">
      <c r="A39" s="193"/>
      <c r="B39" s="195" t="s">
        <v>282</v>
      </c>
      <c r="C39" s="195"/>
      <c r="D39" s="195"/>
      <c r="E39" s="195" t="s">
        <v>283</v>
      </c>
    </row>
    <row r="40" ht="12.75">
      <c r="F40" s="42"/>
    </row>
  </sheetData>
  <mergeCells count="2">
    <mergeCell ref="A1:E1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39"/>
  <sheetViews>
    <sheetView zoomScale="75" zoomScaleNormal="75" workbookViewId="0" topLeftCell="A10">
      <selection activeCell="AB12" sqref="AB12"/>
    </sheetView>
  </sheetViews>
  <sheetFormatPr defaultColWidth="9.140625" defaultRowHeight="12.75"/>
  <cols>
    <col min="1" max="1" width="18.8515625" style="0" customWidth="1"/>
    <col min="2" max="2" width="13.421875" style="0" hidden="1" customWidth="1"/>
    <col min="3" max="3" width="2.7109375" style="0" hidden="1" customWidth="1"/>
    <col min="4" max="4" width="9.140625" style="0" hidden="1" customWidth="1"/>
    <col min="5" max="5" width="13.28125" style="0" hidden="1" customWidth="1"/>
    <col min="6" max="6" width="3.28125" style="0" hidden="1" customWidth="1"/>
    <col min="7" max="7" width="9.140625" style="0" hidden="1" customWidth="1"/>
    <col min="8" max="8" width="11.00390625" style="0" hidden="1" customWidth="1"/>
    <col min="9" max="17" width="9.140625" style="0" hidden="1" customWidth="1"/>
    <col min="18" max="18" width="3.140625" style="0" hidden="1" customWidth="1"/>
    <col min="19" max="19" width="15.28125" style="0" hidden="1" customWidth="1"/>
    <col min="20" max="20" width="3.57421875" style="0" hidden="1" customWidth="1"/>
    <col min="21" max="21" width="10.8515625" style="0" hidden="1" customWidth="1"/>
    <col min="22" max="22" width="16.7109375" style="0" hidden="1" customWidth="1"/>
    <col min="23" max="23" width="3.8515625" style="0" hidden="1" customWidth="1"/>
    <col min="24" max="24" width="14.421875" style="0" customWidth="1"/>
    <col min="25" max="25" width="2.7109375" style="0" customWidth="1"/>
    <col min="26" max="26" width="12.7109375" style="0" customWidth="1"/>
    <col min="27" max="27" width="2.8515625" style="0" customWidth="1"/>
    <col min="28" max="28" width="13.28125" style="0" customWidth="1"/>
    <col min="30" max="30" width="15.00390625" style="0" customWidth="1"/>
  </cols>
  <sheetData>
    <row r="1" spans="1:28" ht="15.75">
      <c r="A1" s="244" t="s">
        <v>80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1:28" ht="15.75">
      <c r="A2" s="244" t="s">
        <v>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</row>
    <row r="3" spans="1:28" ht="15.75">
      <c r="A3" s="244" t="s">
        <v>310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</row>
    <row r="4" spans="1:28" ht="15.75">
      <c r="A4" s="246" t="s">
        <v>151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</row>
    <row r="5" spans="1:11" ht="15.75">
      <c r="A5" s="245"/>
      <c r="B5" s="245"/>
      <c r="C5" s="245"/>
      <c r="D5" s="245"/>
      <c r="E5" s="245"/>
      <c r="F5" s="245"/>
      <c r="G5" s="245"/>
      <c r="H5" s="245"/>
      <c r="I5" s="57"/>
      <c r="J5" s="57"/>
      <c r="K5" s="56"/>
    </row>
    <row r="6" spans="1:11" ht="15.75">
      <c r="A6" s="58"/>
      <c r="B6" s="58"/>
      <c r="C6" s="58"/>
      <c r="D6" s="58"/>
      <c r="E6" s="59"/>
      <c r="F6" s="59"/>
      <c r="G6" s="59"/>
      <c r="H6" s="59"/>
      <c r="I6" s="59"/>
      <c r="J6" s="59"/>
      <c r="K6" s="56"/>
    </row>
    <row r="7" spans="1:24" ht="15.75">
      <c r="A7" s="56"/>
      <c r="B7" s="58" t="s">
        <v>82</v>
      </c>
      <c r="C7" s="56"/>
      <c r="D7" s="56"/>
      <c r="E7" s="58" t="s">
        <v>83</v>
      </c>
      <c r="F7" s="60"/>
      <c r="G7" s="60"/>
      <c r="H7" s="60"/>
      <c r="I7" s="60"/>
      <c r="J7" s="60"/>
      <c r="K7" s="56"/>
      <c r="R7" s="58"/>
      <c r="S7" s="58" t="s">
        <v>84</v>
      </c>
      <c r="X7" s="58" t="s">
        <v>311</v>
      </c>
    </row>
    <row r="8" spans="1:28" ht="15.75">
      <c r="A8" s="60"/>
      <c r="B8" s="58" t="s">
        <v>85</v>
      </c>
      <c r="C8" s="58"/>
      <c r="D8" s="58"/>
      <c r="E8" s="58" t="s">
        <v>85</v>
      </c>
      <c r="F8" s="58"/>
      <c r="G8" s="58"/>
      <c r="H8" s="58" t="s">
        <v>83</v>
      </c>
      <c r="I8" s="58"/>
      <c r="J8" s="58"/>
      <c r="K8" s="56"/>
      <c r="M8" s="58"/>
      <c r="R8" s="58"/>
      <c r="S8" s="58" t="s">
        <v>85</v>
      </c>
      <c r="V8" s="58" t="s">
        <v>84</v>
      </c>
      <c r="X8" s="58" t="s">
        <v>85</v>
      </c>
      <c r="AB8" s="58" t="s">
        <v>311</v>
      </c>
    </row>
    <row r="9" spans="1:28" ht="15.75">
      <c r="A9" s="60"/>
      <c r="B9" s="58" t="s">
        <v>46</v>
      </c>
      <c r="C9" s="58"/>
      <c r="D9" s="58" t="s">
        <v>43</v>
      </c>
      <c r="E9" s="58" t="s">
        <v>46</v>
      </c>
      <c r="F9" s="58"/>
      <c r="G9" s="58" t="s">
        <v>43</v>
      </c>
      <c r="H9" s="58" t="s">
        <v>40</v>
      </c>
      <c r="I9" s="58" t="s">
        <v>43</v>
      </c>
      <c r="J9" s="58" t="s">
        <v>43</v>
      </c>
      <c r="K9" s="56"/>
      <c r="M9" s="58"/>
      <c r="N9" s="58"/>
      <c r="O9" s="58"/>
      <c r="R9" s="58"/>
      <c r="S9" s="58" t="s">
        <v>46</v>
      </c>
      <c r="T9" s="58"/>
      <c r="U9" s="58" t="s">
        <v>43</v>
      </c>
      <c r="V9" s="58" t="s">
        <v>40</v>
      </c>
      <c r="X9" s="58" t="s">
        <v>46</v>
      </c>
      <c r="Y9" s="58"/>
      <c r="Z9" s="58" t="s">
        <v>43</v>
      </c>
      <c r="AA9" s="58"/>
      <c r="AB9" s="58" t="s">
        <v>150</v>
      </c>
    </row>
    <row r="10" spans="1:28" ht="15.75">
      <c r="A10" s="60"/>
      <c r="B10" s="61" t="s">
        <v>86</v>
      </c>
      <c r="C10" s="61"/>
      <c r="D10" s="61" t="s">
        <v>87</v>
      </c>
      <c r="E10" s="61" t="s">
        <v>88</v>
      </c>
      <c r="F10" s="61"/>
      <c r="G10" s="61" t="s">
        <v>89</v>
      </c>
      <c r="H10" s="61" t="s">
        <v>90</v>
      </c>
      <c r="I10" s="61" t="s">
        <v>87</v>
      </c>
      <c r="J10" s="61" t="s">
        <v>91</v>
      </c>
      <c r="K10" s="56"/>
      <c r="M10" s="61"/>
      <c r="N10" s="61"/>
      <c r="O10" s="58">
        <f>2116228-2308-82193-66750</f>
        <v>1964977</v>
      </c>
      <c r="R10" s="61"/>
      <c r="S10" s="61" t="s">
        <v>92</v>
      </c>
      <c r="T10" s="61"/>
      <c r="U10" s="61" t="s">
        <v>89</v>
      </c>
      <c r="V10" s="61" t="s">
        <v>90</v>
      </c>
      <c r="X10" s="131" t="s">
        <v>149</v>
      </c>
      <c r="Y10" s="61"/>
      <c r="Z10" s="131" t="s">
        <v>89</v>
      </c>
      <c r="AA10" s="61"/>
      <c r="AB10" s="131" t="s">
        <v>90</v>
      </c>
    </row>
    <row r="11" spans="1:28" ht="15.75">
      <c r="A11" s="60" t="s">
        <v>0</v>
      </c>
      <c r="B11" s="62">
        <v>563130</v>
      </c>
      <c r="C11" s="62"/>
      <c r="D11" s="63">
        <f>SUM(B11/$B$35)</f>
        <v>0.29402443233229725</v>
      </c>
      <c r="E11" s="62">
        <v>619443</v>
      </c>
      <c r="F11" s="62"/>
      <c r="G11" s="63">
        <f aca="true" t="shared" si="0" ref="G11:G16">SUM(E11/$O$10)</f>
        <v>0.3152418577927375</v>
      </c>
      <c r="H11" s="62">
        <f>ROUND(G11*$O$11,0)-1</f>
        <v>89365</v>
      </c>
      <c r="I11" s="64">
        <f>SUM(H11/$H$35)</f>
        <v>0.3017426214618301</v>
      </c>
      <c r="J11" s="64">
        <f aca="true" t="shared" si="1" ref="J11:J35">SUM(E11-B11)/B11</f>
        <v>0.1</v>
      </c>
      <c r="K11" s="64">
        <f>SUM(I11-G11)/G11</f>
        <v>-0.04282183979445631</v>
      </c>
      <c r="M11" s="34"/>
      <c r="N11" s="64">
        <f>SUM(E11/$E$35)</f>
        <v>0.2927108988256464</v>
      </c>
      <c r="O11" s="58">
        <f>283484</f>
        <v>283484</v>
      </c>
      <c r="P11" s="64">
        <f aca="true" t="shared" si="2" ref="P11:P34">SUM(I11-N11)/N11</f>
        <v>0.03085543678906023</v>
      </c>
      <c r="R11" s="62"/>
      <c r="S11" s="62">
        <v>706258</v>
      </c>
      <c r="T11" s="62"/>
      <c r="U11" s="78">
        <f>SUM(S11/$S$35)</f>
        <v>0.2982395094781026</v>
      </c>
      <c r="V11" s="62">
        <f>ROUND(U11*$V$39,0)</f>
        <v>92957</v>
      </c>
      <c r="X11" s="62">
        <v>717948</v>
      </c>
      <c r="Y11" s="62"/>
      <c r="Z11" s="78">
        <f>SUM(X11/$AD$38)</f>
        <v>0.2807969108538213</v>
      </c>
      <c r="AA11" s="78"/>
      <c r="AB11" s="62">
        <f>ROUND(Z11*$AD$37,0)</f>
        <v>90762</v>
      </c>
    </row>
    <row r="12" spans="1:28" ht="15.75">
      <c r="A12" s="60" t="s">
        <v>16</v>
      </c>
      <c r="B12" s="65">
        <v>133986</v>
      </c>
      <c r="C12" s="65"/>
      <c r="D12" s="63">
        <f>SUM(B12/$B$35)</f>
        <v>0.06995748333506505</v>
      </c>
      <c r="E12" s="65">
        <v>145705</v>
      </c>
      <c r="F12" s="65"/>
      <c r="G12" s="63">
        <f t="shared" si="0"/>
        <v>0.07415099515159719</v>
      </c>
      <c r="H12" s="65">
        <f>ROUND(G12*$O$11,0)</f>
        <v>21021</v>
      </c>
      <c r="I12" s="64">
        <f>SUM(H12/$H$35)</f>
        <v>0.07097780614053747</v>
      </c>
      <c r="J12" s="64">
        <f t="shared" si="1"/>
        <v>0.08746436194826325</v>
      </c>
      <c r="K12" s="64">
        <f aca="true" t="shared" si="3" ref="K12:K35">SUM(I12-G12)/G12</f>
        <v>-0.042793613282900975</v>
      </c>
      <c r="M12" s="34"/>
      <c r="N12" s="64">
        <f aca="true" t="shared" si="4" ref="N12:N34">SUM(E12/$E$35)</f>
        <v>0.06885127689455012</v>
      </c>
      <c r="O12" s="66"/>
      <c r="P12" s="64">
        <f t="shared" si="2"/>
        <v>0.03088583599174588</v>
      </c>
      <c r="R12" s="65"/>
      <c r="S12" s="65">
        <v>159221</v>
      </c>
      <c r="T12" s="65"/>
      <c r="U12" s="78">
        <f aca="true" t="shared" si="5" ref="U12:U34">SUM(S12/$S$35)</f>
        <v>0.06723604254905853</v>
      </c>
      <c r="V12" s="65">
        <f>ROUND(U12*$V$39,0)</f>
        <v>20956</v>
      </c>
      <c r="X12" s="65">
        <v>169517</v>
      </c>
      <c r="Y12" s="65"/>
      <c r="Z12" s="78">
        <f aca="true" t="shared" si="6" ref="Z12:Z34">SUM(X12/$AD$38)</f>
        <v>0.0662998572838245</v>
      </c>
      <c r="AA12" s="78"/>
      <c r="AB12" s="65">
        <f aca="true" t="shared" si="7" ref="AB12:AB32">ROUND(Z12*$AD$37,0)</f>
        <v>21430</v>
      </c>
    </row>
    <row r="13" spans="1:28" ht="15.75">
      <c r="A13" s="60" t="s">
        <v>17</v>
      </c>
      <c r="B13" s="65">
        <v>54550</v>
      </c>
      <c r="C13" s="65"/>
      <c r="D13" s="63">
        <f aca="true" t="shared" si="8" ref="D13:D19">SUM(B13/$B$35)</f>
        <v>0.028481936291312515</v>
      </c>
      <c r="E13" s="65">
        <v>60005</v>
      </c>
      <c r="F13" s="65"/>
      <c r="G13" s="63">
        <f t="shared" si="0"/>
        <v>0.03053725310779719</v>
      </c>
      <c r="H13" s="65">
        <f>ROUND(G13*$O$11,0)</f>
        <v>8657</v>
      </c>
      <c r="I13" s="64">
        <f>SUM(H13/$H$35)</f>
        <v>0.029230525082471478</v>
      </c>
      <c r="J13" s="64">
        <f t="shared" si="1"/>
        <v>0.1</v>
      </c>
      <c r="K13" s="64">
        <f t="shared" si="3"/>
        <v>-0.04279127597734264</v>
      </c>
      <c r="M13" s="34"/>
      <c r="N13" s="64">
        <f t="shared" si="4"/>
        <v>0.02835469524077746</v>
      </c>
      <c r="O13" s="66"/>
      <c r="P13" s="64">
        <f t="shared" si="2"/>
        <v>0.030888353207706835</v>
      </c>
      <c r="R13" s="65"/>
      <c r="S13" s="65">
        <v>66366</v>
      </c>
      <c r="T13" s="65"/>
      <c r="U13" s="78">
        <f t="shared" si="5"/>
        <v>0.028025117288616563</v>
      </c>
      <c r="V13" s="65">
        <f aca="true" t="shared" si="9" ref="V13:V34">ROUND(U13*$V$39,0)</f>
        <v>8735</v>
      </c>
      <c r="X13" s="65">
        <v>58948</v>
      </c>
      <c r="Y13" s="65"/>
      <c r="Z13" s="78">
        <f t="shared" si="6"/>
        <v>0.023055174331582592</v>
      </c>
      <c r="AA13" s="78"/>
      <c r="AB13" s="65">
        <f t="shared" si="7"/>
        <v>7452</v>
      </c>
    </row>
    <row r="14" spans="1:28" ht="15.75">
      <c r="A14" s="60" t="s">
        <v>18</v>
      </c>
      <c r="B14" s="65">
        <v>124903</v>
      </c>
      <c r="C14" s="65"/>
      <c r="D14" s="63">
        <f t="shared" si="8"/>
        <v>0.06521501903929985</v>
      </c>
      <c r="E14" s="65">
        <v>137393</v>
      </c>
      <c r="F14" s="65"/>
      <c r="G14" s="63">
        <f t="shared" si="0"/>
        <v>0.06992092019397683</v>
      </c>
      <c r="H14" s="65">
        <f>ROUND(G14*$O$11,0)</f>
        <v>19821</v>
      </c>
      <c r="I14" s="64">
        <f aca="true" t="shared" si="10" ref="I14:I34">SUM(H14/$H$35)</f>
        <v>0.06692598332674912</v>
      </c>
      <c r="J14" s="64">
        <f t="shared" si="1"/>
        <v>0.09999759813615365</v>
      </c>
      <c r="K14" s="64">
        <f t="shared" si="3"/>
        <v>-0.04283320154996618</v>
      </c>
      <c r="M14" s="34"/>
      <c r="N14" s="64">
        <f t="shared" si="4"/>
        <v>0.06492353375912237</v>
      </c>
      <c r="O14" s="66"/>
      <c r="P14" s="64">
        <f t="shared" si="2"/>
        <v>0.030843200480371133</v>
      </c>
      <c r="R14" s="65"/>
      <c r="S14" s="65">
        <v>153675</v>
      </c>
      <c r="T14" s="65"/>
      <c r="U14" s="78">
        <f t="shared" si="5"/>
        <v>0.06489407074900025</v>
      </c>
      <c r="V14" s="65">
        <f t="shared" si="9"/>
        <v>20227</v>
      </c>
      <c r="X14" s="65">
        <v>166711</v>
      </c>
      <c r="Y14" s="65"/>
      <c r="Z14" s="78">
        <f t="shared" si="6"/>
        <v>0.06520240157414103</v>
      </c>
      <c r="AA14" s="78"/>
      <c r="AB14" s="65">
        <f t="shared" si="7"/>
        <v>21075</v>
      </c>
    </row>
    <row r="15" spans="1:28" ht="15.75">
      <c r="A15" s="60" t="s">
        <v>19</v>
      </c>
      <c r="B15" s="65">
        <v>110643</v>
      </c>
      <c r="C15" s="65"/>
      <c r="D15" s="63">
        <f t="shared" si="8"/>
        <v>0.057769511953798175</v>
      </c>
      <c r="E15" s="65">
        <v>121707</v>
      </c>
      <c r="F15" s="65"/>
      <c r="G15" s="63">
        <f t="shared" si="0"/>
        <v>0.0619381295557149</v>
      </c>
      <c r="H15" s="65">
        <f>ROUND(G15*$O$11,0)</f>
        <v>17558</v>
      </c>
      <c r="I15" s="64">
        <f t="shared" si="10"/>
        <v>0.05928492080374659</v>
      </c>
      <c r="J15" s="64">
        <f t="shared" si="1"/>
        <v>0.09999728857677395</v>
      </c>
      <c r="K15" s="64">
        <f t="shared" si="3"/>
        <v>-0.04283643647297556</v>
      </c>
      <c r="M15" s="34"/>
      <c r="N15" s="64">
        <f t="shared" si="4"/>
        <v>0.057511288953742225</v>
      </c>
      <c r="O15" s="66"/>
      <c r="P15" s="64">
        <f t="shared" si="2"/>
        <v>0.030839716554274064</v>
      </c>
      <c r="R15" s="65"/>
      <c r="S15" s="65">
        <v>136284</v>
      </c>
      <c r="T15" s="65"/>
      <c r="U15" s="78">
        <f t="shared" si="5"/>
        <v>0.057550177569264685</v>
      </c>
      <c r="V15" s="65">
        <f t="shared" si="9"/>
        <v>17938</v>
      </c>
      <c r="X15" s="65">
        <v>146420</v>
      </c>
      <c r="Y15" s="65"/>
      <c r="Z15" s="78">
        <f t="shared" si="6"/>
        <v>0.057266380973575406</v>
      </c>
      <c r="AA15" s="78"/>
      <c r="AB15" s="65">
        <f t="shared" si="7"/>
        <v>18510</v>
      </c>
    </row>
    <row r="16" spans="1:28" ht="15.75">
      <c r="A16" s="60" t="s">
        <v>20</v>
      </c>
      <c r="B16" s="65">
        <v>243998</v>
      </c>
      <c r="C16" s="65"/>
      <c r="D16" s="63">
        <f t="shared" si="8"/>
        <v>0.12739753421095637</v>
      </c>
      <c r="E16" s="65">
        <v>268823</v>
      </c>
      <c r="F16" s="65"/>
      <c r="G16" s="63">
        <f t="shared" si="0"/>
        <v>0.1368071992700169</v>
      </c>
      <c r="H16" s="65">
        <f>ROUND(G16*$O$11,0)</f>
        <v>38783</v>
      </c>
      <c r="I16" s="64">
        <f t="shared" si="10"/>
        <v>0.13095153682262808</v>
      </c>
      <c r="J16" s="64">
        <f t="shared" si="1"/>
        <v>0.10174263723473143</v>
      </c>
      <c r="K16" s="64">
        <f t="shared" si="3"/>
        <v>-0.04280229752990894</v>
      </c>
      <c r="M16" s="34"/>
      <c r="N16" s="64">
        <f t="shared" si="4"/>
        <v>0.12702931820200847</v>
      </c>
      <c r="O16" s="66"/>
      <c r="P16" s="64">
        <f t="shared" si="2"/>
        <v>0.030876483288545288</v>
      </c>
      <c r="R16" s="65"/>
      <c r="S16" s="65">
        <v>453875</v>
      </c>
      <c r="T16" s="65"/>
      <c r="U16" s="78">
        <f t="shared" si="5"/>
        <v>0.19166290132554084</v>
      </c>
      <c r="V16" s="65">
        <f t="shared" si="9"/>
        <v>59738</v>
      </c>
      <c r="X16" s="65">
        <v>539207</v>
      </c>
      <c r="Y16" s="65"/>
      <c r="Z16" s="78">
        <f t="shared" si="6"/>
        <v>0.21088945147943366</v>
      </c>
      <c r="AA16" s="78"/>
      <c r="AB16" s="65">
        <f t="shared" si="7"/>
        <v>68166</v>
      </c>
    </row>
    <row r="17" spans="1:28" ht="15.75">
      <c r="A17" s="60" t="s">
        <v>93</v>
      </c>
      <c r="B17" s="65">
        <v>2098</v>
      </c>
      <c r="C17" s="65"/>
      <c r="D17" s="63">
        <f t="shared" si="8"/>
        <v>0.0010954189246411303</v>
      </c>
      <c r="E17" s="65">
        <v>2308</v>
      </c>
      <c r="F17" s="65"/>
      <c r="G17" s="63">
        <v>0</v>
      </c>
      <c r="H17" s="65">
        <v>153</v>
      </c>
      <c r="I17" s="64">
        <f t="shared" si="10"/>
        <v>0.000516607408758015</v>
      </c>
      <c r="J17" s="64">
        <f t="shared" si="1"/>
        <v>0.10009532888465204</v>
      </c>
      <c r="K17" s="64">
        <v>0</v>
      </c>
      <c r="M17" s="34"/>
      <c r="N17" s="64">
        <f t="shared" si="4"/>
        <v>0.0010906197252847992</v>
      </c>
      <c r="O17" s="66"/>
      <c r="P17" s="64">
        <f t="shared" si="2"/>
        <v>-0.5263175635090309</v>
      </c>
      <c r="R17" s="65"/>
      <c r="S17" s="67" t="s">
        <v>100</v>
      </c>
      <c r="T17" s="65"/>
      <c r="U17" s="78">
        <v>0</v>
      </c>
      <c r="V17" s="65">
        <v>153</v>
      </c>
      <c r="X17" s="67">
        <v>2535</v>
      </c>
      <c r="Y17" s="65"/>
      <c r="Z17" s="78">
        <v>0</v>
      </c>
      <c r="AA17" s="78"/>
      <c r="AB17" s="67">
        <v>153</v>
      </c>
    </row>
    <row r="18" spans="1:28" ht="15.75">
      <c r="A18" s="60" t="s">
        <v>22</v>
      </c>
      <c r="B18" s="65">
        <v>122410</v>
      </c>
      <c r="C18" s="65"/>
      <c r="D18" s="63">
        <f t="shared" si="8"/>
        <v>0.06391336061264097</v>
      </c>
      <c r="E18" s="65">
        <v>134651</v>
      </c>
      <c r="F18" s="65"/>
      <c r="G18" s="63">
        <f>SUM(E18/$O$10)</f>
        <v>0.06852548401329889</v>
      </c>
      <c r="H18" s="65">
        <f>ROUND(G18*$O$11,0)</f>
        <v>19426</v>
      </c>
      <c r="I18" s="64">
        <f t="shared" si="10"/>
        <v>0.06559225831721045</v>
      </c>
      <c r="J18" s="64">
        <f t="shared" si="1"/>
        <v>0.1</v>
      </c>
      <c r="K18" s="64">
        <f t="shared" si="3"/>
        <v>-0.042804888405008235</v>
      </c>
      <c r="M18" s="34"/>
      <c r="N18" s="64">
        <f t="shared" si="4"/>
        <v>0.06362783216175194</v>
      </c>
      <c r="O18" s="66"/>
      <c r="P18" s="64">
        <f t="shared" si="2"/>
        <v>0.03087369298492887</v>
      </c>
      <c r="R18" s="65"/>
      <c r="S18" s="65">
        <v>151597</v>
      </c>
      <c r="T18" s="65"/>
      <c r="U18" s="78">
        <f t="shared" si="5"/>
        <v>0.06401657031616197</v>
      </c>
      <c r="V18" s="65">
        <f t="shared" si="9"/>
        <v>19953</v>
      </c>
      <c r="X18" s="65">
        <f>160188</f>
        <v>160188</v>
      </c>
      <c r="Y18" s="65"/>
      <c r="Z18" s="78">
        <f t="shared" si="6"/>
        <v>0.06265118860398236</v>
      </c>
      <c r="AA18" s="78"/>
      <c r="AB18" s="65">
        <f t="shared" si="7"/>
        <v>20251</v>
      </c>
    </row>
    <row r="19" spans="1:28" ht="15.75">
      <c r="A19" s="60" t="s">
        <v>23</v>
      </c>
      <c r="B19" s="65">
        <v>45448</v>
      </c>
      <c r="C19" s="65"/>
      <c r="D19" s="63">
        <f t="shared" si="8"/>
        <v>0.0237295516144376</v>
      </c>
      <c r="E19" s="65">
        <v>50675</v>
      </c>
      <c r="F19" s="65"/>
      <c r="G19" s="63">
        <f>SUM(E19/$O$10)</f>
        <v>0.025789105928466338</v>
      </c>
      <c r="H19" s="65">
        <f>ROUND(G19*$O$11,0)</f>
        <v>7311</v>
      </c>
      <c r="I19" s="64">
        <f t="shared" si="10"/>
        <v>0.024685730493005542</v>
      </c>
      <c r="J19" s="64">
        <f t="shared" si="1"/>
        <v>0.115010561520859</v>
      </c>
      <c r="K19" s="64">
        <f t="shared" si="3"/>
        <v>-0.04278455556083766</v>
      </c>
      <c r="M19" s="34"/>
      <c r="N19" s="64">
        <f t="shared" si="4"/>
        <v>0.023945907529812478</v>
      </c>
      <c r="O19" s="66"/>
      <c r="P19" s="64">
        <f t="shared" si="2"/>
        <v>0.03089559091765432</v>
      </c>
      <c r="R19" s="65"/>
      <c r="S19" s="65">
        <v>58375</v>
      </c>
      <c r="T19" s="65"/>
      <c r="U19" s="78">
        <f t="shared" si="5"/>
        <v>0.024650667837793325</v>
      </c>
      <c r="V19" s="65">
        <f t="shared" si="9"/>
        <v>7683</v>
      </c>
      <c r="X19" s="65">
        <v>68453</v>
      </c>
      <c r="Y19" s="65"/>
      <c r="Z19" s="78">
        <f t="shared" si="6"/>
        <v>0.026772678437263744</v>
      </c>
      <c r="AA19" s="78"/>
      <c r="AB19" s="65">
        <f t="shared" si="7"/>
        <v>8654</v>
      </c>
    </row>
    <row r="20" spans="1:28" ht="15.75">
      <c r="A20" s="60" t="s">
        <v>24</v>
      </c>
      <c r="B20" s="65">
        <v>83008</v>
      </c>
      <c r="C20" s="68" t="s">
        <v>94</v>
      </c>
      <c r="D20" s="63">
        <f>SUM(B20/$B$35)</f>
        <v>0.0433405786923789</v>
      </c>
      <c r="E20" s="65">
        <f>139725-30829-12173</f>
        <v>96723</v>
      </c>
      <c r="F20" s="65" t="s">
        <v>94</v>
      </c>
      <c r="G20" s="63">
        <f>SUM(E20/$O$10)</f>
        <v>0.049223476916014794</v>
      </c>
      <c r="H20" s="65">
        <f>ROUND(G20*$O$11,0)</f>
        <v>13954</v>
      </c>
      <c r="I20" s="64">
        <f t="shared" si="10"/>
        <v>0.047115946286335565</v>
      </c>
      <c r="J20" s="64">
        <f t="shared" si="1"/>
        <v>0.16522503855050116</v>
      </c>
      <c r="K20" s="64">
        <f t="shared" si="3"/>
        <v>-0.0428155579760264</v>
      </c>
      <c r="L20" s="69"/>
      <c r="M20" s="34"/>
      <c r="N20" s="64">
        <f t="shared" si="4"/>
        <v>0.04570537768142185</v>
      </c>
      <c r="O20" s="66"/>
      <c r="P20" s="64">
        <f t="shared" si="2"/>
        <v>0.030862202140538923</v>
      </c>
      <c r="R20" s="65"/>
      <c r="S20" s="65">
        <f>157464-31527-14013</f>
        <v>111924</v>
      </c>
      <c r="T20" s="70" t="s">
        <v>95</v>
      </c>
      <c r="U20" s="78">
        <f t="shared" si="5"/>
        <v>0.04726340637391315</v>
      </c>
      <c r="V20" s="65">
        <f t="shared" si="9"/>
        <v>14731</v>
      </c>
      <c r="X20" s="65">
        <f>168011-31970-15517</f>
        <v>120524</v>
      </c>
      <c r="Y20" s="70" t="s">
        <v>95</v>
      </c>
      <c r="Z20" s="78">
        <f t="shared" si="6"/>
        <v>0.04713818672626146</v>
      </c>
      <c r="AA20" s="78"/>
      <c r="AB20" s="65">
        <f t="shared" si="7"/>
        <v>15236</v>
      </c>
    </row>
    <row r="21" spans="1:28" ht="15.75">
      <c r="A21" s="60" t="s">
        <v>96</v>
      </c>
      <c r="B21" s="65">
        <v>74770</v>
      </c>
      <c r="C21" s="68"/>
      <c r="D21" s="63">
        <f>SUM(B21/$B$35)</f>
        <v>0.039039310293335225</v>
      </c>
      <c r="E21" s="65">
        <v>82193</v>
      </c>
      <c r="G21" s="63">
        <v>0</v>
      </c>
      <c r="H21" s="65">
        <v>7629</v>
      </c>
      <c r="I21" s="64">
        <f t="shared" si="10"/>
        <v>0.025759463538659454</v>
      </c>
      <c r="J21" s="64">
        <f t="shared" si="1"/>
        <v>0.0992777852079711</v>
      </c>
      <c r="K21" s="64">
        <v>0</v>
      </c>
      <c r="L21" s="69"/>
      <c r="M21" s="34"/>
      <c r="N21" s="64">
        <f t="shared" si="4"/>
        <v>0.03883938781643566</v>
      </c>
      <c r="O21" s="66"/>
      <c r="P21" s="64">
        <f t="shared" si="2"/>
        <v>-0.3367695788511161</v>
      </c>
      <c r="R21" s="65"/>
      <c r="S21" s="67" t="s">
        <v>101</v>
      </c>
      <c r="T21" s="68"/>
      <c r="U21" s="78">
        <v>0</v>
      </c>
      <c r="V21" s="65">
        <v>7629</v>
      </c>
      <c r="X21" s="67">
        <v>104548</v>
      </c>
      <c r="Y21" s="68"/>
      <c r="Z21" s="78">
        <v>0</v>
      </c>
      <c r="AA21" s="78"/>
      <c r="AB21" s="67">
        <v>7629</v>
      </c>
    </row>
    <row r="22" spans="1:28" ht="15.75">
      <c r="A22" s="60" t="s">
        <v>26</v>
      </c>
      <c r="B22" s="65">
        <v>38012</v>
      </c>
      <c r="C22" s="71"/>
      <c r="D22" s="63">
        <f aca="true" t="shared" si="11" ref="D22:D34">SUM(B22/$B$35)</f>
        <v>0.0198470277232882</v>
      </c>
      <c r="E22" s="65">
        <v>42813</v>
      </c>
      <c r="F22" s="65"/>
      <c r="G22" s="63">
        <f>SUM(E22/$O$10)</f>
        <v>0.021788041284961604</v>
      </c>
      <c r="H22" s="65">
        <f>ROUND(G22*$O$11,0)</f>
        <v>6177</v>
      </c>
      <c r="I22" s="64">
        <f t="shared" si="10"/>
        <v>0.020856757933975546</v>
      </c>
      <c r="J22" s="64">
        <f t="shared" si="1"/>
        <v>0.12630222035146796</v>
      </c>
      <c r="K22" s="64">
        <f t="shared" si="3"/>
        <v>-0.042742867006996255</v>
      </c>
      <c r="L22" s="69"/>
      <c r="M22" s="34"/>
      <c r="N22" s="64">
        <f t="shared" si="4"/>
        <v>0.020230806888482715</v>
      </c>
      <c r="O22" s="66"/>
      <c r="P22" s="64">
        <f t="shared" si="2"/>
        <v>0.030940488382061603</v>
      </c>
      <c r="R22" s="65"/>
      <c r="S22" s="65">
        <v>51739</v>
      </c>
      <c r="T22" s="71"/>
      <c r="U22" s="78">
        <f t="shared" si="5"/>
        <v>0.021848409477680325</v>
      </c>
      <c r="V22" s="65">
        <f t="shared" si="9"/>
        <v>6810</v>
      </c>
      <c r="X22" s="65">
        <v>51582</v>
      </c>
      <c r="Y22" s="71"/>
      <c r="Z22" s="78">
        <f t="shared" si="6"/>
        <v>0.02017425531606998</v>
      </c>
      <c r="AA22" s="78"/>
      <c r="AB22" s="65">
        <f t="shared" si="7"/>
        <v>6521</v>
      </c>
    </row>
    <row r="23" spans="1:28" ht="15.75">
      <c r="A23" s="60" t="s">
        <v>27</v>
      </c>
      <c r="B23" s="65">
        <v>26470</v>
      </c>
      <c r="C23" s="71"/>
      <c r="D23" s="63">
        <f t="shared" si="11"/>
        <v>0.01382065726179729</v>
      </c>
      <c r="E23" s="65">
        <v>29117</v>
      </c>
      <c r="F23" s="65"/>
      <c r="G23" s="63">
        <f>SUM(E23/$O$10)</f>
        <v>0.014817985146899939</v>
      </c>
      <c r="H23" s="65">
        <f>ROUND(G23*$O$11,0)</f>
        <v>4201</v>
      </c>
      <c r="I23" s="64">
        <f t="shared" si="10"/>
        <v>0.014184756367270726</v>
      </c>
      <c r="J23" s="64">
        <f t="shared" si="1"/>
        <v>0.1</v>
      </c>
      <c r="K23" s="64">
        <f t="shared" si="3"/>
        <v>-0.04273379770269851</v>
      </c>
      <c r="L23" s="69"/>
      <c r="M23" s="34"/>
      <c r="N23" s="64">
        <f t="shared" si="4"/>
        <v>0.013758914445891463</v>
      </c>
      <c r="O23" s="66"/>
      <c r="P23" s="64">
        <f t="shared" si="2"/>
        <v>0.03095025578172868</v>
      </c>
      <c r="R23" s="65"/>
      <c r="S23" s="65">
        <v>32460</v>
      </c>
      <c r="T23" s="71"/>
      <c r="U23" s="78">
        <f t="shared" si="5"/>
        <v>0.013707249302180239</v>
      </c>
      <c r="V23" s="65">
        <f t="shared" si="9"/>
        <v>4272</v>
      </c>
      <c r="X23" s="65">
        <v>34458</v>
      </c>
      <c r="Y23" s="71"/>
      <c r="Z23" s="78">
        <f t="shared" si="6"/>
        <v>0.01347688127023263</v>
      </c>
      <c r="AA23" s="78"/>
      <c r="AB23" s="65">
        <f t="shared" si="7"/>
        <v>4356</v>
      </c>
    </row>
    <row r="24" spans="1:28" ht="15.75">
      <c r="A24" s="60" t="s">
        <v>28</v>
      </c>
      <c r="B24" s="65">
        <v>124566</v>
      </c>
      <c r="C24" s="71"/>
      <c r="D24" s="63">
        <f t="shared" si="11"/>
        <v>0.0650390628059328</v>
      </c>
      <c r="E24" s="65">
        <v>135945</v>
      </c>
      <c r="F24" s="65"/>
      <c r="G24" s="63">
        <f>SUM(E24/$O$10)</f>
        <v>0.06918401589433362</v>
      </c>
      <c r="H24" s="65">
        <f>ROUND(G24*$O$11,0)</f>
        <v>19613</v>
      </c>
      <c r="I24" s="64">
        <f t="shared" si="10"/>
        <v>0.06622366737235914</v>
      </c>
      <c r="J24" s="64">
        <f t="shared" si="1"/>
        <v>0.0913491642984442</v>
      </c>
      <c r="K24" s="64">
        <f t="shared" si="3"/>
        <v>-0.04278948661343813</v>
      </c>
      <c r="L24" s="69"/>
      <c r="M24" s="34"/>
      <c r="N24" s="64">
        <f t="shared" si="4"/>
        <v>0.0642392974670026</v>
      </c>
      <c r="O24" s="66"/>
      <c r="P24" s="64">
        <f t="shared" si="2"/>
        <v>0.030890280305070867</v>
      </c>
      <c r="R24" s="65"/>
      <c r="S24" s="65">
        <v>149459</v>
      </c>
      <c r="T24" s="71"/>
      <c r="U24" s="78">
        <f t="shared" si="5"/>
        <v>0.0631137330084583</v>
      </c>
      <c r="V24" s="65">
        <f t="shared" si="9"/>
        <v>19672</v>
      </c>
      <c r="X24" s="65">
        <v>159126</v>
      </c>
      <c r="Y24" s="71"/>
      <c r="Z24" s="78">
        <f t="shared" si="6"/>
        <v>0.06223582938670373</v>
      </c>
      <c r="AA24" s="78"/>
      <c r="AB24" s="65">
        <f t="shared" si="7"/>
        <v>20116</v>
      </c>
    </row>
    <row r="25" spans="1:28" ht="15.75">
      <c r="A25" s="60" t="s">
        <v>97</v>
      </c>
      <c r="B25" s="65">
        <v>57450</v>
      </c>
      <c r="D25" s="63">
        <f t="shared" si="11"/>
        <v>0.029996099723847917</v>
      </c>
      <c r="E25" s="65">
        <v>66750</v>
      </c>
      <c r="F25" s="65"/>
      <c r="G25" s="63">
        <v>0</v>
      </c>
      <c r="H25" s="65">
        <v>4897</v>
      </c>
      <c r="I25" s="64">
        <f t="shared" si="10"/>
        <v>0.01653481359926797</v>
      </c>
      <c r="J25" s="64">
        <f t="shared" si="1"/>
        <v>0.1618798955613577</v>
      </c>
      <c r="K25" s="64">
        <v>0</v>
      </c>
      <c r="L25" s="69"/>
      <c r="M25" s="34"/>
      <c r="N25" s="64">
        <f t="shared" si="4"/>
        <v>0.03154196995786843</v>
      </c>
      <c r="O25" s="66"/>
      <c r="P25" s="64">
        <f t="shared" si="2"/>
        <v>-0.4757837376246942</v>
      </c>
      <c r="R25" s="65"/>
      <c r="S25" s="67" t="s">
        <v>99</v>
      </c>
      <c r="U25" s="78">
        <v>0</v>
      </c>
      <c r="V25" s="65">
        <v>4897</v>
      </c>
      <c r="X25" s="67">
        <v>80373</v>
      </c>
      <c r="Z25" s="78">
        <v>0</v>
      </c>
      <c r="AA25" s="78"/>
      <c r="AB25" s="67">
        <v>4897</v>
      </c>
    </row>
    <row r="26" spans="1:28" ht="15.75">
      <c r="A26" s="60" t="s">
        <v>30</v>
      </c>
      <c r="B26" s="65">
        <v>33000</v>
      </c>
      <c r="C26" s="65"/>
      <c r="D26" s="63">
        <f t="shared" si="11"/>
        <v>0.01723013561160977</v>
      </c>
      <c r="E26" s="65">
        <v>36300</v>
      </c>
      <c r="F26" s="65"/>
      <c r="G26" s="63">
        <f aca="true" t="shared" si="12" ref="G26:G34">SUM(E26/$O$10)</f>
        <v>0.018473498671994635</v>
      </c>
      <c r="H26" s="65">
        <f aca="true" t="shared" si="13" ref="H26:H31">ROUND(G26*$O$11,0)</f>
        <v>5237</v>
      </c>
      <c r="I26" s="64">
        <f t="shared" si="10"/>
        <v>0.01768283006317467</v>
      </c>
      <c r="J26" s="64">
        <f t="shared" si="1"/>
        <v>0.1</v>
      </c>
      <c r="K26" s="64">
        <f t="shared" si="3"/>
        <v>-0.042800155122678436</v>
      </c>
      <c r="L26" s="69"/>
      <c r="M26" s="34"/>
      <c r="N26" s="64">
        <f t="shared" si="4"/>
        <v>0.01715316119057115</v>
      </c>
      <c r="O26" s="66"/>
      <c r="P26" s="64">
        <f t="shared" si="2"/>
        <v>0.03087879060418745</v>
      </c>
      <c r="R26" s="65"/>
      <c r="S26" s="65">
        <v>40597</v>
      </c>
      <c r="T26" s="65"/>
      <c r="U26" s="78">
        <f t="shared" si="5"/>
        <v>0.017143351815175942</v>
      </c>
      <c r="V26" s="65">
        <f t="shared" si="9"/>
        <v>5343</v>
      </c>
      <c r="X26" s="65">
        <v>45878</v>
      </c>
      <c r="Y26" s="65"/>
      <c r="Z26" s="78">
        <f t="shared" si="6"/>
        <v>0.017943361742287205</v>
      </c>
      <c r="AA26" s="78"/>
      <c r="AB26" s="65">
        <f t="shared" si="7"/>
        <v>5800</v>
      </c>
    </row>
    <row r="27" spans="1:28" ht="15.75">
      <c r="A27" s="60" t="s">
        <v>31</v>
      </c>
      <c r="B27" s="65">
        <v>1803</v>
      </c>
      <c r="C27" s="65"/>
      <c r="D27" s="63">
        <f t="shared" si="11"/>
        <v>0.0009413919547797702</v>
      </c>
      <c r="E27" s="65">
        <v>1983</v>
      </c>
      <c r="F27" s="65"/>
      <c r="G27" s="63">
        <f t="shared" si="12"/>
        <v>0.0010091721175362358</v>
      </c>
      <c r="H27" s="65">
        <f t="shared" si="13"/>
        <v>286</v>
      </c>
      <c r="I27" s="64">
        <f t="shared" si="10"/>
        <v>0.0009656844372862241</v>
      </c>
      <c r="J27" s="64">
        <f t="shared" si="1"/>
        <v>0.09983361064891846</v>
      </c>
      <c r="K27" s="64">
        <f t="shared" si="3"/>
        <v>-0.043092431404249676</v>
      </c>
      <c r="L27" s="69"/>
      <c r="M27" s="34"/>
      <c r="N27" s="64">
        <f t="shared" si="4"/>
        <v>0.0009370445906584735</v>
      </c>
      <c r="O27" s="66"/>
      <c r="P27" s="64">
        <f t="shared" si="2"/>
        <v>0.03056401681762558</v>
      </c>
      <c r="R27" s="65"/>
      <c r="S27" s="65">
        <v>1612</v>
      </c>
      <c r="T27" s="65"/>
      <c r="U27" s="78">
        <f t="shared" si="5"/>
        <v>0.000680717371383689</v>
      </c>
      <c r="V27" s="65">
        <f t="shared" si="9"/>
        <v>212</v>
      </c>
      <c r="X27" s="65">
        <v>2395</v>
      </c>
      <c r="Y27" s="65"/>
      <c r="Z27" s="78">
        <f t="shared" si="6"/>
        <v>0.0009367093459343881</v>
      </c>
      <c r="AA27" s="78"/>
      <c r="AB27" s="65">
        <f t="shared" si="7"/>
        <v>303</v>
      </c>
    </row>
    <row r="28" spans="1:28" ht="15.75">
      <c r="A28" s="60" t="s">
        <v>32</v>
      </c>
      <c r="B28" s="65">
        <v>73721</v>
      </c>
      <c r="C28" s="65"/>
      <c r="D28" s="63">
        <f t="shared" si="11"/>
        <v>0.03849160083101466</v>
      </c>
      <c r="E28" s="65">
        <v>81094</v>
      </c>
      <c r="F28" s="65"/>
      <c r="G28" s="63">
        <f t="shared" si="12"/>
        <v>0.041269694250874185</v>
      </c>
      <c r="H28" s="65">
        <f t="shared" si="13"/>
        <v>11699</v>
      </c>
      <c r="I28" s="64">
        <f t="shared" si="10"/>
        <v>0.03950189591542495</v>
      </c>
      <c r="J28" s="64">
        <f t="shared" si="1"/>
        <v>0.10001220819033925</v>
      </c>
      <c r="K28" s="64">
        <f t="shared" si="3"/>
        <v>-0.0428352661084177</v>
      </c>
      <c r="L28" s="69"/>
      <c r="M28" s="34"/>
      <c r="N28" s="64">
        <f t="shared" si="4"/>
        <v>0.03832006759196079</v>
      </c>
      <c r="O28" s="66"/>
      <c r="P28" s="64">
        <f t="shared" si="2"/>
        <v>0.03084097700579469</v>
      </c>
      <c r="R28" s="65"/>
      <c r="S28" s="65">
        <v>90669</v>
      </c>
      <c r="T28" s="65"/>
      <c r="U28" s="78">
        <f t="shared" si="5"/>
        <v>0.03828781845284596</v>
      </c>
      <c r="V28" s="65">
        <f t="shared" si="9"/>
        <v>11934</v>
      </c>
      <c r="X28" s="65">
        <v>100997</v>
      </c>
      <c r="Y28" s="65"/>
      <c r="Z28" s="78">
        <f t="shared" si="6"/>
        <v>0.039500974451497035</v>
      </c>
      <c r="AA28" s="78"/>
      <c r="AB28" s="65">
        <f t="shared" si="7"/>
        <v>12768</v>
      </c>
    </row>
    <row r="29" spans="1:28" ht="15.75">
      <c r="A29" s="60" t="s">
        <v>33</v>
      </c>
      <c r="B29" s="65">
        <v>0</v>
      </c>
      <c r="C29" s="65"/>
      <c r="D29" s="63">
        <v>0</v>
      </c>
      <c r="E29" s="65">
        <v>0</v>
      </c>
      <c r="F29" s="65"/>
      <c r="G29" s="63">
        <f t="shared" si="12"/>
        <v>0</v>
      </c>
      <c r="H29" s="65">
        <f t="shared" si="13"/>
        <v>0</v>
      </c>
      <c r="I29" s="64">
        <v>0</v>
      </c>
      <c r="J29" s="64">
        <v>0</v>
      </c>
      <c r="K29" s="64">
        <v>0</v>
      </c>
      <c r="L29" s="69"/>
      <c r="M29" s="34"/>
      <c r="N29" s="64">
        <f t="shared" si="4"/>
        <v>0</v>
      </c>
      <c r="O29" s="66"/>
      <c r="P29" s="64" t="e">
        <f t="shared" si="2"/>
        <v>#DIV/0!</v>
      </c>
      <c r="R29" s="65"/>
      <c r="S29" s="65">
        <v>0</v>
      </c>
      <c r="T29" s="65"/>
      <c r="U29" s="78">
        <f t="shared" si="5"/>
        <v>0</v>
      </c>
      <c r="V29" s="65">
        <f t="shared" si="9"/>
        <v>0</v>
      </c>
      <c r="X29" s="65">
        <v>7737</v>
      </c>
      <c r="Y29" s="65"/>
      <c r="Z29" s="78">
        <f t="shared" si="6"/>
        <v>0.003026020964298272</v>
      </c>
      <c r="AA29" s="78"/>
      <c r="AB29" s="65">
        <f t="shared" si="7"/>
        <v>978</v>
      </c>
    </row>
    <row r="30" spans="1:28" ht="15.75">
      <c r="A30" s="60" t="s">
        <v>34</v>
      </c>
      <c r="B30" s="65">
        <v>0</v>
      </c>
      <c r="C30" s="65"/>
      <c r="D30" s="63">
        <f t="shared" si="11"/>
        <v>0</v>
      </c>
      <c r="E30" s="65">
        <v>0</v>
      </c>
      <c r="F30" s="65"/>
      <c r="G30" s="63">
        <f t="shared" si="12"/>
        <v>0</v>
      </c>
      <c r="H30" s="65">
        <f t="shared" si="13"/>
        <v>0</v>
      </c>
      <c r="I30" s="64">
        <f t="shared" si="10"/>
        <v>0</v>
      </c>
      <c r="J30" s="64">
        <v>0</v>
      </c>
      <c r="K30" s="64">
        <v>0</v>
      </c>
      <c r="L30" s="69"/>
      <c r="M30" s="34"/>
      <c r="N30" s="64">
        <f t="shared" si="4"/>
        <v>0</v>
      </c>
      <c r="O30" s="66"/>
      <c r="P30" s="64" t="e">
        <f t="shared" si="2"/>
        <v>#DIV/0!</v>
      </c>
      <c r="R30" s="65"/>
      <c r="S30" s="65">
        <v>0</v>
      </c>
      <c r="T30" s="65"/>
      <c r="U30" s="78">
        <f t="shared" si="5"/>
        <v>0</v>
      </c>
      <c r="V30" s="65">
        <f t="shared" si="9"/>
        <v>0</v>
      </c>
      <c r="X30" s="65">
        <v>0</v>
      </c>
      <c r="Y30" s="65"/>
      <c r="Z30" s="78">
        <f t="shared" si="6"/>
        <v>0</v>
      </c>
      <c r="AA30" s="78"/>
      <c r="AB30" s="65">
        <f t="shared" si="7"/>
        <v>0</v>
      </c>
    </row>
    <row r="31" spans="1:28" ht="15.75">
      <c r="A31" s="60" t="s">
        <v>35</v>
      </c>
      <c r="B31" s="65">
        <v>1283</v>
      </c>
      <c r="C31" s="65"/>
      <c r="D31" s="63">
        <f t="shared" si="11"/>
        <v>0.0006698867875665253</v>
      </c>
      <c r="E31" s="65">
        <v>2600</v>
      </c>
      <c r="F31" s="65"/>
      <c r="G31" s="63">
        <f t="shared" si="12"/>
        <v>0.00132317070377923</v>
      </c>
      <c r="H31" s="65">
        <f t="shared" si="13"/>
        <v>375</v>
      </c>
      <c r="I31" s="64">
        <f t="shared" si="10"/>
        <v>0.0012661946293088602</v>
      </c>
      <c r="J31" s="64">
        <f t="shared" si="1"/>
        <v>1.0265003897116134</v>
      </c>
      <c r="K31" s="64">
        <f t="shared" si="3"/>
        <v>-0.04306025995560147</v>
      </c>
      <c r="L31" s="69"/>
      <c r="M31" s="34"/>
      <c r="N31" s="64">
        <f t="shared" si="4"/>
        <v>0.0012286010770106057</v>
      </c>
      <c r="O31" s="66"/>
      <c r="P31" s="64">
        <f t="shared" si="2"/>
        <v>0.03059866461270403</v>
      </c>
      <c r="R31" s="65"/>
      <c r="S31" s="65">
        <v>3979</v>
      </c>
      <c r="T31" s="65"/>
      <c r="U31" s="78">
        <f t="shared" si="5"/>
        <v>0.0016802570848236343</v>
      </c>
      <c r="V31" s="65">
        <f t="shared" si="9"/>
        <v>524</v>
      </c>
      <c r="X31" s="65">
        <v>6734</v>
      </c>
      <c r="Y31" s="65"/>
      <c r="Z31" s="78">
        <f t="shared" si="6"/>
        <v>0.002633737259090676</v>
      </c>
      <c r="AA31" s="78"/>
      <c r="AB31" s="65">
        <f t="shared" si="7"/>
        <v>851</v>
      </c>
    </row>
    <row r="32" spans="1:28" ht="15.75">
      <c r="A32" s="60" t="s">
        <v>36</v>
      </c>
      <c r="B32" s="65">
        <v>0</v>
      </c>
      <c r="C32" s="65"/>
      <c r="D32" s="63"/>
      <c r="E32" s="65">
        <v>0</v>
      </c>
      <c r="F32" s="65"/>
      <c r="G32" s="63">
        <f t="shared" si="12"/>
        <v>0</v>
      </c>
      <c r="H32" s="65">
        <v>0</v>
      </c>
      <c r="I32" s="64"/>
      <c r="J32" s="64"/>
      <c r="K32" s="64">
        <v>0</v>
      </c>
      <c r="L32" s="69"/>
      <c r="M32" s="34"/>
      <c r="N32" s="64">
        <f t="shared" si="4"/>
        <v>0</v>
      </c>
      <c r="O32" s="66"/>
      <c r="P32" s="64" t="e">
        <f t="shared" si="2"/>
        <v>#DIV/0!</v>
      </c>
      <c r="R32" s="65"/>
      <c r="S32" s="65">
        <v>0</v>
      </c>
      <c r="T32" s="65"/>
      <c r="U32" s="78">
        <f t="shared" si="5"/>
        <v>0</v>
      </c>
      <c r="V32" s="65">
        <f t="shared" si="9"/>
        <v>0</v>
      </c>
      <c r="X32" s="65">
        <v>0</v>
      </c>
      <c r="Y32" s="65"/>
      <c r="Z32" s="78">
        <f t="shared" si="6"/>
        <v>0</v>
      </c>
      <c r="AA32" s="78"/>
      <c r="AB32" s="65">
        <f t="shared" si="7"/>
        <v>0</v>
      </c>
    </row>
    <row r="33" spans="1:28" ht="15.75">
      <c r="A33" s="60" t="s">
        <v>37</v>
      </c>
      <c r="B33" s="65">
        <v>0</v>
      </c>
      <c r="C33" s="65"/>
      <c r="D33" s="63">
        <f t="shared" si="11"/>
        <v>0</v>
      </c>
      <c r="E33" s="65">
        <v>0</v>
      </c>
      <c r="F33" s="65"/>
      <c r="G33" s="63">
        <f t="shared" si="12"/>
        <v>0</v>
      </c>
      <c r="H33" s="65">
        <f>ROUND(G33*$L$26,0)</f>
        <v>0</v>
      </c>
      <c r="I33" s="64">
        <f t="shared" si="10"/>
        <v>0</v>
      </c>
      <c r="J33" s="64">
        <v>0</v>
      </c>
      <c r="K33" s="64">
        <v>0</v>
      </c>
      <c r="L33" s="69"/>
      <c r="M33" s="34"/>
      <c r="N33" s="64">
        <f t="shared" si="4"/>
        <v>0</v>
      </c>
      <c r="O33" s="66"/>
      <c r="P33" s="64" t="e">
        <f t="shared" si="2"/>
        <v>#DIV/0!</v>
      </c>
      <c r="R33" s="65"/>
      <c r="S33" s="65">
        <v>0</v>
      </c>
      <c r="T33" s="65"/>
      <c r="U33" s="78">
        <f t="shared" si="5"/>
        <v>0</v>
      </c>
      <c r="V33" s="65">
        <f t="shared" si="9"/>
        <v>0</v>
      </c>
      <c r="X33" s="65">
        <v>0</v>
      </c>
      <c r="Y33" s="65"/>
      <c r="Z33" s="78">
        <f t="shared" si="6"/>
        <v>0</v>
      </c>
      <c r="AA33" s="78"/>
      <c r="AB33" s="65">
        <f>ROUND(Z33*$V$39,0)</f>
        <v>0</v>
      </c>
    </row>
    <row r="34" spans="1:28" ht="15.75">
      <c r="A34" s="60" t="s">
        <v>38</v>
      </c>
      <c r="B34" s="65">
        <v>0</v>
      </c>
      <c r="C34" s="65"/>
      <c r="D34" s="63">
        <f t="shared" si="11"/>
        <v>0</v>
      </c>
      <c r="E34" s="65">
        <v>0</v>
      </c>
      <c r="F34" s="65"/>
      <c r="G34" s="63">
        <f t="shared" si="12"/>
        <v>0</v>
      </c>
      <c r="H34" s="65">
        <f>ROUND(G34*$L$26,0)</f>
        <v>0</v>
      </c>
      <c r="I34" s="64">
        <f t="shared" si="10"/>
        <v>0</v>
      </c>
      <c r="J34" s="64">
        <v>0</v>
      </c>
      <c r="K34" s="64">
        <v>0</v>
      </c>
      <c r="L34" s="69"/>
      <c r="M34" s="34"/>
      <c r="N34" s="64">
        <f t="shared" si="4"/>
        <v>0</v>
      </c>
      <c r="O34" s="66"/>
      <c r="P34" s="64" t="e">
        <f t="shared" si="2"/>
        <v>#DIV/0!</v>
      </c>
      <c r="R34" s="65"/>
      <c r="S34" s="65">
        <v>0</v>
      </c>
      <c r="T34" s="65"/>
      <c r="U34" s="78">
        <f t="shared" si="5"/>
        <v>0</v>
      </c>
      <c r="V34" s="65">
        <f t="shared" si="9"/>
        <v>0</v>
      </c>
      <c r="X34" s="65">
        <v>0</v>
      </c>
      <c r="Y34" s="65"/>
      <c r="Z34" s="78">
        <f t="shared" si="6"/>
        <v>0</v>
      </c>
      <c r="AA34" s="78"/>
      <c r="AB34" s="65">
        <f>ROUND(Z34*$V$39,0)</f>
        <v>0</v>
      </c>
    </row>
    <row r="35" spans="1:28" ht="16.5" thickBot="1">
      <c r="A35" s="60"/>
      <c r="B35" s="72">
        <f>SUM(B11:B34)</f>
        <v>1915249</v>
      </c>
      <c r="C35" s="72"/>
      <c r="D35" s="73">
        <f>SUM(D11:D34)</f>
        <v>1</v>
      </c>
      <c r="E35" s="72">
        <f>SUM(E11:E34)</f>
        <v>2116228</v>
      </c>
      <c r="F35" s="72"/>
      <c r="G35" s="73">
        <f>SUM(G11:G34)</f>
        <v>1.0000000000000002</v>
      </c>
      <c r="H35" s="72">
        <f>SUM(H11:H34)</f>
        <v>296163</v>
      </c>
      <c r="I35" s="73">
        <f>SUM(I11:I34)</f>
        <v>1</v>
      </c>
      <c r="J35" s="64">
        <f t="shared" si="1"/>
        <v>0.10493622500259757</v>
      </c>
      <c r="K35" s="64">
        <f t="shared" si="3"/>
        <v>-2.2204460492503126E-16</v>
      </c>
      <c r="R35" s="72"/>
      <c r="S35" s="75">
        <f>SUM(S11:S34)</f>
        <v>2368090</v>
      </c>
      <c r="T35" s="72"/>
      <c r="U35" s="79">
        <f>SUM(U11:U34)</f>
        <v>1</v>
      </c>
      <c r="V35" s="72">
        <f>SUM(V11:V34)</f>
        <v>324364</v>
      </c>
      <c r="X35" s="75">
        <f>SUM(X11:X34)</f>
        <v>2744279</v>
      </c>
      <c r="Y35" s="72"/>
      <c r="Z35" s="79">
        <f>SUM(Z11:Z34)</f>
        <v>0.9999999999999998</v>
      </c>
      <c r="AA35" s="79"/>
      <c r="AB35" s="75">
        <f>SUM(AB11:AB34)</f>
        <v>335908</v>
      </c>
    </row>
    <row r="36" spans="1:11" ht="16.5" thickTop="1">
      <c r="A36" s="60"/>
      <c r="B36" s="60"/>
      <c r="C36" s="60"/>
      <c r="D36" s="60"/>
      <c r="E36" s="72"/>
      <c r="F36" s="72"/>
      <c r="G36" s="72"/>
      <c r="H36" s="65"/>
      <c r="I36" s="72"/>
      <c r="J36" s="64"/>
      <c r="K36" s="56"/>
    </row>
    <row r="37" spans="1:31" ht="15.75">
      <c r="A37" s="56" t="s">
        <v>257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S37" s="74" t="s">
        <v>98</v>
      </c>
      <c r="AD37" s="203">
        <f>335909-153-7629-4897</f>
        <v>323230</v>
      </c>
      <c r="AE37" s="91" t="s">
        <v>286</v>
      </c>
    </row>
    <row r="38" spans="1:30" ht="15.75">
      <c r="A38" s="74" t="s">
        <v>285</v>
      </c>
      <c r="AD38" s="76">
        <f>SUM(X11:X34)-X25-X21-X17</f>
        <v>2556823</v>
      </c>
    </row>
    <row r="39" spans="1:23" ht="15.75">
      <c r="A39" s="74"/>
      <c r="V39">
        <f>324364-153-4897-7629</f>
        <v>311685</v>
      </c>
      <c r="W39" s="91" t="s">
        <v>123</v>
      </c>
    </row>
  </sheetData>
  <mergeCells count="5">
    <mergeCell ref="A1:AB1"/>
    <mergeCell ref="A2:AB2"/>
    <mergeCell ref="A3:AB3"/>
    <mergeCell ref="A5:H5"/>
    <mergeCell ref="A4:AB4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2"/>
  <sheetViews>
    <sheetView zoomScale="75" zoomScaleNormal="75" workbookViewId="0" topLeftCell="A1">
      <selection activeCell="L5" sqref="L5"/>
    </sheetView>
  </sheetViews>
  <sheetFormatPr defaultColWidth="12.57421875" defaultRowHeight="12.75"/>
  <cols>
    <col min="12" max="12" width="0" style="0" hidden="1" customWidth="1"/>
  </cols>
  <sheetData>
    <row r="1" spans="1:11" ht="18" customHeight="1">
      <c r="A1" s="247" t="s">
        <v>80</v>
      </c>
      <c r="B1" s="247"/>
      <c r="C1" s="247"/>
      <c r="D1" s="247"/>
      <c r="E1" s="247"/>
      <c r="F1" s="247"/>
      <c r="G1" s="247"/>
      <c r="H1" s="247"/>
      <c r="I1" s="247"/>
      <c r="J1" s="247"/>
      <c r="K1" s="104"/>
    </row>
    <row r="2" spans="1:11" ht="15">
      <c r="A2" s="247" t="s">
        <v>157</v>
      </c>
      <c r="B2" s="247"/>
      <c r="C2" s="247"/>
      <c r="D2" s="247"/>
      <c r="E2" s="247"/>
      <c r="F2" s="247"/>
      <c r="G2" s="247"/>
      <c r="H2" s="247"/>
      <c r="I2" s="247"/>
      <c r="J2" s="247"/>
      <c r="K2" s="104"/>
    </row>
    <row r="3" spans="1:11" ht="15">
      <c r="A3" s="247" t="s">
        <v>129</v>
      </c>
      <c r="B3" s="247"/>
      <c r="C3" s="247"/>
      <c r="D3" s="247"/>
      <c r="E3" s="247"/>
      <c r="F3" s="247"/>
      <c r="G3" s="247"/>
      <c r="H3" s="247"/>
      <c r="I3" s="247"/>
      <c r="J3" s="247"/>
      <c r="K3" s="104"/>
    </row>
    <row r="4" spans="1:11" ht="15.75" thickBot="1">
      <c r="A4" s="248" t="s">
        <v>169</v>
      </c>
      <c r="B4" s="248"/>
      <c r="C4" s="248"/>
      <c r="D4" s="248"/>
      <c r="E4" s="248"/>
      <c r="F4" s="248"/>
      <c r="G4" s="248"/>
      <c r="H4" s="248"/>
      <c r="I4" s="248"/>
      <c r="J4" s="248"/>
      <c r="K4" s="104"/>
    </row>
    <row r="5" spans="1:11" ht="15">
      <c r="A5" s="105"/>
      <c r="B5" s="106" t="s">
        <v>130</v>
      </c>
      <c r="C5" s="106"/>
      <c r="D5" s="107"/>
      <c r="E5" s="106" t="s">
        <v>131</v>
      </c>
      <c r="F5" s="106"/>
      <c r="G5" s="107"/>
      <c r="H5" s="106" t="s">
        <v>41</v>
      </c>
      <c r="I5" s="106"/>
      <c r="J5" s="107"/>
      <c r="K5" s="104"/>
    </row>
    <row r="6" spans="1:11" ht="15">
      <c r="A6" s="108" t="s">
        <v>132</v>
      </c>
      <c r="B6" s="109" t="s">
        <v>133</v>
      </c>
      <c r="C6" s="109" t="s">
        <v>134</v>
      </c>
      <c r="D6" s="110" t="s">
        <v>41</v>
      </c>
      <c r="E6" s="109" t="s">
        <v>133</v>
      </c>
      <c r="F6" s="109" t="s">
        <v>134</v>
      </c>
      <c r="G6" s="110" t="s">
        <v>41</v>
      </c>
      <c r="H6" s="109" t="s">
        <v>133</v>
      </c>
      <c r="I6" s="109" t="s">
        <v>134</v>
      </c>
      <c r="J6" s="110" t="s">
        <v>41</v>
      </c>
      <c r="K6" s="104"/>
    </row>
    <row r="7" spans="1:12" ht="15">
      <c r="A7" s="111" t="s">
        <v>0</v>
      </c>
      <c r="B7" s="112">
        <v>3671</v>
      </c>
      <c r="C7" s="112">
        <v>775</v>
      </c>
      <c r="D7" s="113">
        <v>4463</v>
      </c>
      <c r="E7" s="112">
        <v>2040</v>
      </c>
      <c r="F7" s="112">
        <v>95</v>
      </c>
      <c r="G7" s="113">
        <v>2147</v>
      </c>
      <c r="H7" s="112">
        <v>5711</v>
      </c>
      <c r="I7" s="112">
        <v>870</v>
      </c>
      <c r="J7" s="113">
        <v>6610</v>
      </c>
      <c r="K7" s="104"/>
      <c r="L7" s="66">
        <f>SUM(J7/$J$30)</f>
        <v>0.15782813208853658</v>
      </c>
    </row>
    <row r="8" spans="1:12" ht="15">
      <c r="A8" s="111" t="s">
        <v>16</v>
      </c>
      <c r="B8" s="112">
        <v>2472</v>
      </c>
      <c r="C8" s="112">
        <v>738</v>
      </c>
      <c r="D8" s="113">
        <v>3226</v>
      </c>
      <c r="E8" s="112">
        <v>251</v>
      </c>
      <c r="F8" s="112">
        <v>52</v>
      </c>
      <c r="G8" s="113">
        <v>306</v>
      </c>
      <c r="H8" s="112">
        <v>2723</v>
      </c>
      <c r="I8" s="112">
        <v>790</v>
      </c>
      <c r="J8" s="113">
        <v>3532</v>
      </c>
      <c r="K8" s="104"/>
      <c r="L8" s="66">
        <f aca="true" t="shared" si="0" ref="L8:L29">SUM(J8/$J$30)</f>
        <v>0.08433418495260381</v>
      </c>
    </row>
    <row r="9" spans="1:12" ht="18" customHeight="1">
      <c r="A9" s="111" t="s">
        <v>17</v>
      </c>
      <c r="B9" s="112">
        <v>318</v>
      </c>
      <c r="C9" s="112">
        <v>108</v>
      </c>
      <c r="D9" s="113">
        <v>426</v>
      </c>
      <c r="E9" s="112">
        <v>287</v>
      </c>
      <c r="F9" s="112">
        <v>0</v>
      </c>
      <c r="G9" s="113">
        <v>287</v>
      </c>
      <c r="H9" s="112">
        <v>605</v>
      </c>
      <c r="I9" s="112">
        <v>108</v>
      </c>
      <c r="J9" s="113">
        <v>713</v>
      </c>
      <c r="K9" s="104"/>
      <c r="L9" s="66">
        <f t="shared" si="0"/>
        <v>0.017024426350851222</v>
      </c>
    </row>
    <row r="10" spans="1:12" ht="15">
      <c r="A10" s="111" t="s">
        <v>18</v>
      </c>
      <c r="B10" s="112">
        <v>1620</v>
      </c>
      <c r="C10" s="112">
        <v>563</v>
      </c>
      <c r="D10" s="113">
        <v>2186</v>
      </c>
      <c r="E10" s="112">
        <v>935</v>
      </c>
      <c r="F10" s="112">
        <v>38</v>
      </c>
      <c r="G10" s="113">
        <v>975</v>
      </c>
      <c r="H10" s="112">
        <v>2555</v>
      </c>
      <c r="I10" s="112">
        <v>601</v>
      </c>
      <c r="J10" s="113">
        <v>3161</v>
      </c>
      <c r="K10" s="104"/>
      <c r="L10" s="66">
        <f t="shared" si="0"/>
        <v>0.07547575272796733</v>
      </c>
    </row>
    <row r="11" spans="1:12" ht="15">
      <c r="A11" s="111" t="s">
        <v>19</v>
      </c>
      <c r="B11" s="112">
        <v>1879</v>
      </c>
      <c r="C11" s="112">
        <v>632</v>
      </c>
      <c r="D11" s="113">
        <v>2515</v>
      </c>
      <c r="E11" s="112">
        <v>905</v>
      </c>
      <c r="F11" s="112">
        <v>25</v>
      </c>
      <c r="G11" s="113">
        <v>930</v>
      </c>
      <c r="H11" s="112">
        <v>2784</v>
      </c>
      <c r="I11" s="112">
        <v>657</v>
      </c>
      <c r="J11" s="113">
        <v>3445</v>
      </c>
      <c r="K11" s="104"/>
      <c r="L11" s="66">
        <f t="shared" si="0"/>
        <v>0.08225687065733865</v>
      </c>
    </row>
    <row r="12" spans="1:12" ht="15">
      <c r="A12" s="111" t="s">
        <v>20</v>
      </c>
      <c r="B12" s="112">
        <v>2486</v>
      </c>
      <c r="C12" s="112">
        <v>534</v>
      </c>
      <c r="D12" s="113">
        <v>3021</v>
      </c>
      <c r="E12" s="112">
        <v>1635</v>
      </c>
      <c r="F12" s="112">
        <v>260</v>
      </c>
      <c r="G12" s="113">
        <v>1907</v>
      </c>
      <c r="H12" s="112">
        <v>4121</v>
      </c>
      <c r="I12" s="112">
        <v>794</v>
      </c>
      <c r="J12" s="113">
        <v>4928</v>
      </c>
      <c r="K12" s="104"/>
      <c r="L12" s="66">
        <f t="shared" si="0"/>
        <v>0.11766672238007689</v>
      </c>
    </row>
    <row r="13" spans="1:12" ht="15">
      <c r="A13" s="111" t="s">
        <v>21</v>
      </c>
      <c r="B13" s="112">
        <v>2013</v>
      </c>
      <c r="C13" s="112">
        <v>1017</v>
      </c>
      <c r="D13" s="113">
        <v>3034</v>
      </c>
      <c r="E13" s="112">
        <v>312</v>
      </c>
      <c r="F13" s="112">
        <v>29</v>
      </c>
      <c r="G13" s="113">
        <v>346</v>
      </c>
      <c r="H13" s="112">
        <v>2325</v>
      </c>
      <c r="I13" s="112">
        <v>1046</v>
      </c>
      <c r="J13" s="113">
        <v>3380</v>
      </c>
      <c r="K13" s="104"/>
      <c r="L13" s="66">
        <f t="shared" si="0"/>
        <v>0.0807048542298417</v>
      </c>
    </row>
    <row r="14" spans="1:12" ht="15">
      <c r="A14" s="111" t="s">
        <v>22</v>
      </c>
      <c r="B14" s="112">
        <v>1389</v>
      </c>
      <c r="C14" s="112">
        <v>255</v>
      </c>
      <c r="D14" s="113">
        <v>1660</v>
      </c>
      <c r="E14" s="112">
        <v>749</v>
      </c>
      <c r="F14" s="112">
        <v>26</v>
      </c>
      <c r="G14" s="113">
        <v>780</v>
      </c>
      <c r="H14" s="112">
        <v>2138</v>
      </c>
      <c r="I14" s="112">
        <v>281</v>
      </c>
      <c r="J14" s="113">
        <v>2440</v>
      </c>
      <c r="K14" s="104"/>
      <c r="L14" s="66">
        <f t="shared" si="0"/>
        <v>0.05826030897065495</v>
      </c>
    </row>
    <row r="15" spans="1:12" ht="15">
      <c r="A15" s="111" t="s">
        <v>23</v>
      </c>
      <c r="B15" s="112">
        <v>493</v>
      </c>
      <c r="C15" s="112">
        <v>303</v>
      </c>
      <c r="D15" s="113">
        <v>796</v>
      </c>
      <c r="E15" s="112">
        <v>568</v>
      </c>
      <c r="F15" s="112">
        <v>4</v>
      </c>
      <c r="G15" s="113">
        <v>572</v>
      </c>
      <c r="H15" s="112">
        <v>1061</v>
      </c>
      <c r="I15" s="112">
        <v>307</v>
      </c>
      <c r="J15" s="113">
        <v>1368</v>
      </c>
      <c r="K15" s="104"/>
      <c r="L15" s="66">
        <f t="shared" si="0"/>
        <v>0.032663976504859006</v>
      </c>
    </row>
    <row r="16" spans="1:12" ht="15">
      <c r="A16" s="111" t="s">
        <v>24</v>
      </c>
      <c r="B16" s="112">
        <v>265</v>
      </c>
      <c r="C16" s="112">
        <v>100</v>
      </c>
      <c r="D16" s="113">
        <v>369</v>
      </c>
      <c r="E16" s="112">
        <v>132</v>
      </c>
      <c r="F16" s="112">
        <v>11</v>
      </c>
      <c r="G16" s="113">
        <v>147</v>
      </c>
      <c r="H16" s="112">
        <v>397</v>
      </c>
      <c r="I16" s="112">
        <v>111</v>
      </c>
      <c r="J16" s="113">
        <v>516</v>
      </c>
      <c r="K16" s="104"/>
      <c r="L16" s="66">
        <f t="shared" si="0"/>
        <v>0.012320622716745064</v>
      </c>
    </row>
    <row r="17" spans="1:12" ht="15">
      <c r="A17" s="111" t="s">
        <v>25</v>
      </c>
      <c r="B17" s="112">
        <v>895</v>
      </c>
      <c r="C17" s="112">
        <v>163</v>
      </c>
      <c r="D17" s="113">
        <v>1063</v>
      </c>
      <c r="E17" s="112">
        <v>731</v>
      </c>
      <c r="F17" s="112">
        <v>36</v>
      </c>
      <c r="G17" s="113">
        <v>778</v>
      </c>
      <c r="H17" s="112">
        <v>1626</v>
      </c>
      <c r="I17" s="112">
        <v>199</v>
      </c>
      <c r="J17" s="113">
        <v>1841</v>
      </c>
      <c r="K17" s="104"/>
      <c r="L17" s="66">
        <f t="shared" si="0"/>
        <v>0.043957880661875316</v>
      </c>
    </row>
    <row r="18" spans="1:12" ht="15">
      <c r="A18" s="111" t="s">
        <v>26</v>
      </c>
      <c r="B18" s="112">
        <v>699</v>
      </c>
      <c r="C18" s="112">
        <v>134</v>
      </c>
      <c r="D18" s="113">
        <v>845</v>
      </c>
      <c r="E18" s="112">
        <v>345</v>
      </c>
      <c r="F18" s="112">
        <v>6</v>
      </c>
      <c r="G18" s="113">
        <v>353</v>
      </c>
      <c r="H18" s="112">
        <v>1044</v>
      </c>
      <c r="I18" s="112">
        <v>140</v>
      </c>
      <c r="J18" s="113">
        <v>1198</v>
      </c>
      <c r="K18" s="104"/>
      <c r="L18" s="66">
        <f t="shared" si="0"/>
        <v>0.028604856617559276</v>
      </c>
    </row>
    <row r="19" spans="1:12" ht="15">
      <c r="A19" s="111" t="s">
        <v>27</v>
      </c>
      <c r="B19" s="112">
        <v>313</v>
      </c>
      <c r="C19" s="112">
        <v>146</v>
      </c>
      <c r="D19" s="113">
        <v>460</v>
      </c>
      <c r="E19" s="112">
        <v>261</v>
      </c>
      <c r="F19" s="112">
        <v>3</v>
      </c>
      <c r="G19" s="113">
        <v>264</v>
      </c>
      <c r="H19" s="112">
        <v>574</v>
      </c>
      <c r="I19" s="112">
        <v>149</v>
      </c>
      <c r="J19" s="113">
        <v>724</v>
      </c>
      <c r="K19" s="104"/>
      <c r="L19" s="66">
        <f t="shared" si="0"/>
        <v>0.01728707528473532</v>
      </c>
    </row>
    <row r="20" spans="1:12" ht="15">
      <c r="A20" s="111" t="s">
        <v>28</v>
      </c>
      <c r="B20" s="112">
        <v>1294</v>
      </c>
      <c r="C20" s="112">
        <v>341</v>
      </c>
      <c r="D20" s="113">
        <v>1649</v>
      </c>
      <c r="E20" s="112">
        <v>770</v>
      </c>
      <c r="F20" s="112">
        <v>18</v>
      </c>
      <c r="G20" s="113">
        <v>787</v>
      </c>
      <c r="H20" s="112">
        <v>2064</v>
      </c>
      <c r="I20" s="112">
        <v>359</v>
      </c>
      <c r="J20" s="113">
        <v>2436</v>
      </c>
      <c r="K20" s="104"/>
      <c r="L20" s="66">
        <f t="shared" si="0"/>
        <v>0.05816480026742437</v>
      </c>
    </row>
    <row r="21" spans="1:12" ht="15">
      <c r="A21" s="111" t="s">
        <v>29</v>
      </c>
      <c r="B21" s="112">
        <v>834</v>
      </c>
      <c r="C21" s="112">
        <v>179</v>
      </c>
      <c r="D21" s="113">
        <v>1013</v>
      </c>
      <c r="E21" s="112">
        <v>414</v>
      </c>
      <c r="F21" s="112">
        <v>6</v>
      </c>
      <c r="G21" s="113">
        <v>420</v>
      </c>
      <c r="H21" s="112">
        <v>1248</v>
      </c>
      <c r="I21" s="112">
        <v>185</v>
      </c>
      <c r="J21" s="113">
        <v>1433</v>
      </c>
      <c r="K21" s="104"/>
      <c r="L21" s="66">
        <f t="shared" si="0"/>
        <v>0.034215992932355964</v>
      </c>
    </row>
    <row r="22" spans="1:12" ht="15">
      <c r="A22" s="111" t="s">
        <v>30</v>
      </c>
      <c r="B22" s="112">
        <v>344</v>
      </c>
      <c r="C22" s="112">
        <v>102</v>
      </c>
      <c r="D22" s="113">
        <v>446</v>
      </c>
      <c r="E22" s="112">
        <v>260</v>
      </c>
      <c r="F22" s="112">
        <v>1</v>
      </c>
      <c r="G22" s="113">
        <v>261</v>
      </c>
      <c r="H22" s="112">
        <v>604</v>
      </c>
      <c r="I22" s="112">
        <v>103</v>
      </c>
      <c r="J22" s="113">
        <v>707</v>
      </c>
      <c r="K22" s="104"/>
      <c r="L22" s="66">
        <f t="shared" si="0"/>
        <v>0.01688116329600535</v>
      </c>
    </row>
    <row r="23" spans="1:12" ht="15">
      <c r="A23" s="111" t="s">
        <v>31</v>
      </c>
      <c r="B23" s="112">
        <v>192</v>
      </c>
      <c r="C23" s="112">
        <v>28</v>
      </c>
      <c r="D23" s="113">
        <v>228</v>
      </c>
      <c r="E23" s="112">
        <v>208</v>
      </c>
      <c r="F23" s="112">
        <v>1</v>
      </c>
      <c r="G23" s="113">
        <v>209</v>
      </c>
      <c r="H23" s="112">
        <v>400</v>
      </c>
      <c r="I23" s="112">
        <v>29</v>
      </c>
      <c r="J23" s="113">
        <v>437</v>
      </c>
      <c r="K23" s="104"/>
      <c r="L23" s="66">
        <f t="shared" si="0"/>
        <v>0.010434325827941071</v>
      </c>
    </row>
    <row r="24" spans="1:12" ht="15">
      <c r="A24" s="111" t="s">
        <v>32</v>
      </c>
      <c r="B24" s="112">
        <v>104</v>
      </c>
      <c r="C24" s="112">
        <v>13</v>
      </c>
      <c r="D24" s="113">
        <v>117</v>
      </c>
      <c r="E24" s="112">
        <v>115</v>
      </c>
      <c r="F24" s="112">
        <v>3</v>
      </c>
      <c r="G24" s="113">
        <v>118</v>
      </c>
      <c r="H24" s="112">
        <v>219</v>
      </c>
      <c r="I24" s="112">
        <v>16</v>
      </c>
      <c r="J24" s="113">
        <v>235</v>
      </c>
      <c r="K24" s="104"/>
      <c r="L24" s="66">
        <f t="shared" si="0"/>
        <v>0.005611136314796686</v>
      </c>
    </row>
    <row r="25" spans="1:12" ht="15">
      <c r="A25" s="111" t="s">
        <v>33</v>
      </c>
      <c r="B25" s="112">
        <v>1265</v>
      </c>
      <c r="C25" s="112">
        <v>136</v>
      </c>
      <c r="D25" s="113">
        <v>1403</v>
      </c>
      <c r="E25" s="112">
        <v>171</v>
      </c>
      <c r="F25" s="112">
        <v>0</v>
      </c>
      <c r="G25" s="113">
        <v>171</v>
      </c>
      <c r="H25" s="112">
        <v>1436</v>
      </c>
      <c r="I25" s="112">
        <v>136</v>
      </c>
      <c r="J25" s="113">
        <v>1574</v>
      </c>
      <c r="K25" s="104"/>
      <c r="L25" s="66">
        <f t="shared" si="0"/>
        <v>0.03758267472123397</v>
      </c>
    </row>
    <row r="26" spans="1:12" ht="15">
      <c r="A26" s="111" t="s">
        <v>34</v>
      </c>
      <c r="B26" s="112">
        <v>42</v>
      </c>
      <c r="C26" s="112">
        <v>16</v>
      </c>
      <c r="D26" s="113">
        <v>60</v>
      </c>
      <c r="E26" s="112">
        <v>92</v>
      </c>
      <c r="F26" s="112">
        <v>0</v>
      </c>
      <c r="G26" s="113">
        <v>92</v>
      </c>
      <c r="H26" s="112">
        <v>134</v>
      </c>
      <c r="I26" s="112">
        <v>16</v>
      </c>
      <c r="J26" s="113">
        <v>152</v>
      </c>
      <c r="K26" s="104"/>
      <c r="L26" s="66">
        <f t="shared" si="0"/>
        <v>0.0036293307227621115</v>
      </c>
    </row>
    <row r="27" spans="1:12" ht="15">
      <c r="A27" s="111" t="s">
        <v>35</v>
      </c>
      <c r="B27" s="112">
        <v>131</v>
      </c>
      <c r="C27" s="112">
        <v>4</v>
      </c>
      <c r="D27" s="113">
        <v>136</v>
      </c>
      <c r="E27" s="112">
        <v>494</v>
      </c>
      <c r="F27" s="112">
        <v>0</v>
      </c>
      <c r="G27" s="113">
        <v>495</v>
      </c>
      <c r="H27" s="112">
        <v>625</v>
      </c>
      <c r="I27" s="112">
        <v>4</v>
      </c>
      <c r="J27" s="113">
        <v>631</v>
      </c>
      <c r="K27" s="104"/>
      <c r="L27" s="66">
        <f t="shared" si="0"/>
        <v>0.015066497934624293</v>
      </c>
    </row>
    <row r="28" spans="1:12" ht="15">
      <c r="A28" s="111" t="s">
        <v>36</v>
      </c>
      <c r="B28" s="114">
        <v>0</v>
      </c>
      <c r="C28" s="114">
        <v>0</v>
      </c>
      <c r="D28" s="99">
        <v>0</v>
      </c>
      <c r="E28" s="114">
        <v>0</v>
      </c>
      <c r="F28" s="114">
        <v>0</v>
      </c>
      <c r="G28" s="99">
        <v>0</v>
      </c>
      <c r="H28" s="114">
        <v>0</v>
      </c>
      <c r="I28" s="114">
        <v>0</v>
      </c>
      <c r="J28" s="99">
        <v>0</v>
      </c>
      <c r="K28" s="104"/>
      <c r="L28" s="66">
        <v>0</v>
      </c>
    </row>
    <row r="29" spans="1:12" ht="15.75" thickBot="1">
      <c r="A29" s="111" t="s">
        <v>37</v>
      </c>
      <c r="B29" s="112">
        <v>59</v>
      </c>
      <c r="C29" s="112">
        <v>0</v>
      </c>
      <c r="D29" s="113">
        <v>59</v>
      </c>
      <c r="E29" s="112">
        <v>341</v>
      </c>
      <c r="F29" s="112">
        <v>20</v>
      </c>
      <c r="G29" s="113">
        <v>361</v>
      </c>
      <c r="H29" s="112">
        <v>400</v>
      </c>
      <c r="I29" s="112">
        <v>20</v>
      </c>
      <c r="J29" s="113">
        <v>420</v>
      </c>
      <c r="K29" s="104"/>
      <c r="L29" s="66">
        <f t="shared" si="0"/>
        <v>0.010028413839211098</v>
      </c>
    </row>
    <row r="30" spans="1:12" ht="15.75" thickBot="1">
      <c r="A30" s="100" t="s">
        <v>41</v>
      </c>
      <c r="B30" s="115">
        <v>22778</v>
      </c>
      <c r="C30" s="116">
        <v>6287</v>
      </c>
      <c r="D30" s="117">
        <v>29175</v>
      </c>
      <c r="E30" s="116">
        <v>12016</v>
      </c>
      <c r="F30" s="116">
        <v>634</v>
      </c>
      <c r="G30" s="117">
        <v>12706</v>
      </c>
      <c r="H30" s="116">
        <v>34794</v>
      </c>
      <c r="I30" s="116">
        <v>6921</v>
      </c>
      <c r="J30" s="117">
        <v>41881</v>
      </c>
      <c r="K30" s="104"/>
      <c r="L30" s="136">
        <f>SUM(L7:L29)</f>
        <v>0.9999999999999999</v>
      </c>
    </row>
    <row r="31" spans="1:11" ht="15">
      <c r="A31" s="118"/>
      <c r="B31" s="119"/>
      <c r="C31" s="103"/>
      <c r="D31" s="103"/>
      <c r="E31" s="103"/>
      <c r="F31" s="103"/>
      <c r="G31" s="103"/>
      <c r="H31" s="103"/>
      <c r="I31" s="103"/>
      <c r="J31" s="103"/>
      <c r="K31" s="104"/>
    </row>
    <row r="32" spans="1:11" ht="15">
      <c r="A32" s="119"/>
      <c r="B32" s="119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1:11" ht="15">
      <c r="A33" s="119"/>
      <c r="B33" s="119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2:11" ht="15">
      <c r="B34" s="119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ht="15">
      <c r="A35" s="119"/>
      <c r="B35" s="119"/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ht="15">
      <c r="A36" s="119"/>
      <c r="B36" s="119"/>
      <c r="C36" s="103"/>
      <c r="D36" s="103"/>
      <c r="E36" s="103"/>
      <c r="F36" s="103"/>
      <c r="G36" s="103"/>
      <c r="H36" s="103"/>
      <c r="I36" s="103"/>
      <c r="J36" s="103"/>
      <c r="K36" s="104"/>
    </row>
    <row r="37" spans="1:11" ht="15">
      <c r="A37" s="119"/>
      <c r="B37" s="119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ht="15">
      <c r="A38" s="119"/>
      <c r="B38" s="119"/>
      <c r="C38" s="103"/>
      <c r="D38" s="103"/>
      <c r="E38" s="103"/>
      <c r="F38" s="103"/>
      <c r="G38" s="103"/>
      <c r="H38" s="103"/>
      <c r="I38" s="103"/>
      <c r="J38" s="103"/>
      <c r="K38" s="104"/>
    </row>
    <row r="39" spans="1:11" ht="15">
      <c r="A39" s="119"/>
      <c r="B39" s="119"/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ht="15">
      <c r="A40" s="119"/>
      <c r="B40" s="119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ht="15">
      <c r="A41" s="119"/>
      <c r="B41" s="119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1:11" ht="15">
      <c r="A42" s="119"/>
      <c r="B42" s="119"/>
      <c r="C42" s="103"/>
      <c r="D42" s="103"/>
      <c r="E42" s="103"/>
      <c r="F42" s="103"/>
      <c r="G42" s="103"/>
      <c r="H42" s="103"/>
      <c r="I42" s="103"/>
      <c r="J42" s="103"/>
      <c r="K42" s="104"/>
    </row>
    <row r="43" spans="1:11" ht="15">
      <c r="A43" s="119"/>
      <c r="B43" s="119"/>
      <c r="C43" s="103"/>
      <c r="D43" s="103"/>
      <c r="E43" s="103"/>
      <c r="F43" s="103"/>
      <c r="G43" s="103"/>
      <c r="H43" s="103"/>
      <c r="I43" s="103"/>
      <c r="J43" s="103"/>
      <c r="K43" s="104"/>
    </row>
    <row r="44" spans="1:11" ht="15">
      <c r="A44" s="119"/>
      <c r="B44" s="119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1" ht="15">
      <c r="A45" s="119"/>
      <c r="B45" s="119"/>
      <c r="C45" s="103"/>
      <c r="D45" s="103"/>
      <c r="E45" s="120"/>
      <c r="F45" s="103"/>
      <c r="G45" s="103"/>
      <c r="H45" s="103"/>
      <c r="I45" s="103"/>
      <c r="J45" s="103"/>
      <c r="K45" s="104"/>
    </row>
    <row r="46" spans="1:11" ht="15">
      <c r="A46" s="119"/>
      <c r="B46" s="119"/>
      <c r="C46" s="103"/>
      <c r="D46" s="103"/>
      <c r="E46" s="103"/>
      <c r="F46" s="103"/>
      <c r="G46" s="103"/>
      <c r="H46" s="103"/>
      <c r="I46" s="103"/>
      <c r="J46" s="103"/>
      <c r="K46" s="104"/>
    </row>
    <row r="47" spans="1:11" ht="15">
      <c r="A47" s="119"/>
      <c r="B47" s="119"/>
      <c r="C47" s="103"/>
      <c r="D47" s="103"/>
      <c r="E47" s="103"/>
      <c r="F47" s="103"/>
      <c r="G47" s="103"/>
      <c r="H47" s="103"/>
      <c r="I47" s="103"/>
      <c r="J47" s="103"/>
      <c r="K47" s="104"/>
    </row>
    <row r="48" spans="1:11" ht="15">
      <c r="A48" s="119"/>
      <c r="B48" s="119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1:11" ht="15">
      <c r="A49" s="119"/>
      <c r="B49" s="103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ht="15">
      <c r="A50" s="119"/>
      <c r="B50" s="103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1:11" ht="15">
      <c r="A51" s="119"/>
      <c r="B51" s="103"/>
      <c r="C51" s="103"/>
      <c r="D51" s="103"/>
      <c r="E51" s="103"/>
      <c r="F51" s="103"/>
      <c r="G51" s="103"/>
      <c r="H51" s="103"/>
      <c r="I51" s="103"/>
      <c r="J51" s="103"/>
      <c r="K51" s="104"/>
    </row>
    <row r="52" spans="1:11" ht="15">
      <c r="A52" s="119"/>
      <c r="B52" s="103"/>
      <c r="C52" s="103"/>
      <c r="D52" s="103"/>
      <c r="E52" s="103"/>
      <c r="F52" s="103"/>
      <c r="G52" s="103"/>
      <c r="H52" s="103"/>
      <c r="I52" s="103"/>
      <c r="J52" s="103"/>
      <c r="K52" s="104"/>
    </row>
    <row r="53" spans="1:11" ht="15">
      <c r="A53" s="121"/>
      <c r="B53" s="103"/>
      <c r="C53" s="103"/>
      <c r="D53" s="103"/>
      <c r="E53" s="103"/>
      <c r="F53" s="103"/>
      <c r="G53" s="103"/>
      <c r="H53" s="103"/>
      <c r="I53" s="103"/>
      <c r="J53" s="103"/>
      <c r="K53" s="104"/>
    </row>
    <row r="54" spans="1:11" ht="15">
      <c r="A54" s="121"/>
      <c r="B54" s="103"/>
      <c r="C54" s="103"/>
      <c r="D54" s="103"/>
      <c r="E54" s="103"/>
      <c r="F54" s="103"/>
      <c r="G54" s="103"/>
      <c r="H54" s="103"/>
      <c r="I54" s="103"/>
      <c r="J54" s="103"/>
      <c r="K54" s="104"/>
    </row>
    <row r="55" spans="1:11" ht="15">
      <c r="A55" s="119"/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15">
      <c r="A56" s="119"/>
      <c r="B56" s="103"/>
      <c r="C56" s="103"/>
      <c r="D56" s="103"/>
      <c r="E56" s="103"/>
      <c r="F56" s="103"/>
      <c r="G56" s="103"/>
      <c r="H56" s="103"/>
      <c r="I56" s="103"/>
      <c r="J56" s="103"/>
      <c r="K56" s="104"/>
    </row>
    <row r="57" spans="1:11" ht="15">
      <c r="A57" s="119"/>
      <c r="B57" s="103"/>
      <c r="C57" s="103"/>
      <c r="D57" s="103"/>
      <c r="E57" s="103"/>
      <c r="F57" s="103"/>
      <c r="G57" s="103"/>
      <c r="H57" s="103"/>
      <c r="I57" s="103"/>
      <c r="J57" s="103"/>
      <c r="K57" s="104"/>
    </row>
    <row r="58" spans="1:11" ht="15">
      <c r="A58" s="119"/>
      <c r="B58" s="103"/>
      <c r="C58" s="103"/>
      <c r="D58" s="103"/>
      <c r="E58" s="103"/>
      <c r="F58" s="103"/>
      <c r="G58" s="103"/>
      <c r="H58" s="103"/>
      <c r="I58" s="103"/>
      <c r="J58" s="103"/>
      <c r="K58" s="104"/>
    </row>
    <row r="59" spans="1:11" ht="15">
      <c r="A59" s="119"/>
      <c r="B59" s="103"/>
      <c r="C59" s="103"/>
      <c r="D59" s="103"/>
      <c r="E59" s="103"/>
      <c r="F59" s="103"/>
      <c r="G59" s="103"/>
      <c r="H59" s="103"/>
      <c r="I59" s="103"/>
      <c r="J59" s="103"/>
      <c r="K59" s="104"/>
    </row>
    <row r="60" spans="1:11" ht="15">
      <c r="A60" s="119"/>
      <c r="B60" s="103"/>
      <c r="C60" s="103"/>
      <c r="D60" s="103"/>
      <c r="E60" s="103"/>
      <c r="F60" s="103"/>
      <c r="G60" s="103"/>
      <c r="H60" s="103"/>
      <c r="I60" s="103"/>
      <c r="J60" s="103"/>
      <c r="K60" s="104"/>
    </row>
    <row r="61" spans="1:11" ht="15">
      <c r="A61" s="119"/>
      <c r="B61" s="103"/>
      <c r="C61" s="103"/>
      <c r="D61" s="103"/>
      <c r="E61" s="103"/>
      <c r="F61" s="103"/>
      <c r="G61" s="103"/>
      <c r="H61" s="103"/>
      <c r="I61" s="103"/>
      <c r="J61" s="103"/>
      <c r="K61" s="104"/>
    </row>
    <row r="62" spans="1:11" ht="15">
      <c r="A62" s="119"/>
      <c r="B62" s="103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1:11" ht="15">
      <c r="A63" s="119"/>
      <c r="B63" s="103"/>
      <c r="C63" s="103"/>
      <c r="D63" s="103"/>
      <c r="E63" s="103"/>
      <c r="F63" s="103"/>
      <c r="G63" s="103"/>
      <c r="H63" s="103"/>
      <c r="I63" s="103"/>
      <c r="J63" s="103"/>
      <c r="K63" s="104"/>
    </row>
    <row r="64" spans="1:11" ht="15">
      <c r="A64" s="119"/>
      <c r="B64" s="103"/>
      <c r="C64" s="103"/>
      <c r="D64" s="103"/>
      <c r="E64" s="103"/>
      <c r="F64" s="103"/>
      <c r="G64" s="103"/>
      <c r="H64" s="103"/>
      <c r="I64" s="103"/>
      <c r="J64" s="103"/>
      <c r="K64" s="104"/>
    </row>
    <row r="65" spans="1:11" ht="15">
      <c r="A65" s="119"/>
      <c r="B65" s="103"/>
      <c r="C65" s="103"/>
      <c r="D65" s="103"/>
      <c r="E65" s="103"/>
      <c r="F65" s="103"/>
      <c r="G65" s="103"/>
      <c r="H65" s="103"/>
      <c r="I65" s="103"/>
      <c r="J65" s="103"/>
      <c r="K65" s="104"/>
    </row>
    <row r="66" spans="1:11" ht="15">
      <c r="A66" s="119"/>
      <c r="B66" s="103"/>
      <c r="C66" s="103"/>
      <c r="D66" s="103"/>
      <c r="E66" s="103"/>
      <c r="F66" s="103"/>
      <c r="G66" s="103"/>
      <c r="H66" s="103"/>
      <c r="I66" s="103"/>
      <c r="J66" s="103"/>
      <c r="K66" s="104"/>
    </row>
    <row r="67" spans="1:11" ht="15">
      <c r="A67" s="119"/>
      <c r="B67" s="103"/>
      <c r="C67" s="103"/>
      <c r="D67" s="103"/>
      <c r="E67" s="103"/>
      <c r="F67" s="103"/>
      <c r="G67" s="103"/>
      <c r="H67" s="103"/>
      <c r="I67" s="103"/>
      <c r="J67" s="103"/>
      <c r="K67" s="104"/>
    </row>
    <row r="68" spans="1:11" ht="15">
      <c r="A68" s="119"/>
      <c r="B68" s="103"/>
      <c r="C68" s="103"/>
      <c r="D68" s="103"/>
      <c r="E68" s="103"/>
      <c r="F68" s="103"/>
      <c r="G68" s="103"/>
      <c r="H68" s="103"/>
      <c r="I68" s="103"/>
      <c r="J68" s="103"/>
      <c r="K68" s="104"/>
    </row>
    <row r="69" spans="1:11" ht="15">
      <c r="A69" s="119"/>
      <c r="B69" s="103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1:11" ht="15">
      <c r="A70" s="119"/>
      <c r="B70" s="103"/>
      <c r="C70" s="103"/>
      <c r="D70" s="103"/>
      <c r="E70" s="103"/>
      <c r="F70" s="103"/>
      <c r="G70" s="103"/>
      <c r="H70" s="103"/>
      <c r="I70" s="103"/>
      <c r="J70" s="103"/>
      <c r="K70" s="104"/>
    </row>
    <row r="71" spans="1:11" ht="15">
      <c r="A71" s="119"/>
      <c r="B71" s="103"/>
      <c r="C71" s="103"/>
      <c r="D71" s="103"/>
      <c r="E71" s="103"/>
      <c r="F71" s="103"/>
      <c r="G71" s="103"/>
      <c r="H71" s="103"/>
      <c r="I71" s="103"/>
      <c r="J71" s="103"/>
      <c r="K71" s="104"/>
    </row>
    <row r="72" spans="1:11" ht="15">
      <c r="A72" s="119"/>
      <c r="B72" s="103"/>
      <c r="C72" s="103"/>
      <c r="D72" s="103"/>
      <c r="E72" s="103"/>
      <c r="F72" s="103"/>
      <c r="G72" s="103"/>
      <c r="H72" s="103"/>
      <c r="I72" s="103"/>
      <c r="J72" s="103"/>
      <c r="K72" s="104"/>
    </row>
    <row r="73" spans="1:11" ht="15">
      <c r="A73" s="119"/>
      <c r="B73" s="103"/>
      <c r="C73" s="103"/>
      <c r="D73" s="103"/>
      <c r="E73" s="103"/>
      <c r="F73" s="103"/>
      <c r="G73" s="103"/>
      <c r="H73" s="103"/>
      <c r="I73" s="103"/>
      <c r="J73" s="103"/>
      <c r="K73" s="104"/>
    </row>
    <row r="74" spans="1:11" ht="15">
      <c r="A74" s="119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5">
      <c r="A75" s="119"/>
      <c r="B75" s="103"/>
      <c r="C75" s="103"/>
      <c r="D75" s="103"/>
      <c r="E75" s="103"/>
      <c r="F75" s="103"/>
      <c r="G75" s="103"/>
      <c r="H75" s="103"/>
      <c r="I75" s="103"/>
      <c r="J75" s="103"/>
      <c r="K75" s="104"/>
    </row>
    <row r="76" spans="1:11" ht="15">
      <c r="A76" s="119"/>
      <c r="B76" s="103"/>
      <c r="C76" s="103"/>
      <c r="D76" s="103"/>
      <c r="E76" s="103"/>
      <c r="F76" s="103"/>
      <c r="G76" s="103"/>
      <c r="H76" s="103"/>
      <c r="I76" s="103"/>
      <c r="J76" s="103"/>
      <c r="K76" s="104"/>
    </row>
    <row r="77" spans="1:11" ht="15">
      <c r="A77" s="119"/>
      <c r="B77" s="103"/>
      <c r="C77" s="103"/>
      <c r="D77" s="103"/>
      <c r="E77" s="103"/>
      <c r="F77" s="103"/>
      <c r="G77" s="103"/>
      <c r="H77" s="103"/>
      <c r="I77" s="103"/>
      <c r="J77" s="103"/>
      <c r="K77" s="104"/>
    </row>
    <row r="78" spans="1:11" ht="15">
      <c r="A78" s="119"/>
      <c r="B78" s="103"/>
      <c r="C78" s="103"/>
      <c r="D78" s="103"/>
      <c r="E78" s="103"/>
      <c r="F78" s="103"/>
      <c r="G78" s="103"/>
      <c r="H78" s="103"/>
      <c r="I78" s="103"/>
      <c r="J78" s="103"/>
      <c r="K78" s="104"/>
    </row>
    <row r="79" spans="1:11" ht="15">
      <c r="A79" s="119"/>
      <c r="B79" s="103"/>
      <c r="C79" s="103"/>
      <c r="D79" s="103"/>
      <c r="E79" s="103"/>
      <c r="F79" s="103"/>
      <c r="G79" s="103"/>
      <c r="H79" s="103"/>
      <c r="I79" s="103"/>
      <c r="J79" s="103"/>
      <c r="K79" s="104"/>
    </row>
    <row r="80" spans="1:11" ht="15">
      <c r="A80" s="119"/>
      <c r="B80" s="103"/>
      <c r="C80" s="103"/>
      <c r="D80" s="103"/>
      <c r="E80" s="103"/>
      <c r="F80" s="103"/>
      <c r="G80" s="103"/>
      <c r="H80" s="103"/>
      <c r="I80" s="103"/>
      <c r="J80" s="103"/>
      <c r="K80" s="104"/>
    </row>
    <row r="81" spans="1:11" ht="15">
      <c r="A81" s="119"/>
      <c r="B81" s="103"/>
      <c r="C81" s="103"/>
      <c r="D81" s="103"/>
      <c r="E81" s="103"/>
      <c r="F81" s="103"/>
      <c r="G81" s="103"/>
      <c r="H81" s="103"/>
      <c r="I81" s="103"/>
      <c r="J81" s="103"/>
      <c r="K81" s="104"/>
    </row>
    <row r="82" spans="1:11" ht="15">
      <c r="A82" s="119"/>
      <c r="B82" s="103"/>
      <c r="C82" s="103"/>
      <c r="D82" s="103"/>
      <c r="E82" s="103"/>
      <c r="F82" s="103"/>
      <c r="G82" s="103"/>
      <c r="H82" s="103"/>
      <c r="I82" s="103"/>
      <c r="J82" s="103"/>
      <c r="K82" s="104"/>
    </row>
    <row r="83" spans="1:11" ht="15">
      <c r="A83" s="119"/>
      <c r="B83" s="103"/>
      <c r="C83" s="103"/>
      <c r="D83" s="103"/>
      <c r="E83" s="103"/>
      <c r="F83" s="103"/>
      <c r="G83" s="103"/>
      <c r="H83" s="103"/>
      <c r="I83" s="103"/>
      <c r="J83" s="103"/>
      <c r="K83" s="104"/>
    </row>
    <row r="84" spans="1:11" ht="15">
      <c r="A84" s="119"/>
      <c r="B84" s="103"/>
      <c r="C84" s="103"/>
      <c r="D84" s="103"/>
      <c r="E84" s="103"/>
      <c r="F84" s="103"/>
      <c r="G84" s="103"/>
      <c r="H84" s="103"/>
      <c r="I84" s="103"/>
      <c r="J84" s="103"/>
      <c r="K84" s="104"/>
    </row>
    <row r="85" spans="1:11" ht="15">
      <c r="A85" s="119"/>
      <c r="B85" s="103"/>
      <c r="C85" s="103"/>
      <c r="D85" s="103"/>
      <c r="E85" s="103"/>
      <c r="F85" s="103"/>
      <c r="G85" s="103"/>
      <c r="H85" s="103"/>
      <c r="I85" s="103"/>
      <c r="J85" s="103"/>
      <c r="K85" s="104"/>
    </row>
    <row r="86" spans="1:11" ht="15">
      <c r="A86" s="119"/>
      <c r="B86" s="103"/>
      <c r="C86" s="103"/>
      <c r="D86" s="103"/>
      <c r="E86" s="103"/>
      <c r="F86" s="103"/>
      <c r="G86" s="103"/>
      <c r="H86" s="103"/>
      <c r="I86" s="103"/>
      <c r="J86" s="103"/>
      <c r="K86" s="104"/>
    </row>
    <row r="87" spans="1:11" ht="15">
      <c r="A87" s="119"/>
      <c r="B87" s="103"/>
      <c r="C87" s="103"/>
      <c r="D87" s="103"/>
      <c r="E87" s="103"/>
      <c r="F87" s="103"/>
      <c r="G87" s="103"/>
      <c r="H87" s="103"/>
      <c r="I87" s="103"/>
      <c r="J87" s="103"/>
      <c r="K87" s="104"/>
    </row>
    <row r="88" spans="1:11" ht="15">
      <c r="A88" s="119"/>
      <c r="B88" s="103"/>
      <c r="C88" s="103"/>
      <c r="D88" s="103"/>
      <c r="E88" s="103"/>
      <c r="F88" s="103"/>
      <c r="G88" s="103"/>
      <c r="H88" s="103"/>
      <c r="I88" s="103"/>
      <c r="J88" s="103"/>
      <c r="K88" s="104"/>
    </row>
    <row r="89" spans="1:11" ht="15">
      <c r="A89" s="119"/>
      <c r="B89" s="103"/>
      <c r="C89" s="103"/>
      <c r="D89" s="103"/>
      <c r="E89" s="103"/>
      <c r="F89" s="103"/>
      <c r="G89" s="103"/>
      <c r="H89" s="103"/>
      <c r="I89" s="103"/>
      <c r="J89" s="103"/>
      <c r="K89" s="104"/>
    </row>
    <row r="90" spans="1:11" ht="15">
      <c r="A90" s="119"/>
      <c r="B90" s="103"/>
      <c r="C90" s="103"/>
      <c r="D90" s="103"/>
      <c r="E90" s="103"/>
      <c r="F90" s="103"/>
      <c r="G90" s="103"/>
      <c r="H90" s="103"/>
      <c r="I90" s="103"/>
      <c r="J90" s="103"/>
      <c r="K90" s="104"/>
    </row>
    <row r="91" spans="1:11" ht="15">
      <c r="A91" s="119"/>
      <c r="B91" s="103"/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ht="15">
      <c r="A92" s="119"/>
      <c r="B92" s="103"/>
      <c r="C92" s="103"/>
      <c r="D92" s="103"/>
      <c r="E92" s="103"/>
      <c r="F92" s="103"/>
      <c r="G92" s="103"/>
      <c r="H92" s="103"/>
      <c r="I92" s="103"/>
      <c r="J92" s="103"/>
      <c r="K92" s="104"/>
    </row>
    <row r="93" spans="1:11" ht="15">
      <c r="A93" s="119"/>
      <c r="B93" s="103"/>
      <c r="C93" s="103"/>
      <c r="D93" s="103"/>
      <c r="E93" s="103"/>
      <c r="F93" s="103"/>
      <c r="G93" s="103"/>
      <c r="H93" s="103"/>
      <c r="I93" s="103"/>
      <c r="J93" s="103"/>
      <c r="K93" s="104"/>
    </row>
    <row r="94" spans="1:11" ht="15">
      <c r="A94" s="119"/>
      <c r="B94" s="103"/>
      <c r="C94" s="103"/>
      <c r="D94" s="103"/>
      <c r="E94" s="103"/>
      <c r="F94" s="103"/>
      <c r="G94" s="103"/>
      <c r="H94" s="103"/>
      <c r="I94" s="103"/>
      <c r="J94" s="103"/>
      <c r="K94" s="104"/>
    </row>
    <row r="95" ht="12.75">
      <c r="A95" s="121"/>
    </row>
    <row r="96" ht="12.75">
      <c r="A96" s="121"/>
    </row>
    <row r="97" ht="12.75">
      <c r="A97" s="121"/>
    </row>
    <row r="98" ht="12.75">
      <c r="A98" s="121"/>
    </row>
    <row r="99" ht="12.75">
      <c r="A99" s="121"/>
    </row>
    <row r="100" ht="12.75">
      <c r="A100" s="121"/>
    </row>
    <row r="101" ht="12.75">
      <c r="A101" s="121"/>
    </row>
    <row r="102" ht="12.75">
      <c r="A102" s="121"/>
    </row>
    <row r="103" ht="12.75">
      <c r="A103" s="121"/>
    </row>
    <row r="104" ht="12.75">
      <c r="A104" s="121"/>
    </row>
    <row r="105" ht="12.75">
      <c r="A105" s="121"/>
    </row>
    <row r="106" ht="12.75">
      <c r="A106" s="121"/>
    </row>
    <row r="107" ht="12.75">
      <c r="A107" s="121"/>
    </row>
    <row r="108" ht="12.75">
      <c r="A108" s="121"/>
    </row>
    <row r="109" ht="12.75">
      <c r="A109" s="121"/>
    </row>
    <row r="110" ht="12.75">
      <c r="A110" s="121"/>
    </row>
    <row r="111" ht="12.75">
      <c r="A111" s="121"/>
    </row>
    <row r="112" ht="12.75">
      <c r="A112" s="121"/>
    </row>
    <row r="113" ht="12.75">
      <c r="A113" s="121"/>
    </row>
    <row r="114" ht="12.75">
      <c r="A114" s="121"/>
    </row>
    <row r="115" ht="12.75">
      <c r="A115" s="121"/>
    </row>
    <row r="116" ht="12.75">
      <c r="A116" s="121"/>
    </row>
    <row r="117" ht="12.75">
      <c r="A117" s="121"/>
    </row>
    <row r="118" ht="12.75">
      <c r="A118" s="121"/>
    </row>
    <row r="119" ht="12.75">
      <c r="A119" s="121"/>
    </row>
    <row r="120" ht="12.75">
      <c r="A120" s="121"/>
    </row>
    <row r="121" ht="12.75">
      <c r="A121" s="121"/>
    </row>
    <row r="122" ht="12.75">
      <c r="A122" s="121"/>
    </row>
  </sheetData>
  <mergeCells count="4">
    <mergeCell ref="A1:J1"/>
    <mergeCell ref="A2:J2"/>
    <mergeCell ref="A3:J3"/>
    <mergeCell ref="A4:J4"/>
  </mergeCells>
  <printOptions/>
  <pageMargins left="0.28" right="0.2" top="0.66" bottom="1" header="0.5" footer="0.5"/>
  <pageSetup horizontalDpi="600" verticalDpi="600" orientation="landscape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C15" sqref="C15"/>
    </sheetView>
  </sheetViews>
  <sheetFormatPr defaultColWidth="9.140625" defaultRowHeight="12.75"/>
  <cols>
    <col min="2" max="2" width="13.28125" style="0" customWidth="1"/>
    <col min="3" max="3" width="13.421875" style="0" customWidth="1"/>
    <col min="4" max="4" width="12.8515625" style="0" customWidth="1"/>
    <col min="5" max="5" width="13.28125" style="0" customWidth="1"/>
    <col min="6" max="6" width="13.7109375" style="0" customWidth="1"/>
    <col min="7" max="7" width="0" style="0" hidden="1" customWidth="1"/>
    <col min="8" max="8" width="14.28125" style="0" customWidth="1"/>
    <col min="9" max="9" width="12.28125" style="0" bestFit="1" customWidth="1"/>
  </cols>
  <sheetData>
    <row r="1" spans="1:6" ht="12.75">
      <c r="A1" s="240" t="s">
        <v>258</v>
      </c>
      <c r="B1" s="240"/>
      <c r="C1" s="240"/>
      <c r="D1" s="240"/>
      <c r="E1" s="240"/>
      <c r="F1" s="240"/>
    </row>
    <row r="2" spans="1:6" ht="12.75">
      <c r="A2" s="240"/>
      <c r="B2" s="240"/>
      <c r="C2" s="240"/>
      <c r="D2" s="240"/>
      <c r="E2" s="240"/>
      <c r="F2" s="240"/>
    </row>
    <row r="3" ht="12.75">
      <c r="A3" s="90" t="s">
        <v>115</v>
      </c>
    </row>
    <row r="4" spans="2:9" ht="12.75">
      <c r="B4" s="27" t="s">
        <v>41</v>
      </c>
      <c r="C4" s="31"/>
      <c r="D4" s="28"/>
      <c r="E4" s="31"/>
      <c r="F4" s="29" t="s">
        <v>160</v>
      </c>
      <c r="G4" s="29"/>
      <c r="H4" s="29" t="s">
        <v>156</v>
      </c>
      <c r="I4" s="29" t="s">
        <v>176</v>
      </c>
    </row>
    <row r="5" spans="1:9" ht="12.75">
      <c r="A5" s="16"/>
      <c r="B5" s="21" t="s">
        <v>79</v>
      </c>
      <c r="C5" s="22" t="s">
        <v>46</v>
      </c>
      <c r="D5" s="26" t="s">
        <v>47</v>
      </c>
      <c r="E5" s="22" t="s">
        <v>48</v>
      </c>
      <c r="F5" s="30" t="s">
        <v>159</v>
      </c>
      <c r="G5" s="30" t="s">
        <v>102</v>
      </c>
      <c r="H5" s="30" t="s">
        <v>158</v>
      </c>
      <c r="I5" s="30" t="s">
        <v>177</v>
      </c>
    </row>
    <row r="6" spans="1:10" ht="12.75">
      <c r="A6" s="4" t="s">
        <v>0</v>
      </c>
      <c r="B6" s="35">
        <v>4841774</v>
      </c>
      <c r="C6" s="36">
        <v>717948</v>
      </c>
      <c r="D6" s="35">
        <v>185111</v>
      </c>
      <c r="E6" s="35">
        <f>SUM(B6-C6-D6-F6)</f>
        <v>3399985</v>
      </c>
      <c r="F6" s="35">
        <v>538730</v>
      </c>
      <c r="G6" s="32">
        <v>3090</v>
      </c>
      <c r="H6" s="32">
        <v>6698</v>
      </c>
      <c r="I6" s="32">
        <v>312</v>
      </c>
      <c r="J6" s="66"/>
    </row>
    <row r="7" spans="1:10" ht="12.75">
      <c r="A7" s="4" t="s">
        <v>16</v>
      </c>
      <c r="B7" s="33">
        <v>2951270</v>
      </c>
      <c r="C7" s="33">
        <v>169517</v>
      </c>
      <c r="D7" s="32">
        <v>97200</v>
      </c>
      <c r="E7" s="32">
        <f>SUM(B7-C7-D7-F7)</f>
        <v>2684553</v>
      </c>
      <c r="F7" s="32"/>
      <c r="G7" s="32">
        <v>858</v>
      </c>
      <c r="H7" s="32">
        <v>5038</v>
      </c>
      <c r="I7" s="32">
        <v>192</v>
      </c>
      <c r="J7" s="66"/>
    </row>
    <row r="8" spans="1:10" ht="12.75">
      <c r="A8" s="4" t="s">
        <v>17</v>
      </c>
      <c r="B8" s="32">
        <v>393269</v>
      </c>
      <c r="C8" s="33">
        <v>58948</v>
      </c>
      <c r="D8" s="32">
        <v>21225</v>
      </c>
      <c r="E8" s="32">
        <f aca="true" t="shared" si="0" ref="E8:E32">SUM(B8-C8-D8-F8)</f>
        <v>313096</v>
      </c>
      <c r="F8" s="32"/>
      <c r="G8" s="32">
        <v>277</v>
      </c>
      <c r="H8" s="32">
        <v>844</v>
      </c>
      <c r="I8" s="32">
        <v>17</v>
      </c>
      <c r="J8" s="66"/>
    </row>
    <row r="9" spans="1:10" ht="12.75">
      <c r="A9" s="4" t="s">
        <v>18</v>
      </c>
      <c r="B9" s="32">
        <v>1872146</v>
      </c>
      <c r="C9" s="33">
        <v>166711</v>
      </c>
      <c r="D9" s="32">
        <v>57580</v>
      </c>
      <c r="E9" s="32">
        <f t="shared" si="0"/>
        <v>1647855</v>
      </c>
      <c r="F9" s="32"/>
      <c r="G9" s="32">
        <v>654</v>
      </c>
      <c r="H9" s="32">
        <v>4111</v>
      </c>
      <c r="I9" s="32">
        <v>409</v>
      </c>
      <c r="J9" s="66"/>
    </row>
    <row r="10" spans="1:10" ht="12.75">
      <c r="A10" s="4" t="s">
        <v>19</v>
      </c>
      <c r="B10" s="32">
        <v>1550260</v>
      </c>
      <c r="C10" s="33">
        <v>146420</v>
      </c>
      <c r="D10" s="32">
        <v>49590</v>
      </c>
      <c r="E10" s="32">
        <f t="shared" si="0"/>
        <v>1354250</v>
      </c>
      <c r="F10" s="32"/>
      <c r="G10" s="32">
        <v>599</v>
      </c>
      <c r="H10" s="32">
        <v>3306</v>
      </c>
      <c r="I10" s="32">
        <v>150</v>
      </c>
      <c r="J10" s="66"/>
    </row>
    <row r="11" spans="1:10" ht="12.75">
      <c r="A11" s="4" t="s">
        <v>20</v>
      </c>
      <c r="B11" s="32">
        <v>4459395</v>
      </c>
      <c r="C11" s="33">
        <v>539207</v>
      </c>
      <c r="D11" s="32">
        <v>212723</v>
      </c>
      <c r="E11" s="32">
        <f t="shared" si="0"/>
        <v>3677465</v>
      </c>
      <c r="F11" s="32">
        <v>30000</v>
      </c>
      <c r="G11" s="32">
        <v>1586</v>
      </c>
      <c r="H11" s="32">
        <v>4715</v>
      </c>
      <c r="I11" s="32">
        <v>271</v>
      </c>
      <c r="J11" s="66"/>
    </row>
    <row r="12" spans="1:10" ht="12.75">
      <c r="A12" s="4" t="s">
        <v>21</v>
      </c>
      <c r="B12" s="32">
        <v>1955170</v>
      </c>
      <c r="C12" s="33">
        <v>2535</v>
      </c>
      <c r="D12" s="32">
        <v>46047</v>
      </c>
      <c r="E12" s="32">
        <f t="shared" si="0"/>
        <v>1906588</v>
      </c>
      <c r="F12" s="32"/>
      <c r="G12" s="32">
        <v>163</v>
      </c>
      <c r="H12" s="32">
        <v>4292</v>
      </c>
      <c r="I12" s="32">
        <v>26</v>
      </c>
      <c r="J12" s="66"/>
    </row>
    <row r="13" spans="1:10" ht="12.75">
      <c r="A13" s="4" t="s">
        <v>22</v>
      </c>
      <c r="B13" s="32">
        <v>1277544</v>
      </c>
      <c r="C13" s="33">
        <v>160188</v>
      </c>
      <c r="D13" s="32">
        <v>54555</v>
      </c>
      <c r="E13" s="32">
        <f t="shared" si="0"/>
        <v>1062801</v>
      </c>
      <c r="F13" s="32"/>
      <c r="G13" s="32">
        <v>590</v>
      </c>
      <c r="H13" s="32">
        <v>2380</v>
      </c>
      <c r="I13" s="32">
        <v>213</v>
      </c>
      <c r="J13" s="66"/>
    </row>
    <row r="14" spans="1:10" ht="12.75">
      <c r="A14" s="4" t="s">
        <v>23</v>
      </c>
      <c r="B14" s="32">
        <v>673491</v>
      </c>
      <c r="C14" s="33">
        <v>68453</v>
      </c>
      <c r="D14" s="32">
        <v>22254</v>
      </c>
      <c r="E14" s="32">
        <f t="shared" si="0"/>
        <v>582784</v>
      </c>
      <c r="F14" s="32"/>
      <c r="G14" s="32">
        <v>225</v>
      </c>
      <c r="H14" s="32">
        <v>1477</v>
      </c>
      <c r="I14" s="32">
        <v>59</v>
      </c>
      <c r="J14" s="66"/>
    </row>
    <row r="15" spans="1:10" ht="12.75">
      <c r="A15" s="4" t="s">
        <v>24</v>
      </c>
      <c r="B15" s="32">
        <v>647608</v>
      </c>
      <c r="C15" s="33">
        <v>168011</v>
      </c>
      <c r="D15" s="32">
        <v>17272</v>
      </c>
      <c r="E15" s="32">
        <f t="shared" si="0"/>
        <v>462325</v>
      </c>
      <c r="F15" s="32"/>
      <c r="G15" s="32">
        <v>722</v>
      </c>
      <c r="H15" s="32">
        <v>734</v>
      </c>
      <c r="I15" s="32">
        <v>106</v>
      </c>
      <c r="J15" s="66"/>
    </row>
    <row r="16" spans="1:10" ht="12.75">
      <c r="A16" s="4" t="s">
        <v>25</v>
      </c>
      <c r="B16" s="32">
        <v>1057203</v>
      </c>
      <c r="C16" s="33">
        <v>104548</v>
      </c>
      <c r="D16" s="32">
        <v>37880</v>
      </c>
      <c r="E16" s="32">
        <f t="shared" si="0"/>
        <v>914775</v>
      </c>
      <c r="F16" s="32"/>
      <c r="G16" s="32">
        <v>407</v>
      </c>
      <c r="H16" s="32">
        <v>1822</v>
      </c>
      <c r="I16" s="32">
        <v>133</v>
      </c>
      <c r="J16" s="66"/>
    </row>
    <row r="17" spans="1:10" ht="12.75">
      <c r="A17" s="4" t="s">
        <v>26</v>
      </c>
      <c r="B17" s="32">
        <v>513063</v>
      </c>
      <c r="C17" s="33">
        <v>51582</v>
      </c>
      <c r="D17" s="32">
        <v>22921</v>
      </c>
      <c r="E17" s="32">
        <f t="shared" si="0"/>
        <v>438560</v>
      </c>
      <c r="F17" s="32"/>
      <c r="G17" s="32">
        <v>242</v>
      </c>
      <c r="H17" s="32">
        <v>1269</v>
      </c>
      <c r="I17" s="32">
        <v>65</v>
      </c>
      <c r="J17" s="66"/>
    </row>
    <row r="18" spans="1:10" ht="12.75">
      <c r="A18" s="4" t="s">
        <v>27</v>
      </c>
      <c r="B18" s="32">
        <v>397432</v>
      </c>
      <c r="C18" s="33">
        <v>34458</v>
      </c>
      <c r="D18" s="32">
        <v>17655</v>
      </c>
      <c r="E18" s="32">
        <f t="shared" si="0"/>
        <v>345319</v>
      </c>
      <c r="F18" s="32"/>
      <c r="G18" s="32">
        <v>154</v>
      </c>
      <c r="H18" s="32">
        <v>1004</v>
      </c>
      <c r="I18" s="32">
        <v>47</v>
      </c>
      <c r="J18" s="66"/>
    </row>
    <row r="19" spans="1:10" ht="12.75">
      <c r="A19" s="4" t="s">
        <v>28</v>
      </c>
      <c r="B19" s="32">
        <v>1417692</v>
      </c>
      <c r="C19" s="33">
        <v>159126</v>
      </c>
      <c r="D19" s="32">
        <v>62579</v>
      </c>
      <c r="E19" s="32">
        <f t="shared" si="0"/>
        <v>1195987</v>
      </c>
      <c r="F19" s="32"/>
      <c r="G19" s="32">
        <v>750</v>
      </c>
      <c r="H19" s="92">
        <v>3048</v>
      </c>
      <c r="I19" s="92">
        <v>205</v>
      </c>
      <c r="J19" s="66"/>
    </row>
    <row r="20" spans="1:10" ht="12.75">
      <c r="A20" s="4" t="s">
        <v>29</v>
      </c>
      <c r="B20" s="32">
        <v>1010130</v>
      </c>
      <c r="C20" s="33">
        <v>80373</v>
      </c>
      <c r="D20" s="32">
        <v>54488</v>
      </c>
      <c r="E20" s="32">
        <f t="shared" si="0"/>
        <v>875269</v>
      </c>
      <c r="F20" s="32"/>
      <c r="G20" s="32">
        <v>375</v>
      </c>
      <c r="H20" s="32">
        <v>1837</v>
      </c>
      <c r="I20" s="32">
        <v>198</v>
      </c>
      <c r="J20" s="66"/>
    </row>
    <row r="21" spans="1:10" ht="12.75">
      <c r="A21" s="4" t="s">
        <v>30</v>
      </c>
      <c r="B21" s="32">
        <v>440333</v>
      </c>
      <c r="C21" s="33">
        <v>45878</v>
      </c>
      <c r="D21" s="32">
        <v>23995</v>
      </c>
      <c r="E21" s="32">
        <f t="shared" si="0"/>
        <v>370460</v>
      </c>
      <c r="F21" s="32"/>
      <c r="G21" s="32">
        <v>241</v>
      </c>
      <c r="H21" s="32">
        <v>953</v>
      </c>
      <c r="I21" s="32">
        <v>34</v>
      </c>
      <c r="J21" s="66"/>
    </row>
    <row r="22" spans="1:10" ht="12.75">
      <c r="A22" s="4" t="s">
        <v>31</v>
      </c>
      <c r="B22" s="32">
        <v>138729</v>
      </c>
      <c r="C22" s="33">
        <v>2395</v>
      </c>
      <c r="D22" s="32">
        <v>8986</v>
      </c>
      <c r="E22" s="32">
        <f t="shared" si="0"/>
        <v>127348</v>
      </c>
      <c r="F22" s="32"/>
      <c r="G22" s="32">
        <v>43</v>
      </c>
      <c r="H22" s="32">
        <v>366</v>
      </c>
      <c r="I22" s="32">
        <v>7</v>
      </c>
      <c r="J22" s="66"/>
    </row>
    <row r="23" spans="1:10" ht="12.75">
      <c r="A23" s="4" t="s">
        <v>32</v>
      </c>
      <c r="B23" s="32">
        <v>490959</v>
      </c>
      <c r="C23" s="33">
        <v>100997</v>
      </c>
      <c r="D23" s="32">
        <v>17955</v>
      </c>
      <c r="E23" s="32">
        <f t="shared" si="0"/>
        <v>372007</v>
      </c>
      <c r="F23" s="32"/>
      <c r="G23" s="32">
        <v>282</v>
      </c>
      <c r="H23" s="32">
        <v>359</v>
      </c>
      <c r="I23" s="32">
        <v>19</v>
      </c>
      <c r="J23" s="66"/>
    </row>
    <row r="24" spans="1:10" ht="12.75">
      <c r="A24" s="4" t="s">
        <v>33</v>
      </c>
      <c r="B24" s="32">
        <v>299808</v>
      </c>
      <c r="C24" s="33">
        <v>7737</v>
      </c>
      <c r="D24" s="32">
        <v>15519</v>
      </c>
      <c r="E24" s="32">
        <f t="shared" si="0"/>
        <v>276552</v>
      </c>
      <c r="F24" s="32"/>
      <c r="G24" s="32">
        <v>34</v>
      </c>
      <c r="H24" s="32">
        <v>676</v>
      </c>
      <c r="I24" s="32">
        <v>9</v>
      </c>
      <c r="J24" s="66"/>
    </row>
    <row r="25" spans="1:10" ht="12.75">
      <c r="A25" s="4" t="s">
        <v>34</v>
      </c>
      <c r="B25" s="32">
        <v>1100203</v>
      </c>
      <c r="C25" s="33">
        <v>0</v>
      </c>
      <c r="D25" s="32">
        <v>28402</v>
      </c>
      <c r="E25" s="32">
        <f t="shared" si="0"/>
        <v>1071801</v>
      </c>
      <c r="F25" s="32"/>
      <c r="G25" s="32">
        <v>113</v>
      </c>
      <c r="H25" s="32">
        <v>1069</v>
      </c>
      <c r="I25" s="32">
        <v>75</v>
      </c>
      <c r="J25" s="66"/>
    </row>
    <row r="26" spans="1:10" ht="12.75">
      <c r="A26" s="4" t="s">
        <v>35</v>
      </c>
      <c r="B26" s="32">
        <v>122692</v>
      </c>
      <c r="C26" s="33">
        <v>6734</v>
      </c>
      <c r="D26" s="32">
        <v>14318</v>
      </c>
      <c r="E26" s="32">
        <f t="shared" si="0"/>
        <v>101640</v>
      </c>
      <c r="F26" s="32"/>
      <c r="G26" s="32">
        <v>74</v>
      </c>
      <c r="H26" s="32">
        <v>292</v>
      </c>
      <c r="I26" s="32">
        <v>13</v>
      </c>
      <c r="J26" s="66"/>
    </row>
    <row r="27" spans="1:10" ht="12.75">
      <c r="A27" s="4" t="s">
        <v>36</v>
      </c>
      <c r="B27" s="32">
        <v>197379</v>
      </c>
      <c r="C27" s="33">
        <v>0</v>
      </c>
      <c r="D27" s="32">
        <v>9985</v>
      </c>
      <c r="E27" s="32">
        <f t="shared" si="0"/>
        <v>187394</v>
      </c>
      <c r="F27" s="32"/>
      <c r="G27" s="32">
        <v>26</v>
      </c>
      <c r="H27" s="32">
        <v>139</v>
      </c>
      <c r="I27" s="32">
        <v>220</v>
      </c>
      <c r="J27" s="66"/>
    </row>
    <row r="28" spans="1:10" ht="12.75">
      <c r="A28" s="4" t="s">
        <v>37</v>
      </c>
      <c r="B28" s="32">
        <v>67048</v>
      </c>
      <c r="C28" s="33">
        <v>0</v>
      </c>
      <c r="D28" s="32">
        <v>11818</v>
      </c>
      <c r="E28" s="32">
        <f t="shared" si="0"/>
        <v>55230</v>
      </c>
      <c r="F28" s="32"/>
      <c r="G28" s="32">
        <v>60</v>
      </c>
      <c r="H28" s="32">
        <v>396</v>
      </c>
      <c r="I28" s="32">
        <v>0</v>
      </c>
      <c r="J28" s="66"/>
    </row>
    <row r="29" spans="1:10" ht="12.75">
      <c r="A29" s="4" t="s">
        <v>38</v>
      </c>
      <c r="B29" s="32">
        <v>318091</v>
      </c>
      <c r="C29" s="33">
        <v>0</v>
      </c>
      <c r="D29" s="92">
        <f>SUM(B29-E29)</f>
        <v>249045</v>
      </c>
      <c r="E29" s="32">
        <v>69046</v>
      </c>
      <c r="F29" s="32"/>
      <c r="G29" s="32">
        <v>666</v>
      </c>
      <c r="H29" s="32">
        <v>196</v>
      </c>
      <c r="I29" s="32">
        <v>15</v>
      </c>
      <c r="J29" s="66"/>
    </row>
    <row r="30" spans="1:10" ht="12.75">
      <c r="A30" s="4" t="s">
        <v>39</v>
      </c>
      <c r="B30" s="32">
        <v>0</v>
      </c>
      <c r="C30" s="33">
        <v>0</v>
      </c>
      <c r="D30" s="32">
        <v>0</v>
      </c>
      <c r="E30" s="32">
        <v>0</v>
      </c>
      <c r="F30" s="32"/>
      <c r="G30" s="32">
        <v>0</v>
      </c>
      <c r="H30" s="32">
        <v>0</v>
      </c>
      <c r="I30" s="32">
        <v>0</v>
      </c>
      <c r="J30" s="66"/>
    </row>
    <row r="31" spans="1:10" ht="12.75">
      <c r="A31" s="4" t="s">
        <v>8</v>
      </c>
      <c r="B31" s="32">
        <v>385195</v>
      </c>
      <c r="C31" s="33">
        <v>0</v>
      </c>
      <c r="D31" s="32">
        <f>SUM(B31-E31)</f>
        <v>189812</v>
      </c>
      <c r="E31" s="32">
        <v>195383</v>
      </c>
      <c r="F31" s="32"/>
      <c r="G31" s="93">
        <v>594</v>
      </c>
      <c r="H31" s="32">
        <v>0</v>
      </c>
      <c r="I31" s="32">
        <v>0</v>
      </c>
      <c r="J31" s="66"/>
    </row>
    <row r="32" spans="1:10" ht="12.75">
      <c r="A32" s="4" t="s">
        <v>52</v>
      </c>
      <c r="B32" s="32">
        <v>0</v>
      </c>
      <c r="C32" s="33">
        <v>0</v>
      </c>
      <c r="D32" s="32">
        <v>0</v>
      </c>
      <c r="E32" s="32">
        <f t="shared" si="0"/>
        <v>0</v>
      </c>
      <c r="F32" s="32"/>
      <c r="G32" s="93">
        <f>760-279</f>
        <v>481</v>
      </c>
      <c r="H32" s="32">
        <v>0</v>
      </c>
      <c r="I32" s="32">
        <v>0</v>
      </c>
      <c r="J32" s="66"/>
    </row>
    <row r="33" spans="1:10" ht="12.75">
      <c r="A33" s="4" t="s">
        <v>40</v>
      </c>
      <c r="B33" s="32"/>
      <c r="C33" s="33"/>
      <c r="D33" s="32"/>
      <c r="E33" s="32"/>
      <c r="F33" s="32"/>
      <c r="G33" s="32">
        <v>1913</v>
      </c>
      <c r="H33" s="32">
        <v>0</v>
      </c>
      <c r="I33" s="32">
        <v>0</v>
      </c>
      <c r="J33" s="66"/>
    </row>
    <row r="34" spans="1:10" ht="12.75">
      <c r="A34" s="4" t="s">
        <v>5</v>
      </c>
      <c r="B34" s="32"/>
      <c r="C34" s="33"/>
      <c r="D34" s="32"/>
      <c r="E34" s="32"/>
      <c r="F34" s="32"/>
      <c r="G34" s="32">
        <v>311</v>
      </c>
      <c r="H34" s="32">
        <v>0</v>
      </c>
      <c r="I34" s="32">
        <v>0</v>
      </c>
      <c r="J34" s="66"/>
    </row>
    <row r="35" spans="1:10" ht="12.75">
      <c r="A35" s="4" t="s">
        <v>6</v>
      </c>
      <c r="B35" s="32"/>
      <c r="C35" s="33"/>
      <c r="D35" s="32"/>
      <c r="E35" s="32"/>
      <c r="F35" s="32"/>
      <c r="G35" s="32">
        <v>443</v>
      </c>
      <c r="H35" s="32">
        <v>0</v>
      </c>
      <c r="I35" s="32">
        <v>0</v>
      </c>
      <c r="J35" s="66"/>
    </row>
    <row r="36" spans="1:10" ht="12.75">
      <c r="A36" s="11" t="s">
        <v>9</v>
      </c>
      <c r="B36" s="37"/>
      <c r="C36" s="38"/>
      <c r="D36" s="37"/>
      <c r="E36" s="37"/>
      <c r="F36" s="37"/>
      <c r="G36" s="37">
        <v>1264</v>
      </c>
      <c r="H36" s="37">
        <v>0</v>
      </c>
      <c r="I36" s="37">
        <v>0</v>
      </c>
      <c r="J36" s="66"/>
    </row>
    <row r="37" spans="2:9" ht="12.75">
      <c r="B37" s="39">
        <f aca="true" t="shared" si="1" ref="B37:G37">SUM(B6:B36)</f>
        <v>28577884</v>
      </c>
      <c r="C37" s="39">
        <f t="shared" si="1"/>
        <v>2791766</v>
      </c>
      <c r="D37" s="39">
        <f t="shared" si="1"/>
        <v>1528915</v>
      </c>
      <c r="E37" s="39">
        <f t="shared" si="1"/>
        <v>23688473</v>
      </c>
      <c r="F37" s="39">
        <f t="shared" si="1"/>
        <v>568730</v>
      </c>
      <c r="G37" s="85">
        <f t="shared" si="1"/>
        <v>17237</v>
      </c>
      <c r="H37" s="85">
        <f>SUM(H6:H36)</f>
        <v>47021</v>
      </c>
      <c r="I37" s="85">
        <f>SUM(I6:I36)</f>
        <v>2795</v>
      </c>
    </row>
    <row r="38" spans="3:6" ht="12.75">
      <c r="C38" s="34"/>
      <c r="D38" s="34"/>
      <c r="E38" s="34"/>
      <c r="F38" s="34"/>
    </row>
    <row r="39" ht="12.75">
      <c r="H39" s="137"/>
    </row>
  </sheetData>
  <mergeCells count="1">
    <mergeCell ref="A1:F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C46"/>
  <sheetViews>
    <sheetView workbookViewId="0" topLeftCell="A1">
      <selection activeCell="B12" sqref="B12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8.8515625" style="40" customWidth="1"/>
  </cols>
  <sheetData>
    <row r="4" spans="1:3" ht="12.75">
      <c r="A4" s="154" t="s">
        <v>194</v>
      </c>
      <c r="B4" s="160" t="s">
        <v>191</v>
      </c>
      <c r="C4" s="160" t="s">
        <v>202</v>
      </c>
    </row>
    <row r="5" spans="1:3" ht="12.75">
      <c r="A5" s="14" t="s">
        <v>184</v>
      </c>
      <c r="B5" s="157" t="s">
        <v>293</v>
      </c>
      <c r="C5" s="155" t="s">
        <v>203</v>
      </c>
    </row>
    <row r="6" spans="1:3" ht="12.75">
      <c r="A6" s="14" t="s">
        <v>187</v>
      </c>
      <c r="B6" s="158" t="s">
        <v>204</v>
      </c>
      <c r="C6" s="155" t="s">
        <v>205</v>
      </c>
    </row>
    <row r="7" spans="1:3" ht="12.75">
      <c r="A7" s="14" t="s">
        <v>188</v>
      </c>
      <c r="B7" s="158" t="s">
        <v>294</v>
      </c>
      <c r="C7" s="155" t="s">
        <v>206</v>
      </c>
    </row>
    <row r="8" spans="1:3" ht="12.75">
      <c r="A8" s="14" t="s">
        <v>185</v>
      </c>
      <c r="B8" s="158" t="s">
        <v>295</v>
      </c>
      <c r="C8" s="155" t="s">
        <v>206</v>
      </c>
    </row>
    <row r="9" spans="1:3" ht="12.75">
      <c r="A9" s="14" t="s">
        <v>186</v>
      </c>
      <c r="B9" s="158" t="s">
        <v>296</v>
      </c>
      <c r="C9" s="155" t="s">
        <v>206</v>
      </c>
    </row>
    <row r="10" spans="1:3" ht="12.75">
      <c r="A10" s="14" t="s">
        <v>189</v>
      </c>
      <c r="B10" s="158"/>
      <c r="C10" s="155"/>
    </row>
    <row r="11" spans="1:3" ht="12.75">
      <c r="A11" s="14" t="s">
        <v>290</v>
      </c>
      <c r="B11" s="158" t="s">
        <v>297</v>
      </c>
      <c r="C11" s="155" t="s">
        <v>206</v>
      </c>
    </row>
    <row r="12" spans="1:3" ht="12.75">
      <c r="A12" s="14" t="s">
        <v>190</v>
      </c>
      <c r="B12" s="158" t="s">
        <v>298</v>
      </c>
      <c r="C12" s="155" t="s">
        <v>206</v>
      </c>
    </row>
    <row r="13" spans="1:3" ht="12.75">
      <c r="A13" s="14" t="s">
        <v>292</v>
      </c>
      <c r="B13" s="158" t="s">
        <v>236</v>
      </c>
      <c r="C13" s="155" t="s">
        <v>206</v>
      </c>
    </row>
    <row r="14" spans="1:3" ht="12.75">
      <c r="A14" s="14" t="s">
        <v>216</v>
      </c>
      <c r="B14" s="158" t="s">
        <v>299</v>
      </c>
      <c r="C14" s="155" t="s">
        <v>206</v>
      </c>
    </row>
    <row r="15" spans="1:3" ht="12.75">
      <c r="A15" s="14" t="s">
        <v>217</v>
      </c>
      <c r="B15" s="158" t="s">
        <v>300</v>
      </c>
      <c r="C15" s="155" t="s">
        <v>207</v>
      </c>
    </row>
    <row r="16" spans="1:3" ht="12.75">
      <c r="A16" s="14" t="s">
        <v>192</v>
      </c>
      <c r="B16" s="158" t="s">
        <v>301</v>
      </c>
      <c r="C16" s="155" t="s">
        <v>207</v>
      </c>
    </row>
    <row r="17" spans="1:3" ht="12.75">
      <c r="A17" s="14" t="s">
        <v>77</v>
      </c>
      <c r="B17" s="158" t="s">
        <v>302</v>
      </c>
      <c r="C17" s="155" t="s">
        <v>207</v>
      </c>
    </row>
    <row r="18" spans="1:3" ht="12.75">
      <c r="A18" s="14" t="s">
        <v>193</v>
      </c>
      <c r="B18" s="158" t="s">
        <v>303</v>
      </c>
      <c r="C18" s="155" t="s">
        <v>208</v>
      </c>
    </row>
    <row r="19" spans="1:3" ht="12.75">
      <c r="A19" s="14" t="s">
        <v>291</v>
      </c>
      <c r="B19" s="161" t="s">
        <v>304</v>
      </c>
      <c r="C19" s="155" t="s">
        <v>209</v>
      </c>
    </row>
    <row r="20" spans="1:3" ht="12.75">
      <c r="A20" s="14" t="s">
        <v>288</v>
      </c>
      <c r="B20" s="158" t="s">
        <v>305</v>
      </c>
      <c r="C20" s="155" t="s">
        <v>209</v>
      </c>
    </row>
    <row r="21" spans="1:3" ht="12.75">
      <c r="A21" s="14" t="s">
        <v>140</v>
      </c>
      <c r="B21" s="158" t="s">
        <v>306</v>
      </c>
      <c r="C21" s="155" t="s">
        <v>210</v>
      </c>
    </row>
    <row r="22" spans="1:3" ht="12.75">
      <c r="A22" s="156" t="s">
        <v>66</v>
      </c>
      <c r="B22" s="159" t="s">
        <v>307</v>
      </c>
      <c r="C22" s="30" t="s">
        <v>206</v>
      </c>
    </row>
    <row r="23" spans="1:3" ht="12.75">
      <c r="A23" s="171"/>
      <c r="B23" s="171"/>
      <c r="C23" s="189"/>
    </row>
    <row r="24" spans="1:3" ht="12.75">
      <c r="A24" s="152" t="s">
        <v>195</v>
      </c>
      <c r="B24" s="153" t="s">
        <v>191</v>
      </c>
      <c r="C24" s="151" t="s">
        <v>202</v>
      </c>
    </row>
    <row r="25" spans="1:3" ht="12.75">
      <c r="A25" s="14" t="s">
        <v>5</v>
      </c>
      <c r="B25" s="158" t="s">
        <v>212</v>
      </c>
      <c r="C25" s="155">
        <v>25.93</v>
      </c>
    </row>
    <row r="26" spans="1:3" ht="12.75">
      <c r="A26" s="14" t="s">
        <v>6</v>
      </c>
      <c r="B26" s="158" t="s">
        <v>212</v>
      </c>
      <c r="C26" s="155">
        <v>25.93</v>
      </c>
    </row>
    <row r="27" spans="1:3" ht="12.75">
      <c r="A27" s="14" t="s">
        <v>40</v>
      </c>
      <c r="B27" s="158" t="s">
        <v>212</v>
      </c>
      <c r="C27" s="155">
        <v>25.93</v>
      </c>
    </row>
    <row r="28" spans="1:3" ht="12.75">
      <c r="A28" s="14" t="s">
        <v>8</v>
      </c>
      <c r="B28" s="158" t="s">
        <v>212</v>
      </c>
      <c r="C28" s="155">
        <v>25.93</v>
      </c>
    </row>
    <row r="29" spans="1:3" ht="12.75">
      <c r="A29" s="14" t="s">
        <v>9</v>
      </c>
      <c r="B29" s="158" t="s">
        <v>212</v>
      </c>
      <c r="C29" s="155">
        <v>25.93</v>
      </c>
    </row>
    <row r="30" spans="1:3" ht="12.75">
      <c r="A30" s="14" t="s">
        <v>196</v>
      </c>
      <c r="B30" s="158" t="s">
        <v>212</v>
      </c>
      <c r="C30" s="155">
        <v>25.93</v>
      </c>
    </row>
    <row r="31" spans="1:3" ht="12.75">
      <c r="A31" s="14" t="s">
        <v>197</v>
      </c>
      <c r="B31" s="158" t="s">
        <v>212</v>
      </c>
      <c r="C31" s="155">
        <v>25.93</v>
      </c>
    </row>
    <row r="32" spans="1:3" ht="12.75">
      <c r="A32" s="14" t="s">
        <v>11</v>
      </c>
      <c r="B32" s="158" t="s">
        <v>212</v>
      </c>
      <c r="C32" s="155">
        <v>25.93</v>
      </c>
    </row>
    <row r="33" spans="1:3" ht="12.75">
      <c r="A33" s="14" t="s">
        <v>198</v>
      </c>
      <c r="B33" s="158" t="s">
        <v>212</v>
      </c>
      <c r="C33" s="155">
        <v>25.93</v>
      </c>
    </row>
    <row r="34" spans="1:3" ht="12.75">
      <c r="A34" s="14" t="s">
        <v>199</v>
      </c>
      <c r="B34" s="158" t="s">
        <v>212</v>
      </c>
      <c r="C34" s="155">
        <v>25.93</v>
      </c>
    </row>
    <row r="35" spans="1:3" ht="12.75">
      <c r="A35" s="14" t="s">
        <v>183</v>
      </c>
      <c r="B35" s="158" t="s">
        <v>212</v>
      </c>
      <c r="C35" s="155">
        <v>25.93</v>
      </c>
    </row>
    <row r="36" spans="1:3" ht="12.75">
      <c r="A36" s="14" t="s">
        <v>200</v>
      </c>
      <c r="B36" s="158" t="s">
        <v>212</v>
      </c>
      <c r="C36" s="155">
        <v>25.93</v>
      </c>
    </row>
    <row r="37" spans="1:3" ht="12.75">
      <c r="A37" s="14" t="s">
        <v>229</v>
      </c>
      <c r="B37" s="158" t="s">
        <v>308</v>
      </c>
      <c r="C37" s="155">
        <v>25.93</v>
      </c>
    </row>
    <row r="38" spans="1:3" ht="12.75">
      <c r="A38" s="156" t="s">
        <v>201</v>
      </c>
      <c r="B38" s="159" t="s">
        <v>309</v>
      </c>
      <c r="C38" s="30">
        <v>25.93</v>
      </c>
    </row>
    <row r="46" ht="15">
      <c r="A46" s="180"/>
    </row>
  </sheetData>
  <printOptions/>
  <pageMargins left="0.75" right="0.26" top="1" bottom="0.85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F8" sqref="F8"/>
    </sheetView>
  </sheetViews>
  <sheetFormatPr defaultColWidth="9.140625" defaultRowHeight="12.75"/>
  <cols>
    <col min="2" max="2" width="11.140625" style="0" customWidth="1"/>
    <col min="3" max="3" width="10.7109375" style="0" customWidth="1"/>
    <col min="4" max="4" width="11.7109375" style="0" customWidth="1"/>
  </cols>
  <sheetData>
    <row r="2" spans="1:4" ht="18">
      <c r="A2" s="233"/>
      <c r="B2" s="233"/>
      <c r="C2" s="233"/>
      <c r="D2" s="233"/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45">
        <v>0</v>
      </c>
      <c r="C5" s="47"/>
      <c r="D5" s="88">
        <v>0</v>
      </c>
    </row>
    <row r="6" spans="1:4" ht="12.75">
      <c r="A6" s="4" t="s">
        <v>16</v>
      </c>
      <c r="B6" s="32">
        <v>0</v>
      </c>
      <c r="C6" s="47"/>
      <c r="D6" s="32">
        <v>0</v>
      </c>
    </row>
    <row r="7" spans="1:4" ht="12.75">
      <c r="A7" s="4" t="s">
        <v>17</v>
      </c>
      <c r="B7" s="32">
        <v>0</v>
      </c>
      <c r="C7" s="47"/>
      <c r="D7" s="32">
        <v>0</v>
      </c>
    </row>
    <row r="8" spans="1:4" ht="12.75">
      <c r="A8" s="4" t="s">
        <v>18</v>
      </c>
      <c r="B8" s="32">
        <v>0</v>
      </c>
      <c r="C8" s="47"/>
      <c r="D8" s="32">
        <v>0</v>
      </c>
    </row>
    <row r="9" spans="1:4" ht="12.75">
      <c r="A9" s="4" t="s">
        <v>19</v>
      </c>
      <c r="B9" s="32">
        <v>0</v>
      </c>
      <c r="C9" s="47"/>
      <c r="D9" s="32">
        <v>0</v>
      </c>
    </row>
    <row r="10" spans="1:4" ht="12.75">
      <c r="A10" s="4" t="s">
        <v>20</v>
      </c>
      <c r="B10" s="32">
        <v>0</v>
      </c>
      <c r="C10" s="47"/>
      <c r="D10" s="32">
        <v>0</v>
      </c>
    </row>
    <row r="11" spans="1:4" ht="12.75">
      <c r="A11" s="4" t="s">
        <v>21</v>
      </c>
      <c r="B11" s="32">
        <v>0</v>
      </c>
      <c r="C11" s="47"/>
      <c r="D11" s="32">
        <v>0</v>
      </c>
    </row>
    <row r="12" spans="1:4" ht="12.75">
      <c r="A12" s="4" t="s">
        <v>22</v>
      </c>
      <c r="B12" s="32">
        <v>0</v>
      </c>
      <c r="C12" s="47"/>
      <c r="D12" s="32">
        <v>0</v>
      </c>
    </row>
    <row r="13" spans="1:4" ht="12.75">
      <c r="A13" s="4" t="s">
        <v>23</v>
      </c>
      <c r="B13" s="32">
        <v>0</v>
      </c>
      <c r="C13" s="47"/>
      <c r="D13" s="32">
        <v>0</v>
      </c>
    </row>
    <row r="14" spans="1:4" ht="12.75">
      <c r="A14" s="4" t="s">
        <v>24</v>
      </c>
      <c r="B14" s="32">
        <v>0</v>
      </c>
      <c r="C14" s="47"/>
      <c r="D14" s="32">
        <v>0</v>
      </c>
    </row>
    <row r="15" spans="1:4" ht="12.75">
      <c r="A15" s="4" t="s">
        <v>25</v>
      </c>
      <c r="B15" s="32">
        <v>0</v>
      </c>
      <c r="C15" s="47"/>
      <c r="D15" s="32">
        <v>0</v>
      </c>
    </row>
    <row r="16" spans="1:4" ht="12.75">
      <c r="A16" s="4" t="s">
        <v>26</v>
      </c>
      <c r="B16" s="32">
        <v>0</v>
      </c>
      <c r="C16" s="47"/>
      <c r="D16" s="32">
        <v>0</v>
      </c>
    </row>
    <row r="17" spans="1:4" ht="12.75">
      <c r="A17" s="4" t="s">
        <v>27</v>
      </c>
      <c r="B17" s="32">
        <v>0</v>
      </c>
      <c r="C17" s="47"/>
      <c r="D17" s="32">
        <v>0</v>
      </c>
    </row>
    <row r="18" spans="1:4" ht="12.75">
      <c r="A18" s="4" t="s">
        <v>28</v>
      </c>
      <c r="B18" s="32">
        <v>0</v>
      </c>
      <c r="C18" s="47"/>
      <c r="D18" s="32">
        <v>0</v>
      </c>
    </row>
    <row r="19" spans="1:4" ht="12.75">
      <c r="A19" s="4" t="s">
        <v>29</v>
      </c>
      <c r="B19" s="32">
        <v>0</v>
      </c>
      <c r="C19" s="47"/>
      <c r="D19" s="32">
        <v>0</v>
      </c>
    </row>
    <row r="20" spans="1:4" ht="12.75">
      <c r="A20" s="4" t="s">
        <v>30</v>
      </c>
      <c r="B20" s="32">
        <v>0</v>
      </c>
      <c r="C20" s="47"/>
      <c r="D20" s="32">
        <v>0</v>
      </c>
    </row>
    <row r="21" spans="1:4" ht="12.75">
      <c r="A21" s="4" t="s">
        <v>31</v>
      </c>
      <c r="B21" s="32">
        <v>0</v>
      </c>
      <c r="C21" s="47"/>
      <c r="D21" s="32">
        <v>0</v>
      </c>
    </row>
    <row r="22" spans="1:4" ht="12.75">
      <c r="A22" s="4" t="s">
        <v>32</v>
      </c>
      <c r="B22" s="32">
        <v>0</v>
      </c>
      <c r="C22" s="47"/>
      <c r="D22" s="32">
        <v>0</v>
      </c>
    </row>
    <row r="23" spans="1:4" ht="12.75">
      <c r="A23" s="4" t="s">
        <v>33</v>
      </c>
      <c r="B23" s="32">
        <v>0</v>
      </c>
      <c r="C23" s="47"/>
      <c r="D23" s="32">
        <v>0</v>
      </c>
    </row>
    <row r="24" spans="1:4" ht="12.75">
      <c r="A24" s="4" t="s">
        <v>34</v>
      </c>
      <c r="B24" s="32">
        <v>0</v>
      </c>
      <c r="C24" s="47"/>
      <c r="D24" s="32">
        <v>0</v>
      </c>
    </row>
    <row r="25" spans="1:4" ht="12.75">
      <c r="A25" s="4" t="s">
        <v>35</v>
      </c>
      <c r="B25" s="32">
        <v>0</v>
      </c>
      <c r="C25" s="47"/>
      <c r="D25" s="32">
        <v>0</v>
      </c>
    </row>
    <row r="26" spans="1:4" ht="12.75">
      <c r="A26" s="4" t="s">
        <v>36</v>
      </c>
      <c r="B26" s="32">
        <v>0</v>
      </c>
      <c r="C26" s="47"/>
      <c r="D26" s="32">
        <v>0</v>
      </c>
    </row>
    <row r="27" spans="1:4" ht="12.75">
      <c r="A27" s="4" t="s">
        <v>37</v>
      </c>
      <c r="B27" s="32">
        <v>0</v>
      </c>
      <c r="C27" s="47"/>
      <c r="D27" s="32">
        <v>0</v>
      </c>
    </row>
    <row r="28" spans="1:4" ht="12.75">
      <c r="A28" s="4" t="s">
        <v>38</v>
      </c>
      <c r="B28" s="32">
        <v>0</v>
      </c>
      <c r="C28" s="47"/>
      <c r="D28" s="32">
        <v>0</v>
      </c>
    </row>
    <row r="29" spans="1:4" ht="12.75">
      <c r="A29" s="4" t="s">
        <v>39</v>
      </c>
      <c r="B29" s="32">
        <v>0</v>
      </c>
      <c r="C29" s="47"/>
      <c r="D29" s="32">
        <v>0</v>
      </c>
    </row>
    <row r="30" spans="1:4" ht="12.75">
      <c r="A30" s="4" t="s">
        <v>8</v>
      </c>
      <c r="B30" s="32">
        <v>0</v>
      </c>
      <c r="C30" s="47"/>
      <c r="D30" s="32">
        <v>0</v>
      </c>
    </row>
    <row r="31" spans="1:4" ht="12.75">
      <c r="A31" s="4" t="s">
        <v>52</v>
      </c>
      <c r="B31" s="32">
        <v>0</v>
      </c>
      <c r="C31" s="47"/>
      <c r="D31" s="32">
        <v>0</v>
      </c>
    </row>
    <row r="32" spans="1:4" ht="12.75">
      <c r="A32" s="4" t="s">
        <v>40</v>
      </c>
      <c r="B32" s="32">
        <v>0</v>
      </c>
      <c r="C32" s="47"/>
      <c r="D32" s="32">
        <v>0</v>
      </c>
    </row>
    <row r="33" spans="1:4" ht="12.75">
      <c r="A33" s="4" t="s">
        <v>5</v>
      </c>
      <c r="B33" s="32">
        <v>0</v>
      </c>
      <c r="C33" s="47"/>
      <c r="D33" s="32">
        <v>0</v>
      </c>
    </row>
    <row r="34" spans="1:4" ht="12.75">
      <c r="A34" s="4" t="s">
        <v>6</v>
      </c>
      <c r="B34" s="32">
        <v>0</v>
      </c>
      <c r="C34" s="47"/>
      <c r="D34" s="32">
        <v>0</v>
      </c>
    </row>
    <row r="35" spans="1:4" ht="12.75">
      <c r="A35" s="4" t="s">
        <v>9</v>
      </c>
      <c r="B35" s="33">
        <v>0</v>
      </c>
      <c r="C35" s="33"/>
      <c r="D35" s="50">
        <v>0</v>
      </c>
    </row>
    <row r="36" spans="1:4" ht="12.75">
      <c r="A36" s="4" t="s">
        <v>165</v>
      </c>
      <c r="B36" s="32"/>
      <c r="C36" s="33"/>
      <c r="D36" s="50">
        <v>0</v>
      </c>
    </row>
    <row r="37" spans="1:4" ht="12.75">
      <c r="A37" s="4" t="s">
        <v>147</v>
      </c>
      <c r="B37" s="18"/>
      <c r="C37" s="17"/>
      <c r="D37" s="44">
        <v>0</v>
      </c>
    </row>
    <row r="38" spans="1:4" ht="12.75">
      <c r="A38" s="20" t="s">
        <v>41</v>
      </c>
      <c r="B38" s="44">
        <f>SUM(B5:B37)</f>
        <v>0</v>
      </c>
      <c r="C38" s="18"/>
      <c r="D38" s="51">
        <f>SUM(D5:D37)</f>
        <v>0</v>
      </c>
    </row>
    <row r="39" ht="12.75">
      <c r="A39" s="23" t="s">
        <v>225</v>
      </c>
    </row>
    <row r="40" ht="12.75">
      <c r="A40" s="23" t="s">
        <v>226</v>
      </c>
    </row>
    <row r="43" ht="12.75">
      <c r="D43" s="98">
        <v>0</v>
      </c>
    </row>
  </sheetData>
  <mergeCells count="2">
    <mergeCell ref="B3:D3"/>
    <mergeCell ref="A2:D2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28125" style="0" customWidth="1"/>
  </cols>
  <sheetData>
    <row r="2" ht="18">
      <c r="A2" s="25" t="s">
        <v>143</v>
      </c>
    </row>
    <row r="3" spans="1:4" ht="12.75">
      <c r="A3" s="24"/>
      <c r="B3" s="229" t="s">
        <v>41</v>
      </c>
      <c r="C3" s="230"/>
      <c r="D3" s="231"/>
    </row>
    <row r="4" spans="1:7" ht="12.75">
      <c r="A4" s="14"/>
      <c r="B4" s="21" t="s">
        <v>42</v>
      </c>
      <c r="C4" s="21" t="s">
        <v>43</v>
      </c>
      <c r="D4" s="22" t="s">
        <v>44</v>
      </c>
      <c r="G4" s="135"/>
    </row>
    <row r="5" spans="1:4" ht="12.75">
      <c r="A5" s="4" t="s">
        <v>0</v>
      </c>
      <c r="B5" s="33">
        <f>SUM('TCR Model'!J7)</f>
        <v>6610</v>
      </c>
      <c r="C5" s="47">
        <f>SUM(B5/$B$38)</f>
        <v>0.15782813208853658</v>
      </c>
      <c r="D5" s="55">
        <f>ROUND(C5*$D$43,0)-1</f>
        <v>8486</v>
      </c>
    </row>
    <row r="6" spans="1:4" ht="12.75">
      <c r="A6" s="4" t="s">
        <v>16</v>
      </c>
      <c r="B6" s="33">
        <f>SUM('TCR Model'!J8)</f>
        <v>3532</v>
      </c>
      <c r="C6" s="47">
        <f aca="true" t="shared" si="0" ref="C6:C27">SUM(B6/$B$38)</f>
        <v>0.08433418495260381</v>
      </c>
      <c r="D6" s="50">
        <f>ROUND(C6*$D$43,0)</f>
        <v>4535</v>
      </c>
    </row>
    <row r="7" spans="1:4" ht="12.75">
      <c r="A7" s="4" t="s">
        <v>17</v>
      </c>
      <c r="B7" s="33">
        <f>SUM('TCR Model'!J9)</f>
        <v>713</v>
      </c>
      <c r="C7" s="47">
        <f t="shared" si="0"/>
        <v>0.017024426350851222</v>
      </c>
      <c r="D7" s="50">
        <f aca="true" t="shared" si="1" ref="D7:D27">ROUND(C7*$D$43,0)</f>
        <v>916</v>
      </c>
    </row>
    <row r="8" spans="1:4" ht="12.75">
      <c r="A8" s="4" t="s">
        <v>18</v>
      </c>
      <c r="B8" s="33">
        <f>SUM('TCR Model'!J10)</f>
        <v>3161</v>
      </c>
      <c r="C8" s="47">
        <f t="shared" si="0"/>
        <v>0.07547575272796733</v>
      </c>
      <c r="D8" s="50">
        <f t="shared" si="1"/>
        <v>4059</v>
      </c>
    </row>
    <row r="9" spans="1:4" ht="12.75">
      <c r="A9" s="4" t="s">
        <v>19</v>
      </c>
      <c r="B9" s="33">
        <f>SUM('TCR Model'!J11)</f>
        <v>3445</v>
      </c>
      <c r="C9" s="47">
        <f t="shared" si="0"/>
        <v>0.08225687065733865</v>
      </c>
      <c r="D9" s="50">
        <f t="shared" si="1"/>
        <v>4423</v>
      </c>
    </row>
    <row r="10" spans="1:4" ht="12.75">
      <c r="A10" s="4" t="s">
        <v>20</v>
      </c>
      <c r="B10" s="33">
        <f>SUM('TCR Model'!J12)</f>
        <v>4928</v>
      </c>
      <c r="C10" s="47">
        <f t="shared" si="0"/>
        <v>0.11766672238007689</v>
      </c>
      <c r="D10" s="50">
        <f t="shared" si="1"/>
        <v>6328</v>
      </c>
    </row>
    <row r="11" spans="1:4" ht="12.75">
      <c r="A11" s="4" t="s">
        <v>21</v>
      </c>
      <c r="B11" s="33">
        <f>SUM('TCR Model'!J13)</f>
        <v>3380</v>
      </c>
      <c r="C11" s="47">
        <f t="shared" si="0"/>
        <v>0.0807048542298417</v>
      </c>
      <c r="D11" s="50">
        <f t="shared" si="1"/>
        <v>4340</v>
      </c>
    </row>
    <row r="12" spans="1:4" ht="12.75">
      <c r="A12" s="4" t="s">
        <v>22</v>
      </c>
      <c r="B12" s="33">
        <f>SUM('TCR Model'!J14)</f>
        <v>2440</v>
      </c>
      <c r="C12" s="47">
        <f t="shared" si="0"/>
        <v>0.05826030897065495</v>
      </c>
      <c r="D12" s="50">
        <f t="shared" si="1"/>
        <v>3133</v>
      </c>
    </row>
    <row r="13" spans="1:4" ht="12.75">
      <c r="A13" s="4" t="s">
        <v>23</v>
      </c>
      <c r="B13" s="33">
        <f>SUM('TCR Model'!J15)</f>
        <v>1368</v>
      </c>
      <c r="C13" s="47">
        <f t="shared" si="0"/>
        <v>0.032663976504859006</v>
      </c>
      <c r="D13" s="50">
        <f t="shared" si="1"/>
        <v>1757</v>
      </c>
    </row>
    <row r="14" spans="1:4" ht="12.75">
      <c r="A14" s="4" t="s">
        <v>24</v>
      </c>
      <c r="B14" s="33">
        <f>SUM('TCR Model'!J16)</f>
        <v>516</v>
      </c>
      <c r="C14" s="47">
        <f t="shared" si="0"/>
        <v>0.012320622716745064</v>
      </c>
      <c r="D14" s="50">
        <f t="shared" si="1"/>
        <v>663</v>
      </c>
    </row>
    <row r="15" spans="1:4" ht="12.75">
      <c r="A15" s="4" t="s">
        <v>25</v>
      </c>
      <c r="B15" s="33">
        <f>SUM('TCR Model'!J17)</f>
        <v>1841</v>
      </c>
      <c r="C15" s="47">
        <f t="shared" si="0"/>
        <v>0.043957880661875316</v>
      </c>
      <c r="D15" s="50">
        <f t="shared" si="1"/>
        <v>2364</v>
      </c>
    </row>
    <row r="16" spans="1:4" ht="12.75">
      <c r="A16" s="4" t="s">
        <v>26</v>
      </c>
      <c r="B16" s="33">
        <f>SUM('TCR Model'!J18)</f>
        <v>1198</v>
      </c>
      <c r="C16" s="47">
        <f t="shared" si="0"/>
        <v>0.028604856617559276</v>
      </c>
      <c r="D16" s="50">
        <f t="shared" si="1"/>
        <v>1538</v>
      </c>
    </row>
    <row r="17" spans="1:4" ht="12.75">
      <c r="A17" s="4" t="s">
        <v>27</v>
      </c>
      <c r="B17" s="33">
        <f>SUM('TCR Model'!J19)</f>
        <v>724</v>
      </c>
      <c r="C17" s="47">
        <f t="shared" si="0"/>
        <v>0.01728707528473532</v>
      </c>
      <c r="D17" s="50">
        <f t="shared" si="1"/>
        <v>930</v>
      </c>
    </row>
    <row r="18" spans="1:4" ht="12.75">
      <c r="A18" s="4" t="s">
        <v>28</v>
      </c>
      <c r="B18" s="33">
        <f>SUM('TCR Model'!J20)</f>
        <v>2436</v>
      </c>
      <c r="C18" s="47">
        <f t="shared" si="0"/>
        <v>0.05816480026742437</v>
      </c>
      <c r="D18" s="50">
        <f t="shared" si="1"/>
        <v>3128</v>
      </c>
    </row>
    <row r="19" spans="1:4" ht="12.75">
      <c r="A19" s="4" t="s">
        <v>29</v>
      </c>
      <c r="B19" s="33">
        <f>SUM('TCR Model'!J21)</f>
        <v>1433</v>
      </c>
      <c r="C19" s="47">
        <f t="shared" si="0"/>
        <v>0.034215992932355964</v>
      </c>
      <c r="D19" s="50">
        <f t="shared" si="1"/>
        <v>1840</v>
      </c>
    </row>
    <row r="20" spans="1:4" ht="12.75">
      <c r="A20" s="4" t="s">
        <v>30</v>
      </c>
      <c r="B20" s="33">
        <f>SUM('TCR Model'!J22)</f>
        <v>707</v>
      </c>
      <c r="C20" s="47">
        <f t="shared" si="0"/>
        <v>0.01688116329600535</v>
      </c>
      <c r="D20" s="50">
        <f t="shared" si="1"/>
        <v>908</v>
      </c>
    </row>
    <row r="21" spans="1:4" ht="12.75">
      <c r="A21" s="4" t="s">
        <v>31</v>
      </c>
      <c r="B21" s="33">
        <f>SUM('TCR Model'!J23)</f>
        <v>437</v>
      </c>
      <c r="C21" s="47">
        <f t="shared" si="0"/>
        <v>0.010434325827941071</v>
      </c>
      <c r="D21" s="50">
        <f t="shared" si="1"/>
        <v>561</v>
      </c>
    </row>
    <row r="22" spans="1:4" ht="12.75">
      <c r="A22" s="4" t="s">
        <v>32</v>
      </c>
      <c r="B22" s="33">
        <f>SUM('TCR Model'!J24)</f>
        <v>235</v>
      </c>
      <c r="C22" s="47">
        <f t="shared" si="0"/>
        <v>0.005611136314796686</v>
      </c>
      <c r="D22" s="50">
        <f t="shared" si="1"/>
        <v>302</v>
      </c>
    </row>
    <row r="23" spans="1:4" ht="12.75">
      <c r="A23" s="4" t="s">
        <v>33</v>
      </c>
      <c r="B23" s="33">
        <f>SUM('TCR Model'!J25)</f>
        <v>1574</v>
      </c>
      <c r="C23" s="47">
        <f t="shared" si="0"/>
        <v>0.03758267472123397</v>
      </c>
      <c r="D23" s="50">
        <f t="shared" si="1"/>
        <v>2021</v>
      </c>
    </row>
    <row r="24" spans="1:4" ht="12.75">
      <c r="A24" s="4" t="s">
        <v>34</v>
      </c>
      <c r="B24" s="33">
        <f>SUM('TCR Model'!J26)</f>
        <v>152</v>
      </c>
      <c r="C24" s="47">
        <f t="shared" si="0"/>
        <v>0.0036293307227621115</v>
      </c>
      <c r="D24" s="50">
        <f t="shared" si="1"/>
        <v>195</v>
      </c>
    </row>
    <row r="25" spans="1:4" ht="12.75">
      <c r="A25" s="4" t="s">
        <v>35</v>
      </c>
      <c r="B25" s="33">
        <f>SUM('TCR Model'!J27)</f>
        <v>631</v>
      </c>
      <c r="C25" s="47">
        <f t="shared" si="0"/>
        <v>0.015066497934624293</v>
      </c>
      <c r="D25" s="50">
        <f t="shared" si="1"/>
        <v>810</v>
      </c>
    </row>
    <row r="26" spans="1:4" ht="12.75">
      <c r="A26" s="4" t="s">
        <v>36</v>
      </c>
      <c r="B26" s="33">
        <f>SUM('TCR Model'!J28)</f>
        <v>0</v>
      </c>
      <c r="C26" s="47">
        <f t="shared" si="0"/>
        <v>0</v>
      </c>
      <c r="D26" s="50">
        <f t="shared" si="1"/>
        <v>0</v>
      </c>
    </row>
    <row r="27" spans="1:4" ht="12.75">
      <c r="A27" s="4" t="s">
        <v>37</v>
      </c>
      <c r="B27" s="33">
        <f>SUM('TCR Model'!J29)</f>
        <v>420</v>
      </c>
      <c r="C27" s="47">
        <f t="shared" si="0"/>
        <v>0.010028413839211098</v>
      </c>
      <c r="D27" s="50">
        <f t="shared" si="1"/>
        <v>539</v>
      </c>
    </row>
    <row r="28" spans="1:6" ht="12.75">
      <c r="A28" s="4" t="s">
        <v>38</v>
      </c>
      <c r="B28" s="33">
        <v>0</v>
      </c>
      <c r="C28" s="33">
        <v>0</v>
      </c>
      <c r="D28" s="50">
        <v>0</v>
      </c>
      <c r="F28" s="76"/>
    </row>
    <row r="29" spans="1:4" ht="12.75">
      <c r="A29" s="4" t="s">
        <v>39</v>
      </c>
      <c r="B29" s="33">
        <f>SUM('TCR Model'!J31)</f>
        <v>0</v>
      </c>
      <c r="C29" s="33">
        <v>0</v>
      </c>
      <c r="D29" s="50">
        <v>0</v>
      </c>
    </row>
    <row r="30" spans="1:4" ht="12.75">
      <c r="A30" s="4" t="s">
        <v>8</v>
      </c>
      <c r="B30" s="33">
        <f>SUM('TCR Model'!J32)</f>
        <v>0</v>
      </c>
      <c r="C30" s="33">
        <v>0</v>
      </c>
      <c r="D30" s="50">
        <v>0</v>
      </c>
    </row>
    <row r="31" spans="1:4" ht="12.75">
      <c r="A31" s="4" t="s">
        <v>52</v>
      </c>
      <c r="B31" s="33">
        <f>SUM('TCR Model'!J33)</f>
        <v>0</v>
      </c>
      <c r="C31" s="33">
        <v>0</v>
      </c>
      <c r="D31" s="50">
        <v>0</v>
      </c>
    </row>
    <row r="32" spans="1:4" ht="12.75">
      <c r="A32" s="4" t="s">
        <v>40</v>
      </c>
      <c r="B32" s="33">
        <v>0</v>
      </c>
      <c r="C32" s="33">
        <v>0</v>
      </c>
      <c r="D32" s="50">
        <v>0</v>
      </c>
    </row>
    <row r="33" spans="1:4" ht="12.75">
      <c r="A33" s="4" t="s">
        <v>5</v>
      </c>
      <c r="B33" s="33">
        <v>0</v>
      </c>
      <c r="C33" s="33">
        <v>0</v>
      </c>
      <c r="D33" s="50">
        <v>0</v>
      </c>
    </row>
    <row r="34" spans="1:4" ht="12.75">
      <c r="A34" s="4" t="s">
        <v>6</v>
      </c>
      <c r="B34" s="33">
        <v>0</v>
      </c>
      <c r="C34" s="33">
        <v>0</v>
      </c>
      <c r="D34" s="50">
        <v>0</v>
      </c>
    </row>
    <row r="35" spans="1:4" ht="12.75">
      <c r="A35" s="4" t="s">
        <v>9</v>
      </c>
      <c r="B35" s="33">
        <v>0</v>
      </c>
      <c r="C35" s="33">
        <v>0</v>
      </c>
      <c r="D35" s="50">
        <v>0</v>
      </c>
    </row>
    <row r="36" spans="1:4" ht="12.75">
      <c r="A36" s="4" t="s">
        <v>165</v>
      </c>
      <c r="B36" s="32">
        <v>0</v>
      </c>
      <c r="C36" s="33">
        <v>0</v>
      </c>
      <c r="D36" s="50">
        <v>0</v>
      </c>
    </row>
    <row r="37" spans="1:4" ht="12.75">
      <c r="A37" s="4" t="s">
        <v>147</v>
      </c>
      <c r="B37" s="143">
        <v>0</v>
      </c>
      <c r="C37" s="144">
        <v>0</v>
      </c>
      <c r="D37" s="143">
        <v>0</v>
      </c>
    </row>
    <row r="38" spans="1:6" ht="12.75">
      <c r="A38" s="20" t="s">
        <v>41</v>
      </c>
      <c r="B38" s="37">
        <f>SUM(B5:B37)</f>
        <v>41881</v>
      </c>
      <c r="C38" s="48">
        <f>SUM(C5:C37)</f>
        <v>0.9999999999999999</v>
      </c>
      <c r="D38" s="54">
        <f>SUM(D5:D37)</f>
        <v>53776</v>
      </c>
      <c r="F38" s="76"/>
    </row>
    <row r="39" spans="1:4" ht="12.75">
      <c r="A39" s="23" t="s">
        <v>222</v>
      </c>
      <c r="D39" s="76"/>
    </row>
    <row r="43" ht="12.75">
      <c r="D43" s="98">
        <v>53776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D33" sqref="D33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140625" style="0" customWidth="1"/>
  </cols>
  <sheetData>
    <row r="2" ht="18">
      <c r="A2" s="25" t="s">
        <v>144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46">
        <f>SUM(Census!H5)</f>
        <v>5379</v>
      </c>
      <c r="C5" s="47">
        <f>SUM(B5/$B$38)</f>
        <v>0.23824076534679778</v>
      </c>
      <c r="D5" s="53">
        <f>ROUND(C5*$D$43,0)</f>
        <v>8658</v>
      </c>
    </row>
    <row r="6" spans="1:4" ht="12.75">
      <c r="A6" s="4" t="s">
        <v>16</v>
      </c>
      <c r="B6" s="46">
        <f>SUM(Census!H6)</f>
        <v>1222</v>
      </c>
      <c r="C6" s="47">
        <f aca="true" t="shared" si="0" ref="C6:C29">SUM(B6/$B$38)</f>
        <v>0.054123483036584284</v>
      </c>
      <c r="D6" s="32">
        <f>ROUND(C6*$D$43,0)</f>
        <v>1967</v>
      </c>
    </row>
    <row r="7" spans="1:4" ht="12.75">
      <c r="A7" s="4" t="s">
        <v>17</v>
      </c>
      <c r="B7" s="46">
        <f>SUM(Census!H7)</f>
        <v>542</v>
      </c>
      <c r="C7" s="47">
        <f t="shared" si="0"/>
        <v>0.02400566923553902</v>
      </c>
      <c r="D7" s="32">
        <f aca="true" t="shared" si="1" ref="D7:D37">ROUND(C7*$D$43,0)</f>
        <v>872</v>
      </c>
    </row>
    <row r="8" spans="1:4" ht="12.75">
      <c r="A8" s="4" t="s">
        <v>18</v>
      </c>
      <c r="B8" s="46">
        <f>SUM(Census!H8)</f>
        <v>1146</v>
      </c>
      <c r="C8" s="47">
        <f t="shared" si="0"/>
        <v>0.05075737443529099</v>
      </c>
      <c r="D8" s="32">
        <f t="shared" si="1"/>
        <v>1845</v>
      </c>
    </row>
    <row r="9" spans="1:4" ht="12.75">
      <c r="A9" s="4" t="s">
        <v>19</v>
      </c>
      <c r="B9" s="46">
        <f>SUM(Census!H9)</f>
        <v>1001</v>
      </c>
      <c r="C9" s="47">
        <f t="shared" si="0"/>
        <v>0.04433519355124457</v>
      </c>
      <c r="D9" s="32">
        <f t="shared" si="1"/>
        <v>1611</v>
      </c>
    </row>
    <row r="10" spans="1:4" ht="12.75">
      <c r="A10" s="4" t="s">
        <v>20</v>
      </c>
      <c r="B10" s="46">
        <f>SUM(Census!H10)</f>
        <v>2822</v>
      </c>
      <c r="C10" s="47">
        <f t="shared" si="0"/>
        <v>0.12498892727433786</v>
      </c>
      <c r="D10" s="32">
        <f t="shared" si="1"/>
        <v>4542</v>
      </c>
    </row>
    <row r="11" spans="1:4" ht="12.75">
      <c r="A11" s="4" t="s">
        <v>21</v>
      </c>
      <c r="B11" s="46">
        <f>SUM(Census!H11)</f>
        <v>182</v>
      </c>
      <c r="C11" s="47">
        <f t="shared" si="0"/>
        <v>0.008060944282044468</v>
      </c>
      <c r="D11" s="32">
        <f t="shared" si="1"/>
        <v>293</v>
      </c>
    </row>
    <row r="12" spans="1:4" ht="12.75">
      <c r="A12" s="4" t="s">
        <v>22</v>
      </c>
      <c r="B12" s="46">
        <f>SUM(Census!H12)</f>
        <v>1359</v>
      </c>
      <c r="C12" s="47">
        <f t="shared" si="0"/>
        <v>0.06019133669944193</v>
      </c>
      <c r="D12" s="32">
        <f t="shared" si="1"/>
        <v>2187</v>
      </c>
    </row>
    <row r="13" spans="1:4" ht="12.75">
      <c r="A13" s="4" t="s">
        <v>23</v>
      </c>
      <c r="B13" s="46">
        <f>SUM(Census!H13)</f>
        <v>511</v>
      </c>
      <c r="C13" s="47">
        <f t="shared" si="0"/>
        <v>0.022632651253432546</v>
      </c>
      <c r="D13" s="32">
        <f t="shared" si="1"/>
        <v>822</v>
      </c>
    </row>
    <row r="14" spans="1:4" ht="12.75">
      <c r="A14" s="4" t="s">
        <v>24</v>
      </c>
      <c r="B14" s="46">
        <f>SUM(Census!H14)</f>
        <v>1409</v>
      </c>
      <c r="C14" s="47">
        <f t="shared" si="0"/>
        <v>0.062405881831871735</v>
      </c>
      <c r="D14" s="32">
        <f t="shared" si="1"/>
        <v>2268</v>
      </c>
    </row>
    <row r="15" spans="1:4" ht="12.75">
      <c r="A15" s="4" t="s">
        <v>25</v>
      </c>
      <c r="B15" s="46">
        <f>SUM(Census!H15)</f>
        <v>896</v>
      </c>
      <c r="C15" s="47">
        <f t="shared" si="0"/>
        <v>0.039684648773142</v>
      </c>
      <c r="D15" s="32">
        <f t="shared" si="1"/>
        <v>1442</v>
      </c>
    </row>
    <row r="16" spans="1:4" ht="12.75">
      <c r="A16" s="4" t="s">
        <v>26</v>
      </c>
      <c r="B16" s="46">
        <f>SUM(Census!H16)</f>
        <v>419</v>
      </c>
      <c r="C16" s="47">
        <f t="shared" si="0"/>
        <v>0.018557888209761716</v>
      </c>
      <c r="D16" s="32">
        <f t="shared" si="1"/>
        <v>674</v>
      </c>
    </row>
    <row r="17" spans="1:4" ht="12.75">
      <c r="A17" s="4" t="s">
        <v>27</v>
      </c>
      <c r="B17" s="46">
        <f>SUM(Census!H17)</f>
        <v>289</v>
      </c>
      <c r="C17" s="47">
        <f t="shared" si="0"/>
        <v>0.012800070865444237</v>
      </c>
      <c r="D17" s="32">
        <f t="shared" si="1"/>
        <v>465</v>
      </c>
    </row>
    <row r="18" spans="1:4" ht="12.75">
      <c r="A18" s="4" t="s">
        <v>28</v>
      </c>
      <c r="B18" s="46">
        <f>SUM(Census!H18)</f>
        <v>1358</v>
      </c>
      <c r="C18" s="47">
        <f t="shared" si="0"/>
        <v>0.060147045796793336</v>
      </c>
      <c r="D18" s="32">
        <f t="shared" si="1"/>
        <v>2186</v>
      </c>
    </row>
    <row r="19" spans="1:4" ht="12.75">
      <c r="A19" s="4" t="s">
        <v>29</v>
      </c>
      <c r="B19" s="46">
        <f>SUM(Census!H19)</f>
        <v>750</v>
      </c>
      <c r="C19" s="47">
        <f t="shared" si="0"/>
        <v>0.03321817698644698</v>
      </c>
      <c r="D19" s="32">
        <f t="shared" si="1"/>
        <v>1207</v>
      </c>
    </row>
    <row r="20" spans="1:4" ht="12.75">
      <c r="A20" s="4" t="s">
        <v>30</v>
      </c>
      <c r="B20" s="46">
        <f>SUM(Census!H20)</f>
        <v>359</v>
      </c>
      <c r="C20" s="47">
        <f t="shared" si="0"/>
        <v>0.015900434050845957</v>
      </c>
      <c r="D20" s="32">
        <f t="shared" si="1"/>
        <v>578</v>
      </c>
    </row>
    <row r="21" spans="1:4" ht="12.75">
      <c r="A21" s="4" t="s">
        <v>31</v>
      </c>
      <c r="B21" s="46">
        <f>SUM(Census!H21)</f>
        <v>70</v>
      </c>
      <c r="C21" s="47">
        <f t="shared" si="0"/>
        <v>0.0031003631854017184</v>
      </c>
      <c r="D21" s="32">
        <f t="shared" si="1"/>
        <v>113</v>
      </c>
    </row>
    <row r="22" spans="1:4" ht="12.75">
      <c r="A22" s="4" t="s">
        <v>32</v>
      </c>
      <c r="B22" s="46">
        <f>SUM(Census!H22)</f>
        <v>555</v>
      </c>
      <c r="C22" s="47">
        <f t="shared" si="0"/>
        <v>0.024581450969970768</v>
      </c>
      <c r="D22" s="32">
        <f t="shared" si="1"/>
        <v>893</v>
      </c>
    </row>
    <row r="23" spans="1:4" ht="12.75">
      <c r="A23" s="4" t="s">
        <v>33</v>
      </c>
      <c r="B23" s="46">
        <f>SUM(Census!H23)</f>
        <v>90</v>
      </c>
      <c r="C23" s="47">
        <f t="shared" si="0"/>
        <v>0.003986181238373638</v>
      </c>
      <c r="D23" s="32">
        <f t="shared" si="1"/>
        <v>145</v>
      </c>
    </row>
    <row r="24" spans="1:4" ht="12.75">
      <c r="A24" s="4" t="s">
        <v>34</v>
      </c>
      <c r="B24" s="46">
        <f>SUM(Census!H24)</f>
        <v>132</v>
      </c>
      <c r="C24" s="47">
        <f t="shared" si="0"/>
        <v>0.005846399149614669</v>
      </c>
      <c r="D24" s="32">
        <f t="shared" si="1"/>
        <v>212</v>
      </c>
    </row>
    <row r="25" spans="1:4" ht="12.75">
      <c r="A25" s="4" t="s">
        <v>35</v>
      </c>
      <c r="B25" s="46">
        <f>SUM(Census!H25)</f>
        <v>118</v>
      </c>
      <c r="C25" s="47">
        <f t="shared" si="0"/>
        <v>0.005226326512534326</v>
      </c>
      <c r="D25" s="32">
        <f t="shared" si="1"/>
        <v>190</v>
      </c>
    </row>
    <row r="26" spans="1:4" ht="12.75">
      <c r="A26" s="4" t="s">
        <v>36</v>
      </c>
      <c r="B26" s="46">
        <f>SUM(Census!H26)</f>
        <v>42</v>
      </c>
      <c r="C26" s="47">
        <f t="shared" si="0"/>
        <v>0.0018602179112410311</v>
      </c>
      <c r="D26" s="32">
        <f t="shared" si="1"/>
        <v>68</v>
      </c>
    </row>
    <row r="27" spans="1:4" ht="12.75">
      <c r="A27" s="4" t="s">
        <v>37</v>
      </c>
      <c r="B27" s="46">
        <f>SUM(Census!H27)</f>
        <v>75</v>
      </c>
      <c r="C27" s="47">
        <f t="shared" si="0"/>
        <v>0.0033218176986446984</v>
      </c>
      <c r="D27" s="32">
        <f t="shared" si="1"/>
        <v>121</v>
      </c>
    </row>
    <row r="28" spans="1:4" ht="12.75">
      <c r="A28" s="4" t="s">
        <v>38</v>
      </c>
      <c r="B28" s="46">
        <f>SUM(Census!H28)</f>
        <v>1401</v>
      </c>
      <c r="C28" s="47">
        <f t="shared" si="0"/>
        <v>0.062051554610682964</v>
      </c>
      <c r="D28" s="32">
        <f t="shared" si="1"/>
        <v>2255</v>
      </c>
    </row>
    <row r="29" spans="1:4" ht="12.75">
      <c r="A29" s="4" t="s">
        <v>39</v>
      </c>
      <c r="B29" s="46">
        <f>SUM(Census!H29)</f>
        <v>451</v>
      </c>
      <c r="C29" s="47">
        <f t="shared" si="0"/>
        <v>0.019975197094516787</v>
      </c>
      <c r="D29" s="32">
        <f t="shared" si="1"/>
        <v>726</v>
      </c>
    </row>
    <row r="30" spans="1:4" ht="12.75">
      <c r="A30" s="4" t="s">
        <v>8</v>
      </c>
      <c r="B30" s="46">
        <v>0</v>
      </c>
      <c r="C30" s="33">
        <v>0</v>
      </c>
      <c r="D30" s="32">
        <f t="shared" si="1"/>
        <v>0</v>
      </c>
    </row>
    <row r="31" spans="1:6" ht="12.75">
      <c r="A31" s="4" t="s">
        <v>52</v>
      </c>
      <c r="B31" s="33">
        <v>0</v>
      </c>
      <c r="C31" s="33">
        <v>0</v>
      </c>
      <c r="D31" s="32">
        <f t="shared" si="1"/>
        <v>0</v>
      </c>
      <c r="F31" s="76"/>
    </row>
    <row r="32" spans="1:4" ht="12.75">
      <c r="A32" s="4" t="s">
        <v>40</v>
      </c>
      <c r="B32" s="33">
        <v>0</v>
      </c>
      <c r="C32" s="33">
        <v>0</v>
      </c>
      <c r="D32" s="32">
        <f t="shared" si="1"/>
        <v>0</v>
      </c>
    </row>
    <row r="33" spans="1:4" ht="12.75">
      <c r="A33" s="4" t="s">
        <v>5</v>
      </c>
      <c r="B33" s="33">
        <v>0</v>
      </c>
      <c r="C33" s="33">
        <v>0</v>
      </c>
      <c r="D33" s="32">
        <f t="shared" si="1"/>
        <v>0</v>
      </c>
    </row>
    <row r="34" spans="1:4" ht="12.75">
      <c r="A34" s="4" t="s">
        <v>6</v>
      </c>
      <c r="B34" s="33">
        <v>0</v>
      </c>
      <c r="C34" s="33">
        <v>0</v>
      </c>
      <c r="D34" s="32">
        <f t="shared" si="1"/>
        <v>0</v>
      </c>
    </row>
    <row r="35" spans="1:4" ht="12.75">
      <c r="A35" s="4" t="s">
        <v>9</v>
      </c>
      <c r="B35" s="33">
        <v>0</v>
      </c>
      <c r="C35" s="33">
        <v>0</v>
      </c>
      <c r="D35" s="32">
        <f t="shared" si="1"/>
        <v>0</v>
      </c>
    </row>
    <row r="36" spans="1:4" ht="12.75">
      <c r="A36" s="142" t="s">
        <v>165</v>
      </c>
      <c r="B36" s="32">
        <v>0</v>
      </c>
      <c r="C36" s="33">
        <v>0</v>
      </c>
      <c r="D36" s="32">
        <f t="shared" si="1"/>
        <v>0</v>
      </c>
    </row>
    <row r="37" spans="1:4" ht="12.75">
      <c r="A37" s="4" t="s">
        <v>147</v>
      </c>
      <c r="B37" s="37">
        <v>0</v>
      </c>
      <c r="C37" s="33">
        <v>0</v>
      </c>
      <c r="D37" s="37">
        <f t="shared" si="1"/>
        <v>0</v>
      </c>
    </row>
    <row r="38" spans="1:6" ht="12.75">
      <c r="A38" s="20" t="s">
        <v>41</v>
      </c>
      <c r="B38" s="44">
        <f>SUM(B5:B37)</f>
        <v>22578</v>
      </c>
      <c r="C38" s="48">
        <f>SUM(C5:C37)</f>
        <v>1.0000000000000002</v>
      </c>
      <c r="D38" s="54">
        <f>SUM(D5:D37)</f>
        <v>36340</v>
      </c>
      <c r="F38" s="76"/>
    </row>
    <row r="39" spans="1:4" ht="12.75">
      <c r="A39" s="23" t="s">
        <v>219</v>
      </c>
      <c r="D39" s="76"/>
    </row>
    <row r="41" ht="12.75">
      <c r="A41" s="147" t="s">
        <v>284</v>
      </c>
    </row>
    <row r="43" ht="12.75">
      <c r="D43" s="190">
        <v>36340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workbookViewId="0" topLeftCell="A16">
      <selection activeCell="L27" sqref="L27"/>
    </sheetView>
  </sheetViews>
  <sheetFormatPr defaultColWidth="9.140625" defaultRowHeight="12.75"/>
  <cols>
    <col min="1" max="1" width="9.7109375" style="0" customWidth="1"/>
    <col min="2" max="2" width="11.00390625" style="0" customWidth="1"/>
    <col min="3" max="3" width="11.421875" style="0" customWidth="1"/>
    <col min="4" max="5" width="10.8515625" style="0" customWidth="1"/>
    <col min="6" max="7" width="1.8515625" style="0" customWidth="1"/>
    <col min="8" max="8" width="9.28125" style="0" customWidth="1"/>
    <col min="9" max="9" width="10.28125" style="0" customWidth="1"/>
    <col min="10" max="10" width="9.28125" style="0" customWidth="1"/>
    <col min="11" max="11" width="2.140625" style="0" customWidth="1"/>
    <col min="15" max="15" width="1.1484375" style="0" customWidth="1"/>
    <col min="16" max="16" width="16.00390625" style="0" hidden="1" customWidth="1"/>
    <col min="17" max="17" width="0" style="0" hidden="1" customWidth="1"/>
    <col min="18" max="18" width="9.28125" style="0" hidden="1" customWidth="1"/>
    <col min="19" max="19" width="1.421875" style="0" hidden="1" customWidth="1"/>
    <col min="20" max="20" width="13.00390625" style="0" hidden="1" customWidth="1"/>
    <col min="21" max="21" width="0" style="0" hidden="1" customWidth="1"/>
    <col min="22" max="22" width="9.28125" style="0" hidden="1" customWidth="1"/>
    <col min="23" max="23" width="3.421875" style="0" customWidth="1"/>
    <col min="24" max="24" width="12.8515625" style="0" customWidth="1"/>
    <col min="25" max="25" width="12.7109375" style="0" customWidth="1"/>
    <col min="26" max="26" width="12.00390625" style="0" customWidth="1"/>
  </cols>
  <sheetData>
    <row r="2" spans="1:2" ht="18">
      <c r="A2" s="25" t="s">
        <v>245</v>
      </c>
      <c r="B2" s="25"/>
    </row>
    <row r="3" spans="1:26" ht="12.75">
      <c r="A3" s="13"/>
      <c r="B3" s="182" t="s">
        <v>41</v>
      </c>
      <c r="C3" s="229" t="s">
        <v>8</v>
      </c>
      <c r="D3" s="230"/>
      <c r="E3" s="231"/>
      <c r="H3" s="229" t="s">
        <v>233</v>
      </c>
      <c r="I3" s="230"/>
      <c r="J3" s="231"/>
      <c r="L3" s="229" t="s">
        <v>175</v>
      </c>
      <c r="M3" s="230"/>
      <c r="N3" s="231"/>
      <c r="P3" s="229" t="s">
        <v>244</v>
      </c>
      <c r="Q3" s="230"/>
      <c r="R3" s="231"/>
      <c r="T3" s="229" t="s">
        <v>175</v>
      </c>
      <c r="U3" s="230"/>
      <c r="V3" s="231"/>
      <c r="X3" s="229" t="s">
        <v>252</v>
      </c>
      <c r="Y3" s="230"/>
      <c r="Z3" s="231"/>
    </row>
    <row r="4" spans="1:26" ht="12.75">
      <c r="A4" s="14"/>
      <c r="B4" s="151" t="s">
        <v>8</v>
      </c>
      <c r="C4" s="21" t="s">
        <v>42</v>
      </c>
      <c r="D4" s="21" t="s">
        <v>43</v>
      </c>
      <c r="E4" s="22" t="s">
        <v>44</v>
      </c>
      <c r="H4" s="21" t="s">
        <v>42</v>
      </c>
      <c r="I4" s="21" t="s">
        <v>43</v>
      </c>
      <c r="J4" s="22" t="s">
        <v>44</v>
      </c>
      <c r="L4" s="21" t="s">
        <v>42</v>
      </c>
      <c r="M4" s="21" t="s">
        <v>43</v>
      </c>
      <c r="N4" s="22" t="s">
        <v>44</v>
      </c>
      <c r="P4" s="21" t="s">
        <v>42</v>
      </c>
      <c r="Q4" s="21" t="s">
        <v>43</v>
      </c>
      <c r="R4" s="22" t="s">
        <v>44</v>
      </c>
      <c r="T4" s="21" t="s">
        <v>42</v>
      </c>
      <c r="U4" s="21" t="s">
        <v>43</v>
      </c>
      <c r="V4" s="22" t="s">
        <v>44</v>
      </c>
      <c r="X4" s="21" t="s">
        <v>42</v>
      </c>
      <c r="Y4" s="21" t="s">
        <v>43</v>
      </c>
      <c r="Z4" s="22" t="s">
        <v>44</v>
      </c>
    </row>
    <row r="5" spans="1:26" ht="12.75">
      <c r="A5" s="4" t="s">
        <v>0</v>
      </c>
      <c r="B5" s="183">
        <f>SUM(E5+J5+N5+Z5)</f>
        <v>13145</v>
      </c>
      <c r="C5" s="46">
        <f>SUM(Census!H5)</f>
        <v>5379</v>
      </c>
      <c r="D5" s="47">
        <f>SUM(C5/$C$38)</f>
        <v>0.24309666922764045</v>
      </c>
      <c r="E5" s="53">
        <f>ROUND(D5*$E$43,0)-5</f>
        <v>6129</v>
      </c>
      <c r="H5" s="50">
        <f>SUM('FY06 PB'!H6)</f>
        <v>6698</v>
      </c>
      <c r="I5" s="47">
        <f>SUM(H5/$H$38)</f>
        <v>0.14244699176963485</v>
      </c>
      <c r="J5" s="35">
        <f>ROUND(I5*$J$43,0)-2</f>
        <v>5634</v>
      </c>
      <c r="L5" s="50">
        <f>SUM('FY06 PB'!L6)</f>
        <v>0</v>
      </c>
      <c r="M5" s="47">
        <f>SUM(L5/$H$38)</f>
        <v>0</v>
      </c>
      <c r="N5" s="88">
        <f>1076-4</f>
        <v>1072</v>
      </c>
      <c r="P5" s="88">
        <f>SUM('FY06 PB'!B6)</f>
        <v>4841774</v>
      </c>
      <c r="Q5" s="47">
        <f>SUM(P5/$P$38)</f>
        <v>0.1717386376304864</v>
      </c>
      <c r="R5" s="88">
        <f>ROUND(Q5*$R$43,0)+1</f>
        <v>892</v>
      </c>
      <c r="T5" s="185">
        <f>SUM(Census!H5)</f>
        <v>5379</v>
      </c>
      <c r="U5" s="47">
        <f>SUM(T5/$T$38)</f>
        <v>0.24309666922764045</v>
      </c>
      <c r="V5" s="88">
        <f>ROUND(U5*$V$43,0)-2</f>
        <v>1260</v>
      </c>
      <c r="X5" s="53">
        <f>SUM('FY06 PB'!B6)</f>
        <v>4841774</v>
      </c>
      <c r="Y5" s="52">
        <f>SUM(X5/$X$38)</f>
        <v>0.1717386376304864</v>
      </c>
      <c r="Z5" s="55">
        <f>ROUND(Y5*$Z$43,0)+2</f>
        <v>310</v>
      </c>
    </row>
    <row r="6" spans="1:26" ht="12.75">
      <c r="A6" s="4" t="s">
        <v>16</v>
      </c>
      <c r="B6" s="46">
        <f aca="true" t="shared" si="0" ref="B6:B37">SUM(E6+J6+N6+Z6)</f>
        <v>6235</v>
      </c>
      <c r="C6" s="46">
        <f>SUM(Census!H6)</f>
        <v>1222</v>
      </c>
      <c r="D6" s="47">
        <f aca="true" t="shared" si="1" ref="D6:D28">SUM(C6/$C$38)</f>
        <v>0.05522664617887649</v>
      </c>
      <c r="E6" s="32">
        <f>ROUND(D6*$E$43,0)</f>
        <v>1393</v>
      </c>
      <c r="H6" s="50">
        <f>SUM('FY06 PB'!H7)</f>
        <v>5038</v>
      </c>
      <c r="I6" s="47">
        <f aca="true" t="shared" si="2" ref="I6:I28">SUM(H6/$H$38)</f>
        <v>0.10714361668190808</v>
      </c>
      <c r="J6" s="50">
        <f>ROUND(I6*$J$43,0)</f>
        <v>4239</v>
      </c>
      <c r="L6" s="50">
        <f>SUM('FY06 PB'!L7)</f>
        <v>0</v>
      </c>
      <c r="M6" s="47">
        <v>0</v>
      </c>
      <c r="N6" s="50">
        <v>415</v>
      </c>
      <c r="P6" s="32">
        <f>SUM('FY06 PB'!B7)</f>
        <v>2951270</v>
      </c>
      <c r="Q6" s="47">
        <f aca="true" t="shared" si="3" ref="Q6:Q28">SUM(P6/$P$38)</f>
        <v>0.10468210393127098</v>
      </c>
      <c r="R6" s="32">
        <f>ROUND(Q6*$R$43,0)</f>
        <v>543</v>
      </c>
      <c r="T6" s="50">
        <f aca="true" t="shared" si="4" ref="T6:T28">SUM(C6)</f>
        <v>1222</v>
      </c>
      <c r="U6" s="47">
        <f>SUM(T6/$T$38)</f>
        <v>0.05522664617887649</v>
      </c>
      <c r="V6" s="32">
        <f>ROUND(U6*$V$43,0)</f>
        <v>287</v>
      </c>
      <c r="X6" s="50">
        <f>SUM('FY06 PB'!B7)</f>
        <v>2951270</v>
      </c>
      <c r="Y6" s="52">
        <f aca="true" t="shared" si="5" ref="Y6:Y28">SUM(X6/$X$38)</f>
        <v>0.10468210393127098</v>
      </c>
      <c r="Z6" s="50">
        <f>ROUND(Y6*$Z$43,0)</f>
        <v>188</v>
      </c>
    </row>
    <row r="7" spans="1:26" ht="12.75">
      <c r="A7" s="4" t="s">
        <v>17</v>
      </c>
      <c r="B7" s="46">
        <f t="shared" si="0"/>
        <v>1453</v>
      </c>
      <c r="C7" s="46">
        <f>SUM(Census!H7)</f>
        <v>542</v>
      </c>
      <c r="D7" s="47">
        <f t="shared" si="1"/>
        <v>0.024494960907488587</v>
      </c>
      <c r="E7" s="32">
        <f aca="true" t="shared" si="6" ref="E7:E28">ROUND(D7*$E$43,0)</f>
        <v>618</v>
      </c>
      <c r="H7" s="50">
        <f>SUM('FY06 PB'!H8)</f>
        <v>844</v>
      </c>
      <c r="I7" s="47">
        <f t="shared" si="2"/>
        <v>0.01794942685183216</v>
      </c>
      <c r="J7" s="50">
        <f>ROUND(I7*$J$43,0)</f>
        <v>710</v>
      </c>
      <c r="L7" s="50">
        <f>SUM('FY06 PB'!L8)</f>
        <v>0</v>
      </c>
      <c r="M7" s="47">
        <f aca="true" t="shared" si="7" ref="M7:M28">SUM(L7/$H$38)</f>
        <v>0</v>
      </c>
      <c r="N7" s="50">
        <v>100</v>
      </c>
      <c r="P7" s="32">
        <f>SUM('FY06 PB'!B8)</f>
        <v>393269</v>
      </c>
      <c r="Q7" s="47">
        <f t="shared" si="3"/>
        <v>0.013949325656733205</v>
      </c>
      <c r="R7" s="32">
        <f aca="true" t="shared" si="8" ref="R7:R28">ROUND(Q7*$R$43,0)</f>
        <v>72</v>
      </c>
      <c r="S7" s="123"/>
      <c r="T7" s="50">
        <f t="shared" si="4"/>
        <v>542</v>
      </c>
      <c r="U7" s="47">
        <f aca="true" t="shared" si="9" ref="U7:U28">SUM(T7/$T$38)</f>
        <v>0.024494960907488587</v>
      </c>
      <c r="V7" s="32">
        <f aca="true" t="shared" si="10" ref="V7:V28">ROUND(U7*$V$43,0)</f>
        <v>127</v>
      </c>
      <c r="X7" s="50">
        <f>SUM('FY06 PB'!B8)</f>
        <v>393269</v>
      </c>
      <c r="Y7" s="52">
        <f t="shared" si="5"/>
        <v>0.013949325656733205</v>
      </c>
      <c r="Z7" s="50">
        <f aca="true" t="shared" si="11" ref="Z7:Z28">ROUND(Y7*$Z$43,0)</f>
        <v>25</v>
      </c>
    </row>
    <row r="8" spans="1:26" ht="12.75">
      <c r="A8" s="4" t="s">
        <v>18</v>
      </c>
      <c r="B8" s="46">
        <f t="shared" si="0"/>
        <v>5192</v>
      </c>
      <c r="C8" s="46">
        <f>SUM(Census!H8)</f>
        <v>1146</v>
      </c>
      <c r="D8" s="47">
        <f t="shared" si="1"/>
        <v>0.05179192841325078</v>
      </c>
      <c r="E8" s="32">
        <f t="shared" si="6"/>
        <v>1307</v>
      </c>
      <c r="H8" s="50">
        <f>SUM('FY06 PB'!H9)</f>
        <v>4111</v>
      </c>
      <c r="I8" s="47">
        <f t="shared" si="2"/>
        <v>0.08742902107568959</v>
      </c>
      <c r="J8" s="50">
        <f aca="true" t="shared" si="12" ref="J8:J28">ROUND(I8*$J$43,0)</f>
        <v>3459</v>
      </c>
      <c r="L8" s="50">
        <f>SUM('FY06 PB'!L9)</f>
        <v>0</v>
      </c>
      <c r="M8" s="47">
        <f t="shared" si="7"/>
        <v>0</v>
      </c>
      <c r="N8" s="50">
        <v>307</v>
      </c>
      <c r="P8" s="32">
        <f>SUM('FY06 PB'!B9)</f>
        <v>1872146</v>
      </c>
      <c r="Q8" s="47">
        <f t="shared" si="3"/>
        <v>0.0664053719742732</v>
      </c>
      <c r="R8" s="32">
        <f t="shared" si="8"/>
        <v>345</v>
      </c>
      <c r="T8" s="50">
        <f t="shared" si="4"/>
        <v>1146</v>
      </c>
      <c r="U8" s="47">
        <f t="shared" si="9"/>
        <v>0.05179192841325078</v>
      </c>
      <c r="V8" s="32">
        <f t="shared" si="10"/>
        <v>269</v>
      </c>
      <c r="X8" s="50">
        <f>SUM('FY06 PB'!B9)</f>
        <v>1872146</v>
      </c>
      <c r="Y8" s="52">
        <f t="shared" si="5"/>
        <v>0.0664053719742732</v>
      </c>
      <c r="Z8" s="50">
        <f t="shared" si="11"/>
        <v>119</v>
      </c>
    </row>
    <row r="9" spans="1:26" ht="12.75">
      <c r="A9" s="4" t="s">
        <v>19</v>
      </c>
      <c r="B9" s="46">
        <f t="shared" si="0"/>
        <v>4282</v>
      </c>
      <c r="C9" s="46">
        <f>SUM(Census!H9)</f>
        <v>1001</v>
      </c>
      <c r="D9" s="47">
        <f t="shared" si="1"/>
        <v>0.04523884846567542</v>
      </c>
      <c r="E9" s="32">
        <f t="shared" si="6"/>
        <v>1141</v>
      </c>
      <c r="H9" s="50">
        <f>SUM('FY06 PB'!H10)</f>
        <v>3306</v>
      </c>
      <c r="I9" s="47">
        <f t="shared" si="2"/>
        <v>0.07030901086748474</v>
      </c>
      <c r="J9" s="50">
        <f t="shared" si="12"/>
        <v>2782</v>
      </c>
      <c r="L9" s="50">
        <f>SUM('FY06 PB'!L10)</f>
        <v>0</v>
      </c>
      <c r="M9" s="47">
        <f t="shared" si="7"/>
        <v>0</v>
      </c>
      <c r="N9" s="50">
        <v>260</v>
      </c>
      <c r="P9" s="32">
        <f>SUM('FY06 PB'!B10)</f>
        <v>1550260</v>
      </c>
      <c r="Q9" s="47">
        <f t="shared" si="3"/>
        <v>0.05498801480057472</v>
      </c>
      <c r="R9" s="32">
        <f t="shared" si="8"/>
        <v>285</v>
      </c>
      <c r="T9" s="50">
        <f t="shared" si="4"/>
        <v>1001</v>
      </c>
      <c r="U9" s="47">
        <f t="shared" si="9"/>
        <v>0.04523884846567542</v>
      </c>
      <c r="V9" s="32">
        <f t="shared" si="10"/>
        <v>235</v>
      </c>
      <c r="X9" s="50">
        <f>SUM('FY06 PB'!B10)</f>
        <v>1550260</v>
      </c>
      <c r="Y9" s="52">
        <f t="shared" si="5"/>
        <v>0.05498801480057472</v>
      </c>
      <c r="Z9" s="50">
        <f t="shared" si="11"/>
        <v>99</v>
      </c>
    </row>
    <row r="10" spans="1:26" ht="12.75">
      <c r="A10" s="4" t="s">
        <v>20</v>
      </c>
      <c r="B10" s="46">
        <f t="shared" si="0"/>
        <v>8211</v>
      </c>
      <c r="C10" s="46">
        <f>SUM(Census!H10)</f>
        <v>2822</v>
      </c>
      <c r="D10" s="47">
        <f t="shared" si="1"/>
        <v>0.12753649387625976</v>
      </c>
      <c r="E10" s="32">
        <f t="shared" si="6"/>
        <v>3218</v>
      </c>
      <c r="H10" s="50">
        <f>SUM('FY06 PB'!H11)</f>
        <v>4715</v>
      </c>
      <c r="I10" s="47">
        <f t="shared" si="2"/>
        <v>0.1002743455051998</v>
      </c>
      <c r="J10" s="50">
        <f t="shared" si="12"/>
        <v>3967</v>
      </c>
      <c r="L10" s="50">
        <f>SUM('FY06 PB'!L11)</f>
        <v>0</v>
      </c>
      <c r="M10" s="47">
        <f t="shared" si="7"/>
        <v>0</v>
      </c>
      <c r="N10" s="50">
        <v>742</v>
      </c>
      <c r="P10" s="32">
        <f>SUM('FY06 PB'!B11)</f>
        <v>4459395</v>
      </c>
      <c r="Q10" s="47">
        <f t="shared" si="3"/>
        <v>0.15817558232916343</v>
      </c>
      <c r="R10" s="32">
        <f t="shared" si="8"/>
        <v>821</v>
      </c>
      <c r="T10" s="50">
        <f t="shared" si="4"/>
        <v>2822</v>
      </c>
      <c r="U10" s="47">
        <f t="shared" si="9"/>
        <v>0.12753649387625976</v>
      </c>
      <c r="V10" s="32">
        <f t="shared" si="10"/>
        <v>662</v>
      </c>
      <c r="X10" s="50">
        <f>SUM('FY06 PB'!B11)</f>
        <v>4459395</v>
      </c>
      <c r="Y10" s="52">
        <f t="shared" si="5"/>
        <v>0.15817558232916343</v>
      </c>
      <c r="Z10" s="50">
        <f t="shared" si="11"/>
        <v>284</v>
      </c>
    </row>
    <row r="11" spans="1:26" ht="12.75">
      <c r="A11" s="4" t="s">
        <v>21</v>
      </c>
      <c r="B11" s="46">
        <f t="shared" si="0"/>
        <v>4147</v>
      </c>
      <c r="C11" s="46">
        <f>SUM(Census!H11)</f>
        <v>182</v>
      </c>
      <c r="D11" s="47">
        <f t="shared" si="1"/>
        <v>0.008225245175577349</v>
      </c>
      <c r="E11" s="32">
        <f t="shared" si="6"/>
        <v>208</v>
      </c>
      <c r="H11" s="50">
        <f>SUM('FY06 PB'!H12)</f>
        <v>4292</v>
      </c>
      <c r="I11" s="47">
        <f t="shared" si="2"/>
        <v>0.09127836498585738</v>
      </c>
      <c r="J11" s="50">
        <f t="shared" si="12"/>
        <v>3612</v>
      </c>
      <c r="L11" s="50">
        <f>SUM('FY06 PB'!L12)</f>
        <v>0</v>
      </c>
      <c r="M11" s="47">
        <f t="shared" si="7"/>
        <v>0</v>
      </c>
      <c r="N11" s="50">
        <v>202</v>
      </c>
      <c r="P11" s="32">
        <f>SUM('FY06 PB'!B12)</f>
        <v>1955170</v>
      </c>
      <c r="Q11" s="47">
        <f t="shared" si="3"/>
        <v>0.06935024892446406</v>
      </c>
      <c r="R11" s="32">
        <f t="shared" si="8"/>
        <v>360</v>
      </c>
      <c r="T11" s="50">
        <f t="shared" si="4"/>
        <v>182</v>
      </c>
      <c r="U11" s="47">
        <f t="shared" si="9"/>
        <v>0.008225245175577349</v>
      </c>
      <c r="V11" s="32">
        <f t="shared" si="10"/>
        <v>43</v>
      </c>
      <c r="X11" s="50">
        <f>SUM('FY06 PB'!B12)</f>
        <v>1955170</v>
      </c>
      <c r="Y11" s="52">
        <f t="shared" si="5"/>
        <v>0.06935024892446406</v>
      </c>
      <c r="Z11" s="50">
        <f t="shared" si="11"/>
        <v>125</v>
      </c>
    </row>
    <row r="12" spans="1:26" ht="12.75">
      <c r="A12" s="4" t="s">
        <v>22</v>
      </c>
      <c r="B12" s="46">
        <f t="shared" si="0"/>
        <v>3911</v>
      </c>
      <c r="C12" s="46">
        <f>SUM(Census!H12)</f>
        <v>1359</v>
      </c>
      <c r="D12" s="47">
        <f t="shared" si="1"/>
        <v>0.06141817688796493</v>
      </c>
      <c r="E12" s="32">
        <f t="shared" si="6"/>
        <v>1550</v>
      </c>
      <c r="H12" s="50">
        <f>SUM('FY06 PB'!H13)</f>
        <v>2380</v>
      </c>
      <c r="I12" s="47">
        <f t="shared" si="2"/>
        <v>0.05061568235469258</v>
      </c>
      <c r="J12" s="50">
        <f t="shared" si="12"/>
        <v>2003</v>
      </c>
      <c r="L12" s="50">
        <f>SUM('FY06 PB'!L13)</f>
        <v>0</v>
      </c>
      <c r="M12" s="47">
        <f t="shared" si="7"/>
        <v>0</v>
      </c>
      <c r="N12" s="50">
        <v>277</v>
      </c>
      <c r="P12" s="32">
        <f>SUM('FY06 PB'!B13)</f>
        <v>1277544</v>
      </c>
      <c r="Q12" s="47">
        <f t="shared" si="3"/>
        <v>0.04531472680736485</v>
      </c>
      <c r="R12" s="32">
        <f t="shared" si="8"/>
        <v>235</v>
      </c>
      <c r="T12" s="50">
        <f t="shared" si="4"/>
        <v>1359</v>
      </c>
      <c r="U12" s="47">
        <f t="shared" si="9"/>
        <v>0.06141817688796493</v>
      </c>
      <c r="V12" s="32">
        <f t="shared" si="10"/>
        <v>319</v>
      </c>
      <c r="X12" s="50">
        <f>SUM('FY06 PB'!B13)</f>
        <v>1277544</v>
      </c>
      <c r="Y12" s="52">
        <f t="shared" si="5"/>
        <v>0.04531472680736485</v>
      </c>
      <c r="Z12" s="50">
        <f t="shared" si="11"/>
        <v>81</v>
      </c>
    </row>
    <row r="13" spans="1:26" ht="12.75">
      <c r="A13" s="4" t="s">
        <v>23</v>
      </c>
      <c r="B13" s="46">
        <f t="shared" si="0"/>
        <v>1991</v>
      </c>
      <c r="C13" s="46">
        <f>SUM(Census!H13)</f>
        <v>511</v>
      </c>
      <c r="D13" s="47">
        <f t="shared" si="1"/>
        <v>0.023093957608351787</v>
      </c>
      <c r="E13" s="32">
        <f t="shared" si="6"/>
        <v>583</v>
      </c>
      <c r="H13" s="50">
        <f>SUM('FY06 PB'!H14)</f>
        <v>1477</v>
      </c>
      <c r="I13" s="47">
        <f t="shared" si="2"/>
        <v>0.03141149699070628</v>
      </c>
      <c r="J13" s="50">
        <f t="shared" si="12"/>
        <v>1243</v>
      </c>
      <c r="L13" s="50">
        <f>SUM('FY06 PB'!L14)</f>
        <v>0</v>
      </c>
      <c r="M13" s="47">
        <f t="shared" si="7"/>
        <v>0</v>
      </c>
      <c r="N13" s="50">
        <v>122</v>
      </c>
      <c r="P13" s="32">
        <f>SUM('FY06 PB'!B14)</f>
        <v>673491</v>
      </c>
      <c r="Q13" s="47">
        <f t="shared" si="3"/>
        <v>0.023888852886647313</v>
      </c>
      <c r="R13" s="32">
        <f t="shared" si="8"/>
        <v>124</v>
      </c>
      <c r="T13" s="50">
        <f t="shared" si="4"/>
        <v>511</v>
      </c>
      <c r="U13" s="47">
        <f t="shared" si="9"/>
        <v>0.023093957608351787</v>
      </c>
      <c r="V13" s="32">
        <f t="shared" si="10"/>
        <v>120</v>
      </c>
      <c r="X13" s="50">
        <f>SUM('FY06 PB'!B14)</f>
        <v>673491</v>
      </c>
      <c r="Y13" s="52">
        <f t="shared" si="5"/>
        <v>0.023888852886647313</v>
      </c>
      <c r="Z13" s="50">
        <f t="shared" si="11"/>
        <v>43</v>
      </c>
    </row>
    <row r="14" spans="1:26" ht="12.75">
      <c r="A14" s="4" t="s">
        <v>24</v>
      </c>
      <c r="B14" s="46">
        <f t="shared" si="0"/>
        <v>2491</v>
      </c>
      <c r="C14" s="46">
        <f>SUM(Census!H14)</f>
        <v>1409</v>
      </c>
      <c r="D14" s="47">
        <f t="shared" si="1"/>
        <v>0.06367785962850815</v>
      </c>
      <c r="E14" s="32">
        <f t="shared" si="6"/>
        <v>1607</v>
      </c>
      <c r="H14" s="50">
        <f>SUM('FY06 PB'!H15)</f>
        <v>734</v>
      </c>
      <c r="I14" s="47">
        <f t="shared" si="2"/>
        <v>0.015610046574934604</v>
      </c>
      <c r="J14" s="50">
        <f t="shared" si="12"/>
        <v>618</v>
      </c>
      <c r="L14" s="50">
        <f>SUM('FY06 PB'!L15)</f>
        <v>0</v>
      </c>
      <c r="M14" s="47">
        <f t="shared" si="7"/>
        <v>0</v>
      </c>
      <c r="N14" s="50">
        <v>225</v>
      </c>
      <c r="P14" s="32">
        <f>SUM('FY06 PB'!B15)</f>
        <v>647608</v>
      </c>
      <c r="Q14" s="47">
        <f t="shared" si="3"/>
        <v>0.022970777991414726</v>
      </c>
      <c r="R14" s="32">
        <f t="shared" si="8"/>
        <v>119</v>
      </c>
      <c r="T14" s="50">
        <f t="shared" si="4"/>
        <v>1409</v>
      </c>
      <c r="U14" s="47">
        <f t="shared" si="9"/>
        <v>0.06367785962850815</v>
      </c>
      <c r="V14" s="32">
        <f t="shared" si="10"/>
        <v>330</v>
      </c>
      <c r="X14" s="50">
        <f>SUM('FY06 PB'!B15)</f>
        <v>647608</v>
      </c>
      <c r="Y14" s="52">
        <f t="shared" si="5"/>
        <v>0.022970777991414726</v>
      </c>
      <c r="Z14" s="50">
        <f t="shared" si="11"/>
        <v>41</v>
      </c>
    </row>
    <row r="15" spans="1:26" ht="12.75">
      <c r="A15" s="4" t="s">
        <v>25</v>
      </c>
      <c r="B15" s="46">
        <f t="shared" si="0"/>
        <v>2825</v>
      </c>
      <c r="C15" s="46">
        <f>SUM(Census!H15)</f>
        <v>896</v>
      </c>
      <c r="D15" s="47">
        <f t="shared" si="1"/>
        <v>0.04049351471053464</v>
      </c>
      <c r="E15" s="32">
        <f t="shared" si="6"/>
        <v>1022</v>
      </c>
      <c r="H15" s="50">
        <f>SUM('FY06 PB'!H16)</f>
        <v>1822</v>
      </c>
      <c r="I15" s="47">
        <f t="shared" si="2"/>
        <v>0.038748644222794074</v>
      </c>
      <c r="J15" s="50">
        <f t="shared" si="12"/>
        <v>1533</v>
      </c>
      <c r="L15" s="50">
        <f>SUM('FY06 PB'!L16)</f>
        <v>0</v>
      </c>
      <c r="M15" s="47">
        <f t="shared" si="7"/>
        <v>0</v>
      </c>
      <c r="N15" s="50">
        <v>203</v>
      </c>
      <c r="P15" s="32">
        <f>SUM('FY06 PB'!B16)</f>
        <v>1057203</v>
      </c>
      <c r="Q15" s="47">
        <f t="shared" si="3"/>
        <v>0.03749918994956458</v>
      </c>
      <c r="R15" s="32">
        <f t="shared" si="8"/>
        <v>195</v>
      </c>
      <c r="T15" s="50">
        <f t="shared" si="4"/>
        <v>896</v>
      </c>
      <c r="U15" s="47">
        <f t="shared" si="9"/>
        <v>0.04049351471053464</v>
      </c>
      <c r="V15" s="32">
        <f t="shared" si="10"/>
        <v>210</v>
      </c>
      <c r="X15" s="50">
        <f>SUM('FY06 PB'!B16)</f>
        <v>1057203</v>
      </c>
      <c r="Y15" s="52">
        <f t="shared" si="5"/>
        <v>0.03749918994956458</v>
      </c>
      <c r="Z15" s="50">
        <f t="shared" si="11"/>
        <v>67</v>
      </c>
    </row>
    <row r="16" spans="1:26" ht="12.75">
      <c r="A16" s="4" t="s">
        <v>26</v>
      </c>
      <c r="B16" s="46">
        <f t="shared" si="0"/>
        <v>1675</v>
      </c>
      <c r="C16" s="46">
        <f>SUM(Census!H16)</f>
        <v>419</v>
      </c>
      <c r="D16" s="47">
        <f t="shared" si="1"/>
        <v>0.018936141365752248</v>
      </c>
      <c r="E16" s="32">
        <f t="shared" si="6"/>
        <v>478</v>
      </c>
      <c r="H16" s="50">
        <f>SUM('FY06 PB'!H17)</f>
        <v>1269</v>
      </c>
      <c r="I16" s="47">
        <f t="shared" si="2"/>
        <v>0.026987941558027265</v>
      </c>
      <c r="J16" s="50">
        <f t="shared" si="12"/>
        <v>1068</v>
      </c>
      <c r="L16" s="50">
        <f>SUM('FY06 PB'!L17)</f>
        <v>0</v>
      </c>
      <c r="M16" s="47">
        <f t="shared" si="7"/>
        <v>0</v>
      </c>
      <c r="N16" s="50">
        <v>96</v>
      </c>
      <c r="P16" s="32">
        <f>SUM('FY06 PB'!B17)</f>
        <v>513063</v>
      </c>
      <c r="Q16" s="47">
        <f t="shared" si="3"/>
        <v>0.018198441447000675</v>
      </c>
      <c r="R16" s="32">
        <f t="shared" si="8"/>
        <v>94</v>
      </c>
      <c r="T16" s="50">
        <f t="shared" si="4"/>
        <v>419</v>
      </c>
      <c r="U16" s="47">
        <f t="shared" si="9"/>
        <v>0.018936141365752248</v>
      </c>
      <c r="V16" s="32">
        <f t="shared" si="10"/>
        <v>98</v>
      </c>
      <c r="X16" s="50">
        <f>SUM('FY06 PB'!B17)</f>
        <v>513063</v>
      </c>
      <c r="Y16" s="52">
        <f t="shared" si="5"/>
        <v>0.018198441447000675</v>
      </c>
      <c r="Z16" s="50">
        <f t="shared" si="11"/>
        <v>33</v>
      </c>
    </row>
    <row r="17" spans="1:26" ht="12.75">
      <c r="A17" s="4" t="s">
        <v>27</v>
      </c>
      <c r="B17" s="46">
        <f t="shared" si="0"/>
        <v>1271</v>
      </c>
      <c r="C17" s="46">
        <f>SUM(Census!H17)</f>
        <v>289</v>
      </c>
      <c r="D17" s="47">
        <f t="shared" si="1"/>
        <v>0.013060966240339856</v>
      </c>
      <c r="E17" s="32">
        <f t="shared" si="6"/>
        <v>330</v>
      </c>
      <c r="H17" s="50">
        <f>SUM('FY06 PB'!H18)</f>
        <v>1004</v>
      </c>
      <c r="I17" s="47">
        <f t="shared" si="2"/>
        <v>0.021352161800046787</v>
      </c>
      <c r="J17" s="50">
        <f t="shared" si="12"/>
        <v>845</v>
      </c>
      <c r="L17" s="50">
        <f>SUM('FY06 PB'!L18)</f>
        <v>0</v>
      </c>
      <c r="M17" s="47">
        <f t="shared" si="7"/>
        <v>0</v>
      </c>
      <c r="N17" s="50">
        <v>71</v>
      </c>
      <c r="P17" s="32">
        <f>SUM('FY06 PB'!B18)</f>
        <v>397432</v>
      </c>
      <c r="Q17" s="47">
        <f t="shared" si="3"/>
        <v>0.014096988052469915</v>
      </c>
      <c r="R17" s="32">
        <f t="shared" si="8"/>
        <v>73</v>
      </c>
      <c r="T17" s="50">
        <f t="shared" si="4"/>
        <v>289</v>
      </c>
      <c r="U17" s="47">
        <f t="shared" si="9"/>
        <v>0.013060966240339856</v>
      </c>
      <c r="V17" s="32">
        <f t="shared" si="10"/>
        <v>68</v>
      </c>
      <c r="X17" s="50">
        <f>SUM('FY06 PB'!B18)</f>
        <v>397432</v>
      </c>
      <c r="Y17" s="52">
        <f t="shared" si="5"/>
        <v>0.014096988052469915</v>
      </c>
      <c r="Z17" s="50">
        <f t="shared" si="11"/>
        <v>25</v>
      </c>
    </row>
    <row r="18" spans="1:26" ht="12.75">
      <c r="A18" s="4" t="s">
        <v>28</v>
      </c>
      <c r="B18" s="46">
        <f t="shared" si="0"/>
        <v>4494</v>
      </c>
      <c r="C18" s="46">
        <f>SUM(Census!H18)</f>
        <v>1358</v>
      </c>
      <c r="D18" s="47">
        <f t="shared" si="1"/>
        <v>0.061372983233154065</v>
      </c>
      <c r="E18" s="32">
        <f t="shared" si="6"/>
        <v>1549</v>
      </c>
      <c r="H18" s="50">
        <f>SUM('FY06 PB'!H19)</f>
        <v>3048</v>
      </c>
      <c r="I18" s="47">
        <f t="shared" si="2"/>
        <v>0.06482210076348865</v>
      </c>
      <c r="J18" s="50">
        <f t="shared" si="12"/>
        <v>2565</v>
      </c>
      <c r="L18" s="50">
        <f>SUM('FY06 PB'!L19)</f>
        <v>0</v>
      </c>
      <c r="M18" s="47">
        <f t="shared" si="7"/>
        <v>0</v>
      </c>
      <c r="N18" s="50">
        <v>290</v>
      </c>
      <c r="P18" s="32">
        <f>SUM('FY06 PB'!B19)</f>
        <v>1417692</v>
      </c>
      <c r="Q18" s="47">
        <f t="shared" si="3"/>
        <v>0.050285802819305385</v>
      </c>
      <c r="R18" s="32">
        <f t="shared" si="8"/>
        <v>261</v>
      </c>
      <c r="T18" s="50">
        <f t="shared" si="4"/>
        <v>1358</v>
      </c>
      <c r="U18" s="47">
        <f t="shared" si="9"/>
        <v>0.061372983233154065</v>
      </c>
      <c r="V18" s="32">
        <f t="shared" si="10"/>
        <v>319</v>
      </c>
      <c r="X18" s="50">
        <f>SUM('FY06 PB'!B19)</f>
        <v>1417692</v>
      </c>
      <c r="Y18" s="52">
        <f t="shared" si="5"/>
        <v>0.050285802819305385</v>
      </c>
      <c r="Z18" s="50">
        <f t="shared" si="11"/>
        <v>90</v>
      </c>
    </row>
    <row r="19" spans="1:26" ht="12.75">
      <c r="A19" s="4" t="s">
        <v>29</v>
      </c>
      <c r="B19" s="46">
        <f t="shared" si="0"/>
        <v>2646</v>
      </c>
      <c r="C19" s="46">
        <f>SUM(Census!H19)</f>
        <v>750</v>
      </c>
      <c r="D19" s="47">
        <f t="shared" si="1"/>
        <v>0.03389524110814841</v>
      </c>
      <c r="E19" s="32">
        <f t="shared" si="6"/>
        <v>855</v>
      </c>
      <c r="H19" s="50">
        <f>SUM('FY06 PB'!H20)</f>
        <v>1837</v>
      </c>
      <c r="I19" s="47">
        <f t="shared" si="2"/>
        <v>0.03906765062418919</v>
      </c>
      <c r="J19" s="50">
        <f t="shared" si="12"/>
        <v>1546</v>
      </c>
      <c r="L19" s="50">
        <f>SUM('FY06 PB'!L20)</f>
        <v>0</v>
      </c>
      <c r="M19" s="47">
        <f t="shared" si="7"/>
        <v>0</v>
      </c>
      <c r="N19" s="50">
        <v>181</v>
      </c>
      <c r="P19" s="32">
        <f>SUM('FY06 PB'!B20)</f>
        <v>1010130</v>
      </c>
      <c r="Q19" s="47">
        <f t="shared" si="3"/>
        <v>0.035829501754869854</v>
      </c>
      <c r="R19" s="32">
        <f t="shared" si="8"/>
        <v>186</v>
      </c>
      <c r="T19" s="50">
        <f t="shared" si="4"/>
        <v>750</v>
      </c>
      <c r="U19" s="47">
        <f t="shared" si="9"/>
        <v>0.03389524110814841</v>
      </c>
      <c r="V19" s="32">
        <f t="shared" si="10"/>
        <v>176</v>
      </c>
      <c r="X19" s="50">
        <f>SUM('FY06 PB'!B20)</f>
        <v>1010130</v>
      </c>
      <c r="Y19" s="52">
        <f t="shared" si="5"/>
        <v>0.035829501754869854</v>
      </c>
      <c r="Z19" s="50">
        <f t="shared" si="11"/>
        <v>64</v>
      </c>
    </row>
    <row r="20" spans="1:26" ht="12.75">
      <c r="A20" s="4" t="s">
        <v>30</v>
      </c>
      <c r="B20" s="46">
        <f t="shared" si="0"/>
        <v>1322</v>
      </c>
      <c r="C20" s="46">
        <f>SUM(Census!H20)</f>
        <v>359</v>
      </c>
      <c r="D20" s="47">
        <f t="shared" si="1"/>
        <v>0.016224522077100376</v>
      </c>
      <c r="E20" s="32">
        <f t="shared" si="6"/>
        <v>409</v>
      </c>
      <c r="H20" s="50">
        <f>SUM('FY06 PB'!H21)</f>
        <v>953</v>
      </c>
      <c r="I20" s="47">
        <f t="shared" si="2"/>
        <v>0.020267540035303375</v>
      </c>
      <c r="J20" s="50">
        <f t="shared" si="12"/>
        <v>802</v>
      </c>
      <c r="L20" s="50">
        <f>SUM('FY06 PB'!L21)</f>
        <v>0</v>
      </c>
      <c r="M20" s="47">
        <f t="shared" si="7"/>
        <v>0</v>
      </c>
      <c r="N20" s="50">
        <v>83</v>
      </c>
      <c r="P20" s="32">
        <f>SUM('FY06 PB'!B21)</f>
        <v>440333</v>
      </c>
      <c r="Q20" s="47">
        <f t="shared" si="3"/>
        <v>0.01561869461972925</v>
      </c>
      <c r="R20" s="32">
        <f t="shared" si="8"/>
        <v>81</v>
      </c>
      <c r="T20" s="50">
        <f t="shared" si="4"/>
        <v>359</v>
      </c>
      <c r="U20" s="47">
        <f t="shared" si="9"/>
        <v>0.016224522077100376</v>
      </c>
      <c r="V20" s="32">
        <f t="shared" si="10"/>
        <v>84</v>
      </c>
      <c r="X20" s="50">
        <f>SUM('FY06 PB'!B21)</f>
        <v>440333</v>
      </c>
      <c r="Y20" s="52">
        <f t="shared" si="5"/>
        <v>0.01561869461972925</v>
      </c>
      <c r="Z20" s="50">
        <f t="shared" si="11"/>
        <v>28</v>
      </c>
    </row>
    <row r="21" spans="1:26" ht="12.75">
      <c r="A21" s="4" t="s">
        <v>31</v>
      </c>
      <c r="B21" s="46">
        <f t="shared" si="0"/>
        <v>418</v>
      </c>
      <c r="C21" s="46">
        <f>SUM(Census!H21)</f>
        <v>70</v>
      </c>
      <c r="D21" s="47">
        <f t="shared" si="1"/>
        <v>0.0031635558367605187</v>
      </c>
      <c r="E21" s="32">
        <f t="shared" si="6"/>
        <v>80</v>
      </c>
      <c r="H21" s="50">
        <f>SUM('FY06 PB'!H22)</f>
        <v>366</v>
      </c>
      <c r="I21" s="47">
        <f t="shared" si="2"/>
        <v>0.0077837561940409606</v>
      </c>
      <c r="J21" s="50">
        <f t="shared" si="12"/>
        <v>308</v>
      </c>
      <c r="L21" s="50">
        <f>SUM('FY06 PB'!L22)</f>
        <v>0</v>
      </c>
      <c r="M21" s="47">
        <f t="shared" si="7"/>
        <v>0</v>
      </c>
      <c r="N21" s="50">
        <v>21</v>
      </c>
      <c r="P21" s="32">
        <f>SUM('FY06 PB'!B22)</f>
        <v>138729</v>
      </c>
      <c r="Q21" s="47">
        <f t="shared" si="3"/>
        <v>0.004920743814114361</v>
      </c>
      <c r="R21" s="32">
        <f t="shared" si="8"/>
        <v>26</v>
      </c>
      <c r="S21" s="150"/>
      <c r="T21" s="50">
        <f t="shared" si="4"/>
        <v>70</v>
      </c>
      <c r="U21" s="47">
        <f t="shared" si="9"/>
        <v>0.0031635558367605187</v>
      </c>
      <c r="V21" s="32">
        <f t="shared" si="10"/>
        <v>16</v>
      </c>
      <c r="X21" s="50">
        <f>SUM('FY06 PB'!B22)</f>
        <v>138729</v>
      </c>
      <c r="Y21" s="52">
        <f t="shared" si="5"/>
        <v>0.004920743814114361</v>
      </c>
      <c r="Z21" s="50">
        <f t="shared" si="11"/>
        <v>9</v>
      </c>
    </row>
    <row r="22" spans="1:26" ht="12.75">
      <c r="A22" s="4" t="s">
        <v>32</v>
      </c>
      <c r="B22" s="46">
        <f t="shared" si="0"/>
        <v>1076</v>
      </c>
      <c r="C22" s="46">
        <f>SUM(Census!H22)</f>
        <v>555</v>
      </c>
      <c r="D22" s="47">
        <f t="shared" si="1"/>
        <v>0.02508247842002983</v>
      </c>
      <c r="E22" s="32">
        <f t="shared" si="6"/>
        <v>633</v>
      </c>
      <c r="H22" s="50">
        <f>SUM('FY06 PB'!H23)</f>
        <v>359</v>
      </c>
      <c r="I22" s="47">
        <f t="shared" si="2"/>
        <v>0.00763488654005657</v>
      </c>
      <c r="J22" s="50">
        <f t="shared" si="12"/>
        <v>302</v>
      </c>
      <c r="L22" s="50">
        <f>SUM('FY06 PB'!L23)</f>
        <v>0</v>
      </c>
      <c r="M22" s="47">
        <f t="shared" si="7"/>
        <v>0</v>
      </c>
      <c r="N22" s="50">
        <v>110</v>
      </c>
      <c r="P22" s="32">
        <f>SUM('FY06 PB'!B23)</f>
        <v>490959</v>
      </c>
      <c r="Q22" s="47">
        <f t="shared" si="3"/>
        <v>0.01741440839502752</v>
      </c>
      <c r="R22" s="32">
        <f t="shared" si="8"/>
        <v>90</v>
      </c>
      <c r="T22" s="50">
        <f t="shared" si="4"/>
        <v>555</v>
      </c>
      <c r="U22" s="47">
        <f t="shared" si="9"/>
        <v>0.02508247842002983</v>
      </c>
      <c r="V22" s="32">
        <f t="shared" si="10"/>
        <v>130</v>
      </c>
      <c r="X22" s="50">
        <f>SUM('FY06 PB'!B23)</f>
        <v>490959</v>
      </c>
      <c r="Y22" s="52">
        <f t="shared" si="5"/>
        <v>0.01741440839502752</v>
      </c>
      <c r="Z22" s="50">
        <f t="shared" si="11"/>
        <v>31</v>
      </c>
    </row>
    <row r="23" spans="1:26" ht="12.75">
      <c r="A23" s="4" t="s">
        <v>33</v>
      </c>
      <c r="B23" s="46">
        <f t="shared" si="0"/>
        <v>729</v>
      </c>
      <c r="C23" s="46">
        <f>SUM(Census!H23)</f>
        <v>90</v>
      </c>
      <c r="D23" s="47">
        <f t="shared" si="1"/>
        <v>0.00406742893297781</v>
      </c>
      <c r="E23" s="32">
        <f t="shared" si="6"/>
        <v>103</v>
      </c>
      <c r="H23" s="50">
        <f>SUM('FY06 PB'!H24)</f>
        <v>676</v>
      </c>
      <c r="I23" s="47">
        <f t="shared" si="2"/>
        <v>0.014376555156206802</v>
      </c>
      <c r="J23" s="50">
        <f t="shared" si="12"/>
        <v>569</v>
      </c>
      <c r="L23" s="50">
        <f>SUM('FY06 PB'!L24)</f>
        <v>0</v>
      </c>
      <c r="M23" s="47">
        <f t="shared" si="7"/>
        <v>0</v>
      </c>
      <c r="N23" s="50">
        <v>38</v>
      </c>
      <c r="P23" s="32">
        <f>SUM('FY06 PB'!B24)</f>
        <v>299808</v>
      </c>
      <c r="Q23" s="47">
        <f t="shared" si="3"/>
        <v>0.010634246346632632</v>
      </c>
      <c r="R23" s="32">
        <f t="shared" si="8"/>
        <v>55</v>
      </c>
      <c r="T23" s="50">
        <f t="shared" si="4"/>
        <v>90</v>
      </c>
      <c r="U23" s="47">
        <f t="shared" si="9"/>
        <v>0.00406742893297781</v>
      </c>
      <c r="V23" s="32">
        <f t="shared" si="10"/>
        <v>21</v>
      </c>
      <c r="X23" s="50">
        <f>SUM('FY06 PB'!B24)</f>
        <v>299808</v>
      </c>
      <c r="Y23" s="52">
        <f t="shared" si="5"/>
        <v>0.010634246346632632</v>
      </c>
      <c r="Z23" s="50">
        <f t="shared" si="11"/>
        <v>19</v>
      </c>
    </row>
    <row r="24" spans="1:26" ht="12.75">
      <c r="A24" s="4" t="s">
        <v>34</v>
      </c>
      <c r="B24" s="46">
        <f t="shared" si="0"/>
        <v>1238</v>
      </c>
      <c r="C24" s="46">
        <f>SUM(Census!H24)</f>
        <v>132</v>
      </c>
      <c r="D24" s="47">
        <f t="shared" si="1"/>
        <v>0.005965562435034121</v>
      </c>
      <c r="E24" s="32">
        <f t="shared" si="6"/>
        <v>151</v>
      </c>
      <c r="H24" s="50">
        <f>SUM('FY06 PB'!H25)</f>
        <v>1069</v>
      </c>
      <c r="I24" s="47">
        <f t="shared" si="2"/>
        <v>0.02273452287275898</v>
      </c>
      <c r="J24" s="50">
        <f t="shared" si="12"/>
        <v>900</v>
      </c>
      <c r="L24" s="50">
        <f>SUM('FY06 PB'!L25)</f>
        <v>0</v>
      </c>
      <c r="M24" s="47">
        <f t="shared" si="7"/>
        <v>0</v>
      </c>
      <c r="N24" s="50">
        <v>117</v>
      </c>
      <c r="P24" s="32">
        <f>SUM('FY06 PB'!B25)</f>
        <v>1100203</v>
      </c>
      <c r="Q24" s="47">
        <f t="shared" si="3"/>
        <v>0.03902440806550947</v>
      </c>
      <c r="R24" s="32">
        <f t="shared" si="8"/>
        <v>203</v>
      </c>
      <c r="T24" s="50">
        <f t="shared" si="4"/>
        <v>132</v>
      </c>
      <c r="U24" s="47">
        <f t="shared" si="9"/>
        <v>0.005965562435034121</v>
      </c>
      <c r="V24" s="32">
        <f t="shared" si="10"/>
        <v>31</v>
      </c>
      <c r="X24" s="50">
        <f>SUM('FY06 PB'!B25)</f>
        <v>1100203</v>
      </c>
      <c r="Y24" s="52">
        <f t="shared" si="5"/>
        <v>0.03902440806550947</v>
      </c>
      <c r="Z24" s="50">
        <f t="shared" si="11"/>
        <v>70</v>
      </c>
    </row>
    <row r="25" spans="1:26" ht="12.75">
      <c r="A25" s="4" t="s">
        <v>35</v>
      </c>
      <c r="B25" s="46">
        <f t="shared" si="0"/>
        <v>415</v>
      </c>
      <c r="C25" s="46">
        <f>SUM(Census!H25)</f>
        <v>118</v>
      </c>
      <c r="D25" s="47">
        <f t="shared" si="1"/>
        <v>0.005332851267682018</v>
      </c>
      <c r="E25" s="32">
        <f t="shared" si="6"/>
        <v>135</v>
      </c>
      <c r="H25" s="50">
        <f>SUM('FY06 PB'!H26)</f>
        <v>292</v>
      </c>
      <c r="I25" s="47">
        <f t="shared" si="2"/>
        <v>0.006209991280491696</v>
      </c>
      <c r="J25" s="50">
        <f t="shared" si="12"/>
        <v>246</v>
      </c>
      <c r="L25" s="50">
        <f>SUM('FY06 PB'!L26)</f>
        <v>0</v>
      </c>
      <c r="M25" s="47">
        <f t="shared" si="7"/>
        <v>0</v>
      </c>
      <c r="N25" s="50">
        <v>26</v>
      </c>
      <c r="P25" s="32">
        <f>SUM('FY06 PB'!B26)</f>
        <v>122692</v>
      </c>
      <c r="Q25" s="47">
        <f t="shared" si="3"/>
        <v>0.0043519083972444065</v>
      </c>
      <c r="R25" s="32">
        <f t="shared" si="8"/>
        <v>23</v>
      </c>
      <c r="T25" s="50">
        <f t="shared" si="4"/>
        <v>118</v>
      </c>
      <c r="U25" s="47">
        <f t="shared" si="9"/>
        <v>0.005332851267682018</v>
      </c>
      <c r="V25" s="32">
        <f t="shared" si="10"/>
        <v>28</v>
      </c>
      <c r="X25" s="50">
        <f>SUM('FY06 PB'!B26)</f>
        <v>122692</v>
      </c>
      <c r="Y25" s="52">
        <f t="shared" si="5"/>
        <v>0.0043519083972444065</v>
      </c>
      <c r="Z25" s="50">
        <f t="shared" si="11"/>
        <v>8</v>
      </c>
    </row>
    <row r="26" spans="1:26" ht="12.75">
      <c r="A26" s="4" t="s">
        <v>36</v>
      </c>
      <c r="B26" s="46">
        <f t="shared" si="0"/>
        <v>201</v>
      </c>
      <c r="C26" s="46">
        <f>SUM(Census!H26)</f>
        <v>42</v>
      </c>
      <c r="D26" s="47">
        <f t="shared" si="1"/>
        <v>0.0018981335020563112</v>
      </c>
      <c r="E26" s="32">
        <f t="shared" si="6"/>
        <v>48</v>
      </c>
      <c r="H26" s="50">
        <f>SUM('FY06 PB'!H27)</f>
        <v>139</v>
      </c>
      <c r="I26" s="47">
        <f t="shared" si="2"/>
        <v>0.0029561259862614575</v>
      </c>
      <c r="J26" s="50">
        <f t="shared" si="12"/>
        <v>117</v>
      </c>
      <c r="L26" s="50">
        <f>SUM('FY06 PB'!L27)</f>
        <v>0</v>
      </c>
      <c r="M26" s="47">
        <f t="shared" si="7"/>
        <v>0</v>
      </c>
      <c r="N26" s="50">
        <v>23</v>
      </c>
      <c r="P26" s="32">
        <f>SUM('FY06 PB'!B27)</f>
        <v>197379</v>
      </c>
      <c r="Q26" s="47">
        <f t="shared" si="3"/>
        <v>0.007001070383885695</v>
      </c>
      <c r="R26" s="32">
        <f t="shared" si="8"/>
        <v>36</v>
      </c>
      <c r="T26" s="50">
        <f t="shared" si="4"/>
        <v>42</v>
      </c>
      <c r="U26" s="47">
        <f t="shared" si="9"/>
        <v>0.0018981335020563112</v>
      </c>
      <c r="V26" s="32">
        <f t="shared" si="10"/>
        <v>10</v>
      </c>
      <c r="X26" s="50">
        <f>SUM('FY06 PB'!B27)</f>
        <v>197379</v>
      </c>
      <c r="Y26" s="52">
        <f t="shared" si="5"/>
        <v>0.007001070383885695</v>
      </c>
      <c r="Z26" s="50">
        <f t="shared" si="11"/>
        <v>13</v>
      </c>
    </row>
    <row r="27" spans="1:26" ht="12.75">
      <c r="A27" s="4" t="s">
        <v>37</v>
      </c>
      <c r="B27" s="46">
        <f t="shared" si="0"/>
        <v>438</v>
      </c>
      <c r="C27" s="46">
        <f>SUM(Census!H27)</f>
        <v>75</v>
      </c>
      <c r="D27" s="47">
        <f t="shared" si="1"/>
        <v>0.0033895241108148418</v>
      </c>
      <c r="E27" s="32">
        <f t="shared" si="6"/>
        <v>86</v>
      </c>
      <c r="H27" s="50">
        <f>SUM('FY06 PB'!H28)</f>
        <v>396</v>
      </c>
      <c r="I27" s="47">
        <f t="shared" si="2"/>
        <v>0.008421768996831202</v>
      </c>
      <c r="J27" s="50">
        <f t="shared" si="12"/>
        <v>333</v>
      </c>
      <c r="L27" s="50">
        <f>SUM('FY06 PB'!L28)</f>
        <v>0</v>
      </c>
      <c r="M27" s="47">
        <f t="shared" si="7"/>
        <v>0</v>
      </c>
      <c r="N27" s="50">
        <v>15</v>
      </c>
      <c r="P27" s="32">
        <f>SUM('FY06 PB'!B28)</f>
        <v>67048</v>
      </c>
      <c r="Q27" s="47">
        <f t="shared" si="3"/>
        <v>0.002378205214834243</v>
      </c>
      <c r="R27" s="32">
        <f t="shared" si="8"/>
        <v>12</v>
      </c>
      <c r="S27" s="42"/>
      <c r="T27" s="50">
        <f t="shared" si="4"/>
        <v>75</v>
      </c>
      <c r="U27" s="47">
        <f t="shared" si="9"/>
        <v>0.0033895241108148418</v>
      </c>
      <c r="V27" s="32">
        <f t="shared" si="10"/>
        <v>18</v>
      </c>
      <c r="X27" s="50">
        <f>SUM('FY06 PB'!B28)</f>
        <v>67048</v>
      </c>
      <c r="Y27" s="52">
        <f t="shared" si="5"/>
        <v>0.002378205214834243</v>
      </c>
      <c r="Z27" s="50">
        <f t="shared" si="11"/>
        <v>4</v>
      </c>
    </row>
    <row r="28" spans="1:26" ht="12.75">
      <c r="A28" s="4" t="s">
        <v>38</v>
      </c>
      <c r="B28" s="46">
        <f t="shared" si="0"/>
        <v>1977</v>
      </c>
      <c r="C28" s="46">
        <f>SUM(Census!H28)</f>
        <v>1401</v>
      </c>
      <c r="D28" s="47">
        <f t="shared" si="1"/>
        <v>0.06331631039002124</v>
      </c>
      <c r="E28" s="32">
        <f t="shared" si="6"/>
        <v>1598</v>
      </c>
      <c r="H28" s="50">
        <f>SUM('FY06 PB'!H29)</f>
        <v>196</v>
      </c>
      <c r="I28" s="47">
        <f t="shared" si="2"/>
        <v>0.004168350311562919</v>
      </c>
      <c r="J28" s="50">
        <f t="shared" si="12"/>
        <v>165</v>
      </c>
      <c r="L28" s="50">
        <f>SUM('FY06 PB'!L29)</f>
        <v>0</v>
      </c>
      <c r="M28" s="47">
        <f t="shared" si="7"/>
        <v>0</v>
      </c>
      <c r="N28" s="50">
        <v>194</v>
      </c>
      <c r="P28" s="32">
        <f>SUM('FY06 PB'!B29)</f>
        <v>318091</v>
      </c>
      <c r="Q28" s="47">
        <f t="shared" si="3"/>
        <v>0.01128274780741915</v>
      </c>
      <c r="R28" s="32">
        <f t="shared" si="8"/>
        <v>59</v>
      </c>
      <c r="S28" s="149"/>
      <c r="T28" s="50">
        <f t="shared" si="4"/>
        <v>1401</v>
      </c>
      <c r="U28" s="47">
        <f t="shared" si="9"/>
        <v>0.06331631039002124</v>
      </c>
      <c r="V28" s="32">
        <f t="shared" si="10"/>
        <v>329</v>
      </c>
      <c r="X28" s="50">
        <f>SUM('FY06 PB'!B29)</f>
        <v>318091</v>
      </c>
      <c r="Y28" s="52">
        <f t="shared" si="5"/>
        <v>0.01128274780741915</v>
      </c>
      <c r="Z28" s="50">
        <f t="shared" si="11"/>
        <v>20</v>
      </c>
    </row>
    <row r="29" spans="1:26" ht="12.75">
      <c r="A29" s="4" t="s">
        <v>39</v>
      </c>
      <c r="B29" s="32">
        <f t="shared" si="0"/>
        <v>0</v>
      </c>
      <c r="C29" s="46">
        <v>0</v>
      </c>
      <c r="D29" s="46"/>
      <c r="E29" s="32">
        <v>0</v>
      </c>
      <c r="H29" s="50">
        <f>SUM('FY06 PB'!H30)</f>
        <v>0</v>
      </c>
      <c r="I29" s="47"/>
      <c r="J29" s="50">
        <f>SUM('FY06 PB'!J30)</f>
        <v>0</v>
      </c>
      <c r="L29" s="50">
        <f>SUM('FY06 PB'!L30)</f>
        <v>0</v>
      </c>
      <c r="M29" s="47"/>
      <c r="N29" s="50"/>
      <c r="P29" s="32"/>
      <c r="Q29" s="47"/>
      <c r="R29" s="32"/>
      <c r="T29" s="50"/>
      <c r="U29" s="47"/>
      <c r="V29" s="32"/>
      <c r="X29" s="50">
        <f>SUM('FY06 PB'!B30)</f>
        <v>0</v>
      </c>
      <c r="Y29" s="50"/>
      <c r="Z29" s="50"/>
    </row>
    <row r="30" spans="1:26" ht="12.75">
      <c r="A30" s="4" t="s">
        <v>8</v>
      </c>
      <c r="B30" s="32">
        <f t="shared" si="0"/>
        <v>0</v>
      </c>
      <c r="C30" s="46">
        <v>0</v>
      </c>
      <c r="D30" s="46"/>
      <c r="E30" s="32">
        <v>0</v>
      </c>
      <c r="H30" s="50">
        <f>SUM('FY06 PB'!H31)</f>
        <v>0</v>
      </c>
      <c r="I30" s="47"/>
      <c r="J30" s="50">
        <f>SUM('FY06 PB'!J31)</f>
        <v>0</v>
      </c>
      <c r="L30" s="50">
        <f>SUM('FY06 PB'!L31)</f>
        <v>0</v>
      </c>
      <c r="M30" s="47"/>
      <c r="N30" s="50"/>
      <c r="P30" s="32"/>
      <c r="Q30" s="47"/>
      <c r="R30" s="32"/>
      <c r="S30" s="76"/>
      <c r="T30" s="50"/>
      <c r="U30" s="47"/>
      <c r="V30" s="32"/>
      <c r="X30" s="50">
        <v>0</v>
      </c>
      <c r="Y30" s="50"/>
      <c r="Z30" s="50"/>
    </row>
    <row r="31" spans="1:26" ht="12.75">
      <c r="A31" s="4" t="s">
        <v>52</v>
      </c>
      <c r="B31" s="32">
        <f t="shared" si="0"/>
        <v>0</v>
      </c>
      <c r="C31" s="46">
        <v>0</v>
      </c>
      <c r="D31" s="46"/>
      <c r="E31" s="32">
        <v>0</v>
      </c>
      <c r="H31" s="50">
        <f>SUM('FY06 PB'!I32)</f>
        <v>0</v>
      </c>
      <c r="I31" s="47"/>
      <c r="J31" s="50">
        <f>SUM('FY06 PB'!K32)</f>
        <v>0</v>
      </c>
      <c r="L31" s="50">
        <f>SUM('FY06 PB'!M32)</f>
        <v>0</v>
      </c>
      <c r="M31" s="47"/>
      <c r="N31" s="50"/>
      <c r="P31" s="32"/>
      <c r="Q31" s="47"/>
      <c r="R31" s="32"/>
      <c r="T31" s="50"/>
      <c r="U31" s="47"/>
      <c r="V31" s="32"/>
      <c r="X31" s="50">
        <f>SUM('FY06 PB'!B32)</f>
        <v>0</v>
      </c>
      <c r="Y31" s="17"/>
      <c r="Z31" s="55"/>
    </row>
    <row r="32" spans="1:26" ht="12.75">
      <c r="A32" s="4" t="s">
        <v>40</v>
      </c>
      <c r="B32" s="32">
        <f t="shared" si="0"/>
        <v>0</v>
      </c>
      <c r="C32" s="46">
        <v>0</v>
      </c>
      <c r="D32" s="46"/>
      <c r="E32" s="50">
        <v>0</v>
      </c>
      <c r="H32" s="50">
        <f>SUM('FY06 PB'!I33)</f>
        <v>0</v>
      </c>
      <c r="I32" s="46"/>
      <c r="J32" s="50">
        <f>SUM('FY06 PB'!K33)</f>
        <v>0</v>
      </c>
      <c r="L32" s="50">
        <f>SUM('FY06 PB'!M33)</f>
        <v>0</v>
      </c>
      <c r="M32" s="46"/>
      <c r="N32" s="50"/>
      <c r="P32" s="32"/>
      <c r="Q32" s="47"/>
      <c r="R32" s="32"/>
      <c r="T32" s="50"/>
      <c r="U32" s="47"/>
      <c r="V32" s="32"/>
      <c r="X32" s="50">
        <v>0</v>
      </c>
      <c r="Y32" s="17"/>
      <c r="Z32" s="17"/>
    </row>
    <row r="33" spans="1:26" ht="12.75">
      <c r="A33" s="4" t="s">
        <v>5</v>
      </c>
      <c r="B33" s="32">
        <f t="shared" si="0"/>
        <v>0</v>
      </c>
      <c r="C33" s="46">
        <v>0</v>
      </c>
      <c r="D33" s="46"/>
      <c r="E33" s="50">
        <v>0</v>
      </c>
      <c r="H33" s="50">
        <f>SUM('FY06 PB'!I34)</f>
        <v>0</v>
      </c>
      <c r="I33" s="46"/>
      <c r="J33" s="50">
        <f>SUM('FY06 PB'!K34)</f>
        <v>0</v>
      </c>
      <c r="L33" s="50">
        <f>SUM('FY06 PB'!M34)</f>
        <v>0</v>
      </c>
      <c r="M33" s="46"/>
      <c r="N33" s="50"/>
      <c r="P33" s="32"/>
      <c r="Q33" s="47"/>
      <c r="R33" s="32"/>
      <c r="T33" s="50"/>
      <c r="U33" s="47"/>
      <c r="V33" s="32"/>
      <c r="X33" s="50">
        <v>0</v>
      </c>
      <c r="Y33" s="17"/>
      <c r="Z33" s="17"/>
    </row>
    <row r="34" spans="1:26" ht="12.75">
      <c r="A34" s="4" t="s">
        <v>6</v>
      </c>
      <c r="B34" s="32">
        <f t="shared" si="0"/>
        <v>0</v>
      </c>
      <c r="C34" s="46">
        <v>0</v>
      </c>
      <c r="D34" s="46"/>
      <c r="E34" s="50">
        <v>0</v>
      </c>
      <c r="H34" s="50">
        <f>SUM('FY06 PB'!I35)</f>
        <v>0</v>
      </c>
      <c r="I34" s="46"/>
      <c r="J34" s="50">
        <f>SUM('FY06 PB'!K35)</f>
        <v>0</v>
      </c>
      <c r="L34" s="50">
        <f>SUM('FY06 PB'!M35)</f>
        <v>0</v>
      </c>
      <c r="M34" s="46"/>
      <c r="N34" s="50"/>
      <c r="P34" s="32"/>
      <c r="Q34" s="47"/>
      <c r="R34" s="32"/>
      <c r="T34" s="50"/>
      <c r="U34" s="47"/>
      <c r="V34" s="32"/>
      <c r="X34" s="50">
        <v>0</v>
      </c>
      <c r="Y34" s="17"/>
      <c r="Z34" s="17"/>
    </row>
    <row r="35" spans="1:26" ht="12.75">
      <c r="A35" s="4" t="s">
        <v>9</v>
      </c>
      <c r="B35" s="32">
        <f t="shared" si="0"/>
        <v>0</v>
      </c>
      <c r="C35" s="33">
        <v>0</v>
      </c>
      <c r="D35" s="33"/>
      <c r="E35" s="50">
        <v>0</v>
      </c>
      <c r="H35" s="50">
        <f>SUM('FY06 PB'!I36)</f>
        <v>0</v>
      </c>
      <c r="I35" s="33"/>
      <c r="J35" s="50">
        <f>SUM('FY06 PB'!K36)</f>
        <v>0</v>
      </c>
      <c r="L35" s="50">
        <f>SUM('FY06 PB'!M36)</f>
        <v>0</v>
      </c>
      <c r="M35" s="33"/>
      <c r="N35" s="50"/>
      <c r="P35" s="50"/>
      <c r="Q35" s="33"/>
      <c r="R35" s="50"/>
      <c r="T35" s="50"/>
      <c r="U35" s="33"/>
      <c r="V35" s="50"/>
      <c r="X35" s="50">
        <v>0</v>
      </c>
      <c r="Y35" s="33"/>
      <c r="Z35" s="50"/>
    </row>
    <row r="36" spans="1:26" ht="12.75">
      <c r="A36" s="4" t="s">
        <v>165</v>
      </c>
      <c r="B36" s="32">
        <f t="shared" si="0"/>
        <v>0</v>
      </c>
      <c r="C36" s="32">
        <v>0</v>
      </c>
      <c r="D36" s="33"/>
      <c r="E36" s="50">
        <v>0</v>
      </c>
      <c r="H36" s="32">
        <v>0</v>
      </c>
      <c r="I36" s="33"/>
      <c r="J36" s="32">
        <v>0</v>
      </c>
      <c r="L36" s="32">
        <v>0</v>
      </c>
      <c r="M36" s="33"/>
      <c r="N36" s="50"/>
      <c r="P36" s="32"/>
      <c r="Q36" s="33"/>
      <c r="R36" s="50"/>
      <c r="T36" s="50"/>
      <c r="U36" s="33"/>
      <c r="V36" s="50"/>
      <c r="X36" s="32">
        <v>0</v>
      </c>
      <c r="Y36" s="33"/>
      <c r="Z36" s="50"/>
    </row>
    <row r="37" spans="1:26" ht="12.75">
      <c r="A37" s="11" t="s">
        <v>147</v>
      </c>
      <c r="B37" s="37">
        <f t="shared" si="0"/>
        <v>0</v>
      </c>
      <c r="C37" s="143">
        <v>0</v>
      </c>
      <c r="D37" s="144"/>
      <c r="E37" s="143">
        <v>0</v>
      </c>
      <c r="H37" s="143">
        <v>0</v>
      </c>
      <c r="I37" s="144"/>
      <c r="J37" s="143">
        <v>0</v>
      </c>
      <c r="L37" s="143">
        <v>0</v>
      </c>
      <c r="M37" s="144"/>
      <c r="N37" s="44"/>
      <c r="P37" s="37"/>
      <c r="Q37" s="17"/>
      <c r="R37" s="18"/>
      <c r="T37" s="44"/>
      <c r="U37" s="17"/>
      <c r="V37" s="18"/>
      <c r="X37" s="143">
        <v>0</v>
      </c>
      <c r="Y37" s="17"/>
      <c r="Z37" s="18"/>
    </row>
    <row r="38" spans="1:26" ht="12.75">
      <c r="A38" s="152" t="s">
        <v>41</v>
      </c>
      <c r="B38" s="44">
        <f>SUM(B5:B37)</f>
        <v>71783</v>
      </c>
      <c r="C38" s="44">
        <f>SUM(C5:C37)</f>
        <v>22127</v>
      </c>
      <c r="D38" s="48">
        <f>SUM(D5:D37)</f>
        <v>1</v>
      </c>
      <c r="E38" s="49">
        <f>SUM(E5:E37)</f>
        <v>25231</v>
      </c>
      <c r="H38" s="37">
        <f>SUM(H5:H37)</f>
        <v>47021</v>
      </c>
      <c r="I38" s="48">
        <f>SUM(I5:I37)</f>
        <v>1.0000000000000002</v>
      </c>
      <c r="J38" s="49">
        <f>SUM(J5:J37)</f>
        <v>39566</v>
      </c>
      <c r="L38" s="37">
        <f>SUM(L5:L37)</f>
        <v>0</v>
      </c>
      <c r="M38" s="48">
        <f>SUM(M5:M37)</f>
        <v>0</v>
      </c>
      <c r="N38" s="49">
        <f>SUM(N5:N37)</f>
        <v>5190</v>
      </c>
      <c r="P38" s="44">
        <f>SUM(P5:P37)</f>
        <v>28192689</v>
      </c>
      <c r="Q38" s="48">
        <f>SUM(Q5:Q37)</f>
        <v>0.9999999999999999</v>
      </c>
      <c r="R38" s="51">
        <f>SUM(R5:R37)</f>
        <v>5190</v>
      </c>
      <c r="T38" s="44">
        <f>SUM(T5:T37)</f>
        <v>22127</v>
      </c>
      <c r="U38" s="48">
        <f>SUM(U5:U37)</f>
        <v>1</v>
      </c>
      <c r="V38" s="51">
        <f>SUM(V5:V37)</f>
        <v>5190</v>
      </c>
      <c r="X38" s="51">
        <f>SUM(X5:X37)</f>
        <v>28192689</v>
      </c>
      <c r="Y38" s="48">
        <f>SUM(Y5:Y37)</f>
        <v>0.9999999999999999</v>
      </c>
      <c r="Z38" s="51">
        <f>SUM(Z5:Z37)</f>
        <v>1796</v>
      </c>
    </row>
    <row r="39" spans="3:24" ht="12.75">
      <c r="C39" s="23" t="s">
        <v>219</v>
      </c>
      <c r="E39" s="122"/>
      <c r="H39" s="127" t="s">
        <v>227</v>
      </c>
      <c r="L39" s="127" t="s">
        <v>321</v>
      </c>
      <c r="P39" t="s">
        <v>242</v>
      </c>
      <c r="T39" t="s">
        <v>243</v>
      </c>
      <c r="X39" t="s">
        <v>253</v>
      </c>
    </row>
    <row r="40" spans="1:12" ht="12.75">
      <c r="A40" s="147" t="s">
        <v>246</v>
      </c>
      <c r="L40" s="127" t="s">
        <v>322</v>
      </c>
    </row>
    <row r="41" spans="2:10" ht="12" customHeight="1" hidden="1">
      <c r="B41" s="76">
        <f>SUM(B5:B28)</f>
        <v>71783</v>
      </c>
      <c r="E41" s="76">
        <f>SUM(E5:E29)</f>
        <v>25231</v>
      </c>
      <c r="J41" s="76">
        <f>SUM(J5:J28)</f>
        <v>39566</v>
      </c>
    </row>
    <row r="42" ht="12.75">
      <c r="A42" s="147" t="s">
        <v>251</v>
      </c>
    </row>
    <row r="43" spans="1:26" ht="12.75">
      <c r="A43" s="147" t="s">
        <v>250</v>
      </c>
      <c r="B43" s="147"/>
      <c r="C43" s="147"/>
      <c r="D43" s="147"/>
      <c r="E43" s="98">
        <v>25231</v>
      </c>
      <c r="J43" s="98">
        <v>39566</v>
      </c>
      <c r="R43" s="98">
        <v>5190</v>
      </c>
      <c r="V43" s="98">
        <v>5190</v>
      </c>
      <c r="Z43" s="98">
        <v>1796</v>
      </c>
    </row>
  </sheetData>
  <mergeCells count="6">
    <mergeCell ref="X3:Z3"/>
    <mergeCell ref="T3:V3"/>
    <mergeCell ref="C3:E3"/>
    <mergeCell ref="H3:J3"/>
    <mergeCell ref="L3:N3"/>
    <mergeCell ref="P3:R3"/>
  </mergeCells>
  <printOptions/>
  <pageMargins left="0.75" right="0.75" top="0.58" bottom="0.56" header="0.5" footer="0.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2" width="14.7109375" style="0" customWidth="1"/>
    <col min="3" max="3" width="16.7109375" style="0" customWidth="1"/>
    <col min="4" max="4" width="14.7109375" style="0" customWidth="1"/>
    <col min="5" max="5" width="2.28125" style="0" customWidth="1"/>
    <col min="6" max="6" width="9.7109375" style="0" bestFit="1" customWidth="1"/>
    <col min="7" max="7" width="9.28125" style="0" bestFit="1" customWidth="1"/>
  </cols>
  <sheetData>
    <row r="2" ht="18">
      <c r="A2" s="25" t="s">
        <v>142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168</v>
      </c>
      <c r="D4" s="22" t="s">
        <v>44</v>
      </c>
    </row>
    <row r="5" spans="1:6" ht="14.25" customHeight="1">
      <c r="A5" s="4" t="s">
        <v>0</v>
      </c>
      <c r="B5" s="53">
        <f>SUM('School Tax'!X11)</f>
        <v>717948</v>
      </c>
      <c r="C5" s="52">
        <f>SUM('School Tax'!Z11)</f>
        <v>0.2807969108538213</v>
      </c>
      <c r="D5" s="53">
        <f>SUM('School Tax'!AB11)</f>
        <v>90762</v>
      </c>
      <c r="E5" s="84"/>
      <c r="F5" s="34"/>
    </row>
    <row r="6" spans="1:6" ht="13.5" customHeight="1">
      <c r="A6" s="4" t="s">
        <v>16</v>
      </c>
      <c r="B6" s="32">
        <f>SUM('School Tax'!X12)</f>
        <v>169517</v>
      </c>
      <c r="C6" s="52">
        <f>SUM('School Tax'!Z12)</f>
        <v>0.0662998572838245</v>
      </c>
      <c r="D6" s="32">
        <f>SUM('School Tax'!AB12)</f>
        <v>21430</v>
      </c>
      <c r="E6" s="84"/>
      <c r="F6" s="34"/>
    </row>
    <row r="7" spans="1:6" ht="13.5" customHeight="1">
      <c r="A7" s="4" t="s">
        <v>17</v>
      </c>
      <c r="B7" s="32">
        <f>SUM('School Tax'!X13)</f>
        <v>58948</v>
      </c>
      <c r="C7" s="52">
        <f>SUM('School Tax'!Z13)</f>
        <v>0.023055174331582592</v>
      </c>
      <c r="D7" s="32">
        <f>SUM('School Tax'!AB13)</f>
        <v>7452</v>
      </c>
      <c r="E7" s="84"/>
      <c r="F7" s="34"/>
    </row>
    <row r="8" spans="1:6" ht="14.25" customHeight="1">
      <c r="A8" s="4" t="s">
        <v>18</v>
      </c>
      <c r="B8" s="32">
        <f>SUM('School Tax'!X14)</f>
        <v>166711</v>
      </c>
      <c r="C8" s="52">
        <f>SUM('School Tax'!Z14)</f>
        <v>0.06520240157414103</v>
      </c>
      <c r="D8" s="32">
        <f>SUM('School Tax'!AB14)</f>
        <v>21075</v>
      </c>
      <c r="E8" s="84"/>
      <c r="F8" s="34"/>
    </row>
    <row r="9" spans="1:6" ht="13.5" customHeight="1">
      <c r="A9" s="4" t="s">
        <v>19</v>
      </c>
      <c r="B9" s="32">
        <f>SUM('School Tax'!X15)</f>
        <v>146420</v>
      </c>
      <c r="C9" s="52">
        <f>SUM('School Tax'!Z15)</f>
        <v>0.057266380973575406</v>
      </c>
      <c r="D9" s="32">
        <f>SUM('School Tax'!AB15)</f>
        <v>18510</v>
      </c>
      <c r="E9" s="84"/>
      <c r="F9" s="34"/>
    </row>
    <row r="10" spans="1:6" ht="14.25" customHeight="1">
      <c r="A10" s="4" t="s">
        <v>20</v>
      </c>
      <c r="B10" s="32">
        <f>SUM('School Tax'!X16)</f>
        <v>539207</v>
      </c>
      <c r="C10" s="52">
        <f>SUM('School Tax'!Z16)</f>
        <v>0.21088945147943366</v>
      </c>
      <c r="D10" s="32">
        <f>SUM('School Tax'!AB16)</f>
        <v>68166</v>
      </c>
      <c r="E10" s="84"/>
      <c r="F10" s="34"/>
    </row>
    <row r="11" spans="1:6" ht="14.25" customHeight="1">
      <c r="A11" s="4" t="s">
        <v>21</v>
      </c>
      <c r="B11" s="32">
        <f>SUM('School Tax'!X17)</f>
        <v>2535</v>
      </c>
      <c r="C11" s="52">
        <f>SUM('School Tax'!Z17)</f>
        <v>0</v>
      </c>
      <c r="D11" s="139">
        <f>SUM('School Tax'!AB17)</f>
        <v>153</v>
      </c>
      <c r="E11" s="84"/>
      <c r="F11" s="34"/>
    </row>
    <row r="12" spans="1:6" ht="14.25" customHeight="1">
      <c r="A12" s="4" t="s">
        <v>22</v>
      </c>
      <c r="B12" s="32">
        <f>SUM('School Tax'!X18)</f>
        <v>160188</v>
      </c>
      <c r="C12" s="52">
        <f>SUM('School Tax'!Z18)</f>
        <v>0.06265118860398236</v>
      </c>
      <c r="D12" s="32">
        <f>SUM('School Tax'!AB18)</f>
        <v>20251</v>
      </c>
      <c r="E12" s="84"/>
      <c r="F12" s="34"/>
    </row>
    <row r="13" spans="1:6" ht="14.25" customHeight="1">
      <c r="A13" s="4" t="s">
        <v>23</v>
      </c>
      <c r="B13" s="32">
        <f>SUM('School Tax'!X19)</f>
        <v>68453</v>
      </c>
      <c r="C13" s="52">
        <f>SUM('School Tax'!Z19)</f>
        <v>0.026772678437263744</v>
      </c>
      <c r="D13" s="32">
        <f>SUM('School Tax'!AB19)</f>
        <v>8654</v>
      </c>
      <c r="E13" s="84"/>
      <c r="F13" s="34"/>
    </row>
    <row r="14" spans="1:6" ht="14.25" customHeight="1">
      <c r="A14" s="4" t="s">
        <v>24</v>
      </c>
      <c r="B14" s="32">
        <f>SUM('School Tax'!X20)</f>
        <v>120524</v>
      </c>
      <c r="C14" s="52">
        <f>SUM('School Tax'!Z20)</f>
        <v>0.04713818672626146</v>
      </c>
      <c r="D14" s="32">
        <f>SUM('School Tax'!AB20)</f>
        <v>15236</v>
      </c>
      <c r="E14" s="84"/>
      <c r="F14" s="34"/>
    </row>
    <row r="15" spans="1:6" ht="13.5" customHeight="1">
      <c r="A15" s="4" t="s">
        <v>25</v>
      </c>
      <c r="B15" s="32">
        <f>SUM('School Tax'!X21)</f>
        <v>104548</v>
      </c>
      <c r="C15" s="52">
        <f>SUM('School Tax'!Z21)</f>
        <v>0</v>
      </c>
      <c r="D15" s="139">
        <f>SUM('School Tax'!AB21)</f>
        <v>7629</v>
      </c>
      <c r="E15" s="84"/>
      <c r="F15" s="34"/>
    </row>
    <row r="16" spans="1:6" ht="14.25" customHeight="1">
      <c r="A16" s="4" t="s">
        <v>26</v>
      </c>
      <c r="B16" s="32">
        <f>SUM('School Tax'!X22)</f>
        <v>51582</v>
      </c>
      <c r="C16" s="52">
        <f>SUM('School Tax'!Z22)</f>
        <v>0.02017425531606998</v>
      </c>
      <c r="D16" s="32">
        <f>SUM('School Tax'!AB22)</f>
        <v>6521</v>
      </c>
      <c r="E16" s="84"/>
      <c r="F16" s="34"/>
    </row>
    <row r="17" spans="1:6" ht="14.25" customHeight="1">
      <c r="A17" s="4" t="s">
        <v>27</v>
      </c>
      <c r="B17" s="32">
        <f>SUM('School Tax'!X23)</f>
        <v>34458</v>
      </c>
      <c r="C17" s="52">
        <f>SUM('School Tax'!Z23)</f>
        <v>0.01347688127023263</v>
      </c>
      <c r="D17" s="32">
        <f>SUM('School Tax'!AB23)</f>
        <v>4356</v>
      </c>
      <c r="E17" s="84"/>
      <c r="F17" s="34"/>
    </row>
    <row r="18" spans="1:6" ht="14.25" customHeight="1">
      <c r="A18" s="4" t="s">
        <v>28</v>
      </c>
      <c r="B18" s="32">
        <f>SUM('School Tax'!X24)</f>
        <v>159126</v>
      </c>
      <c r="C18" s="52">
        <f>SUM('School Tax'!Z24)</f>
        <v>0.06223582938670373</v>
      </c>
      <c r="D18" s="32">
        <f>SUM('School Tax'!AB24)</f>
        <v>20116</v>
      </c>
      <c r="E18" s="84"/>
      <c r="F18" s="34"/>
    </row>
    <row r="19" spans="1:6" ht="13.5" customHeight="1">
      <c r="A19" s="4" t="s">
        <v>29</v>
      </c>
      <c r="B19" s="32">
        <f>SUM('School Tax'!X25)</f>
        <v>80373</v>
      </c>
      <c r="C19" s="52">
        <f>SUM('School Tax'!Z25)</f>
        <v>0</v>
      </c>
      <c r="D19" s="139">
        <f>SUM('School Tax'!AB25)</f>
        <v>4897</v>
      </c>
      <c r="E19" s="84"/>
      <c r="F19" s="34"/>
    </row>
    <row r="20" spans="1:6" ht="13.5" customHeight="1">
      <c r="A20" s="4" t="s">
        <v>30</v>
      </c>
      <c r="B20" s="32">
        <f>SUM('School Tax'!X26)</f>
        <v>45878</v>
      </c>
      <c r="C20" s="52">
        <f>SUM('School Tax'!Z26)</f>
        <v>0.017943361742287205</v>
      </c>
      <c r="D20" s="32">
        <f>SUM('School Tax'!AB26)</f>
        <v>5800</v>
      </c>
      <c r="E20" s="84"/>
      <c r="F20" s="34"/>
    </row>
    <row r="21" spans="1:6" ht="12.75" customHeight="1">
      <c r="A21" s="4" t="s">
        <v>31</v>
      </c>
      <c r="B21" s="32">
        <f>SUM('School Tax'!X27)</f>
        <v>2395</v>
      </c>
      <c r="C21" s="52">
        <f>SUM('School Tax'!Z27)</f>
        <v>0.0009367093459343881</v>
      </c>
      <c r="D21" s="32">
        <f>SUM('School Tax'!AB27)</f>
        <v>303</v>
      </c>
      <c r="E21" s="84"/>
      <c r="F21" s="34"/>
    </row>
    <row r="22" spans="1:6" ht="13.5" customHeight="1">
      <c r="A22" s="4" t="s">
        <v>32</v>
      </c>
      <c r="B22" s="32">
        <f>SUM('School Tax'!X28)</f>
        <v>100997</v>
      </c>
      <c r="C22" s="52">
        <f>SUM('School Tax'!Z28)</f>
        <v>0.039500974451497035</v>
      </c>
      <c r="D22" s="32">
        <f>SUM('School Tax'!AB28)</f>
        <v>12768</v>
      </c>
      <c r="E22" s="84"/>
      <c r="F22" s="34"/>
    </row>
    <row r="23" spans="1:6" ht="13.5" customHeight="1">
      <c r="A23" s="4" t="s">
        <v>33</v>
      </c>
      <c r="B23" s="32">
        <f>SUM('School Tax'!X29)</f>
        <v>7737</v>
      </c>
      <c r="C23" s="52">
        <f>SUM('School Tax'!Z29)</f>
        <v>0.003026020964298272</v>
      </c>
      <c r="D23" s="32">
        <f>SUM('School Tax'!AB29)</f>
        <v>978</v>
      </c>
      <c r="E23" s="84"/>
      <c r="F23" s="34"/>
    </row>
    <row r="24" spans="1:6" ht="12" customHeight="1">
      <c r="A24" s="4" t="s">
        <v>34</v>
      </c>
      <c r="B24" s="32">
        <f>SUM('School Tax'!X30)</f>
        <v>0</v>
      </c>
      <c r="C24" s="52">
        <f>SUM('School Tax'!Z30)</f>
        <v>0</v>
      </c>
      <c r="D24" s="32">
        <f>SUM('School Tax'!AB30)</f>
        <v>0</v>
      </c>
      <c r="E24" s="84"/>
      <c r="F24" s="34"/>
    </row>
    <row r="25" spans="1:6" ht="12.75">
      <c r="A25" s="4" t="s">
        <v>35</v>
      </c>
      <c r="B25" s="32">
        <f>SUM('School Tax'!X31)</f>
        <v>6734</v>
      </c>
      <c r="C25" s="52">
        <f>SUM('School Tax'!Z31)</f>
        <v>0.002633737259090676</v>
      </c>
      <c r="D25" s="32">
        <f>SUM('School Tax'!AB31)</f>
        <v>851</v>
      </c>
      <c r="E25" s="84"/>
      <c r="F25" s="34"/>
    </row>
    <row r="26" spans="1:6" ht="12.75">
      <c r="A26" s="4" t="s">
        <v>36</v>
      </c>
      <c r="B26" s="32">
        <f>SUM('School Tax'!X32)</f>
        <v>0</v>
      </c>
      <c r="C26" s="140">
        <f>SUM('School Tax'!Z32)</f>
        <v>0</v>
      </c>
      <c r="D26" s="32">
        <f>SUM('School Tax'!AB32)</f>
        <v>0</v>
      </c>
      <c r="E26" s="84"/>
      <c r="F26" s="34"/>
    </row>
    <row r="27" spans="1:7" ht="12.75">
      <c r="A27" s="4" t="s">
        <v>37</v>
      </c>
      <c r="B27" s="144">
        <f>SUM('School Tax'!X33)</f>
        <v>0</v>
      </c>
      <c r="C27" s="144">
        <v>0</v>
      </c>
      <c r="D27" s="144">
        <f>SUM('School Tax'!AB33)</f>
        <v>0</v>
      </c>
      <c r="E27" s="84"/>
      <c r="F27" s="76"/>
      <c r="G27" s="184"/>
    </row>
    <row r="28" spans="1:5" ht="12.75">
      <c r="A28" s="4" t="s">
        <v>38</v>
      </c>
      <c r="B28" s="144">
        <v>0</v>
      </c>
      <c r="C28" s="144">
        <v>0</v>
      </c>
      <c r="D28" s="144">
        <f>SUM('School Tax'!AB34)</f>
        <v>0</v>
      </c>
      <c r="E28" s="84"/>
    </row>
    <row r="29" spans="1:5" ht="12.75">
      <c r="A29" s="4" t="s">
        <v>39</v>
      </c>
      <c r="B29" s="144">
        <v>0</v>
      </c>
      <c r="C29" s="144">
        <v>0</v>
      </c>
      <c r="D29" s="144">
        <v>0</v>
      </c>
      <c r="E29" s="84"/>
    </row>
    <row r="30" spans="1:5" ht="12.75">
      <c r="A30" s="4" t="s">
        <v>8</v>
      </c>
      <c r="B30" s="144">
        <v>0</v>
      </c>
      <c r="C30" s="144">
        <v>0</v>
      </c>
      <c r="D30" s="144">
        <v>0</v>
      </c>
      <c r="E30" s="84"/>
    </row>
    <row r="31" spans="1:5" ht="12.75">
      <c r="A31" s="4" t="s">
        <v>52</v>
      </c>
      <c r="B31" s="144">
        <v>0</v>
      </c>
      <c r="C31" s="145">
        <v>0</v>
      </c>
      <c r="D31" s="144">
        <v>0</v>
      </c>
      <c r="E31" s="84"/>
    </row>
    <row r="32" spans="1:5" ht="12.75">
      <c r="A32" s="4" t="s">
        <v>40</v>
      </c>
      <c r="B32" s="144">
        <v>0</v>
      </c>
      <c r="C32" s="145">
        <v>0</v>
      </c>
      <c r="D32" s="144">
        <v>0</v>
      </c>
      <c r="E32" s="84"/>
    </row>
    <row r="33" spans="1:5" ht="12.75">
      <c r="A33" s="4" t="s">
        <v>5</v>
      </c>
      <c r="B33" s="144">
        <v>0</v>
      </c>
      <c r="C33" s="145">
        <v>0</v>
      </c>
      <c r="D33" s="144">
        <v>0</v>
      </c>
      <c r="E33" s="84"/>
    </row>
    <row r="34" spans="1:5" ht="12.75">
      <c r="A34" s="4" t="s">
        <v>6</v>
      </c>
      <c r="B34" s="144">
        <v>0</v>
      </c>
      <c r="C34" s="145">
        <v>0</v>
      </c>
      <c r="D34" s="144">
        <v>0</v>
      </c>
      <c r="E34" s="84"/>
    </row>
    <row r="35" spans="1:5" ht="12.75">
      <c r="A35" s="4" t="s">
        <v>9</v>
      </c>
      <c r="B35" s="146">
        <v>0</v>
      </c>
      <c r="C35" s="146">
        <v>0</v>
      </c>
      <c r="D35" s="144">
        <v>0</v>
      </c>
      <c r="E35" s="84"/>
    </row>
    <row r="36" spans="1:5" ht="12.75">
      <c r="A36" s="4" t="s">
        <v>165</v>
      </c>
      <c r="B36" s="144">
        <v>0</v>
      </c>
      <c r="C36" s="146">
        <v>0</v>
      </c>
      <c r="D36" s="144">
        <v>0</v>
      </c>
      <c r="E36" s="84"/>
    </row>
    <row r="37" spans="1:5" ht="12" customHeight="1">
      <c r="A37" s="4" t="s">
        <v>147</v>
      </c>
      <c r="B37" s="143">
        <v>0</v>
      </c>
      <c r="C37" s="144">
        <v>0</v>
      </c>
      <c r="D37" s="143">
        <v>0</v>
      </c>
      <c r="E37" s="84"/>
    </row>
    <row r="38" spans="1:5" ht="12.75">
      <c r="A38" s="20" t="s">
        <v>41</v>
      </c>
      <c r="B38" s="54">
        <f>SUM(B5:B37)</f>
        <v>2744279</v>
      </c>
      <c r="C38" s="141">
        <f>SUM(C5:C37)</f>
        <v>0.9999999999999998</v>
      </c>
      <c r="D38" s="54">
        <f>SUM(D5:D37)</f>
        <v>335908</v>
      </c>
      <c r="E38" s="84"/>
    </row>
    <row r="39" ht="12.75">
      <c r="A39" s="23" t="s">
        <v>70</v>
      </c>
    </row>
    <row r="40" ht="12.75">
      <c r="A40" s="23" t="s">
        <v>249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  <headerFooter alignWithMargins="0">
    <oddFooter xml:space="preserve">&amp;L&amp;F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D19" sqref="D19"/>
    </sheetView>
  </sheetViews>
  <sheetFormatPr defaultColWidth="9.140625" defaultRowHeight="12.75"/>
  <cols>
    <col min="1" max="1" width="9.7109375" style="0" customWidth="1"/>
    <col min="2" max="4" width="14.7109375" style="0" customWidth="1"/>
    <col min="5" max="5" width="2.00390625" style="0" customWidth="1"/>
  </cols>
  <sheetData>
    <row r="2" ht="18">
      <c r="A2" s="25" t="s">
        <v>145</v>
      </c>
    </row>
    <row r="3" spans="1:4" ht="12.75">
      <c r="A3" s="13"/>
      <c r="B3" s="229" t="s">
        <v>41</v>
      </c>
      <c r="C3" s="230"/>
      <c r="D3" s="231"/>
    </row>
    <row r="4" spans="1:4" ht="12.75">
      <c r="A4" s="14"/>
      <c r="B4" s="21" t="s">
        <v>42</v>
      </c>
      <c r="C4" s="21" t="s">
        <v>43</v>
      </c>
      <c r="D4" s="22" t="s">
        <v>44</v>
      </c>
    </row>
    <row r="5" spans="1:4" ht="12.75">
      <c r="A5" s="4" t="s">
        <v>0</v>
      </c>
      <c r="B5" s="15"/>
      <c r="C5" s="17"/>
      <c r="D5" s="35">
        <f>13350+1946</f>
        <v>15296</v>
      </c>
    </row>
    <row r="6" spans="1:4" ht="12.75">
      <c r="A6" s="4" t="s">
        <v>16</v>
      </c>
      <c r="B6" s="15"/>
      <c r="C6" s="17"/>
      <c r="D6" s="32">
        <v>4052</v>
      </c>
    </row>
    <row r="7" spans="1:4" ht="12.75">
      <c r="A7" s="4" t="s">
        <v>17</v>
      </c>
      <c r="B7" s="15"/>
      <c r="C7" s="17"/>
      <c r="D7" s="32">
        <v>2026</v>
      </c>
    </row>
    <row r="8" spans="1:4" ht="12.75">
      <c r="A8" s="4" t="s">
        <v>18</v>
      </c>
      <c r="B8" s="15"/>
      <c r="C8" s="17"/>
      <c r="D8" s="32">
        <v>3858</v>
      </c>
    </row>
    <row r="9" spans="1:4" ht="12.75">
      <c r="A9" s="4" t="s">
        <v>19</v>
      </c>
      <c r="B9" s="15"/>
      <c r="C9" s="17"/>
      <c r="D9" s="32">
        <v>3423</v>
      </c>
    </row>
    <row r="10" spans="1:4" ht="12.75">
      <c r="A10" s="4" t="s">
        <v>20</v>
      </c>
      <c r="B10" s="15"/>
      <c r="C10" s="17"/>
      <c r="D10" s="32">
        <v>7955</v>
      </c>
    </row>
    <row r="11" spans="1:4" ht="12.75">
      <c r="A11" s="4" t="s">
        <v>21</v>
      </c>
      <c r="B11" s="15"/>
      <c r="C11" s="17"/>
      <c r="D11" s="32">
        <v>824</v>
      </c>
    </row>
    <row r="12" spans="1:4" ht="12.75">
      <c r="A12" s="4" t="s">
        <v>22</v>
      </c>
      <c r="B12" s="15"/>
      <c r="C12" s="17"/>
      <c r="D12" s="32">
        <v>4474</v>
      </c>
    </row>
    <row r="13" spans="1:4" ht="12.75">
      <c r="A13" s="4" t="s">
        <v>23</v>
      </c>
      <c r="B13" s="15"/>
      <c r="C13" s="17"/>
      <c r="D13" s="32">
        <v>1820</v>
      </c>
    </row>
    <row r="14" spans="1:4" ht="12.75">
      <c r="A14" s="4" t="s">
        <v>24</v>
      </c>
      <c r="B14" s="15"/>
      <c r="C14" s="17"/>
      <c r="D14" s="32">
        <v>2214</v>
      </c>
    </row>
    <row r="15" spans="1:4" ht="12.75">
      <c r="A15" s="4" t="s">
        <v>25</v>
      </c>
      <c r="B15" s="15"/>
      <c r="C15" s="17"/>
      <c r="D15" s="32">
        <v>1787</v>
      </c>
    </row>
    <row r="16" spans="1:4" ht="12.75">
      <c r="A16" s="4" t="s">
        <v>26</v>
      </c>
      <c r="B16" s="15"/>
      <c r="C16" s="17"/>
      <c r="D16" s="32">
        <v>1462</v>
      </c>
    </row>
    <row r="17" spans="1:4" ht="12.75">
      <c r="A17" s="4" t="s">
        <v>27</v>
      </c>
      <c r="B17" s="15"/>
      <c r="C17" s="17"/>
      <c r="D17" s="32">
        <v>848</v>
      </c>
    </row>
    <row r="18" spans="1:4" ht="12.75">
      <c r="A18" s="4" t="s">
        <v>28</v>
      </c>
      <c r="B18" s="15"/>
      <c r="C18" s="17"/>
      <c r="D18" s="32">
        <v>4499</v>
      </c>
    </row>
    <row r="19" spans="1:4" ht="12.75">
      <c r="A19" s="4" t="s">
        <v>29</v>
      </c>
      <c r="B19" s="15"/>
      <c r="C19" s="17"/>
      <c r="D19" s="32">
        <v>1451</v>
      </c>
    </row>
    <row r="20" spans="1:4" ht="12.75">
      <c r="A20" s="4" t="s">
        <v>30</v>
      </c>
      <c r="B20" s="15"/>
      <c r="C20" s="17"/>
      <c r="D20" s="32">
        <v>927</v>
      </c>
    </row>
    <row r="21" spans="1:4" ht="12.75">
      <c r="A21" s="4" t="s">
        <v>31</v>
      </c>
      <c r="B21" s="15"/>
      <c r="C21" s="17"/>
      <c r="D21" s="32">
        <v>243</v>
      </c>
    </row>
    <row r="22" spans="1:4" ht="12.75">
      <c r="A22" s="4" t="s">
        <v>32</v>
      </c>
      <c r="B22" s="15"/>
      <c r="C22" s="17"/>
      <c r="D22" s="32">
        <v>1831</v>
      </c>
    </row>
    <row r="23" spans="1:4" ht="12.75">
      <c r="A23" s="4" t="s">
        <v>33</v>
      </c>
      <c r="B23" s="15"/>
      <c r="C23" s="17"/>
      <c r="D23" s="32">
        <v>269</v>
      </c>
    </row>
    <row r="24" spans="1:4" ht="12.75">
      <c r="A24" s="4" t="s">
        <v>34</v>
      </c>
      <c r="B24" s="15"/>
      <c r="C24" s="17"/>
      <c r="D24" s="32">
        <v>367</v>
      </c>
    </row>
    <row r="25" spans="1:4" ht="12.75">
      <c r="A25" s="4" t="s">
        <v>35</v>
      </c>
      <c r="B25" s="15"/>
      <c r="C25" s="17"/>
      <c r="D25" s="32">
        <v>384</v>
      </c>
    </row>
    <row r="26" spans="1:4" ht="12.75">
      <c r="A26" s="4" t="s">
        <v>36</v>
      </c>
      <c r="B26" s="15"/>
      <c r="C26" s="17"/>
      <c r="D26" s="32">
        <v>106</v>
      </c>
    </row>
    <row r="27" spans="1:4" ht="12.75">
      <c r="A27" s="4" t="s">
        <v>37</v>
      </c>
      <c r="B27" s="15"/>
      <c r="C27" s="17"/>
      <c r="D27" s="32">
        <v>298</v>
      </c>
    </row>
    <row r="28" spans="1:4" ht="12.75">
      <c r="A28" s="4" t="s">
        <v>38</v>
      </c>
      <c r="B28" s="15"/>
      <c r="C28" s="17"/>
      <c r="D28" s="32">
        <v>4204</v>
      </c>
    </row>
    <row r="29" spans="1:4" ht="12.75">
      <c r="A29" s="4" t="s">
        <v>39</v>
      </c>
      <c r="B29" s="15"/>
      <c r="C29" s="17"/>
      <c r="D29" s="32">
        <v>1632</v>
      </c>
    </row>
    <row r="30" spans="1:4" ht="12.75">
      <c r="A30" s="4" t="s">
        <v>8</v>
      </c>
      <c r="B30" s="15"/>
      <c r="C30" s="17"/>
      <c r="D30" s="32">
        <v>2656</v>
      </c>
    </row>
    <row r="31" spans="1:4" ht="12.75">
      <c r="A31" s="4" t="s">
        <v>52</v>
      </c>
      <c r="B31" s="15"/>
      <c r="C31" s="17"/>
      <c r="D31" s="32">
        <v>0</v>
      </c>
    </row>
    <row r="32" spans="1:4" ht="12.75">
      <c r="A32" s="4" t="s">
        <v>40</v>
      </c>
      <c r="B32" s="15"/>
      <c r="C32" s="17"/>
      <c r="D32" s="32">
        <v>8554</v>
      </c>
    </row>
    <row r="33" spans="1:4" ht="12.75">
      <c r="A33" s="4" t="s">
        <v>5</v>
      </c>
      <c r="B33" s="15"/>
      <c r="C33" s="17"/>
      <c r="D33" s="92">
        <v>1056</v>
      </c>
    </row>
    <row r="34" spans="1:4" ht="12.75">
      <c r="A34" s="4" t="s">
        <v>6</v>
      </c>
      <c r="B34" s="15"/>
      <c r="C34" s="17"/>
      <c r="D34" s="32">
        <v>2499</v>
      </c>
    </row>
    <row r="35" spans="1:4" ht="12.75">
      <c r="A35" s="4" t="s">
        <v>9</v>
      </c>
      <c r="B35" s="33">
        <v>0</v>
      </c>
      <c r="C35" s="33">
        <v>0</v>
      </c>
      <c r="D35" s="50">
        <v>0</v>
      </c>
    </row>
    <row r="36" spans="1:4" ht="12.75">
      <c r="A36" s="4" t="s">
        <v>165</v>
      </c>
      <c r="B36" s="32"/>
      <c r="C36" s="33"/>
      <c r="D36" s="50">
        <v>0</v>
      </c>
    </row>
    <row r="37" spans="1:4" ht="12.75">
      <c r="A37" s="4" t="s">
        <v>147</v>
      </c>
      <c r="B37" s="18"/>
      <c r="C37" s="17"/>
      <c r="D37" s="37">
        <v>1053</v>
      </c>
    </row>
    <row r="38" spans="1:4" ht="12.75">
      <c r="A38" s="20" t="s">
        <v>41</v>
      </c>
      <c r="B38" s="18"/>
      <c r="C38" s="18"/>
      <c r="D38" s="54">
        <f>SUM(D5:D37)</f>
        <v>82068</v>
      </c>
    </row>
    <row r="39" ht="12.75">
      <c r="A39" s="23" t="s">
        <v>224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7" sqref="G7"/>
    </sheetView>
  </sheetViews>
  <sheetFormatPr defaultColWidth="9.140625" defaultRowHeight="12.75"/>
  <cols>
    <col min="2" max="2" width="11.7109375" style="0" customWidth="1"/>
    <col min="3" max="3" width="12.8515625" style="0" customWidth="1"/>
    <col min="4" max="4" width="13.8515625" style="0" customWidth="1"/>
  </cols>
  <sheetData>
    <row r="1" spans="1:5" ht="18">
      <c r="A1" s="232" t="s">
        <v>170</v>
      </c>
      <c r="B1" s="232"/>
      <c r="C1" s="232"/>
      <c r="D1" s="232"/>
      <c r="E1" t="s">
        <v>213</v>
      </c>
    </row>
    <row r="2" spans="1:4" ht="18">
      <c r="A2" s="233" t="s">
        <v>171</v>
      </c>
      <c r="B2" s="233"/>
      <c r="C2" s="233"/>
      <c r="D2" s="233"/>
    </row>
    <row r="3" spans="1:4" ht="13.5" customHeight="1">
      <c r="A3" s="13"/>
      <c r="B3" s="229" t="s">
        <v>41</v>
      </c>
      <c r="C3" s="230"/>
      <c r="D3" s="231"/>
    </row>
    <row r="4" spans="1:4" ht="13.5" customHeight="1">
      <c r="A4" s="14"/>
      <c r="B4" s="21" t="s">
        <v>42</v>
      </c>
      <c r="C4" s="21" t="s">
        <v>43</v>
      </c>
      <c r="D4" s="22" t="s">
        <v>44</v>
      </c>
    </row>
    <row r="5" spans="1:4" ht="13.5" customHeight="1">
      <c r="A5" s="4" t="s">
        <v>0</v>
      </c>
      <c r="B5" s="15"/>
      <c r="C5" s="17"/>
      <c r="D5" s="35">
        <f>1793+319</f>
        <v>2112</v>
      </c>
    </row>
    <row r="6" spans="1:4" ht="12.75">
      <c r="A6" s="4" t="s">
        <v>16</v>
      </c>
      <c r="B6" s="15"/>
      <c r="C6" s="17"/>
      <c r="D6" s="32">
        <v>517</v>
      </c>
    </row>
    <row r="7" spans="1:4" ht="12.75">
      <c r="A7" s="4" t="s">
        <v>17</v>
      </c>
      <c r="B7" s="15"/>
      <c r="C7" s="17"/>
      <c r="D7" s="32">
        <v>227</v>
      </c>
    </row>
    <row r="8" spans="1:4" ht="12.75">
      <c r="A8" s="4" t="s">
        <v>18</v>
      </c>
      <c r="B8" s="15"/>
      <c r="C8" s="17"/>
      <c r="D8" s="32">
        <v>474</v>
      </c>
    </row>
    <row r="9" spans="1:4" ht="12.75">
      <c r="A9" s="4" t="s">
        <v>19</v>
      </c>
      <c r="B9" s="15"/>
      <c r="C9" s="17"/>
      <c r="D9" s="32">
        <v>417</v>
      </c>
    </row>
    <row r="10" spans="1:4" ht="12.75">
      <c r="A10" s="4" t="s">
        <v>20</v>
      </c>
      <c r="B10" s="15"/>
      <c r="C10" s="17"/>
      <c r="D10" s="32">
        <v>1144</v>
      </c>
    </row>
    <row r="11" spans="1:4" ht="12.75">
      <c r="A11" s="4" t="s">
        <v>21</v>
      </c>
      <c r="B11" s="15"/>
      <c r="C11" s="17"/>
      <c r="D11" s="32">
        <v>92</v>
      </c>
    </row>
    <row r="12" spans="1:4" ht="12.75">
      <c r="A12" s="4" t="s">
        <v>22</v>
      </c>
      <c r="B12" s="15"/>
      <c r="C12" s="17"/>
      <c r="D12" s="32">
        <v>564</v>
      </c>
    </row>
    <row r="13" spans="1:4" ht="12.75">
      <c r="A13" s="4" t="s">
        <v>23</v>
      </c>
      <c r="B13" s="15"/>
      <c r="C13" s="17"/>
      <c r="D13" s="32">
        <v>210</v>
      </c>
    </row>
    <row r="14" spans="1:4" ht="12.75">
      <c r="A14" s="4" t="s">
        <v>24</v>
      </c>
      <c r="B14" s="15"/>
      <c r="C14" s="17"/>
      <c r="D14" s="32">
        <v>413</v>
      </c>
    </row>
    <row r="15" spans="1:4" ht="12.75">
      <c r="A15" s="4" t="s">
        <v>25</v>
      </c>
      <c r="B15" s="15"/>
      <c r="C15" s="17"/>
      <c r="D15" s="32">
        <v>299</v>
      </c>
    </row>
    <row r="16" spans="1:4" ht="12.75">
      <c r="A16" s="4" t="s">
        <v>26</v>
      </c>
      <c r="B16" s="15"/>
      <c r="C16" s="17"/>
      <c r="D16" s="32">
        <v>177</v>
      </c>
    </row>
    <row r="17" spans="1:4" ht="12.75">
      <c r="A17" s="4" t="s">
        <v>27</v>
      </c>
      <c r="B17" s="15"/>
      <c r="C17" s="17"/>
      <c r="D17" s="32">
        <v>120</v>
      </c>
    </row>
    <row r="18" spans="1:4" ht="12.75">
      <c r="A18" s="4" t="s">
        <v>28</v>
      </c>
      <c r="B18" s="15"/>
      <c r="C18" s="17"/>
      <c r="D18" s="32">
        <v>563</v>
      </c>
    </row>
    <row r="19" spans="1:4" ht="12.75">
      <c r="A19" s="4" t="s">
        <v>29</v>
      </c>
      <c r="B19" s="15"/>
      <c r="C19" s="17"/>
      <c r="D19" s="32">
        <v>262</v>
      </c>
    </row>
    <row r="20" spans="1:4" ht="12.75">
      <c r="A20" s="4" t="s">
        <v>30</v>
      </c>
      <c r="B20" s="15"/>
      <c r="C20" s="17"/>
      <c r="D20" s="32">
        <v>150</v>
      </c>
    </row>
    <row r="21" spans="1:4" ht="12.75">
      <c r="A21" s="4" t="s">
        <v>31</v>
      </c>
      <c r="B21" s="15"/>
      <c r="C21" s="17"/>
      <c r="D21" s="32">
        <v>31</v>
      </c>
    </row>
    <row r="22" spans="1:4" ht="12.75">
      <c r="A22" s="4" t="s">
        <v>32</v>
      </c>
      <c r="B22" s="15"/>
      <c r="C22" s="17"/>
      <c r="D22" s="32">
        <v>227</v>
      </c>
    </row>
    <row r="23" spans="1:4" ht="12.75">
      <c r="A23" s="4" t="s">
        <v>33</v>
      </c>
      <c r="B23" s="15"/>
      <c r="C23" s="17"/>
      <c r="D23" s="32">
        <v>39</v>
      </c>
    </row>
    <row r="24" spans="1:4" ht="12.75">
      <c r="A24" s="4" t="s">
        <v>34</v>
      </c>
      <c r="B24" s="15"/>
      <c r="C24" s="17"/>
      <c r="D24" s="32">
        <v>61</v>
      </c>
    </row>
    <row r="25" spans="1:4" ht="12.75">
      <c r="A25" s="4" t="s">
        <v>35</v>
      </c>
      <c r="B25" s="15"/>
      <c r="C25" s="17"/>
      <c r="D25" s="32">
        <v>51</v>
      </c>
    </row>
    <row r="26" spans="1:4" ht="12.75">
      <c r="A26" s="4" t="s">
        <v>36</v>
      </c>
      <c r="B26" s="15"/>
      <c r="C26" s="17"/>
      <c r="D26" s="32">
        <v>18</v>
      </c>
    </row>
    <row r="27" spans="1:4" ht="12.75">
      <c r="A27" s="4" t="s">
        <v>37</v>
      </c>
      <c r="B27" s="15"/>
      <c r="C27" s="17"/>
      <c r="D27" s="32">
        <v>33</v>
      </c>
    </row>
    <row r="28" spans="1:4" ht="12.75">
      <c r="A28" s="4" t="s">
        <v>38</v>
      </c>
      <c r="B28" s="15"/>
      <c r="C28" s="17"/>
      <c r="D28" s="32">
        <v>552</v>
      </c>
    </row>
    <row r="29" spans="1:4" ht="12.75">
      <c r="A29" s="4" t="s">
        <v>39</v>
      </c>
      <c r="B29" s="15"/>
      <c r="C29" s="17"/>
      <c r="D29" s="32">
        <v>183</v>
      </c>
    </row>
    <row r="30" spans="1:4" ht="12.75">
      <c r="A30" s="4" t="s">
        <v>8</v>
      </c>
      <c r="B30" s="15"/>
      <c r="C30" s="17"/>
      <c r="D30" s="32">
        <v>406</v>
      </c>
    </row>
    <row r="31" spans="1:4" ht="12.75">
      <c r="A31" s="4" t="s">
        <v>52</v>
      </c>
      <c r="B31" s="15"/>
      <c r="C31" s="17"/>
      <c r="D31" s="32">
        <v>0</v>
      </c>
    </row>
    <row r="32" spans="1:4" ht="12.75">
      <c r="A32" s="4" t="s">
        <v>40</v>
      </c>
      <c r="B32" s="15"/>
      <c r="C32" s="17"/>
      <c r="D32" s="32">
        <v>977</v>
      </c>
    </row>
    <row r="33" spans="1:8" ht="12.75">
      <c r="A33" s="4" t="s">
        <v>5</v>
      </c>
      <c r="B33" s="15"/>
      <c r="C33" s="17"/>
      <c r="D33" s="32">
        <v>185</v>
      </c>
      <c r="H33" s="76"/>
    </row>
    <row r="34" spans="1:8" ht="12.75">
      <c r="A34" s="4" t="s">
        <v>6</v>
      </c>
      <c r="B34" s="15"/>
      <c r="C34" s="17"/>
      <c r="D34" s="32">
        <v>368</v>
      </c>
      <c r="H34" t="s">
        <v>287</v>
      </c>
    </row>
    <row r="35" spans="1:5" ht="12.75">
      <c r="A35" s="4" t="s">
        <v>9</v>
      </c>
      <c r="B35" s="33">
        <v>0</v>
      </c>
      <c r="C35" s="33">
        <v>0</v>
      </c>
      <c r="D35" s="50">
        <v>0</v>
      </c>
      <c r="E35" s="207"/>
    </row>
    <row r="36" spans="1:4" ht="12.75">
      <c r="A36" s="4" t="s">
        <v>165</v>
      </c>
      <c r="B36" s="32"/>
      <c r="C36" s="33"/>
      <c r="D36" s="50">
        <v>0</v>
      </c>
    </row>
    <row r="37" spans="1:4" ht="12.75">
      <c r="A37" s="4" t="s">
        <v>147</v>
      </c>
      <c r="B37" s="18"/>
      <c r="C37" s="17"/>
      <c r="D37" s="37">
        <v>147</v>
      </c>
    </row>
    <row r="38" spans="1:4" ht="12.75">
      <c r="A38" s="20" t="s">
        <v>41</v>
      </c>
      <c r="B38" s="18"/>
      <c r="C38" s="18"/>
      <c r="D38" s="54">
        <f>SUM(D5:D37)</f>
        <v>11019</v>
      </c>
    </row>
    <row r="39" ht="12.75">
      <c r="A39" s="23" t="s">
        <v>224</v>
      </c>
    </row>
  </sheetData>
  <mergeCells count="3">
    <mergeCell ref="B3:D3"/>
    <mergeCell ref="A1:D1"/>
    <mergeCell ref="A2:D2"/>
  </mergeCells>
  <printOptions/>
  <pageMargins left="0.75" right="0.23" top="1" bottom="0.7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StoneC</dc:creator>
  <cp:keywords/>
  <dc:description/>
  <cp:lastModifiedBy>riccih</cp:lastModifiedBy>
  <cp:lastPrinted>2006-08-23T13:48:49Z</cp:lastPrinted>
  <dcterms:created xsi:type="dcterms:W3CDTF">2002-06-03T18:58:59Z</dcterms:created>
  <dcterms:modified xsi:type="dcterms:W3CDTF">2006-10-20T12:02:37Z</dcterms:modified>
  <cp:category/>
  <cp:version/>
  <cp:contentType/>
  <cp:contentStatus/>
</cp:coreProperties>
</file>