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activeTab="0"/>
  </bookViews>
  <sheets>
    <sheet name="Cover Page" sheetId="1" r:id="rId1"/>
    <sheet name="Message to Users" sheetId="2" r:id="rId2"/>
    <sheet name="Using This Analysis" sheetId="3" r:id="rId3"/>
    <sheet name="Owner Input" sheetId="4" r:id="rId4"/>
    <sheet name="Analysis" sheetId="5" r:id="rId5"/>
    <sheet name="M2M Analytics" sheetId="6" r:id="rId6"/>
  </sheets>
  <definedNames>
    <definedName name="_xlnm.Print_Area" localSheetId="4">'Analysis'!$A:$H</definedName>
    <definedName name="_xlnm.Print_Area" localSheetId="0">'Cover Page'!$A$1:$O$38</definedName>
    <definedName name="_xlnm.Print_Area" localSheetId="5">'M2M Analytics'!$A$1:$M$34</definedName>
    <definedName name="_xlnm.Print_Area" localSheetId="3">'Owner Input'!$1:$46</definedName>
  </definedNames>
  <calcPr fullCalcOnLoad="1"/>
</workbook>
</file>

<file path=xl/sharedStrings.xml><?xml version="1.0" encoding="utf-8"?>
<sst xmlns="http://schemas.openxmlformats.org/spreadsheetml/2006/main" count="175" uniqueCount="146">
  <si>
    <t>Units</t>
  </si>
  <si>
    <t xml:space="preserve"> </t>
  </si>
  <si>
    <t>Cash Flow</t>
  </si>
  <si>
    <t>Audited</t>
  </si>
  <si>
    <t>Actual</t>
  </si>
  <si>
    <t>Gross Potential Rents</t>
  </si>
  <si>
    <t>Other Income</t>
  </si>
  <si>
    <t xml:space="preserve">   Effective Gross  Income</t>
  </si>
  <si>
    <t>Reserve Deposit</t>
  </si>
  <si>
    <t>Principal / Interest</t>
  </si>
  <si>
    <t>Mortgage Insurance</t>
  </si>
  <si>
    <t>of remainder</t>
  </si>
  <si>
    <t>Existing Loan Balance</t>
  </si>
  <si>
    <t>#</t>
  </si>
  <si>
    <t>Unit Mix and Rents</t>
  </si>
  <si>
    <t>Rents</t>
  </si>
  <si>
    <t>1 Bedroom</t>
  </si>
  <si>
    <t>2 Bedroom</t>
  </si>
  <si>
    <t>3 Bedroom</t>
  </si>
  <si>
    <t xml:space="preserve">     Total</t>
  </si>
  <si>
    <t>MIP</t>
  </si>
  <si>
    <t>Market</t>
  </si>
  <si>
    <t>Property Name:</t>
  </si>
  <si>
    <t>Sample Property</t>
  </si>
  <si>
    <t>Property Location:</t>
  </si>
  <si>
    <t>Audited Financial Statement Date:</t>
  </si>
  <si>
    <t>4 Bedroom</t>
  </si>
  <si>
    <t>5 Bedroom</t>
  </si>
  <si>
    <t>6 Bedroom</t>
  </si>
  <si>
    <t>7 Bedroom</t>
  </si>
  <si>
    <t>months</t>
  </si>
  <si>
    <t>years</t>
  </si>
  <si>
    <t>Vacancy Loss</t>
  </si>
  <si>
    <t>Total Rent Revenue</t>
  </si>
  <si>
    <t>Acct #</t>
  </si>
  <si>
    <t>Account Description</t>
  </si>
  <si>
    <t>Amount</t>
  </si>
  <si>
    <t>Rent Revenue - Gross Potential</t>
  </si>
  <si>
    <t>Tenant Assistance Payments</t>
  </si>
  <si>
    <t>Apartments</t>
  </si>
  <si>
    <t>Total Vacancies</t>
  </si>
  <si>
    <t>Total Other Revenue</t>
  </si>
  <si>
    <t>Total Administrative Expenses</t>
  </si>
  <si>
    <t>Total Utilities Expense</t>
  </si>
  <si>
    <t>Total Operating &amp; Maintenance</t>
  </si>
  <si>
    <t>Total Taxes and Insurance</t>
  </si>
  <si>
    <t>Box 2</t>
  </si>
  <si>
    <t>Total of 12 monthly deposits into the Replacement Reserve account</t>
  </si>
  <si>
    <t>Mortgage Payable (Short Term)</t>
  </si>
  <si>
    <t>Mortgage Payable (Long Term)</t>
  </si>
  <si>
    <t>From the Balance Sheet:</t>
  </si>
  <si>
    <t>From the Profit and Loss Statement:</t>
  </si>
  <si>
    <t>Box 1</t>
  </si>
  <si>
    <t>Interest on Mortgage Payable</t>
  </si>
  <si>
    <t>MIP / Service Charge</t>
  </si>
  <si>
    <t>Total mortgage principal payments</t>
  </si>
  <si>
    <t>per year</t>
  </si>
  <si>
    <t>months after start of audited year</t>
  </si>
  <si>
    <t>Adjusted to</t>
  </si>
  <si>
    <t>Typical</t>
  </si>
  <si>
    <t>Trended to</t>
  </si>
  <si>
    <t>Market Terms for New 1st Mortgage:</t>
  </si>
  <si>
    <t>Interest Rate:</t>
  </si>
  <si>
    <t>Mortgage Term:</t>
  </si>
  <si>
    <t>Exception</t>
  </si>
  <si>
    <t>M2M at</t>
  </si>
  <si>
    <t>DSCR</t>
  </si>
  <si>
    <t>0 = exception rent, 1 = market rent</t>
  </si>
  <si>
    <t>None Supportable</t>
  </si>
  <si>
    <t>trended for</t>
  </si>
  <si>
    <t>standard label</t>
  </si>
  <si>
    <t>0 = no takeout loan, 1 = takeout loan</t>
  </si>
  <si>
    <t>Needs Exc Rents</t>
  </si>
  <si>
    <t>minimum DSCR to refinance</t>
  </si>
  <si>
    <t>minimum DSCR for full restructure</t>
  </si>
  <si>
    <t>P&amp;I to refinance existing debt</t>
  </si>
  <si>
    <t>new loan to refinance existing debt</t>
  </si>
  <si>
    <t>For OMHAR-Lite</t>
  </si>
  <si>
    <t>For Lite with Refinancing</t>
  </si>
  <si>
    <t>For Market Rent Restructure</t>
  </si>
  <si>
    <t>maximum debt svc by DSCR</t>
  </si>
  <si>
    <t>maximum debt svc by cushion</t>
  </si>
  <si>
    <t>M2M Analytics</t>
  </si>
  <si>
    <t>Incentive Performance Fee</t>
  </si>
  <si>
    <t>of EGI</t>
  </si>
  <si>
    <t>2nd Mortgage Payment</t>
  </si>
  <si>
    <t>minimum DSCR required for OMHAR-Lite approval</t>
  </si>
  <si>
    <t>minimum NOI for OMHAR-Lite approval</t>
  </si>
  <si>
    <t>transaction costs to refinance</t>
  </si>
  <si>
    <t>minimum NOI required to refinance existing debt</t>
  </si>
  <si>
    <t>minimum operating expense cushion</t>
  </si>
  <si>
    <t>maximum debt service allowable (NOI minus cushion)</t>
  </si>
  <si>
    <t>minimum debt service for takeout financing (to avoid small loans)</t>
  </si>
  <si>
    <t>smallest loan that is cost-effective to finance</t>
  </si>
  <si>
    <t>P&amp;I constant</t>
  </si>
  <si>
    <t>P&amp;I&amp;MIP constant</t>
  </si>
  <si>
    <t>supportable debt</t>
  </si>
  <si>
    <t>P&amp;I</t>
  </si>
  <si>
    <t>per unit per year</t>
  </si>
  <si>
    <t>Non-Residential Rent Loss</t>
  </si>
  <si>
    <t>Non-Residential Rent Potential</t>
  </si>
  <si>
    <t>of potential</t>
  </si>
  <si>
    <t>Full Claim Paid</t>
  </si>
  <si>
    <t>maximum debt service allowable (lesser of the above)</t>
  </si>
  <si>
    <t>For use by property owners and other stakeholders, to assess how a property might perform after rents are reduced to comparable market levels,</t>
  </si>
  <si>
    <t>under the Mark-to-Market program.</t>
  </si>
  <si>
    <t>M2M PRO FORMA</t>
  </si>
  <si>
    <t>average rent</t>
  </si>
  <si>
    <t>SRO/Efficiency</t>
  </si>
  <si>
    <t xml:space="preserve">    Adjusted Net Operating Income</t>
  </si>
  <si>
    <t>Rent Reduction</t>
  </si>
  <si>
    <t xml:space="preserve">Without </t>
  </si>
  <si>
    <t>Debt Restructuring</t>
  </si>
  <si>
    <t>Plus MIP:</t>
  </si>
  <si>
    <t>Inflation Rates:</t>
  </si>
  <si>
    <t xml:space="preserve">       For Other Income:</t>
  </si>
  <si>
    <t xml:space="preserve">       For Expenses:</t>
  </si>
  <si>
    <t>Trending:</t>
  </si>
  <si>
    <t>"As Of" Date for Analysis</t>
  </si>
  <si>
    <t>"As Of" Date is:</t>
  </si>
  <si>
    <t>P&amp;I&amp;MIP to refinance</t>
  </si>
  <si>
    <t>Estimated Post M2M Reserve Deposit:</t>
  </si>
  <si>
    <t>CALC</t>
  </si>
  <si>
    <t>Non-Residential Potential</t>
  </si>
  <si>
    <t>Non-Residential Vacancy</t>
  </si>
  <si>
    <t>Total Principal &amp; Interest</t>
  </si>
  <si>
    <t>Unpaid Principal Balance</t>
  </si>
  <si>
    <t>Adjusted</t>
  </si>
  <si>
    <t>Amount*</t>
  </si>
  <si>
    <t>* Use adjusted column if audited amounts were not typical (e.g., to remove the effect of</t>
  </si>
  <si>
    <t xml:space="preserve">       non-recurring events such as a water leak)</t>
  </si>
  <si>
    <t>(typical M2M range is $350 to $650)</t>
  </si>
  <si>
    <t>From the Surplus Cash Schedule:</t>
  </si>
  <si>
    <t>Annual Limited Distribution **</t>
  </si>
  <si>
    <t>** If unlimited distribution, enter an amount larger than the annual cash flow</t>
  </si>
  <si>
    <t xml:space="preserve">   Cash Flow From Operations</t>
  </si>
  <si>
    <t>Including IPF</t>
  </si>
  <si>
    <t xml:space="preserve">of GPR </t>
  </si>
  <si>
    <t>Considering Mark-to-Market?</t>
  </si>
  <si>
    <t>A workbook provided by the Office of Multifamily Housing Assistance Restructuring:</t>
  </si>
  <si>
    <t>Guidance For Using This Workbook</t>
  </si>
  <si>
    <t>Information Supplied By Owner</t>
  </si>
  <si>
    <t xml:space="preserve">  Cash Flow Distributed to Owner</t>
  </si>
  <si>
    <t>Average Town, Any State</t>
  </si>
  <si>
    <t xml:space="preserve">  Assumptions</t>
  </si>
  <si>
    <t>Post-M2M 1st Mortgage Amount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</si>
</sst>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_(&quot;$&quot;* #,##0_);_(&quot;$&quot;* \(#,##0\);_(&quot;$&quot;* &quot;-&quot;??_);_(@_)"/>
    <numFmt numFmtId="168" formatCode="_(* #,##0.0_);_(* \(#,##0.0\);_(* &quot;-&quot;??_);_(@_)"/>
    <numFmt numFmtId="169" formatCode="mmm\-yyyy"/>
    <numFmt numFmtId="170" formatCode="d\-mmm\-yyyy"/>
    <numFmt numFmtId="171" formatCode="0.000%"/>
    <numFmt numFmtId="172" formatCode="dd\-mmm\-yyyy_)"/>
    <numFmt numFmtId="173" formatCode="dd\-mmm\-yy_)"/>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quot;$&quot;#,##0.0_);[Red]\(&quot;$&quot;#,##0.0\)"/>
    <numFmt numFmtId="183" formatCode="_(* #,##0.0_);_(* \(#,##0.0\);_(* &quot;-&quot;?_);_(@_)"/>
    <numFmt numFmtId="184" formatCode="&quot;$&quot;#,##0.00"/>
    <numFmt numFmtId="185" formatCode="0.0000%"/>
    <numFmt numFmtId="186" formatCode="0_);\(0\)"/>
    <numFmt numFmtId="187" formatCode="&quot;Yes&quot;;&quot;Yes&quot;;&quot;No&quot;"/>
    <numFmt numFmtId="188" formatCode="&quot;True&quot;;&quot;True&quot;;&quot;False&quot;"/>
    <numFmt numFmtId="189" formatCode="&quot;On&quot;;&quot;On&quot;;&quot;Off&quot;"/>
    <numFmt numFmtId="190" formatCode="#,##0.0_);\(#,##0.0\)"/>
    <numFmt numFmtId="191" formatCode="mmmm\ d\,\ yyyy"/>
  </numFmts>
  <fonts count="24">
    <font>
      <sz val="10"/>
      <name val="Arial"/>
      <family val="0"/>
    </font>
    <font>
      <b/>
      <sz val="10"/>
      <name val="Arial"/>
      <family val="2"/>
    </font>
    <font>
      <b/>
      <sz val="14"/>
      <name val="Arial"/>
      <family val="2"/>
    </font>
    <font>
      <sz val="10"/>
      <color indexed="10"/>
      <name val="Arial"/>
      <family val="2"/>
    </font>
    <font>
      <sz val="10"/>
      <color indexed="8"/>
      <name val="Arial"/>
      <family val="2"/>
    </font>
    <font>
      <sz val="10"/>
      <color indexed="12"/>
      <name val="Arial"/>
      <family val="2"/>
    </font>
    <font>
      <b/>
      <sz val="14"/>
      <color indexed="8"/>
      <name val="Arial"/>
      <family val="2"/>
    </font>
    <font>
      <b/>
      <sz val="14"/>
      <color indexed="12"/>
      <name val="Arial"/>
      <family val="2"/>
    </font>
    <font>
      <b/>
      <sz val="10"/>
      <color indexed="10"/>
      <name val="Arial"/>
      <family val="2"/>
    </font>
    <font>
      <b/>
      <sz val="14"/>
      <color indexed="57"/>
      <name val="Arial"/>
      <family val="2"/>
    </font>
    <font>
      <b/>
      <sz val="10"/>
      <color indexed="57"/>
      <name val="Arial"/>
      <family val="2"/>
    </font>
    <font>
      <b/>
      <sz val="24"/>
      <name val="Arial"/>
      <family val="2"/>
    </font>
    <font>
      <sz val="14"/>
      <name val="Arial"/>
      <family val="2"/>
    </font>
    <font>
      <b/>
      <i/>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sz val="12"/>
      <name val="Arial"/>
      <family val="2"/>
    </font>
    <font>
      <b/>
      <sz val="12"/>
      <name val="Arial"/>
      <family val="2"/>
    </font>
    <font>
      <i/>
      <sz val="12"/>
      <name val="Arial"/>
      <family val="2"/>
    </font>
    <font>
      <b/>
      <sz val="20"/>
      <name val="Arial"/>
      <family val="2"/>
    </font>
    <font>
      <sz val="12"/>
      <color indexed="10"/>
      <name val="Arial"/>
      <family val="2"/>
    </font>
    <font>
      <sz val="12"/>
      <color indexed="12"/>
      <name val="Arial"/>
      <family val="2"/>
    </font>
  </fonts>
  <fills count="3">
    <fill>
      <patternFill/>
    </fill>
    <fill>
      <patternFill patternType="gray125"/>
    </fill>
    <fill>
      <patternFill patternType="solid">
        <fgColor indexed="9"/>
        <bgColor indexed="64"/>
      </patternFill>
    </fill>
  </fills>
  <borders count="34">
    <border>
      <left/>
      <right/>
      <top/>
      <bottom/>
      <diagonal/>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medium"/>
      <right>
        <color indexed="63"/>
      </right>
      <top style="thin"/>
      <bottom style="medium"/>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thin"/>
      <top style="thin"/>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1" fillId="0" borderId="0" xfId="0" applyFont="1" applyAlignment="1">
      <alignment/>
    </xf>
    <xf numFmtId="0" fontId="2" fillId="0" borderId="0" xfId="0" applyFont="1" applyAlignment="1">
      <alignment/>
    </xf>
    <xf numFmtId="164" fontId="0" fillId="0" borderId="0" xfId="15" applyNumberFormat="1" applyFont="1" applyAlignment="1">
      <alignment/>
    </xf>
    <xf numFmtId="164" fontId="4" fillId="0" borderId="0" xfId="15" applyNumberFormat="1" applyFont="1" applyAlignment="1">
      <alignment/>
    </xf>
    <xf numFmtId="5" fontId="0" fillId="0" borderId="0" xfId="17" applyNumberFormat="1" applyFont="1" applyAlignment="1">
      <alignment/>
    </xf>
    <xf numFmtId="9" fontId="0" fillId="0" borderId="0" xfId="21" applyFont="1" applyAlignment="1">
      <alignment/>
    </xf>
    <xf numFmtId="167" fontId="0" fillId="0" borderId="0" xfId="17" applyNumberFormat="1" applyFont="1" applyAlignment="1">
      <alignment/>
    </xf>
    <xf numFmtId="0" fontId="0" fillId="0" borderId="0" xfId="0" applyFont="1" applyAlignment="1">
      <alignment/>
    </xf>
    <xf numFmtId="9" fontId="3" fillId="0" borderId="0" xfId="21" applyFont="1" applyAlignment="1">
      <alignment/>
    </xf>
    <xf numFmtId="164" fontId="0" fillId="0" borderId="0" xfId="17" applyNumberFormat="1" applyFont="1" applyAlignment="1">
      <alignment/>
    </xf>
    <xf numFmtId="1" fontId="0" fillId="0" borderId="0" xfId="0" applyNumberFormat="1" applyFont="1" applyAlignment="1">
      <alignment/>
    </xf>
    <xf numFmtId="39" fontId="2" fillId="0" borderId="0" xfId="0" applyNumberFormat="1" applyFont="1" applyAlignment="1">
      <alignment/>
    </xf>
    <xf numFmtId="39" fontId="0" fillId="0" borderId="0" xfId="0" applyNumberFormat="1" applyFont="1" applyAlignment="1">
      <alignment/>
    </xf>
    <xf numFmtId="39" fontId="1" fillId="0" borderId="0" xfId="0" applyNumberFormat="1" applyFont="1" applyAlignment="1">
      <alignment horizontal="center"/>
    </xf>
    <xf numFmtId="39" fontId="3" fillId="0" borderId="0" xfId="0" applyNumberFormat="1" applyFont="1" applyAlignment="1">
      <alignment/>
    </xf>
    <xf numFmtId="10" fontId="0" fillId="0" borderId="0" xfId="21" applyNumberFormat="1" applyFont="1" applyAlignment="1">
      <alignment/>
    </xf>
    <xf numFmtId="172" fontId="0" fillId="0" borderId="0" xfId="0" applyNumberFormat="1" applyFont="1" applyAlignment="1">
      <alignment horizontal="right"/>
    </xf>
    <xf numFmtId="1" fontId="0" fillId="0" borderId="0" xfId="0" applyNumberFormat="1" applyFont="1" applyAlignment="1">
      <alignment horizontal="center"/>
    </xf>
    <xf numFmtId="171" fontId="0" fillId="0" borderId="0" xfId="21" applyNumberFormat="1" applyFont="1" applyAlignment="1">
      <alignment horizontal="right"/>
    </xf>
    <xf numFmtId="9" fontId="4" fillId="0" borderId="0" xfId="21" applyFont="1" applyAlignment="1">
      <alignment/>
    </xf>
    <xf numFmtId="167" fontId="5" fillId="0" borderId="0" xfId="17" applyNumberFormat="1" applyFont="1" applyAlignment="1">
      <alignment/>
    </xf>
    <xf numFmtId="164" fontId="0" fillId="0" borderId="0" xfId="15" applyNumberFormat="1" applyFont="1" applyAlignment="1">
      <alignment horizontal="right"/>
    </xf>
    <xf numFmtId="10" fontId="5" fillId="0" borderId="0" xfId="21" applyNumberFormat="1" applyFont="1" applyAlignment="1">
      <alignment/>
    </xf>
    <xf numFmtId="17" fontId="5" fillId="0" borderId="0" xfId="15" applyNumberFormat="1" applyFont="1" applyAlignment="1">
      <alignment/>
    </xf>
    <xf numFmtId="168" fontId="0" fillId="0" borderId="0" xfId="15" applyNumberFormat="1" applyFont="1" applyAlignment="1">
      <alignment/>
    </xf>
    <xf numFmtId="9" fontId="5" fillId="0" borderId="0" xfId="15" applyNumberFormat="1" applyFont="1" applyAlignment="1">
      <alignment/>
    </xf>
    <xf numFmtId="164" fontId="1" fillId="0" borderId="0" xfId="15" applyNumberFormat="1" applyFont="1" applyAlignment="1">
      <alignment/>
    </xf>
    <xf numFmtId="0" fontId="2" fillId="0" borderId="0" xfId="0" applyFont="1" applyAlignment="1">
      <alignment horizontal="left"/>
    </xf>
    <xf numFmtId="164" fontId="6" fillId="0" borderId="0" xfId="15" applyNumberFormat="1" applyFont="1" applyAlignment="1">
      <alignment horizontal="left"/>
    </xf>
    <xf numFmtId="164" fontId="2" fillId="0" borderId="0" xfId="15" applyNumberFormat="1" applyFont="1" applyAlignment="1">
      <alignment/>
    </xf>
    <xf numFmtId="164" fontId="2" fillId="0" borderId="0" xfId="0" applyNumberFormat="1" applyFont="1" applyAlignment="1">
      <alignment/>
    </xf>
    <xf numFmtId="164" fontId="2" fillId="0" borderId="0" xfId="15" applyNumberFormat="1" applyFont="1" applyAlignment="1">
      <alignment horizontal="left"/>
    </xf>
    <xf numFmtId="165" fontId="7" fillId="0" borderId="0" xfId="21" applyNumberFormat="1" applyFont="1" applyAlignment="1">
      <alignment/>
    </xf>
    <xf numFmtId="164" fontId="7" fillId="0" borderId="0" xfId="15" applyNumberFormat="1" applyFont="1" applyAlignment="1">
      <alignment horizontal="centerContinuous"/>
    </xf>
    <xf numFmtId="164" fontId="1" fillId="2" borderId="1" xfId="15" applyNumberFormat="1" applyFont="1" applyFill="1" applyBorder="1" applyAlignment="1">
      <alignment horizontal="left"/>
    </xf>
    <xf numFmtId="164" fontId="1" fillId="2" borderId="2" xfId="15" applyNumberFormat="1" applyFont="1" applyFill="1" applyBorder="1" applyAlignment="1">
      <alignment horizontal="left"/>
    </xf>
    <xf numFmtId="1" fontId="1" fillId="2" borderId="2" xfId="15" applyNumberFormat="1" applyFont="1" applyFill="1" applyBorder="1" applyAlignment="1" quotePrefix="1">
      <alignment horizontal="center"/>
    </xf>
    <xf numFmtId="164" fontId="1" fillId="2" borderId="3" xfId="15" applyNumberFormat="1" applyFont="1" applyFill="1" applyBorder="1" applyAlignment="1">
      <alignment horizontal="center"/>
    </xf>
    <xf numFmtId="164" fontId="1" fillId="2" borderId="4" xfId="15" applyNumberFormat="1" applyFont="1" applyFill="1" applyBorder="1" applyAlignment="1">
      <alignment horizontal="center"/>
    </xf>
    <xf numFmtId="164" fontId="1" fillId="2" borderId="0" xfId="15" applyNumberFormat="1" applyFont="1" applyFill="1" applyBorder="1" applyAlignment="1">
      <alignment horizontal="center"/>
    </xf>
    <xf numFmtId="164" fontId="1" fillId="2" borderId="5" xfId="15" applyNumberFormat="1" applyFont="1" applyFill="1" applyBorder="1" applyAlignment="1">
      <alignment horizontal="left"/>
    </xf>
    <xf numFmtId="164" fontId="1" fillId="2" borderId="6" xfId="15" applyNumberFormat="1" applyFont="1" applyFill="1" applyBorder="1" applyAlignment="1">
      <alignment horizontal="left"/>
    </xf>
    <xf numFmtId="164" fontId="1" fillId="2" borderId="6" xfId="15" applyNumberFormat="1" applyFont="1" applyFill="1" applyBorder="1" applyAlignment="1">
      <alignment horizontal="center"/>
    </xf>
    <xf numFmtId="164" fontId="1" fillId="2" borderId="7" xfId="15" applyNumberFormat="1" applyFont="1" applyFill="1" applyBorder="1" applyAlignment="1">
      <alignment horizontal="center"/>
    </xf>
    <xf numFmtId="164" fontId="1" fillId="2" borderId="8" xfId="15" applyNumberFormat="1" applyFont="1" applyFill="1" applyBorder="1" applyAlignment="1" quotePrefix="1">
      <alignment horizontal="left"/>
    </xf>
    <xf numFmtId="164" fontId="1" fillId="2" borderId="9" xfId="15" applyNumberFormat="1" applyFont="1" applyFill="1" applyBorder="1" applyAlignment="1">
      <alignment horizontal="left"/>
    </xf>
    <xf numFmtId="164" fontId="1" fillId="2" borderId="9" xfId="15" applyNumberFormat="1" applyFont="1" applyFill="1" applyBorder="1" applyAlignment="1">
      <alignment horizontal="center"/>
    </xf>
    <xf numFmtId="164" fontId="1" fillId="2" borderId="10" xfId="15" applyNumberFormat="1" applyFont="1" applyFill="1" applyBorder="1" applyAlignment="1">
      <alignment/>
    </xf>
    <xf numFmtId="164" fontId="1" fillId="2" borderId="11" xfId="15" applyNumberFormat="1" applyFont="1" applyFill="1" applyBorder="1" applyAlignment="1">
      <alignment horizontal="center"/>
    </xf>
    <xf numFmtId="5" fontId="0" fillId="0" borderId="0" xfId="17" applyNumberFormat="1" applyFont="1" applyAlignment="1">
      <alignment horizontal="right"/>
    </xf>
    <xf numFmtId="9" fontId="0" fillId="0" borderId="0" xfId="21" applyFont="1" applyAlignment="1">
      <alignment horizontal="right"/>
    </xf>
    <xf numFmtId="0" fontId="0" fillId="0" borderId="3" xfId="0" applyFont="1" applyBorder="1" applyAlignment="1">
      <alignment/>
    </xf>
    <xf numFmtId="0" fontId="0" fillId="0" borderId="0" xfId="0" applyFont="1" applyBorder="1" applyAlignment="1">
      <alignment/>
    </xf>
    <xf numFmtId="0" fontId="0" fillId="0" borderId="10" xfId="0" applyFont="1" applyBorder="1" applyAlignment="1">
      <alignment/>
    </xf>
    <xf numFmtId="1" fontId="0" fillId="0" borderId="0" xfId="0" applyNumberFormat="1" applyFont="1" applyAlignment="1">
      <alignment horizontal="left"/>
    </xf>
    <xf numFmtId="3" fontId="0" fillId="0" borderId="0" xfId="15" applyNumberFormat="1" applyFont="1" applyAlignment="1">
      <alignment/>
    </xf>
    <xf numFmtId="185" fontId="0" fillId="0" borderId="0" xfId="21" applyNumberFormat="1" applyAlignment="1">
      <alignment/>
    </xf>
    <xf numFmtId="164" fontId="10" fillId="0" borderId="0" xfId="15" applyNumberFormat="1" applyFont="1" applyAlignment="1">
      <alignment/>
    </xf>
    <xf numFmtId="0" fontId="0" fillId="2" borderId="0" xfId="0" applyFont="1" applyFill="1" applyAlignment="1">
      <alignment horizontal="left" vertical="top" wrapText="1" indent="1"/>
    </xf>
    <xf numFmtId="0" fontId="0" fillId="2" borderId="0" xfId="0" applyFont="1" applyFill="1" applyAlignment="1">
      <alignment/>
    </xf>
    <xf numFmtId="0" fontId="2" fillId="2" borderId="0" xfId="0" applyFont="1" applyFill="1" applyAlignment="1">
      <alignment/>
    </xf>
    <xf numFmtId="0" fontId="1" fillId="2" borderId="0" xfId="0" applyFont="1" applyFill="1" applyAlignment="1">
      <alignment/>
    </xf>
    <xf numFmtId="0" fontId="11" fillId="2" borderId="0" xfId="0" applyFont="1" applyFill="1" applyAlignment="1">
      <alignment/>
    </xf>
    <xf numFmtId="0" fontId="12" fillId="2" borderId="0" xfId="0" applyFont="1" applyFill="1" applyAlignment="1">
      <alignment/>
    </xf>
    <xf numFmtId="0" fontId="0" fillId="0" borderId="0" xfId="0" applyFont="1" applyFill="1" applyBorder="1" applyAlignment="1">
      <alignment/>
    </xf>
    <xf numFmtId="1" fontId="1" fillId="2" borderId="12" xfId="15" applyNumberFormat="1" applyFont="1" applyFill="1" applyBorder="1" applyAlignment="1">
      <alignment horizontal="center"/>
    </xf>
    <xf numFmtId="1" fontId="1" fillId="2" borderId="4" xfId="15" applyNumberFormat="1" applyFont="1" applyFill="1" applyBorder="1" applyAlignment="1">
      <alignment horizontal="center"/>
    </xf>
    <xf numFmtId="14" fontId="1" fillId="2" borderId="13" xfId="15" applyNumberFormat="1" applyFont="1" applyFill="1" applyBorder="1" applyAlignment="1">
      <alignment horizontal="center"/>
    </xf>
    <xf numFmtId="14" fontId="1" fillId="2" borderId="7" xfId="15" applyNumberFormat="1" applyFont="1" applyFill="1" applyBorder="1" applyAlignment="1">
      <alignment horizontal="center"/>
    </xf>
    <xf numFmtId="164" fontId="1" fillId="2" borderId="14" xfId="15" applyNumberFormat="1" applyFont="1" applyFill="1" applyBorder="1" applyAlignment="1">
      <alignment horizontal="center"/>
    </xf>
    <xf numFmtId="170" fontId="1" fillId="2" borderId="6" xfId="15" applyNumberFormat="1" applyFont="1" applyFill="1" applyBorder="1" applyAlignment="1">
      <alignment horizontal="center"/>
    </xf>
    <xf numFmtId="37" fontId="0" fillId="0" borderId="0" xfId="0" applyNumberFormat="1" applyFont="1" applyAlignment="1">
      <alignment/>
    </xf>
    <xf numFmtId="164" fontId="5" fillId="0" borderId="0" xfId="15" applyNumberFormat="1" applyFont="1" applyAlignment="1" applyProtection="1">
      <alignment horizontal="right"/>
      <protection locked="0"/>
    </xf>
    <xf numFmtId="14" fontId="5" fillId="0" borderId="15" xfId="0" applyNumberFormat="1" applyFont="1" applyBorder="1" applyAlignment="1" applyProtection="1">
      <alignment horizontal="left"/>
      <protection locked="0"/>
    </xf>
    <xf numFmtId="10" fontId="5" fillId="0" borderId="15" xfId="0" applyNumberFormat="1" applyFont="1" applyBorder="1" applyAlignment="1" applyProtection="1">
      <alignment horizontal="left"/>
      <protection locked="0"/>
    </xf>
    <xf numFmtId="0" fontId="5" fillId="0" borderId="15" xfId="0" applyFont="1" applyBorder="1" applyAlignment="1" applyProtection="1">
      <alignment horizontal="left"/>
      <protection locked="0"/>
    </xf>
    <xf numFmtId="1" fontId="3" fillId="0" borderId="15" xfId="15" applyNumberFormat="1" applyFont="1" applyBorder="1" applyAlignment="1" applyProtection="1">
      <alignment horizontal="center"/>
      <protection locked="0"/>
    </xf>
    <xf numFmtId="164" fontId="0" fillId="0" borderId="15" xfId="15" applyNumberFormat="1" applyFont="1" applyBorder="1" applyAlignment="1">
      <alignment/>
    </xf>
    <xf numFmtId="164" fontId="0" fillId="0" borderId="5" xfId="15" applyNumberFormat="1" applyFont="1" applyBorder="1" applyAlignment="1">
      <alignment/>
    </xf>
    <xf numFmtId="164" fontId="0" fillId="0" borderId="0" xfId="15" applyNumberFormat="1" applyFont="1" applyBorder="1" applyAlignment="1">
      <alignment/>
    </xf>
    <xf numFmtId="5" fontId="3" fillId="0" borderId="16" xfId="17" applyNumberFormat="1" applyFont="1" applyBorder="1" applyAlignment="1" applyProtection="1">
      <alignment horizontal="center"/>
      <protection locked="0"/>
    </xf>
    <xf numFmtId="5" fontId="0" fillId="0" borderId="7" xfId="15" applyNumberFormat="1" applyFont="1" applyBorder="1" applyAlignment="1">
      <alignment/>
    </xf>
    <xf numFmtId="164" fontId="0" fillId="0" borderId="17" xfId="15" applyNumberFormat="1" applyFont="1" applyBorder="1" applyAlignment="1">
      <alignment/>
    </xf>
    <xf numFmtId="0" fontId="0" fillId="0" borderId="15" xfId="0" applyFont="1" applyBorder="1" applyAlignment="1">
      <alignment/>
    </xf>
    <xf numFmtId="0" fontId="0" fillId="0" borderId="15" xfId="0" applyFont="1" applyBorder="1" applyAlignment="1">
      <alignment wrapText="1"/>
    </xf>
    <xf numFmtId="5" fontId="0" fillId="0" borderId="15" xfId="17" applyNumberFormat="1" applyFont="1" applyBorder="1" applyAlignment="1">
      <alignment/>
    </xf>
    <xf numFmtId="5" fontId="0" fillId="0" borderId="15" xfId="15" applyNumberFormat="1" applyFont="1" applyBorder="1" applyAlignment="1">
      <alignment/>
    </xf>
    <xf numFmtId="165" fontId="5" fillId="0" borderId="15" xfId="21" applyNumberFormat="1" applyFont="1" applyBorder="1" applyAlignment="1" applyProtection="1">
      <alignment/>
      <protection locked="0"/>
    </xf>
    <xf numFmtId="164" fontId="0" fillId="0" borderId="15" xfId="15" applyNumberFormat="1" applyFont="1" applyBorder="1" applyAlignment="1" applyProtection="1">
      <alignment/>
      <protection locked="0"/>
    </xf>
    <xf numFmtId="43" fontId="0" fillId="0" borderId="15" xfId="15" applyNumberFormat="1" applyFont="1" applyBorder="1" applyAlignment="1">
      <alignment horizontal="right"/>
    </xf>
    <xf numFmtId="164" fontId="0" fillId="0" borderId="15" xfId="15" applyNumberFormat="1" applyFont="1" applyBorder="1" applyAlignment="1">
      <alignment horizontal="right"/>
    </xf>
    <xf numFmtId="9" fontId="5" fillId="0" borderId="15" xfId="21" applyFont="1" applyBorder="1" applyAlignment="1" applyProtection="1">
      <alignment/>
      <protection locked="0"/>
    </xf>
    <xf numFmtId="5" fontId="0" fillId="0" borderId="15" xfId="17" applyNumberFormat="1" applyFont="1" applyBorder="1" applyAlignment="1">
      <alignment horizontal="right"/>
    </xf>
    <xf numFmtId="167" fontId="0" fillId="0" borderId="15" xfId="17" applyNumberFormat="1" applyFont="1" applyBorder="1" applyAlignment="1">
      <alignment/>
    </xf>
    <xf numFmtId="164" fontId="0" fillId="0" borderId="18" xfId="15" applyNumberFormat="1" applyFont="1" applyBorder="1" applyAlignment="1">
      <alignment/>
    </xf>
    <xf numFmtId="5" fontId="0" fillId="0" borderId="18" xfId="15" applyNumberFormat="1" applyFont="1" applyBorder="1" applyAlignment="1">
      <alignment/>
    </xf>
    <xf numFmtId="164" fontId="0" fillId="0" borderId="1" xfId="15" applyNumberFormat="1" applyFont="1" applyBorder="1" applyAlignment="1">
      <alignment/>
    </xf>
    <xf numFmtId="164" fontId="0" fillId="0" borderId="3" xfId="15" applyNumberFormat="1" applyFont="1" applyBorder="1" applyAlignment="1">
      <alignment/>
    </xf>
    <xf numFmtId="164" fontId="0" fillId="0" borderId="4" xfId="15" applyNumberFormat="1" applyFont="1" applyBorder="1" applyAlignment="1">
      <alignment/>
    </xf>
    <xf numFmtId="164" fontId="0" fillId="0" borderId="16" xfId="15" applyNumberFormat="1" applyFont="1" applyBorder="1" applyAlignment="1">
      <alignment/>
    </xf>
    <xf numFmtId="164" fontId="0" fillId="0" borderId="19" xfId="15" applyNumberFormat="1" applyFont="1" applyBorder="1" applyAlignment="1">
      <alignment/>
    </xf>
    <xf numFmtId="164" fontId="0" fillId="0" borderId="20" xfId="15" applyNumberFormat="1" applyFont="1" applyBorder="1" applyAlignment="1">
      <alignment/>
    </xf>
    <xf numFmtId="164" fontId="0" fillId="0" borderId="21" xfId="15" applyNumberFormat="1" applyFont="1" applyBorder="1" applyAlignment="1">
      <alignment/>
    </xf>
    <xf numFmtId="164" fontId="0" fillId="0" borderId="22" xfId="15" applyNumberFormat="1" applyFont="1" applyBorder="1" applyAlignment="1">
      <alignment/>
    </xf>
    <xf numFmtId="5" fontId="0" fillId="0" borderId="22" xfId="17" applyNumberFormat="1" applyFont="1" applyBorder="1" applyAlignment="1">
      <alignment/>
    </xf>
    <xf numFmtId="5" fontId="0" fillId="0" borderId="22" xfId="17" applyNumberFormat="1" applyFont="1" applyBorder="1" applyAlignment="1">
      <alignment horizontal="right"/>
    </xf>
    <xf numFmtId="43" fontId="5" fillId="0" borderId="15" xfId="15" applyNumberFormat="1" applyFont="1" applyBorder="1" applyAlignment="1" applyProtection="1">
      <alignment/>
      <protection locked="0"/>
    </xf>
    <xf numFmtId="3" fontId="0" fillId="0" borderId="15" xfId="15" applyNumberFormat="1" applyFont="1" applyBorder="1" applyAlignment="1">
      <alignment/>
    </xf>
    <xf numFmtId="166" fontId="5" fillId="0" borderId="15" xfId="15" applyNumberFormat="1" applyFont="1" applyBorder="1" applyAlignment="1" applyProtection="1">
      <alignment/>
      <protection locked="0"/>
    </xf>
    <xf numFmtId="166" fontId="0" fillId="0" borderId="15" xfId="15" applyNumberFormat="1" applyFont="1" applyBorder="1" applyAlignment="1">
      <alignment/>
    </xf>
    <xf numFmtId="43" fontId="0" fillId="0" borderId="15" xfId="15" applyNumberFormat="1" applyFont="1" applyBorder="1" applyAlignment="1">
      <alignment/>
    </xf>
    <xf numFmtId="164" fontId="1" fillId="0" borderId="1" xfId="15" applyNumberFormat="1" applyFont="1" applyBorder="1" applyAlignment="1">
      <alignment horizontal="left"/>
    </xf>
    <xf numFmtId="164" fontId="1" fillId="0" borderId="4" xfId="15" applyNumberFormat="1" applyFont="1" applyBorder="1" applyAlignment="1">
      <alignment horizontal="center"/>
    </xf>
    <xf numFmtId="5" fontId="3" fillId="0" borderId="15" xfId="0" applyNumberFormat="1" applyFont="1" applyBorder="1" applyAlignment="1" applyProtection="1">
      <alignment/>
      <protection locked="0"/>
    </xf>
    <xf numFmtId="5" fontId="3" fillId="0" borderId="0" xfId="0" applyNumberFormat="1" applyFont="1" applyAlignment="1" applyProtection="1">
      <alignment/>
      <protection locked="0"/>
    </xf>
    <xf numFmtId="164" fontId="0" fillId="0" borderId="16" xfId="15" applyNumberFormat="1" applyFont="1" applyBorder="1" applyAlignment="1" applyProtection="1">
      <alignment/>
      <protection locked="0"/>
    </xf>
    <xf numFmtId="164" fontId="0" fillId="0" borderId="20" xfId="15" applyNumberFormat="1" applyFont="1" applyBorder="1" applyAlignment="1" applyProtection="1">
      <alignment/>
      <protection locked="0"/>
    </xf>
    <xf numFmtId="164" fontId="0" fillId="0" borderId="23" xfId="15" applyNumberFormat="1" applyFont="1" applyBorder="1" applyAlignment="1" applyProtection="1">
      <alignment/>
      <protection locked="0"/>
    </xf>
    <xf numFmtId="164" fontId="0" fillId="0" borderId="18" xfId="15" applyNumberFormat="1" applyFont="1" applyBorder="1" applyAlignment="1" applyProtection="1">
      <alignment/>
      <protection locked="0"/>
    </xf>
    <xf numFmtId="9" fontId="0" fillId="0" borderId="22" xfId="21" applyFont="1" applyBorder="1" applyAlignment="1" applyProtection="1">
      <alignment/>
      <protection locked="0"/>
    </xf>
    <xf numFmtId="9" fontId="4" fillId="0" borderId="15" xfId="21" applyFont="1" applyBorder="1" applyAlignment="1" applyProtection="1">
      <alignment/>
      <protection locked="0"/>
    </xf>
    <xf numFmtId="5" fontId="4" fillId="0" borderId="15" xfId="17" applyNumberFormat="1" applyFont="1" applyBorder="1" applyAlignment="1" applyProtection="1">
      <alignment/>
      <protection locked="0"/>
    </xf>
    <xf numFmtId="0" fontId="2" fillId="0" borderId="0" xfId="0" applyFont="1" applyAlignment="1">
      <alignment horizontal="right"/>
    </xf>
    <xf numFmtId="164" fontId="1" fillId="0" borderId="3" xfId="15" applyNumberFormat="1" applyFont="1" applyBorder="1" applyAlignment="1">
      <alignment horizontal="left"/>
    </xf>
    <xf numFmtId="164" fontId="1" fillId="0" borderId="8" xfId="15" applyNumberFormat="1" applyFont="1" applyBorder="1" applyAlignment="1">
      <alignment horizontal="left"/>
    </xf>
    <xf numFmtId="164" fontId="1" fillId="0" borderId="10" xfId="15" applyNumberFormat="1" applyFont="1" applyBorder="1" applyAlignment="1">
      <alignment horizontal="left"/>
    </xf>
    <xf numFmtId="14" fontId="1" fillId="0" borderId="11" xfId="15" applyNumberFormat="1" applyFont="1" applyBorder="1" applyAlignment="1">
      <alignment horizontal="center"/>
    </xf>
    <xf numFmtId="164" fontId="1" fillId="0" borderId="24" xfId="15" applyNumberFormat="1" applyFont="1" applyBorder="1" applyAlignment="1">
      <alignment horizontal="center"/>
    </xf>
    <xf numFmtId="0" fontId="1" fillId="0" borderId="25" xfId="0" applyFont="1" applyBorder="1" applyAlignment="1">
      <alignment horizontal="center"/>
    </xf>
    <xf numFmtId="164" fontId="1" fillId="0" borderId="26" xfId="15" applyNumberFormat="1" applyFont="1" applyBorder="1" applyAlignment="1">
      <alignment/>
    </xf>
    <xf numFmtId="5" fontId="1" fillId="0" borderId="23" xfId="17" applyNumberFormat="1" applyFont="1" applyBorder="1" applyAlignment="1">
      <alignment horizontal="center"/>
    </xf>
    <xf numFmtId="164" fontId="1" fillId="0" borderId="27" xfId="15" applyNumberFormat="1" applyFont="1" applyBorder="1" applyAlignment="1">
      <alignment horizontal="right"/>
    </xf>
    <xf numFmtId="191" fontId="1" fillId="0" borderId="28" xfId="15" applyNumberFormat="1" applyFont="1" applyBorder="1" applyAlignment="1">
      <alignment horizontal="left"/>
    </xf>
    <xf numFmtId="1" fontId="1" fillId="2" borderId="2" xfId="15" applyNumberFormat="1" applyFont="1" applyFill="1" applyBorder="1" applyAlignment="1">
      <alignment horizontal="center"/>
    </xf>
    <xf numFmtId="0" fontId="0" fillId="0" borderId="0" xfId="0" applyFont="1" applyAlignment="1" quotePrefix="1">
      <alignment/>
    </xf>
    <xf numFmtId="0" fontId="0" fillId="0" borderId="0" xfId="0" applyFont="1" applyAlignment="1">
      <alignment horizontal="left"/>
    </xf>
    <xf numFmtId="14" fontId="5" fillId="0" borderId="15" xfId="0" applyNumberFormat="1" applyFont="1" applyBorder="1" applyAlignment="1" applyProtection="1">
      <alignment horizontal="center"/>
      <protection locked="0"/>
    </xf>
    <xf numFmtId="39" fontId="3" fillId="0" borderId="0" xfId="0" applyNumberFormat="1" applyFont="1" applyAlignment="1">
      <alignment horizontal="center"/>
    </xf>
    <xf numFmtId="6" fontId="3" fillId="0" borderId="15" xfId="0" applyNumberFormat="1" applyFont="1" applyBorder="1" applyAlignment="1" applyProtection="1">
      <alignment horizontal="center"/>
      <protection locked="0"/>
    </xf>
    <xf numFmtId="0" fontId="0" fillId="0" borderId="15" xfId="0" applyFont="1" applyFill="1" applyBorder="1" applyAlignment="1">
      <alignment/>
    </xf>
    <xf numFmtId="5" fontId="0" fillId="0" borderId="15" xfId="0" applyNumberFormat="1" applyFont="1" applyBorder="1" applyAlignment="1">
      <alignment/>
    </xf>
    <xf numFmtId="0" fontId="0" fillId="0" borderId="0" xfId="0" applyFont="1" applyBorder="1" applyAlignment="1">
      <alignment horizontal="right"/>
    </xf>
    <xf numFmtId="5" fontId="0" fillId="0" borderId="0" xfId="0" applyNumberFormat="1" applyFont="1" applyBorder="1" applyAlignment="1">
      <alignment/>
    </xf>
    <xf numFmtId="0" fontId="0" fillId="0" borderId="15" xfId="0" applyFont="1" applyBorder="1" applyAlignment="1">
      <alignment horizontal="center"/>
    </xf>
    <xf numFmtId="5" fontId="0" fillId="0" borderId="15" xfId="15" applyNumberFormat="1" applyFont="1" applyBorder="1" applyAlignment="1" applyProtection="1">
      <alignment/>
      <protection locked="0"/>
    </xf>
    <xf numFmtId="5" fontId="4" fillId="0" borderId="15" xfId="15" applyNumberFormat="1" applyFont="1" applyBorder="1" applyAlignment="1">
      <alignment/>
    </xf>
    <xf numFmtId="5" fontId="0" fillId="0" borderId="22" xfId="15" applyNumberFormat="1" applyFont="1" applyBorder="1" applyAlignment="1">
      <alignment/>
    </xf>
    <xf numFmtId="164" fontId="5" fillId="0" borderId="18" xfId="15" applyNumberFormat="1" applyFont="1" applyBorder="1" applyAlignment="1">
      <alignment/>
    </xf>
    <xf numFmtId="0" fontId="0" fillId="0" borderId="29" xfId="0" applyFont="1" applyBorder="1" applyAlignment="1">
      <alignment/>
    </xf>
    <xf numFmtId="186" fontId="1" fillId="0" borderId="30" xfId="15" applyNumberFormat="1" applyFont="1" applyBorder="1" applyAlignment="1">
      <alignment horizontal="center"/>
    </xf>
    <xf numFmtId="164" fontId="4" fillId="0" borderId="19" xfId="15" applyNumberFormat="1" applyFont="1" applyBorder="1" applyAlignment="1">
      <alignment/>
    </xf>
    <xf numFmtId="164" fontId="1" fillId="0" borderId="31" xfId="15" applyNumberFormat="1" applyFont="1" applyBorder="1" applyAlignment="1">
      <alignment/>
    </xf>
    <xf numFmtId="0" fontId="0" fillId="0" borderId="30" xfId="0" applyFont="1" applyBorder="1" applyAlignment="1">
      <alignment/>
    </xf>
    <xf numFmtId="164" fontId="1" fillId="0" borderId="17" xfId="15" applyNumberFormat="1" applyFont="1" applyBorder="1" applyAlignment="1">
      <alignment/>
    </xf>
    <xf numFmtId="164" fontId="1" fillId="0" borderId="15" xfId="15" applyNumberFormat="1" applyFont="1" applyBorder="1" applyAlignment="1">
      <alignment/>
    </xf>
    <xf numFmtId="5" fontId="1" fillId="0" borderId="15" xfId="17" applyNumberFormat="1" applyFont="1" applyBorder="1" applyAlignment="1">
      <alignment/>
    </xf>
    <xf numFmtId="5" fontId="1" fillId="0" borderId="15" xfId="17" applyNumberFormat="1" applyFont="1" applyBorder="1" applyAlignment="1">
      <alignment horizontal="right"/>
    </xf>
    <xf numFmtId="164" fontId="1" fillId="0" borderId="15" xfId="15" applyNumberFormat="1" applyFont="1" applyBorder="1" applyAlignment="1" applyProtection="1">
      <alignment/>
      <protection locked="0"/>
    </xf>
    <xf numFmtId="164" fontId="2" fillId="0" borderId="0" xfId="15" applyNumberFormat="1" applyFont="1" applyAlignment="1">
      <alignment horizontal="right"/>
    </xf>
    <xf numFmtId="0" fontId="2" fillId="2" borderId="0" xfId="0" applyFont="1" applyFill="1" applyAlignment="1">
      <alignment/>
    </xf>
    <xf numFmtId="0" fontId="0" fillId="0" borderId="0" xfId="0" applyAlignment="1">
      <alignment/>
    </xf>
    <xf numFmtId="0" fontId="8" fillId="0" borderId="32" xfId="0" applyFont="1" applyBorder="1" applyAlignment="1" applyProtection="1">
      <alignment horizontal="left"/>
      <protection locked="0"/>
    </xf>
    <xf numFmtId="0" fontId="0" fillId="0" borderId="18" xfId="0" applyBorder="1" applyAlignment="1" applyProtection="1">
      <alignment horizontal="left"/>
      <protection locked="0"/>
    </xf>
    <xf numFmtId="0" fontId="0" fillId="0" borderId="29" xfId="0" applyBorder="1" applyAlignment="1" applyProtection="1">
      <alignment horizontal="left"/>
      <protection locked="0"/>
    </xf>
    <xf numFmtId="164" fontId="9" fillId="0" borderId="27" xfId="15" applyNumberFormat="1" applyFont="1" applyBorder="1" applyAlignment="1">
      <alignment horizontal="center"/>
    </xf>
    <xf numFmtId="0" fontId="0" fillId="0" borderId="33" xfId="0" applyBorder="1" applyAlignment="1">
      <alignment/>
    </xf>
    <xf numFmtId="0" fontId="0" fillId="0" borderId="28"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31</xdr:row>
      <xdr:rowOff>76200</xdr:rowOff>
    </xdr:from>
    <xdr:to>
      <xdr:col>12</xdr:col>
      <xdr:colOff>457200</xdr:colOff>
      <xdr:row>37</xdr:row>
      <xdr:rowOff>85725</xdr:rowOff>
    </xdr:to>
    <xdr:sp>
      <xdr:nvSpPr>
        <xdr:cNvPr id="1" name="TextBox 2"/>
        <xdr:cNvSpPr txBox="1">
          <a:spLocks noChangeArrowheads="1"/>
        </xdr:cNvSpPr>
      </xdr:nvSpPr>
      <xdr:spPr>
        <a:xfrm>
          <a:off x="1685925" y="5514975"/>
          <a:ext cx="6343650" cy="981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none" baseline="0">
              <a:latin typeface="Arial"/>
              <a:ea typeface="Arial"/>
              <a:cs typeface="Arial"/>
            </a:rPr>
            <a:t>Disclaimer: </a:t>
          </a:r>
          <a:r>
            <a:rPr lang="en-US" cap="none" sz="1000" b="0" i="1" u="none" baseline="0">
              <a:latin typeface="Arial"/>
              <a:ea typeface="Arial"/>
              <a:cs typeface="Arial"/>
            </a:rPr>
            <a:t>This spreadsheet is intended to provide a simplified, preliminary illustration.  This spreadsheet does not reflect the full features and benefits of the Mark-to-Market program. Although OMHAR believes that this spreadsheet will provide a useful analytical tool for owners and other stakeholders, there is no assurance that this spreadsheet will correspond to the actual conclusions of a Participating Administrative Entity.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161925</xdr:rowOff>
    </xdr:from>
    <xdr:to>
      <xdr:col>18</xdr:col>
      <xdr:colOff>523875</xdr:colOff>
      <xdr:row>48</xdr:row>
      <xdr:rowOff>38100</xdr:rowOff>
    </xdr:to>
    <xdr:sp>
      <xdr:nvSpPr>
        <xdr:cNvPr id="1" name="TextBox 1"/>
        <xdr:cNvSpPr txBox="1">
          <a:spLocks noChangeArrowheads="1"/>
        </xdr:cNvSpPr>
      </xdr:nvSpPr>
      <xdr:spPr>
        <a:xfrm>
          <a:off x="123825" y="161925"/>
          <a:ext cx="10458450" cy="784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1" i="0" u="none" baseline="0">
              <a:latin typeface="Arial"/>
              <a:ea typeface="Arial"/>
              <a:cs typeface="Arial"/>
            </a:rPr>
            <a:t>Many owners</a:t>
          </a:r>
          <a:r>
            <a:rPr lang="en-US" cap="none" sz="1000" b="0" i="0" u="none" baseline="0">
              <a:latin typeface="Arial"/>
              <a:ea typeface="Arial"/>
              <a:cs typeface="Arial"/>
            </a:rPr>
            <a:t> </a:t>
          </a:r>
          <a:r>
            <a:rPr lang="en-US" cap="none" sz="1200" b="0" i="0" u="none" baseline="0">
              <a:latin typeface="Arial"/>
              <a:ea typeface="Arial"/>
              <a:cs typeface="Arial"/>
            </a:rPr>
            <a:t>are considering entering the Mark-to-Market (M2M) program.  This workbook will help you consider your options and understand the benefits that are available from M2M resturcturing.
The goal of M2M is to produce a</a:t>
          </a:r>
          <a:r>
            <a:rPr lang="en-US" cap="none" sz="1200" b="0" i="1" u="none" baseline="0">
              <a:latin typeface="Arial"/>
              <a:ea typeface="Arial"/>
              <a:cs typeface="Arial"/>
            </a:rPr>
            <a:t> financially strong, sustainable</a:t>
          </a:r>
          <a:r>
            <a:rPr lang="en-US" cap="none" sz="1200" b="0" i="0" u="none" baseline="0">
              <a:latin typeface="Arial"/>
              <a:ea typeface="Arial"/>
              <a:cs typeface="Arial"/>
            </a:rPr>
            <a:t> property  -- a property providing good quality affordable housing to residents </a:t>
          </a:r>
          <a:r>
            <a:rPr lang="en-US" cap="none" sz="1200" b="1" i="0" u="none" baseline="0">
              <a:latin typeface="Arial"/>
              <a:ea typeface="Arial"/>
              <a:cs typeface="Arial"/>
            </a:rPr>
            <a:t>and</a:t>
          </a:r>
          <a:r>
            <a:rPr lang="en-US" cap="none" sz="1200" b="0" i="0" u="none" baseline="0">
              <a:latin typeface="Arial"/>
              <a:ea typeface="Arial"/>
              <a:cs typeface="Arial"/>
            </a:rPr>
            <a:t> a fair return to the owner over the long term.
Certainly, one of the goals of M2M is to reduce Section 8 rents to comparable market levels -- but that's only part of the story.  Many properties would not be financially sound after a rent reduction alone.  For these properties, M2M provides debt restructuring and a number of benefits that you need to understand in order to accurately evaluate your options, and to obtain maximum benefit from this workbook.
</a:t>
          </a:r>
          <a:r>
            <a:rPr lang="en-US" cap="none" sz="1200" b="1" i="0" u="none" baseline="0">
              <a:latin typeface="Arial"/>
              <a:ea typeface="Arial"/>
              <a:cs typeface="Arial"/>
            </a:rPr>
            <a:t>Reduced Debt</a:t>
          </a:r>
          <a:r>
            <a:rPr lang="en-US" cap="none" sz="1200" b="0" i="0" u="none" baseline="0">
              <a:latin typeface="Arial"/>
              <a:ea typeface="Arial"/>
              <a:cs typeface="Arial"/>
            </a:rPr>
            <a:t> -- Retructured properties generally have a new, smaller first mortgage, at today's low interest rates, with debt service that the property can easily afford after rents are reduced.  The part of your current FHA-insured (or HUD-Held) mortgage that cannot be refinanced in a new first mortgage is included in a second mortgage with an interest rate as low as 1% simple interest.  Payments on the second are made only when the property has sufficient positive cash flow.  Generally, payments are 75%-85% of cash flow after payment of the Incentive Performance Fee (owner return, discussed below).
</a:t>
          </a:r>
          <a:r>
            <a:rPr lang="en-US" cap="none" sz="1200" b="1" i="0" u="none" baseline="0">
              <a:latin typeface="Arial"/>
              <a:ea typeface="Arial"/>
              <a:cs typeface="Arial"/>
            </a:rPr>
            <a:t>Rehabilitation</a:t>
          </a:r>
          <a:r>
            <a:rPr lang="en-US" cap="none" sz="1200" b="0" i="0" u="none" baseline="0">
              <a:latin typeface="Arial"/>
              <a:ea typeface="Arial"/>
              <a:cs typeface="Arial"/>
            </a:rPr>
            <a:t> -- M2M restructuring can assure completion of any needed repairs, and even some rehab.  Generally, the owner contributes 20% of the cost (or less for the </a:t>
          </a:r>
          <a:r>
            <a:rPr lang="en-US" cap="none" sz="1200" b="0" i="1" u="none" baseline="0">
              <a:latin typeface="Arial"/>
              <a:ea typeface="Arial"/>
              <a:cs typeface="Arial"/>
            </a:rPr>
            <a:t>addition</a:t>
          </a:r>
          <a:r>
            <a:rPr lang="en-US" cap="none" sz="1200" b="0" i="0" u="none" baseline="0">
              <a:latin typeface="Arial"/>
              <a:ea typeface="Arial"/>
              <a:cs typeface="Arial"/>
            </a:rPr>
            <a:t> of certain features such as air conditioning, an elevator, or community space).  
</a:t>
          </a:r>
          <a:r>
            <a:rPr lang="en-US" cap="none" sz="1200" b="1" i="0" u="none" baseline="0">
              <a:latin typeface="Arial"/>
              <a:ea typeface="Arial"/>
              <a:cs typeface="Arial"/>
            </a:rPr>
            <a:t>Increased Reserves</a:t>
          </a:r>
          <a:r>
            <a:rPr lang="en-US" cap="none" sz="1200" b="0" i="0" u="none" baseline="0">
              <a:latin typeface="Arial"/>
              <a:ea typeface="Arial"/>
              <a:cs typeface="Arial"/>
            </a:rPr>
            <a:t> -- Most properties receive a one-time additional deposit to the Reserve for Replacements account (at closing) plus a substantial increase in ongoing monthly Reserve deposits.  This assures that the Reserve will be able to fund 100% of the projected major repairs and replacements identified in a 20 year Physical Condition Assessment commissioned by the Participating Administrative Entity (PAE) and discussed with the owner.  The increased reserves support the property's</a:t>
          </a:r>
          <a:r>
            <a:rPr lang="en-US" cap="none" sz="1200" b="0" i="1" u="none" baseline="0">
              <a:latin typeface="Arial"/>
              <a:ea typeface="Arial"/>
              <a:cs typeface="Arial"/>
            </a:rPr>
            <a:t> viability and value</a:t>
          </a:r>
          <a:r>
            <a:rPr lang="en-US" cap="none" sz="1200" b="0" i="0" u="none" baseline="0">
              <a:latin typeface="Arial"/>
              <a:ea typeface="Arial"/>
              <a:cs typeface="Arial"/>
            </a:rPr>
            <a:t> over the long term.
</a:t>
          </a:r>
          <a:r>
            <a:rPr lang="en-US" cap="none" sz="1200" b="1" i="0" u="none" baseline="0">
              <a:latin typeface="Arial"/>
              <a:ea typeface="Arial"/>
              <a:cs typeface="Arial"/>
            </a:rPr>
            <a:t>Owner Investment Paid Back, With Interest </a:t>
          </a:r>
          <a:r>
            <a:rPr lang="en-US" cap="none" sz="1200" b="0" i="0" u="none" baseline="0">
              <a:latin typeface="Arial"/>
              <a:ea typeface="Arial"/>
              <a:cs typeface="Arial"/>
            </a:rPr>
            <a:t>-- As part of the restructuring, owners invest 20% of the cost of repairs/rehabilitation, plus 20% of transaction costs.  Through the M2M Capital Recovery Payment, you receive monthly payments of principal and interest, sufficient to repay your investment over a 7 to 10 year period.  The interest rate is up to 350 basis points above like-term Treasuries.
</a:t>
          </a:r>
          <a:r>
            <a:rPr lang="en-US" cap="none" sz="1200" b="1" i="0" u="none" baseline="0">
              <a:latin typeface="Arial"/>
              <a:ea typeface="Arial"/>
              <a:cs typeface="Arial"/>
            </a:rPr>
            <a:t>Owner Cash Return</a:t>
          </a:r>
          <a:r>
            <a:rPr lang="en-US" cap="none" sz="1200" b="0" i="0" u="none" baseline="0">
              <a:latin typeface="Arial"/>
              <a:ea typeface="Arial"/>
              <a:cs typeface="Arial"/>
            </a:rPr>
            <a:t> --  After M2M*, all owners are eligible to receive two forms of cash return.  These are:
----- </a:t>
          </a:r>
          <a:r>
            <a:rPr lang="en-US" cap="none" sz="1200" b="1" i="0" u="none" baseline="0">
              <a:latin typeface="Arial"/>
              <a:ea typeface="Arial"/>
              <a:cs typeface="Arial"/>
            </a:rPr>
            <a:t>Incentive Performance Fee</a:t>
          </a:r>
          <a:r>
            <a:rPr lang="en-US" cap="none" sz="1200" b="0" i="0" u="none" baseline="0">
              <a:latin typeface="Arial"/>
              <a:ea typeface="Arial"/>
              <a:cs typeface="Arial"/>
            </a:rPr>
            <a:t> (IPF) is a performance-based incentive for good management, generally equal to 3% of collected income.  The IPF is payable from positive year-end cash flow, provided that the property maintains a REAC physical inspection score of 60 or better, does not have outstanding financial or management audit findings, and is not in default under its first mortgage.
----- </a:t>
          </a:r>
          <a:r>
            <a:rPr lang="en-US" cap="none" sz="1200" b="1" i="0" u="none" baseline="0">
              <a:latin typeface="Arial"/>
              <a:ea typeface="Arial"/>
              <a:cs typeface="Arial"/>
            </a:rPr>
            <a:t>Share of Cash Flow</a:t>
          </a:r>
          <a:r>
            <a:rPr lang="en-US" cap="none" sz="1200" b="0" i="0" u="none" baseline="0">
              <a:latin typeface="Arial"/>
              <a:ea typeface="Arial"/>
              <a:cs typeface="Arial"/>
            </a:rPr>
            <a:t>.  After payment of the IPF, positive year-end cash flow is split, usually  with 75% of the remainder going to pay off the second and the very low interest rate.  The remaining amount is distributable to the owner.
________________________
* Remember, </a:t>
          </a:r>
          <a:r>
            <a:rPr lang="en-US" cap="none" sz="1200" b="0" i="1" u="none" baseline="0">
              <a:latin typeface="Arial"/>
              <a:ea typeface="Arial"/>
              <a:cs typeface="Arial"/>
            </a:rPr>
            <a:t>prior to M2M</a:t>
          </a:r>
          <a:r>
            <a:rPr lang="en-US" cap="none" sz="1200" b="0" i="0" u="none" baseline="0">
              <a:latin typeface="Arial"/>
              <a:ea typeface="Arial"/>
              <a:cs typeface="Arial"/>
            </a:rPr>
            <a:t>, many properties experience negative Surplus Cash and are unable to make owner distributions.  Other properties (for example, properties with Flexible Subsidy, and properties with nonprofit ownership) are not permitted to make any distributions.  Still other properties have limited distributions that are less than the distributions available after M2M. </a:t>
          </a:r>
          <a:r>
            <a:rPr lang="en-US" cap="none" sz="1000" b="0" i="0" u="none" baseline="0">
              <a:latin typeface="Arial"/>
              <a:ea typeface="Arial"/>
              <a:cs typeface="Arial"/>
            </a:rPr>
            <a:t>
</a:t>
          </a:r>
          <a:r>
            <a:rPr lang="en-US" cap="none" sz="1000" b="1" i="0"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16</xdr:col>
      <xdr:colOff>590550</xdr:colOff>
      <xdr:row>40</xdr:row>
      <xdr:rowOff>66675</xdr:rowOff>
    </xdr:to>
    <xdr:sp>
      <xdr:nvSpPr>
        <xdr:cNvPr id="1" name="TextBox 1"/>
        <xdr:cNvSpPr txBox="1">
          <a:spLocks noChangeArrowheads="1"/>
        </xdr:cNvSpPr>
      </xdr:nvSpPr>
      <xdr:spPr>
        <a:xfrm>
          <a:off x="200025" y="561975"/>
          <a:ext cx="9229725" cy="611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There is no substitute for a full M2M analysis by a PAE.  However, owners can use this workbook to make a realistic assessment that reflects the M2M program.  
In order to use this workbook, you will need:
----- </a:t>
          </a:r>
          <a:r>
            <a:rPr lang="en-US" cap="none" sz="1200" b="1" i="0" u="none" baseline="0">
              <a:latin typeface="Arial"/>
              <a:ea typeface="Arial"/>
              <a:cs typeface="Arial"/>
            </a:rPr>
            <a:t>Most Recent Audited Financial Statements</a:t>
          </a:r>
          <a:r>
            <a:rPr lang="en-US" cap="none" sz="1200" b="0" i="0" u="none" baseline="0">
              <a:latin typeface="Arial"/>
              <a:ea typeface="Arial"/>
              <a:cs typeface="Arial"/>
            </a:rPr>
            <a:t>.  This analysis uses the remaining mortgage balance from the balance sheet, the mortgage interest rate and maturity date from the footnotes, income and expense information from the Profit and Loss Statement, and the limited distribution amount from the Surplus Cash schedule.
----- </a:t>
          </a:r>
          <a:r>
            <a:rPr lang="en-US" cap="none" sz="1200" b="1" i="0" u="none" baseline="0">
              <a:latin typeface="Arial"/>
              <a:ea typeface="Arial"/>
              <a:cs typeface="Arial"/>
            </a:rPr>
            <a:t>Most Recent HUD-Approved Rental Schedule (HUD-92458)</a:t>
          </a:r>
          <a:r>
            <a:rPr lang="en-US" cap="none" sz="1200" b="0" i="0" u="none" baseline="0">
              <a:latin typeface="Arial"/>
              <a:ea typeface="Arial"/>
              <a:cs typeface="Arial"/>
            </a:rPr>
            <a:t>.  This is the most convenient source for the property's unit mix.
----- </a:t>
          </a:r>
          <a:r>
            <a:rPr lang="en-US" cap="none" sz="1200" b="1" i="0" u="none" baseline="0">
              <a:latin typeface="Arial"/>
              <a:ea typeface="Arial"/>
              <a:cs typeface="Arial"/>
            </a:rPr>
            <a:t>Estimated Comparable Market Rents By Number of Bedrooms.</a:t>
          </a:r>
          <a:r>
            <a:rPr lang="en-US" cap="none" sz="1200" b="0" i="0" u="none" baseline="0">
              <a:latin typeface="Arial"/>
              <a:ea typeface="Arial"/>
              <a:cs typeface="Arial"/>
            </a:rPr>
            <a:t>  The best source is a recent Rent Comparability Study which you may already have obtained.
----- </a:t>
          </a:r>
          <a:r>
            <a:rPr lang="en-US" cap="none" sz="1200" b="1" i="0" u="none" baseline="0">
              <a:latin typeface="Arial"/>
              <a:ea typeface="Arial"/>
              <a:cs typeface="Arial"/>
            </a:rPr>
            <a:t>Estimated Adequate Reserve Deposit.</a:t>
          </a:r>
          <a:r>
            <a:rPr lang="en-US" cap="none" sz="1200" b="0" i="0" u="none" baseline="0">
              <a:latin typeface="Arial"/>
              <a:ea typeface="Arial"/>
              <a:cs typeface="Arial"/>
            </a:rPr>
            <a:t>  Your estimate for the Replacement Reserve deposit that would be sufficient to fully fund the property's long term needs.  Typical Reserve deposits concluded by PAEs range from about $350 per unit per year to $800 per unit per year. The estimate you select should consider the replacements of roofs, boilers, appliances and similar big-ticket items that you have already made and those items that will need to be done in the future.  
----- </a:t>
          </a:r>
          <a:r>
            <a:rPr lang="en-US" cap="none" sz="1200" b="1" i="0" u="none" baseline="0">
              <a:latin typeface="Arial"/>
              <a:ea typeface="Arial"/>
              <a:cs typeface="Arial"/>
            </a:rPr>
            <a:t>Economic Estimates</a:t>
          </a:r>
          <a:r>
            <a:rPr lang="en-US" cap="none" sz="1200" b="0" i="0" u="none" baseline="0">
              <a:latin typeface="Arial"/>
              <a:ea typeface="Arial"/>
              <a:cs typeface="Arial"/>
            </a:rPr>
            <a:t>: current market terms for first mortgage loans, and current inflation rates.  The analysis includes suggested amounts that you can modify.
Note:  This workbook assumes that no rehabilitation is needed (as is typical for roughly half of all M2M properties).
Items in </a:t>
          </a:r>
          <a:r>
            <a:rPr lang="en-US" cap="none" sz="1200" b="0" i="0" u="none" baseline="0">
              <a:solidFill>
                <a:srgbClr val="FF0000"/>
              </a:solidFill>
              <a:latin typeface="Arial"/>
              <a:ea typeface="Arial"/>
              <a:cs typeface="Arial"/>
            </a:rPr>
            <a:t>red </a:t>
          </a:r>
          <a:r>
            <a:rPr lang="en-US" cap="none" sz="1200" b="0" i="0" u="none" baseline="0">
              <a:latin typeface="Arial"/>
              <a:ea typeface="Arial"/>
              <a:cs typeface="Arial"/>
            </a:rPr>
            <a:t>are to be supplied by the user.
Items in </a:t>
          </a:r>
          <a:r>
            <a:rPr lang="en-US" cap="none" sz="1200" b="0" i="0" u="none" baseline="0">
              <a:solidFill>
                <a:srgbClr val="0000FF"/>
              </a:solidFill>
              <a:latin typeface="Arial"/>
              <a:ea typeface="Arial"/>
              <a:cs typeface="Arial"/>
            </a:rPr>
            <a:t>blue </a:t>
          </a:r>
          <a:r>
            <a:rPr lang="en-US" cap="none" sz="1200" b="0" i="0" u="none" baseline="0">
              <a:latin typeface="Arial"/>
              <a:ea typeface="Arial"/>
              <a:cs typeface="Arial"/>
            </a:rPr>
            <a:t>are standard assumptions that the user generally will not need to change.
Items in black are formulas.
On the Owner Input page, amounts marked CALC are calculated by the spreadsheet and do not need to be entered
Each worksheet is protected (to eliminate the risk that a user would erase a formula), but users can remove the protection (Tools / Protection / Unprotect Sheet).  No password is needed.
The cover page contains a 'radio button' that will print all pages of the analysis.
The 'M2M Analytics' page contains the M2M program parameters that drive the model.  Users should not need to modify those parameters.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B6:M23"/>
  <sheetViews>
    <sheetView tabSelected="1" zoomScale="85" zoomScaleNormal="85" zoomScaleSheetLayoutView="75" workbookViewId="0" topLeftCell="A1">
      <selection activeCell="A1" sqref="A1"/>
    </sheetView>
  </sheetViews>
  <sheetFormatPr defaultColWidth="9.140625" defaultRowHeight="12.75"/>
  <cols>
    <col min="1" max="2" width="9.140625" style="60" customWidth="1"/>
    <col min="3" max="3" width="13.00390625" style="60" bestFit="1" customWidth="1"/>
    <col min="4" max="16384" width="9.140625" style="60" customWidth="1"/>
  </cols>
  <sheetData>
    <row r="6" ht="12.75">
      <c r="B6" s="59"/>
    </row>
    <row r="13" s="63" customFormat="1" ht="30">
      <c r="B13" s="63" t="s">
        <v>138</v>
      </c>
    </row>
    <row r="17" s="64" customFormat="1" ht="18">
      <c r="B17" s="61" t="s">
        <v>139</v>
      </c>
    </row>
    <row r="18" spans="2:13" s="64" customFormat="1" ht="18">
      <c r="B18" s="61"/>
      <c r="C18" s="160" t="str">
        <f>+'Owner Input'!$H$4</f>
        <v>Sample Property</v>
      </c>
      <c r="D18" s="160"/>
      <c r="E18" s="161"/>
      <c r="F18" s="161"/>
      <c r="G18" s="161"/>
      <c r="H18" s="161"/>
      <c r="I18" s="161"/>
      <c r="J18" s="161"/>
      <c r="K18" s="161"/>
      <c r="L18" s="161"/>
      <c r="M18" s="161"/>
    </row>
    <row r="19" spans="2:13" s="64" customFormat="1" ht="18">
      <c r="B19" s="61"/>
      <c r="C19" s="160" t="str">
        <f>+'Owner Input'!$H$5</f>
        <v>Average Town, Any State</v>
      </c>
      <c r="D19" s="160"/>
      <c r="E19" s="161"/>
      <c r="F19" s="161"/>
      <c r="G19" s="161"/>
      <c r="H19" s="161"/>
      <c r="I19" s="161"/>
      <c r="J19" s="161"/>
      <c r="K19" s="161"/>
      <c r="L19" s="161"/>
      <c r="M19" s="161"/>
    </row>
    <row r="20" ht="12.75">
      <c r="C20" s="62"/>
    </row>
    <row r="22" ht="12.75">
      <c r="B22" s="60" t="s">
        <v>104</v>
      </c>
    </row>
    <row r="23" ht="12.75">
      <c r="B23" s="60" t="s">
        <v>105</v>
      </c>
    </row>
  </sheetData>
  <sheetProtection sheet="1" objects="1" scenarios="1"/>
  <mergeCells count="2">
    <mergeCell ref="C19:M19"/>
    <mergeCell ref="C18:M18"/>
  </mergeCells>
  <printOptions/>
  <pageMargins left="0.75" right="0.75" top="1" bottom="1" header="0.5" footer="0.5"/>
  <pageSetup fitToHeight="1" fitToWidth="1" horizontalDpi="600" verticalDpi="600" orientation="landscape" scale="87" r:id="rId4"/>
  <drawing r:id="rId3"/>
  <legacyDrawing r:id="rId2"/>
  <oleObjects>
    <oleObject progId="Word.Picture.8" shapeId="748152" r:id="rId1"/>
  </oleObjects>
</worksheet>
</file>

<file path=xl/worksheets/sheet2.xml><?xml version="1.0" encoding="utf-8"?>
<worksheet xmlns="http://schemas.openxmlformats.org/spreadsheetml/2006/main" xmlns:r="http://schemas.openxmlformats.org/officeDocument/2006/relationships">
  <sheetPr codeName="Sheet4">
    <pageSetUpPr fitToPage="1"/>
  </sheetPr>
  <dimension ref="A7:A94"/>
  <sheetViews>
    <sheetView zoomScale="75" zoomScaleNormal="75" workbookViewId="0" topLeftCell="A1">
      <selection activeCell="U16" sqref="U16"/>
    </sheetView>
  </sheetViews>
  <sheetFormatPr defaultColWidth="9.140625" defaultRowHeight="12.75"/>
  <cols>
    <col min="1" max="1" width="3.7109375" style="0" customWidth="1"/>
    <col min="2" max="2" width="5.28125" style="0" customWidth="1"/>
    <col min="3" max="3" width="4.7109375" style="0" customWidth="1"/>
  </cols>
  <sheetData>
    <row r="1" s="2" customFormat="1" ht="18"/>
    <row r="2" s="2" customFormat="1" ht="18"/>
    <row r="3" s="2" customFormat="1" ht="18"/>
    <row r="7" ht="12.75">
      <c r="A7" s="1"/>
    </row>
    <row r="15" ht="12.75">
      <c r="A15" s="1"/>
    </row>
    <row r="16" ht="12.75">
      <c r="A16" s="1"/>
    </row>
    <row r="17" ht="12.75">
      <c r="A17" s="1"/>
    </row>
    <row r="18" ht="12.75">
      <c r="A18" s="1"/>
    </row>
    <row r="19" ht="12.75">
      <c r="A19" s="1"/>
    </row>
    <row r="20" ht="12.75">
      <c r="A20" s="1"/>
    </row>
    <row r="21" ht="12.75">
      <c r="A21" s="1"/>
    </row>
    <row r="22" ht="12.75">
      <c r="A22" s="1"/>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ht="12.75">
      <c r="A49" s="1"/>
    </row>
    <row r="50" ht="12.75">
      <c r="A50" s="1"/>
    </row>
    <row r="51" ht="12.75">
      <c r="A51" s="1"/>
    </row>
    <row r="52" ht="12.75">
      <c r="A52" s="1"/>
    </row>
    <row r="53" ht="12.75">
      <c r="A53" s="1"/>
    </row>
    <row r="57" ht="12.75">
      <c r="A57" s="1"/>
    </row>
    <row r="63" ht="12.75">
      <c r="A63" s="1"/>
    </row>
    <row r="72" ht="12.75">
      <c r="A72" s="1"/>
    </row>
    <row r="94" ht="12.75">
      <c r="A94" s="1"/>
    </row>
  </sheetData>
  <sheetProtection sheet="1" objects="1" scenarios="1"/>
  <printOptions/>
  <pageMargins left="0.5" right="0.5" top="0.5" bottom="1" header="0.5" footer="0.5"/>
  <pageSetup blackAndWhite="1" fitToHeight="1" fitToWidth="1" horizontalDpi="600" verticalDpi="600" orientation="landscape" scale="81" r:id="rId2"/>
  <headerFooter alignWithMargins="0">
    <oddFooter>&amp;L&amp;F &amp;A&amp;CSee disclaimer on cover page&amp;R&amp;D &amp;T</oddFooter>
  </headerFooter>
  <drawing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A93"/>
  <sheetViews>
    <sheetView zoomScale="75" zoomScaleNormal="75" workbookViewId="0" topLeftCell="A1">
      <selection activeCell="A2" sqref="A2"/>
    </sheetView>
  </sheetViews>
  <sheetFormatPr defaultColWidth="9.140625" defaultRowHeight="12.75"/>
  <cols>
    <col min="1" max="1" width="3.7109375" style="0" customWidth="1"/>
    <col min="2" max="2" width="5.28125" style="0" customWidth="1"/>
    <col min="3" max="3" width="4.7109375" style="0" customWidth="1"/>
  </cols>
  <sheetData>
    <row r="1" s="2" customFormat="1" ht="18">
      <c r="A1" s="2" t="s">
        <v>140</v>
      </c>
    </row>
    <row r="2" s="2" customFormat="1" ht="18"/>
    <row r="6" ht="12.75">
      <c r="A6" s="1"/>
    </row>
    <row r="14" ht="12.75">
      <c r="A14" s="1"/>
    </row>
    <row r="15" ht="12.75">
      <c r="A15" s="1"/>
    </row>
    <row r="16" ht="12.75">
      <c r="A16" s="1"/>
    </row>
    <row r="17" ht="12.75">
      <c r="A17" s="1"/>
    </row>
    <row r="18" ht="12.75">
      <c r="A18" s="1"/>
    </row>
    <row r="19" ht="12.75">
      <c r="A19" s="1"/>
    </row>
    <row r="20" ht="12.75">
      <c r="A20" s="1"/>
    </row>
    <row r="21" ht="12.75">
      <c r="A21" s="1"/>
    </row>
    <row r="22" ht="12.75">
      <c r="A22" s="1"/>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ht="12.75">
      <c r="A49" s="1"/>
    </row>
    <row r="50" ht="12.75">
      <c r="A50" s="1"/>
    </row>
    <row r="51" ht="12.75">
      <c r="A51" s="1"/>
    </row>
    <row r="52" ht="12.75">
      <c r="A52" s="1"/>
    </row>
    <row r="56" ht="12.75">
      <c r="A56" s="1"/>
    </row>
    <row r="62" ht="12.75">
      <c r="A62" s="1"/>
    </row>
    <row r="71" ht="12.75">
      <c r="A71" s="1"/>
    </row>
    <row r="93" ht="12.75">
      <c r="A93" s="1"/>
    </row>
  </sheetData>
  <sheetProtection sheet="1" objects="1" scenarios="1"/>
  <printOptions/>
  <pageMargins left="0.5" right="0.5" top="0.5" bottom="1" header="0.5" footer="0.5"/>
  <pageSetup fitToHeight="1" fitToWidth="1" horizontalDpi="600" verticalDpi="600" orientation="landscape" scale="91" r:id="rId2"/>
  <headerFooter alignWithMargins="0">
    <oddFooter>&amp;L&amp;F &amp;A&amp;CSee disclaimer on cover page&amp;R&amp;D &amp;T</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K45"/>
  <sheetViews>
    <sheetView showGridLines="0" zoomScale="75" zoomScaleNormal="75" workbookViewId="0" topLeftCell="A1">
      <selection activeCell="J13" sqref="J13"/>
    </sheetView>
  </sheetViews>
  <sheetFormatPr defaultColWidth="9.140625" defaultRowHeight="12.75"/>
  <cols>
    <col min="1" max="1" width="9.140625" style="8" customWidth="1"/>
    <col min="2" max="2" width="30.140625" style="8" customWidth="1"/>
    <col min="3" max="3" width="15.28125" style="15" customWidth="1"/>
    <col min="4" max="4" width="15.7109375" style="8" customWidth="1"/>
    <col min="5" max="6" width="9.140625" style="8" customWidth="1"/>
    <col min="7" max="7" width="11.8515625" style="8" customWidth="1"/>
    <col min="8" max="8" width="9.140625" style="8" customWidth="1"/>
    <col min="9" max="9" width="10.8515625" style="8" customWidth="1"/>
    <col min="10" max="10" width="11.28125" style="8" customWidth="1"/>
    <col min="11" max="11" width="0" style="8" hidden="1" customWidth="1"/>
    <col min="12" max="16384" width="9.140625" style="8" customWidth="1"/>
  </cols>
  <sheetData>
    <row r="1" spans="1:10" s="2" customFormat="1" ht="18">
      <c r="A1" s="2" t="s">
        <v>141</v>
      </c>
      <c r="C1" s="12"/>
      <c r="I1" s="31">
        <f>+$I$19</f>
        <v>100</v>
      </c>
      <c r="J1" s="32" t="s">
        <v>0</v>
      </c>
    </row>
    <row r="2" spans="1:10" s="2" customFormat="1" ht="18">
      <c r="A2" s="2" t="str">
        <f>+'Owner Input'!$H$4</f>
        <v>Sample Property</v>
      </c>
      <c r="C2" s="12"/>
      <c r="J2" s="123" t="str">
        <f>+'Owner Input'!$H$5</f>
        <v>Average Town, Any State</v>
      </c>
    </row>
    <row r="3" spans="1:3" ht="12.75">
      <c r="A3" s="1"/>
      <c r="C3" s="13"/>
    </row>
    <row r="4" spans="1:10" ht="12.75">
      <c r="A4" s="1" t="s">
        <v>34</v>
      </c>
      <c r="B4" s="1" t="s">
        <v>35</v>
      </c>
      <c r="C4" s="14" t="s">
        <v>3</v>
      </c>
      <c r="D4" s="14" t="s">
        <v>127</v>
      </c>
      <c r="F4" s="60" t="s">
        <v>22</v>
      </c>
      <c r="G4" s="60"/>
      <c r="H4" s="162" t="s">
        <v>23</v>
      </c>
      <c r="I4" s="163"/>
      <c r="J4" s="164"/>
    </row>
    <row r="5" spans="1:10" ht="12.75">
      <c r="A5" s="1"/>
      <c r="B5" s="1"/>
      <c r="C5" s="14" t="s">
        <v>36</v>
      </c>
      <c r="D5" s="14" t="s">
        <v>128</v>
      </c>
      <c r="F5" s="60" t="s">
        <v>24</v>
      </c>
      <c r="G5" s="60"/>
      <c r="H5" s="162" t="s">
        <v>143</v>
      </c>
      <c r="I5" s="163"/>
      <c r="J5" s="164"/>
    </row>
    <row r="6" spans="1:4" ht="13.5" thickBot="1">
      <c r="A6" s="1" t="s">
        <v>51</v>
      </c>
      <c r="D6" s="15"/>
    </row>
    <row r="7" spans="1:11" ht="12.75">
      <c r="A7" s="144">
        <v>5120</v>
      </c>
      <c r="B7" s="84" t="s">
        <v>37</v>
      </c>
      <c r="C7" s="114">
        <v>180000</v>
      </c>
      <c r="D7" s="114">
        <f>+C7</f>
        <v>180000</v>
      </c>
      <c r="F7" s="112" t="s">
        <v>1</v>
      </c>
      <c r="G7" s="124"/>
      <c r="H7" s="52"/>
      <c r="I7" s="128" t="s">
        <v>13</v>
      </c>
      <c r="J7" s="113" t="s">
        <v>21</v>
      </c>
      <c r="K7" s="8">
        <f aca="true" t="shared" si="0" ref="K7:K14">+J10*I10</f>
        <v>0</v>
      </c>
    </row>
    <row r="8" spans="1:11" ht="13.5" thickBot="1">
      <c r="A8" s="144">
        <v>5121</v>
      </c>
      <c r="B8" s="84" t="s">
        <v>38</v>
      </c>
      <c r="C8" s="114">
        <v>520000</v>
      </c>
      <c r="D8" s="114">
        <f>+C8</f>
        <v>520000</v>
      </c>
      <c r="F8" s="125" t="s">
        <v>14</v>
      </c>
      <c r="G8" s="126"/>
      <c r="H8" s="54"/>
      <c r="I8" s="129" t="s">
        <v>0</v>
      </c>
      <c r="J8" s="127" t="s">
        <v>15</v>
      </c>
      <c r="K8" s="8">
        <f t="shared" si="0"/>
        <v>0</v>
      </c>
    </row>
    <row r="9" spans="1:11" ht="12.75">
      <c r="A9" s="144" t="s">
        <v>122</v>
      </c>
      <c r="B9" s="140" t="s">
        <v>123</v>
      </c>
      <c r="C9" s="141">
        <f>+C10-C8-C7</f>
        <v>30000</v>
      </c>
      <c r="D9" s="141">
        <f>+D10-D8-D7</f>
        <v>30000</v>
      </c>
      <c r="F9" s="97"/>
      <c r="G9" s="98"/>
      <c r="H9" s="52"/>
      <c r="I9" s="98"/>
      <c r="J9" s="99"/>
      <c r="K9" s="8">
        <f t="shared" si="0"/>
        <v>30000</v>
      </c>
    </row>
    <row r="10" spans="1:11" ht="12.75">
      <c r="A10" s="144"/>
      <c r="B10" s="84" t="s">
        <v>33</v>
      </c>
      <c r="C10" s="114">
        <v>730000</v>
      </c>
      <c r="D10" s="114">
        <f>+C10</f>
        <v>730000</v>
      </c>
      <c r="F10" s="151" t="s">
        <v>108</v>
      </c>
      <c r="G10" s="148"/>
      <c r="H10" s="149"/>
      <c r="I10" s="77">
        <v>0</v>
      </c>
      <c r="J10" s="81">
        <v>0</v>
      </c>
      <c r="K10" s="8">
        <f t="shared" si="0"/>
        <v>0</v>
      </c>
    </row>
    <row r="11" spans="1:11" ht="12.75">
      <c r="A11" s="144"/>
      <c r="B11" s="84"/>
      <c r="C11" s="114"/>
      <c r="D11" s="114"/>
      <c r="F11" s="151" t="s">
        <v>16</v>
      </c>
      <c r="G11" s="148"/>
      <c r="H11" s="149"/>
      <c r="I11" s="77">
        <v>0</v>
      </c>
      <c r="J11" s="81">
        <v>0</v>
      </c>
      <c r="K11" s="8">
        <f t="shared" si="0"/>
        <v>0</v>
      </c>
    </row>
    <row r="12" spans="1:11" ht="12.75">
      <c r="A12" s="144">
        <v>5220</v>
      </c>
      <c r="B12" s="84" t="s">
        <v>39</v>
      </c>
      <c r="C12" s="114">
        <v>12000</v>
      </c>
      <c r="D12" s="114">
        <f>+C12</f>
        <v>12000</v>
      </c>
      <c r="F12" s="151" t="s">
        <v>17</v>
      </c>
      <c r="G12" s="148"/>
      <c r="H12" s="149"/>
      <c r="I12" s="77">
        <v>100</v>
      </c>
      <c r="J12" s="81">
        <v>300</v>
      </c>
      <c r="K12" s="8">
        <f t="shared" si="0"/>
        <v>0</v>
      </c>
    </row>
    <row r="13" spans="1:11" ht="12.75">
      <c r="A13" s="144" t="s">
        <v>122</v>
      </c>
      <c r="B13" s="140" t="s">
        <v>124</v>
      </c>
      <c r="C13" s="141">
        <f>+C14-C12</f>
        <v>3000</v>
      </c>
      <c r="D13" s="141">
        <f>+D14-D12</f>
        <v>3000</v>
      </c>
      <c r="F13" s="151" t="s">
        <v>18</v>
      </c>
      <c r="G13" s="148"/>
      <c r="H13" s="149"/>
      <c r="I13" s="77">
        <v>0</v>
      </c>
      <c r="J13" s="81">
        <v>0</v>
      </c>
      <c r="K13" s="8">
        <f t="shared" si="0"/>
        <v>0</v>
      </c>
    </row>
    <row r="14" spans="1:11" ht="12.75">
      <c r="A14" s="144"/>
      <c r="B14" s="84" t="s">
        <v>40</v>
      </c>
      <c r="C14" s="114">
        <v>15000</v>
      </c>
      <c r="D14" s="114">
        <f>+C14</f>
        <v>15000</v>
      </c>
      <c r="F14" s="151" t="s">
        <v>26</v>
      </c>
      <c r="G14" s="148"/>
      <c r="H14" s="149"/>
      <c r="I14" s="77">
        <v>0</v>
      </c>
      <c r="J14" s="81">
        <v>0</v>
      </c>
      <c r="K14" s="8">
        <f t="shared" si="0"/>
        <v>0</v>
      </c>
    </row>
    <row r="15" spans="1:10" ht="12.75">
      <c r="A15" s="144"/>
      <c r="B15" s="84"/>
      <c r="C15" s="114"/>
      <c r="D15" s="114"/>
      <c r="F15" s="151" t="s">
        <v>27</v>
      </c>
      <c r="G15" s="148"/>
      <c r="H15" s="149"/>
      <c r="I15" s="77">
        <v>0</v>
      </c>
      <c r="J15" s="81">
        <v>0</v>
      </c>
    </row>
    <row r="16" spans="1:11" ht="12.75">
      <c r="A16" s="144"/>
      <c r="B16" s="84" t="s">
        <v>41</v>
      </c>
      <c r="C16" s="114">
        <v>7500</v>
      </c>
      <c r="D16" s="114">
        <f>+C16</f>
        <v>7500</v>
      </c>
      <c r="F16" s="151" t="s">
        <v>28</v>
      </c>
      <c r="G16" s="148"/>
      <c r="H16" s="149"/>
      <c r="I16" s="77">
        <v>0</v>
      </c>
      <c r="J16" s="81">
        <v>0</v>
      </c>
      <c r="K16" s="8">
        <f>SUM(K6:K15)</f>
        <v>30000</v>
      </c>
    </row>
    <row r="17" spans="1:10" ht="12.75">
      <c r="A17" s="144"/>
      <c r="B17" s="84"/>
      <c r="C17" s="114"/>
      <c r="D17" s="114"/>
      <c r="F17" s="151" t="s">
        <v>29</v>
      </c>
      <c r="G17" s="148"/>
      <c r="H17" s="149"/>
      <c r="I17" s="77">
        <v>0</v>
      </c>
      <c r="J17" s="81">
        <v>0</v>
      </c>
    </row>
    <row r="18" spans="1:10" ht="12.75">
      <c r="A18" s="144"/>
      <c r="B18" s="84" t="s">
        <v>42</v>
      </c>
      <c r="C18" s="114">
        <v>100000</v>
      </c>
      <c r="D18" s="114">
        <f>+C18</f>
        <v>100000</v>
      </c>
      <c r="F18" s="79"/>
      <c r="G18" s="80"/>
      <c r="H18" s="53"/>
      <c r="I18" s="80"/>
      <c r="J18" s="82"/>
    </row>
    <row r="19" spans="1:10" ht="13.5" thickBot="1">
      <c r="A19" s="144"/>
      <c r="B19" s="84" t="s">
        <v>43</v>
      </c>
      <c r="C19" s="114">
        <v>30000</v>
      </c>
      <c r="D19" s="114">
        <f>+C19</f>
        <v>30000</v>
      </c>
      <c r="F19" s="130" t="s">
        <v>19</v>
      </c>
      <c r="G19" s="152"/>
      <c r="H19" s="153"/>
      <c r="I19" s="150">
        <f>SUM(I10:I17)</f>
        <v>100</v>
      </c>
      <c r="J19" s="131">
        <f>+K16</f>
        <v>30000</v>
      </c>
    </row>
    <row r="20" spans="1:4" ht="12.75">
      <c r="A20" s="144"/>
      <c r="B20" s="84" t="s">
        <v>44</v>
      </c>
      <c r="C20" s="114">
        <v>110000</v>
      </c>
      <c r="D20" s="114">
        <f>+C20</f>
        <v>110000</v>
      </c>
    </row>
    <row r="21" spans="1:9" ht="12.75">
      <c r="A21" s="144"/>
      <c r="B21" s="84" t="s">
        <v>45</v>
      </c>
      <c r="C21" s="114">
        <v>80000</v>
      </c>
      <c r="D21" s="114">
        <f>+C21</f>
        <v>80000</v>
      </c>
      <c r="F21" s="8" t="s">
        <v>25</v>
      </c>
      <c r="I21" s="137">
        <v>37256</v>
      </c>
    </row>
    <row r="22" spans="1:10" ht="12.75">
      <c r="A22" s="144"/>
      <c r="B22" s="84"/>
      <c r="C22" s="114"/>
      <c r="D22" s="114"/>
      <c r="I22" s="136"/>
      <c r="J22" s="136"/>
    </row>
    <row r="23" spans="1:6" ht="12.75">
      <c r="A23" s="144">
        <v>6820</v>
      </c>
      <c r="B23" s="84" t="s">
        <v>53</v>
      </c>
      <c r="C23" s="114">
        <v>255000</v>
      </c>
      <c r="D23" s="114">
        <f>+C23</f>
        <v>255000</v>
      </c>
      <c r="F23" s="8" t="s">
        <v>121</v>
      </c>
    </row>
    <row r="24" spans="1:8" ht="12.75">
      <c r="A24" s="144">
        <v>6850</v>
      </c>
      <c r="B24" s="84" t="s">
        <v>54</v>
      </c>
      <c r="C24" s="114">
        <v>15000</v>
      </c>
      <c r="D24" s="114">
        <f>+C24</f>
        <v>15000</v>
      </c>
      <c r="G24" s="139">
        <v>500</v>
      </c>
      <c r="H24" s="8" t="s">
        <v>98</v>
      </c>
    </row>
    <row r="25" spans="1:7" ht="12.75">
      <c r="A25" s="144"/>
      <c r="B25" s="84"/>
      <c r="C25" s="114"/>
      <c r="D25" s="114"/>
      <c r="G25" s="8" t="s">
        <v>131</v>
      </c>
    </row>
    <row r="26" spans="1:8" ht="12.75">
      <c r="A26" s="144" t="s">
        <v>52</v>
      </c>
      <c r="B26" s="84" t="s">
        <v>55</v>
      </c>
      <c r="C26" s="114">
        <v>67000</v>
      </c>
      <c r="D26" s="114">
        <f>+C26</f>
        <v>67000</v>
      </c>
      <c r="G26" s="11"/>
      <c r="H26" s="136"/>
    </row>
    <row r="27" spans="1:4" ht="25.5">
      <c r="A27" s="144" t="s">
        <v>46</v>
      </c>
      <c r="B27" s="85" t="s">
        <v>47</v>
      </c>
      <c r="C27" s="114">
        <v>25000</v>
      </c>
      <c r="D27" s="114">
        <f>+C27</f>
        <v>25000</v>
      </c>
    </row>
    <row r="28" spans="1:4" ht="12.75">
      <c r="A28" s="144" t="s">
        <v>122</v>
      </c>
      <c r="B28" s="140" t="s">
        <v>125</v>
      </c>
      <c r="C28" s="141">
        <f>+C26+C23</f>
        <v>322000</v>
      </c>
      <c r="D28" s="141">
        <f>+D26+D23</f>
        <v>322000</v>
      </c>
    </row>
    <row r="29" spans="1:4" ht="12.75">
      <c r="A29" s="142"/>
      <c r="B29" s="65"/>
      <c r="C29" s="143"/>
      <c r="D29" s="143"/>
    </row>
    <row r="30" spans="1:4" ht="12.75">
      <c r="A30" s="1" t="s">
        <v>50</v>
      </c>
      <c r="C30" s="115"/>
      <c r="D30" s="115"/>
    </row>
    <row r="31" spans="1:4" ht="12.75">
      <c r="A31" s="144">
        <v>2170</v>
      </c>
      <c r="B31" s="84" t="s">
        <v>48</v>
      </c>
      <c r="C31" s="114">
        <v>75000</v>
      </c>
      <c r="D31" s="114">
        <f>+C31</f>
        <v>75000</v>
      </c>
    </row>
    <row r="32" spans="1:4" ht="12.75">
      <c r="A32" s="144">
        <v>2320</v>
      </c>
      <c r="B32" s="84" t="s">
        <v>49</v>
      </c>
      <c r="C32" s="114">
        <v>2927500</v>
      </c>
      <c r="D32" s="114">
        <f>+C32</f>
        <v>2927500</v>
      </c>
    </row>
    <row r="33" spans="1:4" ht="12.75">
      <c r="A33" s="144" t="s">
        <v>122</v>
      </c>
      <c r="B33" s="140" t="s">
        <v>126</v>
      </c>
      <c r="C33" s="141">
        <f>+C32+C31</f>
        <v>3002500</v>
      </c>
      <c r="D33" s="141">
        <f>+D32+D31</f>
        <v>3002500</v>
      </c>
    </row>
    <row r="34" ht="12.75">
      <c r="D34" s="72"/>
    </row>
    <row r="35" spans="1:3" ht="12.75">
      <c r="A35" s="1" t="s">
        <v>132</v>
      </c>
      <c r="C35" s="8"/>
    </row>
    <row r="36" spans="1:4" ht="12.75">
      <c r="A36" s="144"/>
      <c r="B36" s="84" t="s">
        <v>133</v>
      </c>
      <c r="C36" s="114">
        <v>14500</v>
      </c>
      <c r="D36" s="114">
        <f>+C36</f>
        <v>14500</v>
      </c>
    </row>
    <row r="37" spans="1:3" ht="12.75">
      <c r="A37" s="8" t="s">
        <v>134</v>
      </c>
      <c r="C37" s="8"/>
    </row>
    <row r="38" ht="12.75">
      <c r="C38" s="8"/>
    </row>
    <row r="39" spans="1:3" ht="12.75">
      <c r="A39" s="8" t="s">
        <v>129</v>
      </c>
      <c r="C39" s="8"/>
    </row>
    <row r="40" spans="1:3" ht="12.75">
      <c r="A40" s="8" t="s">
        <v>130</v>
      </c>
      <c r="C40" s="8"/>
    </row>
    <row r="41" ht="12.75">
      <c r="C41" s="8"/>
    </row>
    <row r="42" ht="12.75">
      <c r="C42" s="8"/>
    </row>
    <row r="43" ht="12.75">
      <c r="C43" s="8"/>
    </row>
    <row r="44" ht="12.75">
      <c r="C44" s="138"/>
    </row>
    <row r="45" ht="12.75">
      <c r="C45" s="8"/>
    </row>
  </sheetData>
  <sheetProtection sheet="1" objects="1" scenarios="1"/>
  <mergeCells count="2">
    <mergeCell ref="H4:J4"/>
    <mergeCell ref="H5:J5"/>
  </mergeCells>
  <printOptions/>
  <pageMargins left="0.75" right="0.75" top="0.5" bottom="0.75" header="0.5" footer="0.5"/>
  <pageSetup blackAndWhite="1" fitToHeight="1" fitToWidth="1" horizontalDpi="600" verticalDpi="600" orientation="landscape" scale="87" r:id="rId1"/>
  <headerFooter alignWithMargins="0">
    <oddFooter>&amp;L&amp;F &amp;A&amp;CSee disclaimer on cover page&amp;R&amp;D &amp;T</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AD50"/>
  <sheetViews>
    <sheetView showGridLines="0" zoomScale="75" zoomScaleNormal="75" workbookViewId="0" topLeftCell="A1">
      <selection activeCell="A37" sqref="A37:H37"/>
    </sheetView>
  </sheetViews>
  <sheetFormatPr defaultColWidth="9.140625" defaultRowHeight="12.75"/>
  <cols>
    <col min="1" max="1" width="6.421875" style="3" customWidth="1"/>
    <col min="2" max="2" width="28.00390625" style="3" customWidth="1"/>
    <col min="3" max="3" width="17.28125" style="3" customWidth="1"/>
    <col min="4" max="4" width="16.421875" style="3" customWidth="1"/>
    <col min="5" max="5" width="21.00390625" style="3" customWidth="1"/>
    <col min="6" max="6" width="19.57421875" style="3" customWidth="1"/>
    <col min="7" max="7" width="11.8515625" style="3" customWidth="1"/>
    <col min="8" max="8" width="17.8515625" style="3" customWidth="1"/>
    <col min="9" max="13" width="11.28125" style="3" customWidth="1"/>
    <col min="14" max="14" width="10.00390625" style="3" customWidth="1"/>
    <col min="15" max="16" width="15.8515625" style="3" customWidth="1"/>
    <col min="17" max="18" width="10.8515625" style="3" customWidth="1"/>
    <col min="19" max="19" width="9.7109375" style="3" customWidth="1"/>
    <col min="20" max="20" width="12.8515625" style="3" customWidth="1"/>
    <col min="21" max="23" width="9.140625" style="3" customWidth="1"/>
    <col min="24" max="24" width="12.8515625" style="3" customWidth="1"/>
    <col min="25" max="26" width="9.140625" style="3" customWidth="1"/>
    <col min="27" max="27" width="15.140625" style="3" customWidth="1"/>
    <col min="28" max="28" width="16.57421875" style="3" customWidth="1"/>
    <col min="29" max="29" width="16.7109375" style="3" customWidth="1"/>
    <col min="30" max="30" width="14.8515625" style="3" customWidth="1"/>
    <col min="31" max="31" width="10.8515625" style="3" customWidth="1"/>
    <col min="32" max="45" width="9.140625" style="3" customWidth="1"/>
    <col min="46" max="46" width="20.00390625" style="3" customWidth="1"/>
    <col min="47" max="47" width="18.421875" style="3" customWidth="1"/>
    <col min="48" max="61" width="9.140625" style="3" customWidth="1"/>
    <col min="62" max="62" width="10.28125" style="3" customWidth="1"/>
    <col min="63" max="63" width="12.57421875" style="3" customWidth="1"/>
    <col min="64" max="65" width="9.57421875" style="3" customWidth="1"/>
    <col min="66" max="67" width="9.421875" style="3" customWidth="1"/>
    <col min="68" max="16384" width="9.140625" style="3" customWidth="1"/>
  </cols>
  <sheetData>
    <row r="1" spans="1:18" s="30" customFormat="1" ht="18">
      <c r="A1" s="28" t="s">
        <v>106</v>
      </c>
      <c r="B1" s="29"/>
      <c r="G1" s="31">
        <f>+'Owner Input'!$I$19</f>
        <v>100</v>
      </c>
      <c r="H1" s="32" t="s">
        <v>0</v>
      </c>
      <c r="O1" s="33"/>
      <c r="P1" s="33"/>
      <c r="Q1" s="33"/>
      <c r="R1" s="33"/>
    </row>
    <row r="2" spans="1:18" s="30" customFormat="1" ht="18">
      <c r="A2" s="32" t="str">
        <f>+'Owner Input'!$H$4</f>
        <v>Sample Property</v>
      </c>
      <c r="B2" s="34"/>
      <c r="C2" s="2"/>
      <c r="D2" s="2"/>
      <c r="F2" s="2"/>
      <c r="H2" s="159" t="str">
        <f>+'Owner Input'!$H$5</f>
        <v>Average Town, Any State</v>
      </c>
      <c r="N2" s="2"/>
      <c r="O2" s="2"/>
      <c r="P2" s="2"/>
      <c r="Q2" s="2"/>
      <c r="R2" s="2"/>
    </row>
    <row r="3" spans="1:18" s="30" customFormat="1" ht="18.75" thickBot="1">
      <c r="A3" s="32"/>
      <c r="B3" s="34"/>
      <c r="C3" s="2"/>
      <c r="D3" s="2"/>
      <c r="F3" s="2"/>
      <c r="H3" s="159"/>
      <c r="N3" s="2"/>
      <c r="O3" s="2"/>
      <c r="P3" s="2"/>
      <c r="Q3" s="2"/>
      <c r="R3" s="2"/>
    </row>
    <row r="4" spans="5:6" ht="13.5" thickBot="1">
      <c r="E4" s="132" t="s">
        <v>60</v>
      </c>
      <c r="F4" s="133">
        <f>+'M2M Analytics'!$L$6</f>
        <v>37622</v>
      </c>
    </row>
    <row r="5" spans="1:16" s="27" customFormat="1" ht="12.75">
      <c r="A5" s="35" t="s">
        <v>1</v>
      </c>
      <c r="B5" s="36"/>
      <c r="C5" s="37">
        <f>+YEAR('Owner Input'!$I$21)</f>
        <v>2001</v>
      </c>
      <c r="D5" s="37">
        <f>+YEAR('Owner Input'!$I$21)</f>
        <v>2001</v>
      </c>
      <c r="E5" s="134" t="s">
        <v>110</v>
      </c>
      <c r="F5" s="37" t="str">
        <f>IF('M2M Analytics'!$B$21=1,Analysis!O5,Analysis!P5)</f>
        <v>M2M at</v>
      </c>
      <c r="G5" s="38"/>
      <c r="H5" s="39"/>
      <c r="I5" s="1"/>
      <c r="J5" s="1"/>
      <c r="K5" s="1"/>
      <c r="L5" s="1"/>
      <c r="M5" s="1"/>
      <c r="O5" s="66" t="s">
        <v>65</v>
      </c>
      <c r="P5" s="67" t="s">
        <v>65</v>
      </c>
    </row>
    <row r="6" spans="1:16" s="27" customFormat="1" ht="12.75">
      <c r="A6" s="41" t="s">
        <v>2</v>
      </c>
      <c r="B6" s="42"/>
      <c r="C6" s="43" t="s">
        <v>3</v>
      </c>
      <c r="D6" s="43" t="s">
        <v>58</v>
      </c>
      <c r="E6" s="71" t="s">
        <v>111</v>
      </c>
      <c r="F6" s="43" t="str">
        <f>IF('M2M Analytics'!$B$21=1,Analysis!O6,Analysis!P6)</f>
        <v>Exception</v>
      </c>
      <c r="G6" s="40"/>
      <c r="H6" s="44"/>
      <c r="I6" s="1"/>
      <c r="J6" s="1"/>
      <c r="K6" s="1"/>
      <c r="L6" s="1"/>
      <c r="M6" s="1"/>
      <c r="O6" s="68" t="s">
        <v>21</v>
      </c>
      <c r="P6" s="69" t="s">
        <v>64</v>
      </c>
    </row>
    <row r="7" spans="1:16" s="27" customFormat="1" ht="13.5" thickBot="1">
      <c r="A7" s="45"/>
      <c r="B7" s="46"/>
      <c r="C7" s="47" t="s">
        <v>4</v>
      </c>
      <c r="D7" s="47" t="s">
        <v>59</v>
      </c>
      <c r="E7" s="47" t="s">
        <v>112</v>
      </c>
      <c r="F7" s="47" t="str">
        <f>IF('M2M Analytics'!$B$21=1,Analysis!O7,Analysis!P7)</f>
        <v>Rents</v>
      </c>
      <c r="G7" s="48" t="s">
        <v>144</v>
      </c>
      <c r="H7" s="49"/>
      <c r="I7" s="1"/>
      <c r="J7" s="1"/>
      <c r="K7" s="1"/>
      <c r="L7" s="1"/>
      <c r="M7" s="1"/>
      <c r="O7" s="70" t="s">
        <v>15</v>
      </c>
      <c r="P7" s="49" t="s">
        <v>15</v>
      </c>
    </row>
    <row r="8" spans="1:8" ht="12.75">
      <c r="A8" s="97"/>
      <c r="B8" s="98"/>
      <c r="C8" s="98"/>
      <c r="D8" s="98"/>
      <c r="E8" s="98"/>
      <c r="F8" s="98"/>
      <c r="G8" s="98"/>
      <c r="H8" s="99"/>
    </row>
    <row r="9" spans="1:16" ht="12.75">
      <c r="A9" s="83" t="s">
        <v>5</v>
      </c>
      <c r="B9" s="78"/>
      <c r="C9" s="86">
        <f>+'Owner Input'!$C$7+'Owner Input'!$C$8</f>
        <v>700000</v>
      </c>
      <c r="D9" s="86">
        <f>+'Owner Input'!$D$7+'Owner Input'!$D$8</f>
        <v>700000</v>
      </c>
      <c r="E9" s="86">
        <f>+'Owner Input'!$J$19*12</f>
        <v>360000</v>
      </c>
      <c r="F9" s="86">
        <f>IF('M2M Analytics'!$B$21=1,Analysis!O9,Analysis!P9)</f>
        <v>414375</v>
      </c>
      <c r="G9" s="86">
        <f>+'Owner Input'!$J$19/'Owner Input'!$I$19</f>
        <v>300</v>
      </c>
      <c r="H9" s="100" t="s">
        <v>107</v>
      </c>
      <c r="O9" s="5">
        <f>+'Owner Input'!$J$19*12</f>
        <v>360000</v>
      </c>
      <c r="P9" s="5">
        <f>ROUND((P15-P11-P12-P13)/(1-G10),0)</f>
        <v>414375</v>
      </c>
    </row>
    <row r="10" spans="1:16" ht="12.75">
      <c r="A10" s="83" t="s">
        <v>32</v>
      </c>
      <c r="B10" s="78"/>
      <c r="C10" s="87">
        <f>+-'Owner Input'!$C$12</f>
        <v>-12000</v>
      </c>
      <c r="D10" s="145">
        <f>-'Owner Input'!$D$12</f>
        <v>-12000</v>
      </c>
      <c r="E10" s="87">
        <f>+D10</f>
        <v>-12000</v>
      </c>
      <c r="F10" s="87">
        <f>IF('M2M Analytics'!$B$21=1,Analysis!O10,Analysis!P10)</f>
        <v>-33776</v>
      </c>
      <c r="G10" s="88">
        <v>0.07</v>
      </c>
      <c r="H10" s="100" t="s">
        <v>137</v>
      </c>
      <c r="O10" s="4">
        <f>-ROUND(O$9*G10,0)</f>
        <v>-25200</v>
      </c>
      <c r="P10" s="4">
        <f>+P15-P11-P13-P9</f>
        <v>-33776</v>
      </c>
    </row>
    <row r="11" spans="1:16" ht="12.75">
      <c r="A11" s="83" t="s">
        <v>100</v>
      </c>
      <c r="B11" s="78"/>
      <c r="C11" s="87">
        <f>+'Owner Input'!$C$9</f>
        <v>30000</v>
      </c>
      <c r="D11" s="145">
        <f>+'Owner Input'!$D$9</f>
        <v>30000</v>
      </c>
      <c r="E11" s="87">
        <f>ROUND(D11*(1+'M2M Analytics'!$J$12),0)</f>
        <v>31801</v>
      </c>
      <c r="F11" s="87">
        <f>IF('M2M Analytics'!$B$21=1,Analysis!O11,Analysis!P11)</f>
        <v>31801</v>
      </c>
      <c r="G11" s="89"/>
      <c r="H11" s="116"/>
      <c r="O11" s="3">
        <f>+E11</f>
        <v>31801</v>
      </c>
      <c r="P11" s="3">
        <f>+O11</f>
        <v>31801</v>
      </c>
    </row>
    <row r="12" spans="1:16" ht="12.75">
      <c r="A12" s="83" t="s">
        <v>99</v>
      </c>
      <c r="B12" s="78"/>
      <c r="C12" s="87">
        <f>+-'Owner Input'!$C$13</f>
        <v>-3000</v>
      </c>
      <c r="D12" s="145">
        <f>-'Owner Input'!$D$13</f>
        <v>-3000</v>
      </c>
      <c r="E12" s="87">
        <f>-ROUND(E11*$G$12,0)</f>
        <v>-4770</v>
      </c>
      <c r="F12" s="87">
        <f>IF('M2M Analytics'!$B$21=1,Analysis!O12,Analysis!P12)</f>
        <v>-4770</v>
      </c>
      <c r="G12" s="88">
        <v>0.15</v>
      </c>
      <c r="H12" s="100" t="s">
        <v>101</v>
      </c>
      <c r="O12" s="3">
        <f>-ROUND(O11*$G$12,0)</f>
        <v>-4770</v>
      </c>
      <c r="P12" s="3">
        <f>-ROUND(P11*$G$12,0)</f>
        <v>-4770</v>
      </c>
    </row>
    <row r="13" spans="1:16" ht="12.75">
      <c r="A13" s="83" t="s">
        <v>6</v>
      </c>
      <c r="B13" s="78"/>
      <c r="C13" s="87">
        <f>+'Owner Input'!$C$16</f>
        <v>7500</v>
      </c>
      <c r="D13" s="87">
        <f>+'Owner Input'!$D$16</f>
        <v>7500</v>
      </c>
      <c r="E13" s="87">
        <f>ROUND(D13*(1+'M2M Analytics'!$J$12),0)</f>
        <v>7950</v>
      </c>
      <c r="F13" s="87">
        <f>IF('M2M Analytics'!$B$21=1,Analysis!O13,Analysis!P13)</f>
        <v>7950</v>
      </c>
      <c r="G13" s="89"/>
      <c r="H13" s="116"/>
      <c r="O13" s="3">
        <f>+E13</f>
        <v>7950</v>
      </c>
      <c r="P13" s="3">
        <f>+O13</f>
        <v>7950</v>
      </c>
    </row>
    <row r="14" spans="1:16" ht="12.75">
      <c r="A14" s="101"/>
      <c r="B14" s="95"/>
      <c r="C14" s="96"/>
      <c r="D14" s="96"/>
      <c r="E14" s="96"/>
      <c r="F14" s="96" t="str">
        <f>IF('M2M Analytics'!$B$21=1,Analysis!O14,Analysis!P14)</f>
        <v> </v>
      </c>
      <c r="G14" s="119"/>
      <c r="H14" s="117"/>
      <c r="O14" s="3" t="s">
        <v>1</v>
      </c>
      <c r="P14" s="3" t="s">
        <v>1</v>
      </c>
    </row>
    <row r="15" spans="1:16" ht="12.75">
      <c r="A15" s="83" t="s">
        <v>7</v>
      </c>
      <c r="B15" s="78"/>
      <c r="C15" s="86">
        <f>SUM(C9:C14)</f>
        <v>722500</v>
      </c>
      <c r="D15" s="86">
        <f>SUM(D9:D14)</f>
        <v>722500</v>
      </c>
      <c r="E15" s="86">
        <f>SUM(E9:E14)</f>
        <v>382981</v>
      </c>
      <c r="F15" s="86">
        <f>IF('M2M Analytics'!$B$21=1,Analysis!O15,Analysis!P15)</f>
        <v>420350</v>
      </c>
      <c r="G15" s="89"/>
      <c r="H15" s="116"/>
      <c r="O15" s="5">
        <f>SUM(O9:O14)</f>
        <v>369781</v>
      </c>
      <c r="P15" s="10">
        <f>SUM(P16:P23)</f>
        <v>420350</v>
      </c>
    </row>
    <row r="16" spans="1:16" ht="12.75">
      <c r="A16" s="101"/>
      <c r="B16" s="95"/>
      <c r="C16" s="96"/>
      <c r="D16" s="96"/>
      <c r="E16" s="96"/>
      <c r="F16" s="96" t="str">
        <f>IF('M2M Analytics'!$B$21=1,Analysis!O16,Analysis!P16)</f>
        <v> </v>
      </c>
      <c r="G16" s="119"/>
      <c r="H16" s="117"/>
      <c r="O16" s="3" t="s">
        <v>1</v>
      </c>
      <c r="P16" s="3" t="s">
        <v>1</v>
      </c>
    </row>
    <row r="17" spans="1:16" ht="12.75">
      <c r="A17" s="83" t="str">
        <f>+'Owner Input'!B18</f>
        <v>Total Administrative Expenses</v>
      </c>
      <c r="B17" s="78"/>
      <c r="C17" s="87">
        <f>+'Owner Input'!C18</f>
        <v>100000</v>
      </c>
      <c r="D17" s="87">
        <f>+'Owner Input'!D18</f>
        <v>100000</v>
      </c>
      <c r="E17" s="87">
        <f>ROUND(D17*(1+'M2M Analytics'!$J$15),0)</f>
        <v>106004</v>
      </c>
      <c r="F17" s="87">
        <f>IF('M2M Analytics'!$B$21=1,Analysis!O17,Analysis!P17)</f>
        <v>106004</v>
      </c>
      <c r="G17" s="121"/>
      <c r="H17" s="116"/>
      <c r="O17" s="3">
        <f>+E17</f>
        <v>106004</v>
      </c>
      <c r="P17" s="3">
        <f>+O17</f>
        <v>106004</v>
      </c>
    </row>
    <row r="18" spans="1:16" ht="12.75">
      <c r="A18" s="83" t="str">
        <f>+'Owner Input'!B19</f>
        <v>Total Utilities Expense</v>
      </c>
      <c r="B18" s="78"/>
      <c r="C18" s="87">
        <f>+'Owner Input'!C19</f>
        <v>30000</v>
      </c>
      <c r="D18" s="87">
        <f>+'Owner Input'!D19</f>
        <v>30000</v>
      </c>
      <c r="E18" s="87">
        <f>ROUND(D18*(1+'M2M Analytics'!$J$15),0)</f>
        <v>31801</v>
      </c>
      <c r="F18" s="87">
        <f>IF('M2M Analytics'!$B$21=1,Analysis!O18,Analysis!P18)</f>
        <v>31801</v>
      </c>
      <c r="G18" s="121"/>
      <c r="H18" s="116"/>
      <c r="O18" s="3">
        <f>+E18</f>
        <v>31801</v>
      </c>
      <c r="P18" s="3">
        <f>+O18</f>
        <v>31801</v>
      </c>
    </row>
    <row r="19" spans="1:16" ht="12.75">
      <c r="A19" s="83" t="str">
        <f>+'Owner Input'!B20</f>
        <v>Total Operating &amp; Maintenance</v>
      </c>
      <c r="B19" s="78"/>
      <c r="C19" s="87">
        <f>+'Owner Input'!C20</f>
        <v>110000</v>
      </c>
      <c r="D19" s="87">
        <f>+'Owner Input'!D20</f>
        <v>110000</v>
      </c>
      <c r="E19" s="87">
        <f>ROUND(D19*(1+'M2M Analytics'!$J$15),0)</f>
        <v>116605</v>
      </c>
      <c r="F19" s="87">
        <f>IF('M2M Analytics'!$B$21=1,Analysis!O19,Analysis!P19)</f>
        <v>116605</v>
      </c>
      <c r="G19" s="121"/>
      <c r="H19" s="116"/>
      <c r="O19" s="3">
        <f>+E19</f>
        <v>116605</v>
      </c>
      <c r="P19" s="3">
        <f>+O19</f>
        <v>116605</v>
      </c>
    </row>
    <row r="20" spans="1:16" ht="12.75">
      <c r="A20" s="83" t="str">
        <f>+'Owner Input'!B21</f>
        <v>Total Taxes and Insurance</v>
      </c>
      <c r="B20" s="78"/>
      <c r="C20" s="87">
        <f>+'Owner Input'!C21</f>
        <v>80000</v>
      </c>
      <c r="D20" s="87">
        <f>+'Owner Input'!D21</f>
        <v>80000</v>
      </c>
      <c r="E20" s="87">
        <f>ROUND(D20*(1+'M2M Analytics'!$J$15),0)</f>
        <v>84803</v>
      </c>
      <c r="F20" s="87">
        <f>IF('M2M Analytics'!$B$21=1,Analysis!O20,Analysis!P20)</f>
        <v>84803</v>
      </c>
      <c r="G20" s="88"/>
      <c r="H20" s="100"/>
      <c r="O20" s="3">
        <f>+E20</f>
        <v>84803</v>
      </c>
      <c r="P20" s="4">
        <f>+O20</f>
        <v>84803</v>
      </c>
    </row>
    <row r="21" spans="1:16" ht="12.75">
      <c r="A21" s="83" t="s">
        <v>8</v>
      </c>
      <c r="B21" s="78"/>
      <c r="C21" s="87">
        <f>+'Owner Input'!$C$27</f>
        <v>25000</v>
      </c>
      <c r="D21" s="87">
        <f>+'Owner Input'!$D$27</f>
        <v>25000</v>
      </c>
      <c r="E21" s="87">
        <f>ROUND(D21*(1+'M2M Analytics'!$J$15),0)</f>
        <v>26501</v>
      </c>
      <c r="F21" s="87">
        <f>IF('M2M Analytics'!$B$21=1,Analysis!O21,Analysis!P21)</f>
        <v>50000</v>
      </c>
      <c r="G21" s="122"/>
      <c r="H21" s="116"/>
      <c r="O21" s="3">
        <f>+'Owner Input'!$G$24*'Owner Input'!$I$19</f>
        <v>50000</v>
      </c>
      <c r="P21" s="3">
        <f>+O21</f>
        <v>50000</v>
      </c>
    </row>
    <row r="22" spans="1:16" ht="12.75">
      <c r="A22" s="101"/>
      <c r="B22" s="95"/>
      <c r="C22" s="96"/>
      <c r="D22" s="96"/>
      <c r="E22" s="96"/>
      <c r="F22" s="96" t="str">
        <f>IF('M2M Analytics'!$B$21=1,Analysis!O22,Analysis!P22)</f>
        <v> </v>
      </c>
      <c r="G22" s="119"/>
      <c r="H22" s="117"/>
      <c r="O22" s="3" t="s">
        <v>1</v>
      </c>
      <c r="P22" s="3" t="s">
        <v>1</v>
      </c>
    </row>
    <row r="23" spans="1:23" ht="12.75">
      <c r="A23" s="83" t="s">
        <v>109</v>
      </c>
      <c r="B23" s="78"/>
      <c r="C23" s="86">
        <f>C15-SUM(C16:C22)</f>
        <v>377500</v>
      </c>
      <c r="D23" s="86">
        <f>D15-SUM(D16:D22)</f>
        <v>377500</v>
      </c>
      <c r="E23" s="86">
        <f>E15-SUM(E16:E22)</f>
        <v>17267</v>
      </c>
      <c r="F23" s="86">
        <f>IF('M2M Analytics'!$B$21=1,Analysis!O23,Analysis!P23)</f>
        <v>31137</v>
      </c>
      <c r="G23" s="89"/>
      <c r="H23" s="116"/>
      <c r="N23" s="22"/>
      <c r="O23" s="5">
        <f>O15-SUM(O16:O22)</f>
        <v>-19432</v>
      </c>
      <c r="P23" s="5">
        <f>ROUND('M2M Analytics'!B18*SUM(P16:P22),0)</f>
        <v>31137</v>
      </c>
      <c r="V23" s="6"/>
      <c r="W23" s="6"/>
    </row>
    <row r="24" spans="1:23" ht="12.75">
      <c r="A24" s="101"/>
      <c r="B24" s="95"/>
      <c r="C24" s="96"/>
      <c r="D24" s="96"/>
      <c r="E24" s="96"/>
      <c r="F24" s="96" t="str">
        <f>IF('M2M Analytics'!$B$21=1,Analysis!O24,Analysis!P24)</f>
        <v> </v>
      </c>
      <c r="G24" s="95"/>
      <c r="H24" s="102"/>
      <c r="N24" s="8"/>
      <c r="O24" s="3" t="s">
        <v>1</v>
      </c>
      <c r="P24" s="3" t="s">
        <v>1</v>
      </c>
      <c r="T24" s="6"/>
      <c r="U24" s="9"/>
      <c r="V24" s="6"/>
      <c r="W24" s="6"/>
    </row>
    <row r="25" spans="1:16" ht="12.75">
      <c r="A25" s="83" t="s">
        <v>9</v>
      </c>
      <c r="B25" s="78"/>
      <c r="C25" s="87">
        <f>+'Owner Input'!$C$23+'Owner Input'!$C$26</f>
        <v>322000</v>
      </c>
      <c r="D25" s="87">
        <f>+'Owner Input'!$D$23+'Owner Input'!$D$26</f>
        <v>322000</v>
      </c>
      <c r="E25" s="87">
        <f>+D25</f>
        <v>322000</v>
      </c>
      <c r="F25" s="87">
        <f>IF('M2M Analytics'!$B$21=1,Analysis!O25,Analysis!P25)</f>
        <v>0</v>
      </c>
      <c r="G25" s="90" t="str">
        <f>IF(O25=0,"n/a",O23/O25)</f>
        <v>n/a</v>
      </c>
      <c r="H25" s="100" t="s">
        <v>66</v>
      </c>
      <c r="N25" s="22"/>
      <c r="O25" s="22">
        <f>IF(O23&gt;='M2M Analytics'!B7,E25,IF(O23&gt;='M2M Analytics'!B15,'M2M Analytics'!B12,IF('M2M Analytics'!B25=0,0,'M2M Analytics'!B32)))</f>
        <v>0</v>
      </c>
      <c r="P25" s="3">
        <v>0</v>
      </c>
    </row>
    <row r="26" spans="1:21" ht="12.75">
      <c r="A26" s="83" t="s">
        <v>10</v>
      </c>
      <c r="B26" s="78"/>
      <c r="C26" s="87">
        <f>+'Owner Input'!$C$24</f>
        <v>15000</v>
      </c>
      <c r="D26" s="87">
        <f>+'Owner Input'!$D$24</f>
        <v>15000</v>
      </c>
      <c r="E26" s="87">
        <f>+D26</f>
        <v>15000</v>
      </c>
      <c r="F26" s="87">
        <f>IF('M2M Analytics'!$B$21=1,Analysis!O26,Analysis!P26)</f>
        <v>0</v>
      </c>
      <c r="G26" s="78"/>
      <c r="H26" s="116"/>
      <c r="N26" s="22"/>
      <c r="O26" s="22">
        <f>IF(O25=E25,D33*'M2M Analytics'!$L$19,IF(O25='M2M Analytics'!B12,'M2M Analytics'!B13-'M2M Analytics'!B12,IF('M2M Analytics'!B25=0,0,O34*'M2M Analytics'!$L$19)))</f>
        <v>0</v>
      </c>
      <c r="P26" s="3">
        <v>0</v>
      </c>
      <c r="U26" s="20"/>
    </row>
    <row r="27" spans="1:21" ht="12.75">
      <c r="A27" s="154" t="s">
        <v>83</v>
      </c>
      <c r="B27" s="155"/>
      <c r="C27" s="87">
        <v>0</v>
      </c>
      <c r="D27" s="146">
        <v>0</v>
      </c>
      <c r="E27" s="78">
        <v>0</v>
      </c>
      <c r="F27" s="91">
        <f>IF('M2M Analytics'!$B$21=1,Analysis!O27,Analysis!P27)</f>
        <v>12611</v>
      </c>
      <c r="G27" s="88">
        <v>0.03</v>
      </c>
      <c r="H27" s="100" t="s">
        <v>84</v>
      </c>
      <c r="N27" s="22"/>
      <c r="O27" s="22">
        <f>IF(O25=E25,0,IF(O25='M2M Analytics'!$B$12,0,ROUND(Analysis!O15*Analysis!$G$27,0)))</f>
        <v>11093</v>
      </c>
      <c r="P27" s="22">
        <f>ROUND($G$27*P15,0)</f>
        <v>12611</v>
      </c>
      <c r="U27" s="20"/>
    </row>
    <row r="28" spans="1:21" ht="12.75">
      <c r="A28" s="83" t="s">
        <v>85</v>
      </c>
      <c r="B28" s="78"/>
      <c r="C28" s="87">
        <v>0</v>
      </c>
      <c r="D28" s="87">
        <v>0</v>
      </c>
      <c r="E28" s="78">
        <v>0</v>
      </c>
      <c r="F28" s="91">
        <f>IF('M2M Analytics'!$B$21=1,Analysis!O28,Analysis!P28)</f>
        <v>13895</v>
      </c>
      <c r="G28" s="92">
        <v>0.75</v>
      </c>
      <c r="H28" s="100" t="s">
        <v>11</v>
      </c>
      <c r="N28" s="22"/>
      <c r="O28" s="22" t="str">
        <f>IF(O25=E25,0,IF(O25='M2M Analytics'!B12,0,IF('M2M Analytics'!B21=0,'M2M Analytics'!B70,ROUND((O23-O25-O26-O27)*G28,0))))</f>
        <v>Needs Exc Rents</v>
      </c>
      <c r="P28" s="3">
        <f>ROUND((P23-P25-P26-P27)*G28,0)</f>
        <v>13895</v>
      </c>
      <c r="U28" s="20"/>
    </row>
    <row r="29" spans="1:16" ht="12.75">
      <c r="A29" s="101"/>
      <c r="B29" s="95"/>
      <c r="C29" s="96"/>
      <c r="D29" s="96"/>
      <c r="E29" s="96"/>
      <c r="F29" s="96" t="str">
        <f>IF('M2M Analytics'!$B$21=1,Analysis!O29,Analysis!P29)</f>
        <v> </v>
      </c>
      <c r="G29" s="119"/>
      <c r="H29" s="102"/>
      <c r="N29" s="22"/>
      <c r="O29" s="3" t="s">
        <v>1</v>
      </c>
      <c r="P29" s="3" t="s">
        <v>1</v>
      </c>
    </row>
    <row r="30" spans="1:16" ht="12.75">
      <c r="A30" s="83" t="s">
        <v>135</v>
      </c>
      <c r="B30" s="78"/>
      <c r="C30" s="86">
        <f>C23-SUM(C24:C29)</f>
        <v>40500</v>
      </c>
      <c r="D30" s="86">
        <f>D23-SUM(D24:D29)</f>
        <v>40500</v>
      </c>
      <c r="E30" s="86">
        <f>E23-SUM(E24:E29)</f>
        <v>-319733</v>
      </c>
      <c r="F30" s="93">
        <f>IF('M2M Analytics'!$B$21=1,Analysis!O30,Analysis!P30)</f>
        <v>4631</v>
      </c>
      <c r="G30" s="89"/>
      <c r="H30" s="116"/>
      <c r="O30" s="50" t="str">
        <f>IF('M2M Analytics'!B21=0,'M2M Analytics'!B70,O23-SUM(O24:O29))</f>
        <v>Needs Exc Rents</v>
      </c>
      <c r="P30" s="5">
        <f>P23-SUM(P24:P29)</f>
        <v>4631</v>
      </c>
    </row>
    <row r="31" spans="1:16" ht="12.75">
      <c r="A31" s="154" t="s">
        <v>142</v>
      </c>
      <c r="B31" s="78"/>
      <c r="C31" s="156">
        <f>MAX(0,MIN(C30,'Owner Input'!$C$36))</f>
        <v>14500</v>
      </c>
      <c r="D31" s="156">
        <f>MAX(0,MIN(D30,'Owner Input'!$D$36))</f>
        <v>14500</v>
      </c>
      <c r="E31" s="156">
        <f>MAX(0,MIN(E30,'Owner Input'!$D$36))</f>
        <v>0</v>
      </c>
      <c r="F31" s="157">
        <f>+F30+F27</f>
        <v>17242</v>
      </c>
      <c r="G31" s="158" t="s">
        <v>136</v>
      </c>
      <c r="H31" s="116"/>
      <c r="O31" s="50"/>
      <c r="P31" s="5"/>
    </row>
    <row r="32" spans="1:16" ht="12.75">
      <c r="A32" s="101"/>
      <c r="B32" s="95"/>
      <c r="C32" s="96"/>
      <c r="D32" s="96"/>
      <c r="E32" s="96"/>
      <c r="F32" s="96" t="str">
        <f>IF('M2M Analytics'!$B$21=1,Analysis!O32,Analysis!P32)</f>
        <v> </v>
      </c>
      <c r="G32" s="119"/>
      <c r="H32" s="117"/>
      <c r="O32" s="7" t="s">
        <v>1</v>
      </c>
      <c r="P32" s="7" t="s">
        <v>1</v>
      </c>
    </row>
    <row r="33" spans="1:16" ht="12.75">
      <c r="A33" s="83" t="s">
        <v>12</v>
      </c>
      <c r="B33" s="78"/>
      <c r="C33" s="86">
        <f>+'Owner Input'!$C$31+'Owner Input'!$C$32</f>
        <v>3002500</v>
      </c>
      <c r="D33" s="86">
        <f>+'Owner Input'!$D$31+'Owner Input'!$D$32</f>
        <v>3002500</v>
      </c>
      <c r="E33" s="94"/>
      <c r="F33" s="93" t="str">
        <f>IF('M2M Analytics'!$B$21=1,Analysis!O33,Analysis!P33)</f>
        <v>Full Claim Paid</v>
      </c>
      <c r="G33" s="89"/>
      <c r="H33" s="116"/>
      <c r="I33" s="5"/>
      <c r="J33" s="5"/>
      <c r="K33" s="5"/>
      <c r="L33" s="5"/>
      <c r="M33" s="5"/>
      <c r="N33" s="5"/>
      <c r="O33" s="50" t="str">
        <f>IF(O25=E25,"Remains in place",IF(O25='M2M Analytics'!B12,"Refinanced",IF('M2M Analytics'!$B$21=0,'M2M Analytics'!$B$70,"Restructured")))</f>
        <v>Needs Exc Rents</v>
      </c>
      <c r="P33" s="50" t="s">
        <v>102</v>
      </c>
    </row>
    <row r="34" spans="1:16" ht="13.5" thickBot="1">
      <c r="A34" s="103" t="s">
        <v>145</v>
      </c>
      <c r="B34" s="104"/>
      <c r="C34" s="147"/>
      <c r="D34" s="147"/>
      <c r="E34" s="105"/>
      <c r="F34" s="106" t="str">
        <f>IF('M2M Analytics'!$B$21=1,Analysis!O34,Analysis!P34)</f>
        <v>None Supportable</v>
      </c>
      <c r="G34" s="120"/>
      <c r="H34" s="118"/>
      <c r="I34" s="5"/>
      <c r="J34" s="5"/>
      <c r="K34" s="5"/>
      <c r="L34" s="5"/>
      <c r="M34" s="5"/>
      <c r="N34" s="5"/>
      <c r="O34" s="50" t="str">
        <f>IF(O25=E25,"OMHAR-Lite",IF('M2M Analytics'!B21=0,'M2M Analytics'!B70,IF('M2M Analytics'!B25=0,P34,PV('M2M Analytics'!$L$18/12,'M2M Analytics'!L20*12,-O25/12))))</f>
        <v>Needs Exc Rents</v>
      </c>
      <c r="P34" s="51" t="s">
        <v>68</v>
      </c>
    </row>
    <row r="35" spans="5:16" ht="12.75">
      <c r="E35" s="5"/>
      <c r="G35" s="6"/>
      <c r="O35" s="5"/>
      <c r="P35" s="6"/>
    </row>
    <row r="36" spans="3:15" ht="13.5" thickBot="1">
      <c r="C36" s="23"/>
      <c r="E36" s="24"/>
      <c r="H36" s="26"/>
      <c r="O36" s="25"/>
    </row>
    <row r="37" spans="1:8" ht="18.75" thickBot="1">
      <c r="A37" s="165" t="str">
        <f>"Indicated Result: "&amp;IF(O25=E25,"OMHAR-Lite",IF(O25='M2M Analytics'!$B$12,"Refinance Outside M2M",IF(Analysis!O23&lt;'M2M Analytics'!$B$19,"Restructure at Exception Rents","Restructure at Market Rents")))</f>
        <v>Indicated Result: Restructure at Exception Rents</v>
      </c>
      <c r="B37" s="166"/>
      <c r="C37" s="166"/>
      <c r="D37" s="166"/>
      <c r="E37" s="166"/>
      <c r="F37" s="166"/>
      <c r="G37" s="166"/>
      <c r="H37" s="167"/>
    </row>
    <row r="50" spans="28:30" ht="12.75">
      <c r="AB50" s="19"/>
      <c r="AD50" s="17"/>
    </row>
  </sheetData>
  <sheetProtection sheet="1" objects="1" scenarios="1"/>
  <mergeCells count="1">
    <mergeCell ref="A37:H37"/>
  </mergeCells>
  <printOptions/>
  <pageMargins left="0.5" right="0.5" top="0.5" bottom="0.75" header="0.5" footer="0.5"/>
  <pageSetup blackAndWhite="1" fitToHeight="1" fitToWidth="1" horizontalDpi="600" verticalDpi="600" orientation="landscape" scale="94" r:id="rId1"/>
  <headerFooter alignWithMargins="0">
    <oddFooter>&amp;L&amp;F &amp;A&amp;CSee disclaimer on cover page&amp;R&amp;D &amp;T</oddFooter>
  </headerFooter>
</worksheet>
</file>

<file path=xl/worksheets/sheet6.xml><?xml version="1.0" encoding="utf-8"?>
<worksheet xmlns="http://schemas.openxmlformats.org/spreadsheetml/2006/main" xmlns:r="http://schemas.openxmlformats.org/officeDocument/2006/relationships">
  <sheetPr codeName="Sheet7"/>
  <dimension ref="A1:M70"/>
  <sheetViews>
    <sheetView showGridLines="0" zoomScale="75" zoomScaleNormal="75" workbookViewId="0" topLeftCell="A1">
      <selection activeCell="A1" sqref="A1"/>
    </sheetView>
  </sheetViews>
  <sheetFormatPr defaultColWidth="9.140625" defaultRowHeight="12.75"/>
  <cols>
    <col min="1" max="1" width="3.28125" style="0" customWidth="1"/>
    <col min="2" max="2" width="12.421875" style="0" customWidth="1"/>
    <col min="6" max="6" width="11.28125" style="0" customWidth="1"/>
    <col min="7" max="7" width="9.28125" style="0" bestFit="1" customWidth="1"/>
    <col min="8" max="8" width="10.140625" style="0" bestFit="1" customWidth="1"/>
    <col min="12" max="12" width="11.57421875" style="0" customWidth="1"/>
  </cols>
  <sheetData>
    <row r="1" spans="1:12" s="2" customFormat="1" ht="18">
      <c r="A1" s="2" t="s">
        <v>82</v>
      </c>
      <c r="K1" s="31">
        <f>+'Owner Input'!$I$19</f>
        <v>100</v>
      </c>
      <c r="L1" s="32" t="s">
        <v>0</v>
      </c>
    </row>
    <row r="2" spans="1:13" s="2" customFormat="1" ht="18">
      <c r="A2" s="2" t="str">
        <f>+'Owner Input'!$H$4</f>
        <v>Sample Property</v>
      </c>
      <c r="M2" s="123" t="str">
        <f>+'Owner Input'!$H$5</f>
        <v>Average Town, Any State</v>
      </c>
    </row>
    <row r="4" spans="2:6" ht="12.75">
      <c r="B4" s="3"/>
      <c r="C4" s="3"/>
      <c r="D4" s="3"/>
      <c r="E4" s="3"/>
      <c r="F4" s="3"/>
    </row>
    <row r="5" spans="2:9" ht="12.75">
      <c r="B5" s="27" t="s">
        <v>77</v>
      </c>
      <c r="C5" s="3"/>
      <c r="D5" s="3"/>
      <c r="E5" s="58" t="str">
        <f>IF(Analysis!O23&gt;='M2M Analytics'!B7,"Works as an OMHAR-Lite","Not Eligible for OMHAR-Lite")</f>
        <v>Not Eligible for OMHAR-Lite</v>
      </c>
      <c r="F5" s="3"/>
      <c r="I5" s="1" t="s">
        <v>117</v>
      </c>
    </row>
    <row r="6" spans="2:12" ht="12.75">
      <c r="B6" s="107">
        <v>1.1</v>
      </c>
      <c r="C6" s="3" t="s">
        <v>86</v>
      </c>
      <c r="D6" s="3"/>
      <c r="E6" s="3"/>
      <c r="F6" s="3"/>
      <c r="I6" s="135" t="s">
        <v>118</v>
      </c>
      <c r="J6" s="8"/>
      <c r="L6" s="74">
        <v>37622</v>
      </c>
    </row>
    <row r="7" spans="2:12" ht="12.75">
      <c r="B7" s="86">
        <f>+(Analysis!D25+Analysis!D26)*B6</f>
        <v>370700.00000000006</v>
      </c>
      <c r="C7" s="3" t="s">
        <v>87</v>
      </c>
      <c r="D7" s="3"/>
      <c r="E7" s="3"/>
      <c r="F7" s="3"/>
      <c r="I7" s="135" t="s">
        <v>119</v>
      </c>
      <c r="L7" s="55">
        <f>('M2M Analytics'!L6+365-'Owner Input'!I21)/365.25*12</f>
        <v>24.016427104722794</v>
      </c>
    </row>
    <row r="8" spans="2:10" ht="12.75">
      <c r="B8" s="3"/>
      <c r="C8" s="3"/>
      <c r="D8" s="3"/>
      <c r="E8" s="3"/>
      <c r="F8" s="3"/>
      <c r="J8" s="8" t="s">
        <v>57</v>
      </c>
    </row>
    <row r="9" spans="2:6" ht="12.75">
      <c r="B9" s="27" t="s">
        <v>78</v>
      </c>
      <c r="C9" s="3"/>
      <c r="D9" s="3"/>
      <c r="E9" s="58" t="str">
        <f>IF(Analysis!$O$23&gt;='M2M Analytics'!B15,"Refinance is Feasible","Refinance is not Feasible")</f>
        <v>Refinance is not Feasible</v>
      </c>
      <c r="F9" s="3"/>
    </row>
    <row r="10" spans="2:9" ht="12.75">
      <c r="B10" s="92">
        <v>0.05</v>
      </c>
      <c r="C10" s="3" t="s">
        <v>88</v>
      </c>
      <c r="D10" s="3"/>
      <c r="E10" s="3"/>
      <c r="F10" s="3"/>
      <c r="I10" s="1" t="s">
        <v>114</v>
      </c>
    </row>
    <row r="11" spans="2:13" ht="12.75">
      <c r="B11" s="86">
        <f>+Analysis!D33*(1+B10)</f>
        <v>3152625</v>
      </c>
      <c r="C11" s="3" t="s">
        <v>76</v>
      </c>
      <c r="D11" s="3"/>
      <c r="E11" s="3"/>
      <c r="F11" s="3"/>
      <c r="I11" s="8" t="s">
        <v>115</v>
      </c>
      <c r="J11" s="8"/>
      <c r="L11" s="75">
        <v>0.03</v>
      </c>
      <c r="M11" s="8" t="s">
        <v>56</v>
      </c>
    </row>
    <row r="12" spans="2:13" ht="12.75">
      <c r="B12" s="86">
        <f>-12*PMT('M2M Analytics'!$L$18/12,'M2M Analytics'!$L$20*12,B11)</f>
        <v>239120.8143077414</v>
      </c>
      <c r="C12" s="3" t="s">
        <v>75</v>
      </c>
      <c r="D12" s="3"/>
      <c r="E12" s="3"/>
      <c r="F12" s="57">
        <f>+B12/B11</f>
        <v>0.07584816281915592</v>
      </c>
      <c r="G12" t="s">
        <v>94</v>
      </c>
      <c r="J12" s="16">
        <f>+L11*'M2M Analytics'!$L$7/12</f>
        <v>0.06004106776180698</v>
      </c>
      <c r="K12" s="8" t="s">
        <v>69</v>
      </c>
      <c r="L12" s="18">
        <f>+'M2M Analytics'!$L$7</f>
        <v>24.016427104722794</v>
      </c>
      <c r="M12" s="8" t="s">
        <v>30</v>
      </c>
    </row>
    <row r="13" spans="2:7" ht="12.75">
      <c r="B13" s="86">
        <f>+B12+B11*'M2M Analytics'!$L$19</f>
        <v>254883.9393077414</v>
      </c>
      <c r="C13" s="3" t="s">
        <v>120</v>
      </c>
      <c r="D13" s="6"/>
      <c r="E13" s="3"/>
      <c r="F13" s="57">
        <f>+B13/B11</f>
        <v>0.08084816281915591</v>
      </c>
      <c r="G13" t="s">
        <v>95</v>
      </c>
    </row>
    <row r="14" spans="2:13" ht="12.75">
      <c r="B14" s="107">
        <v>1.17</v>
      </c>
      <c r="C14" s="3" t="s">
        <v>73</v>
      </c>
      <c r="D14" s="3"/>
      <c r="E14" s="3"/>
      <c r="F14" s="21"/>
      <c r="I14" s="8" t="s">
        <v>116</v>
      </c>
      <c r="J14" s="8"/>
      <c r="L14" s="75">
        <v>0.03</v>
      </c>
      <c r="M14" s="8" t="s">
        <v>56</v>
      </c>
    </row>
    <row r="15" spans="2:13" ht="12.75">
      <c r="B15" s="86">
        <f>+B12*B14</f>
        <v>279771.35274005745</v>
      </c>
      <c r="C15" s="3" t="s">
        <v>89</v>
      </c>
      <c r="D15" s="3"/>
      <c r="E15" s="3"/>
      <c r="F15" s="21"/>
      <c r="J15" s="16">
        <f>+L14*'M2M Analytics'!$L$7/12</f>
        <v>0.06004106776180698</v>
      </c>
      <c r="K15" s="8" t="s">
        <v>69</v>
      </c>
      <c r="L15" s="18">
        <f>+'M2M Analytics'!$L$7</f>
        <v>24.016427104722794</v>
      </c>
      <c r="M15" s="8" t="s">
        <v>30</v>
      </c>
    </row>
    <row r="16" spans="2:6" ht="12.75">
      <c r="B16" s="3"/>
      <c r="C16" s="3"/>
      <c r="D16" s="3"/>
      <c r="E16" s="3"/>
      <c r="F16" s="3"/>
    </row>
    <row r="17" spans="2:13" ht="12.75">
      <c r="B17" s="27" t="s">
        <v>79</v>
      </c>
      <c r="C17" s="3"/>
      <c r="D17" s="3"/>
      <c r="E17" s="58" t="str">
        <f>IF(Analysis!$O$23&lt;'M2M Analytics'!B19,"Needs Exception Rents",IF(B30&lt;'M2M Analytics'!B24,"Market Restructure With Full Claim","Market Restructure With Partial Claim"))</f>
        <v>Needs Exception Rents</v>
      </c>
      <c r="F17" s="3"/>
      <c r="I17" s="1" t="s">
        <v>61</v>
      </c>
      <c r="J17" s="8"/>
      <c r="K17" s="8"/>
      <c r="L17" s="8"/>
      <c r="M17" s="8"/>
    </row>
    <row r="18" spans="2:12" ht="12.75">
      <c r="B18" s="88">
        <v>0.08</v>
      </c>
      <c r="C18" s="3" t="s">
        <v>90</v>
      </c>
      <c r="D18" s="3"/>
      <c r="E18" s="3"/>
      <c r="F18" s="3"/>
      <c r="I18" s="8"/>
      <c r="J18" s="8" t="s">
        <v>62</v>
      </c>
      <c r="L18" s="75">
        <v>0.065</v>
      </c>
    </row>
    <row r="19" spans="2:12" ht="12.75">
      <c r="B19" s="86">
        <f>SUM(Analysis!O16:O22)*B18</f>
        <v>31137.04</v>
      </c>
      <c r="C19" s="3" t="s">
        <v>90</v>
      </c>
      <c r="D19" s="3"/>
      <c r="E19" s="3"/>
      <c r="F19" s="3"/>
      <c r="I19" s="8"/>
      <c r="J19" s="136" t="s">
        <v>113</v>
      </c>
      <c r="L19" s="75">
        <v>0.005</v>
      </c>
    </row>
    <row r="20" spans="2:13" ht="12.75">
      <c r="B20" s="86">
        <f>+Analysis!O23-B19</f>
        <v>-50569.04</v>
      </c>
      <c r="C20" s="3" t="s">
        <v>91</v>
      </c>
      <c r="D20" s="3"/>
      <c r="E20" s="6"/>
      <c r="F20" s="3"/>
      <c r="J20" s="8" t="s">
        <v>63</v>
      </c>
      <c r="L20" s="76">
        <v>30</v>
      </c>
      <c r="M20" s="8" t="s">
        <v>31</v>
      </c>
    </row>
    <row r="21" spans="2:6" ht="12.75">
      <c r="B21" s="108">
        <f>IF(B20&gt;=0,1,0)</f>
        <v>0</v>
      </c>
      <c r="C21" s="3" t="s">
        <v>67</v>
      </c>
      <c r="D21" s="3"/>
      <c r="E21" s="6"/>
      <c r="F21" s="3"/>
    </row>
    <row r="22" spans="2:6" ht="12.75">
      <c r="B22" s="56"/>
      <c r="C22" s="3"/>
      <c r="D22" s="3"/>
      <c r="E22" s="6"/>
      <c r="F22" s="3"/>
    </row>
    <row r="23" spans="2:6" ht="12.75">
      <c r="B23" s="109">
        <v>250000</v>
      </c>
      <c r="C23" s="3" t="s">
        <v>93</v>
      </c>
      <c r="D23" s="3"/>
      <c r="E23" s="6"/>
      <c r="F23" s="3"/>
    </row>
    <row r="24" spans="2:6" ht="12.75">
      <c r="B24" s="110">
        <f>-12*PMT('M2M Analytics'!L18/12,'M2M Analytics'!L20*12,B23)</f>
        <v>18962.040704788982</v>
      </c>
      <c r="C24" s="3" t="s">
        <v>92</v>
      </c>
      <c r="D24" s="7"/>
      <c r="E24" s="8"/>
      <c r="F24" s="9"/>
    </row>
    <row r="25" spans="2:6" ht="12.75">
      <c r="B25" s="108">
        <f>IF(B20&gt;B24,1,0)</f>
        <v>0</v>
      </c>
      <c r="C25" s="3" t="s">
        <v>71</v>
      </c>
      <c r="D25" s="3"/>
      <c r="E25" s="3"/>
      <c r="F25" s="3"/>
    </row>
    <row r="26" spans="2:6" ht="12.75">
      <c r="B26" s="56"/>
      <c r="C26" s="3"/>
      <c r="D26" s="3"/>
      <c r="E26" s="3"/>
      <c r="F26" s="3"/>
    </row>
    <row r="27" spans="2:6" ht="12.75">
      <c r="B27" s="111">
        <v>1.2</v>
      </c>
      <c r="C27" s="3" t="s">
        <v>74</v>
      </c>
      <c r="D27" s="3"/>
      <c r="E27" s="3"/>
      <c r="F27" s="3"/>
    </row>
    <row r="28" spans="2:6" ht="12.75">
      <c r="B28" s="86">
        <f>+Analysis!O23/B27</f>
        <v>-16193.333333333334</v>
      </c>
      <c r="C28" s="3" t="s">
        <v>80</v>
      </c>
      <c r="D28" s="3"/>
      <c r="E28" s="3"/>
      <c r="F28" s="3"/>
    </row>
    <row r="29" spans="2:6" ht="12.75">
      <c r="B29" s="86">
        <f>+Analysis!O23-B19</f>
        <v>-50569.04</v>
      </c>
      <c r="C29" s="3" t="s">
        <v>81</v>
      </c>
      <c r="D29" s="3"/>
      <c r="E29" s="3"/>
      <c r="F29" s="3"/>
    </row>
    <row r="30" spans="2:6" ht="12.75">
      <c r="B30" s="86">
        <f>MIN(B29,B28)</f>
        <v>-50569.04</v>
      </c>
      <c r="C30" s="3" t="s">
        <v>103</v>
      </c>
      <c r="D30" s="3"/>
      <c r="E30" s="3"/>
      <c r="F30" s="3"/>
    </row>
    <row r="31" spans="2:7" ht="12.75">
      <c r="B31" s="86">
        <f>+B30/$F$13</f>
        <v>-625481.6218040063</v>
      </c>
      <c r="C31" s="3" t="s">
        <v>96</v>
      </c>
      <c r="E31" s="3"/>
      <c r="F31" s="57">
        <f>+F13</f>
        <v>0.08084816281915591</v>
      </c>
      <c r="G31" t="s">
        <v>95</v>
      </c>
    </row>
    <row r="32" spans="2:7" ht="12.75">
      <c r="B32" s="86">
        <f>+B31*F12</f>
        <v>-47441.631890979974</v>
      </c>
      <c r="C32" s="3" t="s">
        <v>97</v>
      </c>
      <c r="E32" s="3"/>
      <c r="F32" s="57">
        <f>+F12</f>
        <v>0.07584816281915592</v>
      </c>
      <c r="G32" t="str">
        <f>+G12</f>
        <v>P&amp;I constant</v>
      </c>
    </row>
    <row r="33" spans="2:3" ht="12.75">
      <c r="B33" s="86">
        <f>+B30-B32</f>
        <v>-3127.408109020027</v>
      </c>
      <c r="C33" s="3" t="s">
        <v>20</v>
      </c>
    </row>
    <row r="70" spans="2:3" ht="12.75">
      <c r="B70" s="73" t="s">
        <v>72</v>
      </c>
      <c r="C70" s="3" t="s">
        <v>70</v>
      </c>
    </row>
  </sheetData>
  <sheetProtection sheet="1" objects="1" scenarios="1"/>
  <printOptions/>
  <pageMargins left="0.5" right="0.5" top="0.5" bottom="1" header="0.5" footer="0.5"/>
  <pageSetup blackAndWhite="1" horizontalDpi="600" verticalDpi="600" orientation="landscape" r:id="rId1"/>
  <headerFooter alignWithMargins="0">
    <oddFooter>&amp;L&amp;F &amp;A&amp;CSee disclaimer on cover page&amp;R&amp;D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OMHAR</dc:creator>
  <cp:keywords/>
  <dc:description/>
  <cp:lastModifiedBy>A satisfied Microsoft Office User</cp:lastModifiedBy>
  <cp:lastPrinted>2002-10-11T19:24:48Z</cp:lastPrinted>
  <dcterms:created xsi:type="dcterms:W3CDTF">2002-09-23T15:18:18Z</dcterms:created>
  <dcterms:modified xsi:type="dcterms:W3CDTF">2002-10-17T16:25:01Z</dcterms:modified>
  <cp:category/>
  <cp:version/>
  <cp:contentType/>
  <cp:contentStatus/>
</cp:coreProperties>
</file>