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1325" windowHeight="6795" activeTab="0"/>
  </bookViews>
  <sheets>
    <sheet name="sift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{"'Sheet1'!$A$1:$L$64"}</definedName>
    <definedName name="HTML_Description" hidden="1">""</definedName>
    <definedName name="HTML_Email" hidden="1">""</definedName>
    <definedName name="HTML_Header" hidden="1">"Sheet1"</definedName>
    <definedName name="HTML_LastUpdate" hidden="1">"9/29/98"</definedName>
    <definedName name="HTML_LineAfter" hidden="1">FALSE</definedName>
    <definedName name="HTML_LineBefore" hidden="1">FALSE</definedName>
    <definedName name="HTML_Name" hidden="1">"Paul Grannis"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"sift.html"</definedName>
  </definedNames>
  <calcPr fullCalcOnLoad="1"/>
</workbook>
</file>

<file path=xl/sharedStrings.xml><?xml version="1.0" encoding="utf-8"?>
<sst xmlns="http://schemas.openxmlformats.org/spreadsheetml/2006/main" count="102" uniqueCount="69">
  <si>
    <t>SIFT min threshhold</t>
  </si>
  <si>
    <t>SIFT max threshhold</t>
  </si>
  <si>
    <t xml:space="preserve"> </t>
  </si>
  <si>
    <t>SIFT output gain</t>
  </si>
  <si>
    <t>SVX full scale cnts</t>
  </si>
  <si>
    <t xml:space="preserve">SIFT input noise             </t>
  </si>
  <si>
    <t>Lower desired thresh</t>
  </si>
  <si>
    <t>Higher desired thresh</t>
  </si>
  <si>
    <t>Input Constants</t>
  </si>
  <si>
    <t xml:space="preserve"> units</t>
  </si>
  <si>
    <t xml:space="preserve"> value</t>
  </si>
  <si>
    <t xml:space="preserve"> lowest SIFT thrsh</t>
  </si>
  <si>
    <t xml:space="preserve"> highest SIFT thrsh</t>
  </si>
  <si>
    <t xml:space="preserve"> Input charge high thrsh</t>
  </si>
  <si>
    <t xml:space="preserve"> Input charge low thrsh</t>
  </si>
  <si>
    <t xml:space="preserve"> fC/ pe</t>
  </si>
  <si>
    <t xml:space="preserve"> fC</t>
  </si>
  <si>
    <t>one pe</t>
  </si>
  <si>
    <t xml:space="preserve">   (bold=input numbers)</t>
  </si>
  <si>
    <t>SVX ramp full scale</t>
  </si>
  <si>
    <t>SVX ramp full range</t>
  </si>
  <si>
    <t>SVX full scale</t>
  </si>
  <si>
    <t>SVX resolution (cnt / MIP)</t>
  </si>
  <si>
    <t>SVX resolution (cnt / pe)</t>
  </si>
  <si>
    <t xml:space="preserve">layer MIP -- CPS 90 deg         </t>
  </si>
  <si>
    <t xml:space="preserve">layer MIP CPS 90 deg </t>
  </si>
  <si>
    <t xml:space="preserve"> 45 deg</t>
  </si>
  <si>
    <t xml:space="preserve">        fC</t>
  </si>
  <si>
    <t xml:space="preserve">      MIP </t>
  </si>
  <si>
    <t xml:space="preserve">       fC</t>
  </si>
  <si>
    <t xml:space="preserve">     MIP </t>
  </si>
  <si>
    <t xml:space="preserve">   ct / MIP</t>
  </si>
  <si>
    <t xml:space="preserve">   ct / pe</t>
  </si>
  <si>
    <t xml:space="preserve"> counts</t>
  </si>
  <si>
    <t xml:space="preserve">layer MIP -- CPS 45 deg         </t>
  </si>
  <si>
    <t xml:space="preserve">layer MIP -- CPS 45 deg </t>
  </si>
  <si>
    <t xml:space="preserve"> for central value Caps</t>
  </si>
  <si>
    <t xml:space="preserve">     input chg low thrsh (-1sig)</t>
  </si>
  <si>
    <t xml:space="preserve">     input chg hi thrsh (+1sig)</t>
  </si>
  <si>
    <t xml:space="preserve">     frac max thresh (+1sig)</t>
  </si>
  <si>
    <t xml:space="preserve">     no. noise sigma's (-1sig)</t>
  </si>
  <si>
    <t xml:space="preserve">    CPS</t>
  </si>
  <si>
    <t xml:space="preserve">     CPS</t>
  </si>
  <si>
    <t xml:space="preserve">  Units</t>
  </si>
  <si>
    <t xml:space="preserve">VLPC gain; FPS MIP   </t>
  </si>
  <si>
    <t xml:space="preserve"> pe/MIP</t>
  </si>
  <si>
    <t xml:space="preserve"> fC/MIP</t>
  </si>
  <si>
    <t xml:space="preserve">VLPC gain; CPS                         </t>
  </si>
  <si>
    <t xml:space="preserve">VLPC gain; FPS shwr                         </t>
  </si>
  <si>
    <t>VLPC chrg out/ CPS</t>
  </si>
  <si>
    <t>VLPC chrg out/ FPS shwr</t>
  </si>
  <si>
    <t>VLPC chrg out/ FPS mip</t>
  </si>
  <si>
    <t xml:space="preserve">1 fC                                   </t>
  </si>
  <si>
    <t xml:space="preserve"> e/ fC</t>
  </si>
  <si>
    <t xml:space="preserve"> e/pe</t>
  </si>
  <si>
    <t>Fract. Charge input</t>
  </si>
  <si>
    <t>Cinput</t>
  </si>
  <si>
    <t>Ccable</t>
  </si>
  <si>
    <t>Q fraction</t>
  </si>
  <si>
    <t>pF</t>
  </si>
  <si>
    <t>90 deg</t>
  </si>
  <si>
    <t xml:space="preserve">       gain = 1</t>
  </si>
  <si>
    <t xml:space="preserve">       gain = 1.3</t>
  </si>
  <si>
    <t xml:space="preserve">       gain = 0.7</t>
  </si>
  <si>
    <t>High SIFT Xfer gain :</t>
  </si>
  <si>
    <t xml:space="preserve"> Low SIFT Xfer gain :</t>
  </si>
  <si>
    <t>April 10 2001</t>
  </si>
  <si>
    <t xml:space="preserve">  PROPOSAL  FOR  CPS CHARGE DRAINS USING AFE8</t>
  </si>
  <si>
    <t xml:space="preserve"> VLPC relative bias gain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</si>
</sst>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"/>
    <numFmt numFmtId="167" formatCode="0.000"/>
    <numFmt numFmtId="168" formatCode="0.000%"/>
    <numFmt numFmtId="169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1" fontId="1" fillId="0" borderId="1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6" fontId="1" fillId="0" borderId="3" xfId="0" applyNumberFormat="1" applyFont="1" applyBorder="1" applyAlignment="1" applyProtection="1">
      <alignment/>
      <protection locked="0"/>
    </xf>
    <xf numFmtId="167" fontId="1" fillId="0" borderId="3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66" fontId="0" fillId="0" borderId="1" xfId="0" applyNumberForma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1" fontId="1" fillId="0" borderId="3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2" fontId="0" fillId="0" borderId="3" xfId="0" applyNumberFormat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/>
    </xf>
    <xf numFmtId="166" fontId="0" fillId="0" borderId="3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/>
      <protection/>
    </xf>
    <xf numFmtId="1" fontId="0" fillId="0" borderId="3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" fontId="0" fillId="0" borderId="14" xfId="0" applyNumberFormat="1" applyBorder="1" applyAlignment="1" applyProtection="1">
      <alignment/>
      <protection/>
    </xf>
    <xf numFmtId="169" fontId="1" fillId="0" borderId="15" xfId="0" applyNumberFormat="1" applyFont="1" applyBorder="1" applyAlignment="1" applyProtection="1">
      <alignment/>
      <protection/>
    </xf>
    <xf numFmtId="15" fontId="1" fillId="0" borderId="4" xfId="0" applyNumberFormat="1" applyFont="1" applyBorder="1" applyAlignment="1" applyProtection="1" quotePrefix="1">
      <alignment/>
      <protection/>
    </xf>
    <xf numFmtId="0" fontId="0" fillId="0" borderId="1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/>
    </xf>
    <xf numFmtId="2" fontId="0" fillId="0" borderId="1" xfId="0" applyNumberForma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/>
      <protection locked="0"/>
    </xf>
    <xf numFmtId="167" fontId="0" fillId="0" borderId="1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 quotePrefix="1">
      <alignment/>
      <protection/>
    </xf>
    <xf numFmtId="0" fontId="1" fillId="0" borderId="14" xfId="0" applyFont="1" applyBorder="1" applyAlignment="1" quotePrefix="1">
      <alignment/>
    </xf>
    <xf numFmtId="166" fontId="0" fillId="0" borderId="13" xfId="0" applyNumberFormat="1" applyFont="1" applyBorder="1" applyAlignment="1" applyProtection="1">
      <alignment/>
      <protection/>
    </xf>
    <xf numFmtId="167" fontId="0" fillId="0" borderId="13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/>
      <protection/>
    </xf>
    <xf numFmtId="166" fontId="0" fillId="0" borderId="20" xfId="0" applyNumberFormat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0" fontId="1" fillId="0" borderId="8" xfId="0" applyFont="1" applyBorder="1" applyAlignment="1" applyProtection="1" quotePrefix="1">
      <alignment/>
      <protection/>
    </xf>
    <xf numFmtId="0" fontId="0" fillId="0" borderId="10" xfId="0" applyBorder="1" applyAlignment="1">
      <alignment/>
    </xf>
    <xf numFmtId="0" fontId="0" fillId="0" borderId="8" xfId="0" applyFont="1" applyBorder="1" applyAlignment="1" applyProtection="1" quotePrefix="1">
      <alignment/>
      <protection/>
    </xf>
    <xf numFmtId="0" fontId="0" fillId="0" borderId="22" xfId="0" applyBorder="1" applyAlignment="1" applyProtection="1">
      <alignment/>
      <protection/>
    </xf>
    <xf numFmtId="1" fontId="1" fillId="0" borderId="23" xfId="0" applyNumberFormat="1" applyFont="1" applyBorder="1" applyAlignment="1" applyProtection="1">
      <alignment/>
      <protection locked="0"/>
    </xf>
    <xf numFmtId="1" fontId="0" fillId="0" borderId="24" xfId="0" applyNumberFormat="1" applyFon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169" fontId="0" fillId="0" borderId="7" xfId="0" applyNumberFormat="1" applyBorder="1" applyAlignment="1" applyProtection="1">
      <alignment/>
      <protection/>
    </xf>
    <xf numFmtId="169" fontId="0" fillId="0" borderId="15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75" zoomScaleNormal="75" workbookViewId="0" topLeftCell="A1">
      <selection activeCell="L17" sqref="L17"/>
    </sheetView>
  </sheetViews>
  <sheetFormatPr defaultColWidth="9.140625" defaultRowHeight="12.75"/>
  <cols>
    <col min="2" max="2" width="24.7109375" style="0" customWidth="1"/>
    <col min="3" max="10" width="8.7109375" style="0" customWidth="1"/>
    <col min="11" max="11" width="3.7109375" style="0" customWidth="1"/>
    <col min="12" max="12" width="8.7109375" style="0" customWidth="1"/>
    <col min="14" max="14" width="8.8515625" style="0" hidden="1" customWidth="1"/>
  </cols>
  <sheetData>
    <row r="1" ht="15.75">
      <c r="E1" s="79" t="s">
        <v>67</v>
      </c>
    </row>
    <row r="2" ht="13.5" thickBot="1">
      <c r="E2" s="25"/>
    </row>
    <row r="3" spans="1:17" ht="12.75">
      <c r="A3" s="7"/>
      <c r="B3" s="8" t="s">
        <v>8</v>
      </c>
      <c r="C3" s="9" t="s">
        <v>10</v>
      </c>
      <c r="D3" s="10" t="s">
        <v>9</v>
      </c>
      <c r="F3" s="1"/>
      <c r="G3" s="25" t="s">
        <v>2</v>
      </c>
      <c r="P3" s="7"/>
      <c r="Q3" s="7"/>
    </row>
    <row r="4" spans="1:17" ht="13.5" thickBot="1">
      <c r="A4" s="7"/>
      <c r="B4" s="13" t="s">
        <v>18</v>
      </c>
      <c r="C4" s="14"/>
      <c r="D4" s="15"/>
      <c r="E4" s="11"/>
      <c r="F4" s="11"/>
      <c r="P4" s="7"/>
      <c r="Q4" s="7"/>
    </row>
    <row r="5" spans="1:17" ht="12.75">
      <c r="A5" s="7"/>
      <c r="B5" s="37" t="s">
        <v>52</v>
      </c>
      <c r="C5" s="38">
        <v>6250</v>
      </c>
      <c r="D5" s="12" t="s">
        <v>53</v>
      </c>
      <c r="E5" s="7"/>
      <c r="F5" s="7"/>
      <c r="G5" s="44" t="s">
        <v>66</v>
      </c>
      <c r="H5" s="10"/>
      <c r="M5" s="7"/>
      <c r="N5" s="7"/>
      <c r="O5" s="7"/>
      <c r="P5" s="7"/>
      <c r="Q5" s="7"/>
    </row>
    <row r="6" spans="1:17" ht="13.5" thickBot="1">
      <c r="A6" s="7"/>
      <c r="B6" s="18" t="s">
        <v>47</v>
      </c>
      <c r="C6" s="2">
        <v>26500</v>
      </c>
      <c r="D6" s="19" t="s">
        <v>54</v>
      </c>
      <c r="E6" s="7"/>
      <c r="G6" s="39"/>
      <c r="H6" s="15"/>
      <c r="M6" s="7"/>
      <c r="N6" s="7"/>
      <c r="O6" s="7"/>
      <c r="P6" s="7"/>
      <c r="Q6" s="7"/>
    </row>
    <row r="7" spans="1:17" ht="12.75">
      <c r="A7" s="7"/>
      <c r="B7" s="18" t="s">
        <v>48</v>
      </c>
      <c r="C7" s="2">
        <v>29500</v>
      </c>
      <c r="D7" s="19" t="s">
        <v>54</v>
      </c>
      <c r="E7" s="7"/>
      <c r="N7" s="10"/>
      <c r="O7" s="7"/>
      <c r="P7" s="7"/>
      <c r="Q7" s="7"/>
    </row>
    <row r="8" spans="1:17" ht="13.5" thickBot="1">
      <c r="A8" s="7"/>
      <c r="B8" s="18" t="s">
        <v>44</v>
      </c>
      <c r="C8" s="2">
        <v>39000</v>
      </c>
      <c r="D8" s="19" t="s">
        <v>54</v>
      </c>
      <c r="E8" s="7"/>
      <c r="F8" s="7"/>
      <c r="N8" s="15"/>
      <c r="O8" s="7"/>
      <c r="P8" s="7"/>
      <c r="Q8" s="7"/>
    </row>
    <row r="9" spans="1:17" ht="12.75">
      <c r="A9" s="7"/>
      <c r="B9" s="20" t="s">
        <v>49</v>
      </c>
      <c r="C9" s="22">
        <f>C6*0.00016</f>
        <v>4.24</v>
      </c>
      <c r="D9" s="19" t="s">
        <v>15</v>
      </c>
      <c r="E9" s="7"/>
      <c r="F9" s="7"/>
      <c r="N9" s="7"/>
      <c r="O9" s="7"/>
      <c r="P9" s="7"/>
      <c r="Q9" s="7"/>
    </row>
    <row r="10" spans="1:17" ht="13.5" thickBot="1">
      <c r="A10" s="7"/>
      <c r="B10" s="20" t="s">
        <v>50</v>
      </c>
      <c r="C10" s="22">
        <f>C7*0.00016</f>
        <v>4.720000000000001</v>
      </c>
      <c r="D10" s="19" t="s">
        <v>15</v>
      </c>
      <c r="E10" s="7"/>
      <c r="F10" s="7"/>
      <c r="N10" s="7"/>
      <c r="O10" s="7"/>
      <c r="P10" s="7"/>
      <c r="Q10" s="7"/>
    </row>
    <row r="11" spans="1:17" ht="12.75">
      <c r="A11" s="7"/>
      <c r="B11" s="20" t="s">
        <v>51</v>
      </c>
      <c r="C11" s="22">
        <f>C8*0.00016</f>
        <v>6.24</v>
      </c>
      <c r="D11" s="19" t="s">
        <v>15</v>
      </c>
      <c r="E11" s="7"/>
      <c r="F11" s="7"/>
      <c r="G11" s="50" t="s">
        <v>56</v>
      </c>
      <c r="H11" s="51" t="s">
        <v>59</v>
      </c>
      <c r="I11" s="52">
        <v>12</v>
      </c>
      <c r="N11" s="7"/>
      <c r="O11" s="7"/>
      <c r="P11" s="7"/>
      <c r="Q11" s="7"/>
    </row>
    <row r="12" spans="1:17" ht="12.75">
      <c r="A12" s="7"/>
      <c r="B12" s="18" t="s">
        <v>5</v>
      </c>
      <c r="C12" s="2">
        <v>2</v>
      </c>
      <c r="D12" s="19" t="s">
        <v>16</v>
      </c>
      <c r="E12" s="7"/>
      <c r="F12" s="7"/>
      <c r="G12" s="47" t="s">
        <v>57</v>
      </c>
      <c r="H12" s="48" t="s">
        <v>59</v>
      </c>
      <c r="I12" s="49">
        <v>30</v>
      </c>
      <c r="N12" s="7"/>
      <c r="O12" s="7"/>
      <c r="P12" s="7"/>
      <c r="Q12" s="7"/>
    </row>
    <row r="13" spans="1:17" ht="13.5" thickBot="1">
      <c r="A13" s="7"/>
      <c r="B13" s="18" t="s">
        <v>25</v>
      </c>
      <c r="C13" s="2">
        <v>9</v>
      </c>
      <c r="D13" s="19" t="s">
        <v>45</v>
      </c>
      <c r="E13" s="7"/>
      <c r="G13" s="45" t="s">
        <v>58</v>
      </c>
      <c r="H13" s="46" t="s">
        <v>59</v>
      </c>
      <c r="I13" s="80">
        <f>I11/(I11+I12)</f>
        <v>0.2857142857142857</v>
      </c>
      <c r="M13" s="7"/>
      <c r="N13" s="7"/>
      <c r="O13" s="7"/>
      <c r="P13" s="7"/>
      <c r="Q13" s="7"/>
    </row>
    <row r="14" spans="1:17" ht="12.75">
      <c r="A14" s="7"/>
      <c r="B14" s="20" t="s">
        <v>24</v>
      </c>
      <c r="C14" s="21">
        <f>C9*C13</f>
        <v>38.160000000000004</v>
      </c>
      <c r="D14" s="19" t="s">
        <v>46</v>
      </c>
      <c r="E14" s="7"/>
      <c r="F14" s="7"/>
      <c r="M14" s="7"/>
      <c r="N14" s="7"/>
      <c r="O14" s="7"/>
      <c r="P14" s="7"/>
      <c r="Q14" s="7"/>
    </row>
    <row r="15" spans="1:17" ht="12.75">
      <c r="A15" s="7"/>
      <c r="B15" s="20" t="s">
        <v>35</v>
      </c>
      <c r="C15" s="23">
        <f>C13*2</f>
        <v>18</v>
      </c>
      <c r="D15" s="19" t="s">
        <v>45</v>
      </c>
      <c r="E15" s="7" t="s">
        <v>2</v>
      </c>
      <c r="F15" s="7"/>
      <c r="M15" s="7"/>
      <c r="N15" s="7"/>
      <c r="O15" s="7"/>
      <c r="P15" s="7"/>
      <c r="Q15" s="7"/>
    </row>
    <row r="16" spans="1:17" ht="12.75">
      <c r="A16" s="7"/>
      <c r="B16" s="20" t="s">
        <v>34</v>
      </c>
      <c r="C16" s="21">
        <f>C9*C15</f>
        <v>76.32000000000001</v>
      </c>
      <c r="D16" s="19" t="s">
        <v>46</v>
      </c>
      <c r="E16" s="7"/>
      <c r="F16" s="7"/>
      <c r="M16" s="7"/>
      <c r="N16" s="7"/>
      <c r="O16" s="7"/>
      <c r="P16" s="7"/>
      <c r="Q16" s="7"/>
    </row>
    <row r="17" spans="1:6" ht="12.75">
      <c r="A17" s="7"/>
      <c r="B17" s="18" t="s">
        <v>1</v>
      </c>
      <c r="C17" s="3">
        <v>200</v>
      </c>
      <c r="D17" s="19" t="s">
        <v>16</v>
      </c>
      <c r="E17" s="7"/>
      <c r="F17" s="7"/>
    </row>
    <row r="18" spans="1:6" ht="12.75">
      <c r="A18" s="7"/>
      <c r="B18" s="18" t="s">
        <v>0</v>
      </c>
      <c r="C18" s="3">
        <v>20</v>
      </c>
      <c r="D18" s="19" t="s">
        <v>16</v>
      </c>
      <c r="E18" s="7"/>
      <c r="F18" s="7"/>
    </row>
    <row r="19" spans="1:17" ht="12.75">
      <c r="A19" s="7"/>
      <c r="B19" s="24" t="s">
        <v>20</v>
      </c>
      <c r="C19" s="2">
        <v>150</v>
      </c>
      <c r="D19" s="19" t="s">
        <v>16</v>
      </c>
      <c r="E19" s="7"/>
      <c r="F19" s="7"/>
      <c r="G19" s="7"/>
      <c r="K19" s="7"/>
      <c r="L19" s="7"/>
      <c r="M19" s="7"/>
      <c r="N19" s="7"/>
      <c r="O19" s="7"/>
      <c r="P19" s="7"/>
      <c r="Q19" s="7"/>
    </row>
    <row r="20" spans="1:17" ht="13.5" thickBot="1">
      <c r="A20" s="7"/>
      <c r="B20" s="16" t="s">
        <v>4</v>
      </c>
      <c r="C20" s="4">
        <v>256</v>
      </c>
      <c r="D20" s="17" t="s">
        <v>33</v>
      </c>
      <c r="E20" s="7"/>
      <c r="F20" s="7"/>
      <c r="G20" s="25" t="s">
        <v>2</v>
      </c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3.5" thickBot="1">
      <c r="A21" s="7"/>
      <c r="B21" s="11"/>
      <c r="C21" s="25"/>
      <c r="D21" s="11"/>
      <c r="E21" s="7"/>
      <c r="F21" s="7"/>
      <c r="G21" s="7"/>
      <c r="H21" s="7"/>
      <c r="J21" s="7"/>
      <c r="K21" s="7"/>
      <c r="L21" s="7"/>
      <c r="M21" s="7"/>
      <c r="N21" s="7"/>
      <c r="O21" s="7"/>
      <c r="P21" s="7"/>
      <c r="Q21" s="7"/>
    </row>
    <row r="22" spans="1:9" ht="12.75">
      <c r="A22" s="7"/>
      <c r="B22" s="8" t="s">
        <v>36</v>
      </c>
      <c r="C22" s="8" t="s">
        <v>42</v>
      </c>
      <c r="D22" s="26" t="s">
        <v>41</v>
      </c>
      <c r="E22" s="8" t="s">
        <v>42</v>
      </c>
      <c r="F22" s="26" t="s">
        <v>41</v>
      </c>
      <c r="G22" s="8" t="s">
        <v>42</v>
      </c>
      <c r="H22" s="26" t="s">
        <v>41</v>
      </c>
      <c r="I22" s="26" t="s">
        <v>43</v>
      </c>
    </row>
    <row r="23" spans="1:9" ht="12.75">
      <c r="A23" s="7"/>
      <c r="B23" s="53"/>
      <c r="C23" s="59" t="s">
        <v>60</v>
      </c>
      <c r="D23" s="60" t="s">
        <v>26</v>
      </c>
      <c r="E23" s="59" t="s">
        <v>60</v>
      </c>
      <c r="F23" s="60" t="s">
        <v>26</v>
      </c>
      <c r="G23" s="59" t="s">
        <v>60</v>
      </c>
      <c r="H23" s="60" t="s">
        <v>26</v>
      </c>
      <c r="I23" s="36"/>
    </row>
    <row r="24" spans="1:9" ht="13.5" thickBot="1">
      <c r="A24" s="7"/>
      <c r="B24" s="69" t="s">
        <v>68</v>
      </c>
      <c r="C24" s="67" t="s">
        <v>61</v>
      </c>
      <c r="D24" s="68"/>
      <c r="E24" s="67" t="s">
        <v>62</v>
      </c>
      <c r="F24" s="68"/>
      <c r="G24" s="67" t="s">
        <v>63</v>
      </c>
      <c r="H24" s="68"/>
      <c r="I24" s="15"/>
    </row>
    <row r="25" spans="1:9" ht="12.75">
      <c r="A25" s="7"/>
      <c r="B25" s="74" t="s">
        <v>55</v>
      </c>
      <c r="C25" s="43">
        <f>I13</f>
        <v>0.2857142857142857</v>
      </c>
      <c r="D25" s="75">
        <f>C25</f>
        <v>0.2857142857142857</v>
      </c>
      <c r="E25" s="76">
        <f>D25*1.3</f>
        <v>0.37142857142857144</v>
      </c>
      <c r="F25" s="75">
        <f>E25</f>
        <v>0.37142857142857144</v>
      </c>
      <c r="G25" s="76">
        <f>C25*0.7</f>
        <v>0.19999999999999998</v>
      </c>
      <c r="H25" s="75">
        <f>G25</f>
        <v>0.19999999999999998</v>
      </c>
      <c r="I25" s="77"/>
    </row>
    <row r="26" spans="1:9" ht="12.75">
      <c r="A26" s="7"/>
      <c r="B26" s="40" t="s">
        <v>17</v>
      </c>
      <c r="C26" s="28">
        <f>+$C$9*C25</f>
        <v>1.2114285714285715</v>
      </c>
      <c r="D26" s="27">
        <f>+$C$9*D25</f>
        <v>1.2114285714285715</v>
      </c>
      <c r="E26" s="28">
        <f>+$C$9*E25</f>
        <v>1.574857142857143</v>
      </c>
      <c r="F26" s="27">
        <f>+$C$9*F25</f>
        <v>1.574857142857143</v>
      </c>
      <c r="G26" s="28">
        <f>+$C$9*G25</f>
        <v>0.848</v>
      </c>
      <c r="H26" s="27">
        <f>+$C$9*H25</f>
        <v>0.848</v>
      </c>
      <c r="I26" s="64" t="s">
        <v>27</v>
      </c>
    </row>
    <row r="27" spans="1:9" ht="12.75">
      <c r="A27" s="7"/>
      <c r="B27" s="40" t="s">
        <v>11</v>
      </c>
      <c r="C27" s="28">
        <f>+$C$18/($C$14*C25)</f>
        <v>1.8343815513626833</v>
      </c>
      <c r="D27" s="27">
        <f>$C$18/($C$16*D25)</f>
        <v>0.9171907756813417</v>
      </c>
      <c r="E27" s="28">
        <f>+$C$18/($C$14*E25)</f>
        <v>1.4110627318174485</v>
      </c>
      <c r="F27" s="27">
        <f>$C$18/($C$16*F25)</f>
        <v>0.7055313659087242</v>
      </c>
      <c r="G27" s="28">
        <f>+$C$18/($C$14*G25)</f>
        <v>2.620545073375262</v>
      </c>
      <c r="H27" s="27">
        <f>$C$18/($C$16*H25)</f>
        <v>1.310272536687631</v>
      </c>
      <c r="I27" s="64" t="s">
        <v>28</v>
      </c>
    </row>
    <row r="28" spans="1:9" ht="12.75">
      <c r="A28" s="7"/>
      <c r="B28" s="40" t="s">
        <v>12</v>
      </c>
      <c r="C28" s="28">
        <f>$C$17/($C$14*C25)</f>
        <v>18.343815513626833</v>
      </c>
      <c r="D28" s="27">
        <f>$C$17/($C$16*D25)</f>
        <v>9.171907756813416</v>
      </c>
      <c r="E28" s="28">
        <f>$C$17/($C$14*E25)</f>
        <v>14.110627318174485</v>
      </c>
      <c r="F28" s="27">
        <f>$C$17/($C$16*F25)</f>
        <v>7.0553136590872425</v>
      </c>
      <c r="G28" s="28">
        <f>$C$17/($C$14*G25)</f>
        <v>26.20545073375262</v>
      </c>
      <c r="H28" s="27">
        <f>$C$17/($C$16*H25)</f>
        <v>13.10272536687631</v>
      </c>
      <c r="I28" s="64" t="s">
        <v>28</v>
      </c>
    </row>
    <row r="29" spans="1:9" ht="12.75">
      <c r="A29" s="7"/>
      <c r="B29" s="40" t="s">
        <v>6</v>
      </c>
      <c r="C29" s="5">
        <v>3</v>
      </c>
      <c r="D29" s="61">
        <f>D31/(D25*$C$16)</f>
        <v>1.5</v>
      </c>
      <c r="E29" s="5">
        <v>3</v>
      </c>
      <c r="F29" s="61">
        <f>F31/(F25*$C$16)</f>
        <v>1.5</v>
      </c>
      <c r="G29" s="5">
        <v>3</v>
      </c>
      <c r="H29" s="61">
        <f>H31/(H25*$C$16)</f>
        <v>1.5000000000000002</v>
      </c>
      <c r="I29" s="63" t="s">
        <v>28</v>
      </c>
    </row>
    <row r="30" spans="1:9" ht="12.75">
      <c r="A30" s="7"/>
      <c r="B30" s="40" t="s">
        <v>7</v>
      </c>
      <c r="C30" s="5">
        <v>10</v>
      </c>
      <c r="D30" s="61">
        <f>D34/(D25*$C$16)</f>
        <v>4.999999999999999</v>
      </c>
      <c r="E30" s="5">
        <v>10</v>
      </c>
      <c r="F30" s="61">
        <f>F34/(F25*$C$16)</f>
        <v>4.999999999999999</v>
      </c>
      <c r="G30" s="5">
        <v>10</v>
      </c>
      <c r="H30" s="61">
        <f>H34/(H25*$C$16)</f>
        <v>5</v>
      </c>
      <c r="I30" s="63" t="s">
        <v>28</v>
      </c>
    </row>
    <row r="31" spans="1:9" ht="12.75">
      <c r="A31" s="7"/>
      <c r="B31" s="40" t="s">
        <v>14</v>
      </c>
      <c r="C31" s="30">
        <f>+$C$14*C29*C25</f>
        <v>32.70857142857143</v>
      </c>
      <c r="D31" s="29">
        <f>C31</f>
        <v>32.70857142857143</v>
      </c>
      <c r="E31" s="30">
        <f>+$C$14*E29*E25</f>
        <v>42.52114285714286</v>
      </c>
      <c r="F31" s="29">
        <f>E31</f>
        <v>42.52114285714286</v>
      </c>
      <c r="G31" s="30">
        <f>+$C$14*G29*G25</f>
        <v>22.896</v>
      </c>
      <c r="H31" s="29">
        <f>G31</f>
        <v>22.896</v>
      </c>
      <c r="I31" s="65" t="s">
        <v>29</v>
      </c>
    </row>
    <row r="32" spans="1:9" ht="12.75" hidden="1">
      <c r="A32" s="7"/>
      <c r="B32" s="40" t="s">
        <v>37</v>
      </c>
      <c r="C32" s="30" t="e">
        <f>+$C$14*C29*(C25-#REF!)</f>
        <v>#REF!</v>
      </c>
      <c r="D32" s="29" t="e">
        <f>+$C$16*C29*(D25-#REF!)</f>
        <v>#REF!</v>
      </c>
      <c r="E32" s="30" t="e">
        <f>+$C$14*E29*(E25-#REF!)</f>
        <v>#REF!</v>
      </c>
      <c r="F32" s="29" t="e">
        <f>+$C$16*E29*(F25-#REF!)</f>
        <v>#REF!</v>
      </c>
      <c r="G32" s="30" t="e">
        <f>+$C$14*G29*(G25-#REF!)</f>
        <v>#REF!</v>
      </c>
      <c r="H32" s="29" t="e">
        <f>+$C$16*G29*(H25-#REF!)</f>
        <v>#REF!</v>
      </c>
      <c r="I32" s="65"/>
    </row>
    <row r="33" spans="1:9" ht="12.75" hidden="1">
      <c r="A33" s="7"/>
      <c r="B33" s="40" t="s">
        <v>40</v>
      </c>
      <c r="C33" s="32" t="e">
        <f>C32/$C$12</f>
        <v>#REF!</v>
      </c>
      <c r="D33" s="31" t="e">
        <f>D32/$C$12</f>
        <v>#REF!</v>
      </c>
      <c r="E33" s="32" t="e">
        <f>E32/$C$12</f>
        <v>#REF!</v>
      </c>
      <c r="F33" s="31" t="e">
        <f>F32/$C$12</f>
        <v>#REF!</v>
      </c>
      <c r="G33" s="32" t="e">
        <f>G32/$C$12</f>
        <v>#REF!</v>
      </c>
      <c r="H33" s="31" t="e">
        <f>H32/$C$12</f>
        <v>#REF!</v>
      </c>
      <c r="I33" s="65"/>
    </row>
    <row r="34" spans="1:9" ht="12.75">
      <c r="A34" s="7"/>
      <c r="B34" s="40" t="s">
        <v>13</v>
      </c>
      <c r="C34" s="30">
        <f>+$C$14*C30*C25</f>
        <v>109.02857142857142</v>
      </c>
      <c r="D34" s="29">
        <f>C34</f>
        <v>109.02857142857142</v>
      </c>
      <c r="E34" s="30">
        <f>+$C$14*E30*E25</f>
        <v>141.73714285714286</v>
      </c>
      <c r="F34" s="29">
        <f>E34</f>
        <v>141.73714285714286</v>
      </c>
      <c r="G34" s="30">
        <f>+$C$14*G30*G25</f>
        <v>76.32</v>
      </c>
      <c r="H34" s="29">
        <f>G34</f>
        <v>76.32</v>
      </c>
      <c r="I34" s="65" t="s">
        <v>29</v>
      </c>
    </row>
    <row r="35" spans="1:9" ht="12.75" hidden="1">
      <c r="A35" s="7"/>
      <c r="B35" s="40" t="s">
        <v>38</v>
      </c>
      <c r="C35" s="30" t="e">
        <f>+$C$14*C30*(C25+#REF!)</f>
        <v>#REF!</v>
      </c>
      <c r="D35" s="29" t="e">
        <f>+$C$16*C30*(D25+#REF!)</f>
        <v>#REF!</v>
      </c>
      <c r="E35" s="30" t="e">
        <f>+$C$14*E30*(E25+#REF!)</f>
        <v>#REF!</v>
      </c>
      <c r="F35" s="29" t="e">
        <f>+$C$16*E30*(F25+#REF!)</f>
        <v>#REF!</v>
      </c>
      <c r="G35" s="30" t="e">
        <f>+$C$14*G30*(G25+#REF!)</f>
        <v>#REF!</v>
      </c>
      <c r="H35" s="29" t="e">
        <f>+$C$16*G30*(H25+#REF!)</f>
        <v>#REF!</v>
      </c>
      <c r="I35" s="65"/>
    </row>
    <row r="36" spans="1:9" ht="12.75" hidden="1">
      <c r="A36" s="7"/>
      <c r="B36" s="40" t="s">
        <v>39</v>
      </c>
      <c r="C36" s="28" t="e">
        <f>C35/$C$17</f>
        <v>#REF!</v>
      </c>
      <c r="D36" s="27" t="e">
        <f>D35/$C$17</f>
        <v>#REF!</v>
      </c>
      <c r="E36" s="28" t="e">
        <f>E35/$C$17</f>
        <v>#REF!</v>
      </c>
      <c r="F36" s="27" t="e">
        <f>F35/$C$17</f>
        <v>#REF!</v>
      </c>
      <c r="G36" s="28" t="e">
        <f>G35/$C$17</f>
        <v>#REF!</v>
      </c>
      <c r="H36" s="27" t="e">
        <f>H35/$C$17</f>
        <v>#REF!</v>
      </c>
      <c r="I36" s="65"/>
    </row>
    <row r="37" spans="1:9" ht="12.75">
      <c r="A37" s="7"/>
      <c r="B37" s="70" t="s">
        <v>19</v>
      </c>
      <c r="C37" s="71">
        <v>150</v>
      </c>
      <c r="D37" s="72">
        <f>C37</f>
        <v>150</v>
      </c>
      <c r="E37" s="71">
        <v>150</v>
      </c>
      <c r="F37" s="72">
        <f>E37</f>
        <v>150</v>
      </c>
      <c r="G37" s="71">
        <v>150</v>
      </c>
      <c r="H37" s="72">
        <f>G37</f>
        <v>150</v>
      </c>
      <c r="I37" s="73" t="s">
        <v>29</v>
      </c>
    </row>
    <row r="38" spans="1:9" ht="12.75">
      <c r="A38" s="7"/>
      <c r="B38" s="78" t="s">
        <v>65</v>
      </c>
      <c r="C38" s="54"/>
      <c r="D38" s="55"/>
      <c r="E38" s="54"/>
      <c r="F38" s="55"/>
      <c r="G38" s="54"/>
      <c r="H38" s="55"/>
      <c r="I38" s="42"/>
    </row>
    <row r="39" spans="1:9" ht="12.75">
      <c r="A39" s="7"/>
      <c r="B39" s="20" t="s">
        <v>3</v>
      </c>
      <c r="C39" s="57">
        <v>0.194</v>
      </c>
      <c r="D39" s="58">
        <f>C39</f>
        <v>0.194</v>
      </c>
      <c r="E39" s="57">
        <v>0.194</v>
      </c>
      <c r="F39" s="58">
        <f>E39</f>
        <v>0.194</v>
      </c>
      <c r="G39" s="57">
        <v>0.194</v>
      </c>
      <c r="H39" s="58">
        <f>G39</f>
        <v>0.194</v>
      </c>
      <c r="I39" s="19"/>
    </row>
    <row r="40" spans="1:9" ht="12.75">
      <c r="A40" s="7"/>
      <c r="B40" s="20" t="s">
        <v>21</v>
      </c>
      <c r="C40" s="22">
        <f>+C37/($C$14*C25*C39)</f>
        <v>70.91681255268105</v>
      </c>
      <c r="D40" s="22">
        <f>+D37/($C$16*D25*D39)</f>
        <v>35.458406276340526</v>
      </c>
      <c r="E40" s="22">
        <f>+E37/($C$14*E25*E39)</f>
        <v>54.55139427129311</v>
      </c>
      <c r="F40" s="22">
        <f>+F37/($C$16*F25*F39)</f>
        <v>27.275697135646556</v>
      </c>
      <c r="G40" s="22">
        <f>+G37/($C$14*G25*G39)</f>
        <v>101.30973221811581</v>
      </c>
      <c r="H40" s="22">
        <f>+H37/($C$16*H25*H39)</f>
        <v>50.654866109057906</v>
      </c>
      <c r="I40" s="29" t="s">
        <v>30</v>
      </c>
    </row>
    <row r="41" spans="1:9" ht="12.75">
      <c r="A41" s="7"/>
      <c r="B41" s="20" t="s">
        <v>22</v>
      </c>
      <c r="C41" s="22">
        <f>+$C$20/C40</f>
        <v>3.6098633142857146</v>
      </c>
      <c r="D41" s="22">
        <f>+$C$20/D40</f>
        <v>7.219726628571429</v>
      </c>
      <c r="E41" s="22">
        <f>+$C$20/E40</f>
        <v>4.692822308571429</v>
      </c>
      <c r="F41" s="22">
        <f>+$C$20/F40</f>
        <v>9.385644617142859</v>
      </c>
      <c r="G41" s="22">
        <f>+$C$20/G40</f>
        <v>2.52690432</v>
      </c>
      <c r="H41" s="22">
        <f>+$C$20/H40</f>
        <v>5.05380864</v>
      </c>
      <c r="I41" s="29" t="s">
        <v>31</v>
      </c>
    </row>
    <row r="42" spans="1:9" ht="12.75">
      <c r="A42" s="7"/>
      <c r="B42" s="20" t="s">
        <v>23</v>
      </c>
      <c r="C42" s="56">
        <f>+$C$20/(C40*$C$13)</f>
        <v>0.4010959238095239</v>
      </c>
      <c r="D42" s="56">
        <f>+$C$20/(D40*$C$15)</f>
        <v>0.4010959238095239</v>
      </c>
      <c r="E42" s="56">
        <f>+$C$20/(E40*$C$13)</f>
        <v>0.521424700952381</v>
      </c>
      <c r="F42" s="56">
        <f>+$C$20/(F40*$C$15)</f>
        <v>0.521424700952381</v>
      </c>
      <c r="G42" s="56">
        <f>+$C$20/(G40*$C$13)</f>
        <v>0.28076714666666663</v>
      </c>
      <c r="H42" s="56">
        <f>+$C$20/(H40*$C$15)</f>
        <v>0.28076714666666663</v>
      </c>
      <c r="I42" s="27" t="s">
        <v>32</v>
      </c>
    </row>
    <row r="43" spans="1:9" ht="12.75">
      <c r="A43" s="7"/>
      <c r="B43" s="78" t="s">
        <v>64</v>
      </c>
      <c r="C43" s="33"/>
      <c r="D43" s="33"/>
      <c r="E43" s="33"/>
      <c r="F43" s="33"/>
      <c r="G43" s="33"/>
      <c r="H43" s="11"/>
      <c r="I43" s="36"/>
    </row>
    <row r="44" spans="1:17" ht="12.75">
      <c r="A44" s="7"/>
      <c r="B44" s="40" t="s">
        <v>3</v>
      </c>
      <c r="C44" s="6">
        <v>0.388</v>
      </c>
      <c r="D44" s="62">
        <f>C44</f>
        <v>0.388</v>
      </c>
      <c r="E44" s="6">
        <v>0.388</v>
      </c>
      <c r="F44" s="62">
        <f>E44</f>
        <v>0.388</v>
      </c>
      <c r="G44" s="6">
        <v>0.388</v>
      </c>
      <c r="H44" s="62">
        <f>G44</f>
        <v>0.388</v>
      </c>
      <c r="I44" s="63"/>
      <c r="J44" s="7"/>
      <c r="K44" s="7"/>
      <c r="L44" s="7"/>
      <c r="M44" s="7"/>
      <c r="N44" s="7"/>
      <c r="O44" s="7"/>
      <c r="P44" s="7"/>
      <c r="Q44" s="7"/>
    </row>
    <row r="45" spans="2:9" ht="12.75">
      <c r="B45" s="40" t="s">
        <v>21</v>
      </c>
      <c r="C45" s="30">
        <f>+C37/($C$14*C25*C44)</f>
        <v>35.458406276340526</v>
      </c>
      <c r="D45" s="30">
        <f>+D37/($C$16*D25*D44)</f>
        <v>17.729203138170263</v>
      </c>
      <c r="E45" s="30">
        <f>+E37/($C$14*E25*E44)</f>
        <v>27.275697135646556</v>
      </c>
      <c r="F45" s="30">
        <f>+F37/($C$16*F25*F44)</f>
        <v>13.637848567823278</v>
      </c>
      <c r="G45" s="30">
        <f>+G37/($C$14*G25*G44)</f>
        <v>50.654866109057906</v>
      </c>
      <c r="H45" s="30">
        <f>+H37/($C$16*H25*H44)</f>
        <v>25.327433054528953</v>
      </c>
      <c r="I45" s="65" t="s">
        <v>30</v>
      </c>
    </row>
    <row r="46" spans="2:9" ht="12.75">
      <c r="B46" s="40" t="s">
        <v>22</v>
      </c>
      <c r="C46" s="30">
        <f>+$C$20/C45</f>
        <v>7.219726628571429</v>
      </c>
      <c r="D46" s="30">
        <f>+$C$20/D45</f>
        <v>14.439453257142858</v>
      </c>
      <c r="E46" s="30">
        <f>+$C$20/E45</f>
        <v>9.385644617142859</v>
      </c>
      <c r="F46" s="30">
        <f>+$C$20/F45</f>
        <v>18.771289234285717</v>
      </c>
      <c r="G46" s="30">
        <f>+$C$20/G45</f>
        <v>5.05380864</v>
      </c>
      <c r="H46" s="30">
        <f>+$C$20/H45</f>
        <v>10.10761728</v>
      </c>
      <c r="I46" s="65" t="s">
        <v>31</v>
      </c>
    </row>
    <row r="47" spans="2:9" ht="13.5" thickBot="1">
      <c r="B47" s="41" t="s">
        <v>23</v>
      </c>
      <c r="C47" s="35">
        <f>+$C$20/(C45*$C$13)</f>
        <v>0.8021918476190478</v>
      </c>
      <c r="D47" s="34">
        <f>+$C$20/(D45*$C$15)</f>
        <v>0.8021918476190478</v>
      </c>
      <c r="E47" s="35">
        <f>+$C$20/(E45*$C$13)</f>
        <v>1.042849401904762</v>
      </c>
      <c r="F47" s="34">
        <f>+$C$20/(F45*$C$15)</f>
        <v>1.042849401904762</v>
      </c>
      <c r="G47" s="35">
        <f>+$C$20/(G45*$C$13)</f>
        <v>0.5615342933333333</v>
      </c>
      <c r="H47" s="34">
        <f>+$C$20/(H45*$C$15)</f>
        <v>0.5615342933333333</v>
      </c>
      <c r="I47" s="66" t="s">
        <v>32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at Stony Brook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Grannis</dc:creator>
  <cp:keywords/>
  <dc:description/>
  <cp:lastModifiedBy>paul grannis</cp:lastModifiedBy>
  <cp:lastPrinted>2001-04-10T20:41:29Z</cp:lastPrinted>
  <dcterms:created xsi:type="dcterms:W3CDTF">1998-09-28T19:38:13Z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