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sunang" sheetId="1" r:id="rId1"/>
    <sheet name="solrdat" sheetId="2" r:id="rId2"/>
  </sheets>
  <definedNames>
    <definedName name="TRAN_DEC">'solrdat'!$C$3:$D$387</definedName>
  </definedNames>
  <calcPr fullCalcOnLoad="1"/>
</workbook>
</file>

<file path=xl/comments1.xml><?xml version="1.0" encoding="utf-8"?>
<comments xmlns="http://schemas.openxmlformats.org/spreadsheetml/2006/main">
  <authors>
    <author>Mark Cox</author>
  </authors>
  <commentList>
    <comment ref="M13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minimum</t>
        </r>
        <r>
          <rPr>
            <sz val="8"/>
            <rFont val="Tahoma"/>
            <family val="2"/>
          </rPr>
          <t xml:space="preserve"> allowable </t>
        </r>
        <r>
          <rPr>
            <b/>
            <sz val="8"/>
            <rFont val="Tahoma"/>
            <family val="2"/>
          </rPr>
          <t>sun angle</t>
        </r>
        <r>
          <rPr>
            <sz val="8"/>
            <rFont val="Tahoma"/>
            <family val="2"/>
          </rPr>
          <t xml:space="preserve"> in degrees here.</t>
        </r>
      </text>
    </comment>
    <comment ref="M12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time zone number</t>
        </r>
        <r>
          <rPr>
            <sz val="8"/>
            <rFont val="Tahoma"/>
            <family val="2"/>
          </rPr>
          <t xml:space="preserve"> here from table to the right.</t>
        </r>
      </text>
    </comment>
    <comment ref="M11" authorId="0">
      <text>
        <r>
          <rPr>
            <sz val="8"/>
            <rFont val="Tahoma"/>
            <family val="2"/>
          </rPr>
          <t xml:space="preserve">Enter longitude in </t>
        </r>
        <r>
          <rPr>
            <b/>
            <sz val="8"/>
            <rFont val="Tahoma"/>
            <family val="2"/>
          </rPr>
          <t>degrees dot minutes</t>
        </r>
        <r>
          <rPr>
            <sz val="8"/>
            <rFont val="Tahoma"/>
            <family val="2"/>
          </rPr>
          <t xml:space="preserve"> here from cental part of project area.</t>
        </r>
      </text>
    </comment>
    <comment ref="M10" authorId="0">
      <text>
        <r>
          <rPr>
            <sz val="8"/>
            <rFont val="Tahoma"/>
            <family val="2"/>
          </rPr>
          <t xml:space="preserve">Enter latitude in </t>
        </r>
        <r>
          <rPr>
            <b/>
            <sz val="8"/>
            <rFont val="Tahoma"/>
            <family val="2"/>
          </rPr>
          <t>degrees dot minutes</t>
        </r>
        <r>
          <rPr>
            <sz val="8"/>
            <rFont val="Tahoma"/>
            <family val="2"/>
          </rPr>
          <t xml:space="preserve"> here.  Use northern latitudes of projects in northern hemisphere &amp; southern latitudes of projects in southern hemisphere.  Negative values are used to denote latitudes in southern hemisphere.</t>
        </r>
      </text>
    </comment>
    <comment ref="M14" authorId="0">
      <text>
        <r>
          <rPr>
            <sz val="8"/>
            <rFont val="Tahoma"/>
            <family val="2"/>
          </rPr>
          <t>Enter "1" for current year, or "0" for previous year here.</t>
        </r>
      </text>
    </comment>
  </commentList>
</comments>
</file>

<file path=xl/sharedStrings.xml><?xml version="1.0" encoding="utf-8"?>
<sst xmlns="http://schemas.openxmlformats.org/spreadsheetml/2006/main" count="543" uniqueCount="40">
  <si>
    <t xml:space="preserve">Project:  </t>
  </si>
  <si>
    <t xml:space="preserve">State:  </t>
  </si>
  <si>
    <t xml:space="preserve">Solicitation No:  </t>
  </si>
  <si>
    <t xml:space="preserve">Item:  </t>
  </si>
  <si>
    <t>1 = Atlantic Standard Time</t>
  </si>
  <si>
    <t>2 = Eastern Standard Time</t>
  </si>
  <si>
    <t>3 = Central Standard Time</t>
  </si>
  <si>
    <t xml:space="preserve">Time Zone:  </t>
  </si>
  <si>
    <t>4 = Mountain Standard Time</t>
  </si>
  <si>
    <t>5 = Pacific Standard Time</t>
  </si>
  <si>
    <t>6 = Alaska Standard Time</t>
  </si>
  <si>
    <t>7 = Hawaii-Aleutian Standard Time</t>
  </si>
  <si>
    <t>JANUARY</t>
  </si>
  <si>
    <t>FEBRUARY</t>
  </si>
  <si>
    <t xml:space="preserve">    Daily Max.</t>
  </si>
  <si>
    <t>Date</t>
  </si>
  <si>
    <t xml:space="preserve">    Sun Angle</t>
  </si>
  <si>
    <t>Deg.</t>
  </si>
  <si>
    <t>Hrs.</t>
  </si>
  <si>
    <t>IMPORTANT NOTES</t>
  </si>
  <si>
    <t>1.  All times listed are in standard time format.</t>
  </si>
  <si>
    <t xml:space="preserve">     Camera data chamber to indicate standard time.</t>
  </si>
  <si>
    <t>2.  Times will vary in large projects depending on</t>
  </si>
  <si>
    <t xml:space="preserve">      latitude and longitude.</t>
  </si>
  <si>
    <t xml:space="preserve">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</si>
  <si>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</si>
  <si>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</si>
  <si>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</si>
  <si>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</si>
  <si>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</si>
  <si>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</si>
  <si>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</si>
  <si>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</si>
  <si>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</si>
  <si>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</si>
  <si>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--Type Project Name Here--</t>
  </si>
  <si>
    <t>--Type Solicitation Number Here, or Leave Blank--</t>
  </si>
  <si>
    <t>--No.--</t>
  </si>
  <si>
    <t>--US--</t>
  </si>
  <si>
    <t xml:space="preserve">Longitude (Degrees West):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</si>
</sst>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;;;"/>
    <numFmt numFmtId="166" formatCode="dd\-mmm\-yy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5">
    <font>
      <sz val="12"/>
      <name val="Arial"/>
      <family val="0"/>
    </font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11"/>
      <color indexed="12"/>
      <name val="Arial"/>
      <family val="0"/>
    </font>
    <font>
      <sz val="9"/>
      <color indexed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Tahoma"/>
      <family val="2"/>
    </font>
    <font>
      <sz val="12"/>
      <color indexed="12"/>
      <name val="Arial"/>
      <family val="0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left" vertical="center"/>
      <protection hidden="1"/>
    </xf>
    <xf numFmtId="165" fontId="8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166" fontId="5" fillId="0" borderId="1" xfId="0" applyNumberFormat="1" applyFont="1" applyBorder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66" fontId="12" fillId="0" borderId="0" xfId="0" applyNumberFormat="1" applyFont="1" applyAlignment="1" applyProtection="1">
      <alignment/>
      <protection/>
    </xf>
    <xf numFmtId="0" fontId="0" fillId="0" borderId="0" xfId="21" applyFont="1" applyProtection="1">
      <alignment/>
      <protection/>
    </xf>
    <xf numFmtId="0" fontId="12" fillId="0" borderId="0" xfId="21" applyFont="1" applyProtection="1">
      <alignment/>
      <protection/>
    </xf>
    <xf numFmtId="0" fontId="1" fillId="0" borderId="0" xfId="21" applyProtection="1">
      <alignment/>
      <protection/>
    </xf>
    <xf numFmtId="165" fontId="5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 quotePrefix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rd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16</xdr:row>
      <xdr:rowOff>95250</xdr:rowOff>
    </xdr:from>
    <xdr:to>
      <xdr:col>8</xdr:col>
      <xdr:colOff>314325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438275" y="2314575"/>
          <a:ext cx="771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342900</xdr:colOff>
      <xdr:row>16</xdr:row>
      <xdr:rowOff>95250</xdr:rowOff>
    </xdr:from>
    <xdr:to>
      <xdr:col>19</xdr:col>
      <xdr:colOff>371475</xdr:colOff>
      <xdr:row>18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714875" y="2314575"/>
          <a:ext cx="847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342900</xdr:colOff>
      <xdr:row>82</xdr:row>
      <xdr:rowOff>95250</xdr:rowOff>
    </xdr:from>
    <xdr:to>
      <xdr:col>8</xdr:col>
      <xdr:colOff>152400</xdr:colOff>
      <xdr:row>84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419225" y="112014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361950</xdr:colOff>
      <xdr:row>82</xdr:row>
      <xdr:rowOff>95250</xdr:rowOff>
    </xdr:from>
    <xdr:to>
      <xdr:col>19</xdr:col>
      <xdr:colOff>57150</xdr:colOff>
      <xdr:row>84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4733925" y="11201400"/>
          <a:ext cx="514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381000</xdr:colOff>
      <xdr:row>148</xdr:row>
      <xdr:rowOff>95250</xdr:rowOff>
    </xdr:from>
    <xdr:to>
      <xdr:col>7</xdr:col>
      <xdr:colOff>361950</xdr:colOff>
      <xdr:row>150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1457325" y="20088225"/>
          <a:ext cx="390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371475</xdr:colOff>
      <xdr:row>148</xdr:row>
      <xdr:rowOff>95250</xdr:rowOff>
    </xdr:from>
    <xdr:to>
      <xdr:col>19</xdr:col>
      <xdr:colOff>19050</xdr:colOff>
      <xdr:row>150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4743450" y="20088225"/>
          <a:ext cx="466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371475</xdr:colOff>
      <xdr:row>214</xdr:row>
      <xdr:rowOff>95250</xdr:rowOff>
    </xdr:from>
    <xdr:to>
      <xdr:col>7</xdr:col>
      <xdr:colOff>400050</xdr:colOff>
      <xdr:row>216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1447800" y="28975050"/>
          <a:ext cx="4381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361950</xdr:colOff>
      <xdr:row>214</xdr:row>
      <xdr:rowOff>95250</xdr:rowOff>
    </xdr:from>
    <xdr:to>
      <xdr:col>19</xdr:col>
      <xdr:colOff>209550</xdr:colOff>
      <xdr:row>216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4733925" y="28975050"/>
          <a:ext cx="6667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361950</xdr:colOff>
      <xdr:row>280</xdr:row>
      <xdr:rowOff>95250</xdr:rowOff>
    </xdr:from>
    <xdr:to>
      <xdr:col>9</xdr:col>
      <xdr:colOff>66675</xdr:colOff>
      <xdr:row>282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1438275" y="37861875"/>
          <a:ext cx="933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352425</xdr:colOff>
      <xdr:row>280</xdr:row>
      <xdr:rowOff>95250</xdr:rowOff>
    </xdr:from>
    <xdr:to>
      <xdr:col>19</xdr:col>
      <xdr:colOff>314325</xdr:colOff>
      <xdr:row>282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4724400" y="37861875"/>
          <a:ext cx="781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361950</xdr:colOff>
      <xdr:row>346</xdr:row>
      <xdr:rowOff>95250</xdr:rowOff>
    </xdr:from>
    <xdr:to>
      <xdr:col>9</xdr:col>
      <xdr:colOff>0</xdr:colOff>
      <xdr:row>348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438275" y="46748700"/>
          <a:ext cx="866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352425</xdr:colOff>
      <xdr:row>346</xdr:row>
      <xdr:rowOff>95250</xdr:rowOff>
    </xdr:from>
    <xdr:to>
      <xdr:col>19</xdr:col>
      <xdr:colOff>400050</xdr:colOff>
      <xdr:row>348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4724400" y="46748700"/>
          <a:ext cx="866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396"/>
  <sheetViews>
    <sheetView tabSelected="1" defaultGridColor="0" zoomScale="87" zoomScaleNormal="87" colorId="22" workbookViewId="0" topLeftCell="A1">
      <selection activeCell="A1" sqref="A1"/>
    </sheetView>
  </sheetViews>
  <sheetFormatPr defaultColWidth="12.6640625" defaultRowHeight="15"/>
  <cols>
    <col min="1" max="1" width="2.77734375" style="0" customWidth="1"/>
    <col min="2" max="2" width="9.77734375" style="0" customWidth="1"/>
    <col min="3" max="6" width="9.77734375" style="0" hidden="1" customWidth="1"/>
    <col min="7" max="9" width="4.77734375" style="0" customWidth="1"/>
    <col min="10" max="10" width="3.77734375" style="0" customWidth="1"/>
    <col min="11" max="11" width="4.77734375" style="0" customWidth="1"/>
    <col min="12" max="12" width="5.77734375" style="0" customWidth="1"/>
    <col min="13" max="13" width="9.77734375" style="0" customWidth="1"/>
    <col min="14" max="17" width="9.77734375" style="0" hidden="1" customWidth="1"/>
    <col min="18" max="20" width="4.77734375" style="0" customWidth="1"/>
    <col min="21" max="21" width="3.77734375" style="0" customWidth="1"/>
    <col min="22" max="23" width="4.77734375" style="0" customWidth="1"/>
    <col min="24" max="16384" width="11.4453125" style="0" customWidth="1"/>
  </cols>
  <sheetData>
    <row r="1" spans="1:24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1"/>
      <c r="U1" s="1"/>
      <c r="V1" s="1"/>
      <c r="W1" s="2"/>
      <c r="X1" s="3"/>
    </row>
    <row r="2" spans="1:2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1"/>
      <c r="S2" s="1"/>
      <c r="T2" s="1"/>
      <c r="U2" s="1"/>
      <c r="V2" s="1"/>
      <c r="W2" s="2"/>
      <c r="X2" s="3"/>
    </row>
    <row r="3" spans="1:24" ht="12.75" customHeight="1">
      <c r="A3" s="1"/>
      <c r="B3" s="1"/>
      <c r="C3" s="1"/>
      <c r="D3" s="1"/>
      <c r="E3" s="2"/>
      <c r="F3" s="1"/>
      <c r="G3" s="2"/>
      <c r="H3" s="2"/>
      <c r="I3" s="2"/>
      <c r="J3" s="44" t="str">
        <f>IF(M13&gt;0," Two Month Daily Sun Angle Chart","Two Month Sunrise &amp; Sunset Chart")</f>
        <v> Two Month Daily Sun Angle Chart</v>
      </c>
      <c r="K3" s="47"/>
      <c r="L3" s="47"/>
      <c r="M3" s="47"/>
      <c r="N3" s="47"/>
      <c r="O3" s="47"/>
      <c r="P3" s="47"/>
      <c r="Q3" s="47"/>
      <c r="R3" s="47"/>
      <c r="S3" s="1"/>
      <c r="T3" s="1"/>
      <c r="U3" s="1"/>
      <c r="V3" s="1"/>
      <c r="W3" s="2"/>
      <c r="X3" s="3"/>
    </row>
    <row r="4" spans="1:24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1"/>
      <c r="S4" s="1"/>
      <c r="T4" s="1"/>
      <c r="U4" s="1"/>
      <c r="V4" s="1"/>
      <c r="W4" s="2"/>
      <c r="X4" s="3"/>
    </row>
    <row r="5" spans="1:24" ht="12.75" customHeight="1">
      <c r="A5" s="1"/>
      <c r="B5" s="4" t="s">
        <v>0</v>
      </c>
      <c r="C5" s="1"/>
      <c r="D5" s="1"/>
      <c r="E5" s="1"/>
      <c r="F5" s="1"/>
      <c r="G5" s="48" t="s">
        <v>35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" t="s">
        <v>1</v>
      </c>
      <c r="U5" s="48" t="s">
        <v>38</v>
      </c>
      <c r="V5" s="49"/>
      <c r="W5" s="49"/>
      <c r="X5" s="3"/>
    </row>
    <row r="6" spans="1:24" ht="10.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1"/>
      <c r="M6" s="1"/>
      <c r="N6" s="2"/>
      <c r="O6" s="2"/>
      <c r="P6" s="2"/>
      <c r="Q6" s="2"/>
      <c r="R6" s="1"/>
      <c r="S6" s="1"/>
      <c r="T6" s="1"/>
      <c r="U6" s="2"/>
      <c r="V6" s="1"/>
      <c r="W6" s="2"/>
      <c r="X6" s="3"/>
    </row>
    <row r="7" spans="1:24" ht="12.75" customHeight="1">
      <c r="A7" s="1"/>
      <c r="B7" s="4" t="s">
        <v>2</v>
      </c>
      <c r="C7" s="1"/>
      <c r="D7" s="1"/>
      <c r="E7" s="1"/>
      <c r="F7" s="1"/>
      <c r="G7" s="48" t="s">
        <v>36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" t="s">
        <v>3</v>
      </c>
      <c r="U7" s="50" t="s">
        <v>37</v>
      </c>
      <c r="V7" s="49"/>
      <c r="W7" s="49"/>
      <c r="X7" s="3"/>
    </row>
    <row r="8" spans="1:24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1"/>
      <c r="S8" s="1"/>
      <c r="T8" s="1"/>
      <c r="U8" s="1"/>
      <c r="V8" s="1"/>
      <c r="W8" s="2"/>
      <c r="X8" s="3"/>
    </row>
    <row r="9" spans="1:24" ht="10.5" customHeight="1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42">
        <f>IF(M10&gt;-89,IF(M10&gt;89,89,TRUNC(M10)+(M10-TRUNC(M10))*5/3),-89)</f>
        <v>40</v>
      </c>
      <c r="M9" s="2"/>
      <c r="N9" s="2"/>
      <c r="O9" s="2"/>
      <c r="P9" s="2"/>
      <c r="Q9" s="2"/>
      <c r="R9" s="1" t="s">
        <v>4</v>
      </c>
      <c r="S9" s="1"/>
      <c r="T9" s="1"/>
      <c r="U9" s="1"/>
      <c r="V9" s="1"/>
      <c r="W9" s="2"/>
      <c r="X9" s="3"/>
    </row>
    <row r="10" spans="1:24" ht="10.5" customHeight="1">
      <c r="A10" s="1"/>
      <c r="B10" s="1"/>
      <c r="C10" s="1"/>
      <c r="D10" s="2"/>
      <c r="E10" s="2"/>
      <c r="F10" s="2"/>
      <c r="G10" s="1"/>
      <c r="H10" s="2"/>
      <c r="I10" s="2"/>
      <c r="J10" s="2"/>
      <c r="K10" s="4" t="str">
        <f>IF(M10&lt;0,"Latitude (Degrees South):  ","Latitude (Degrees North):  ")</f>
        <v>Latitude (Degrees North):  </v>
      </c>
      <c r="L10" s="43">
        <f>IF(OR(M10&lt;-89,M10&gt;89),89,ABS(TRUNC(M10)+(M10-TRUNC(M10))*5/3))</f>
        <v>40</v>
      </c>
      <c r="M10" s="6">
        <v>40</v>
      </c>
      <c r="N10" s="2"/>
      <c r="O10" s="2"/>
      <c r="P10" s="2"/>
      <c r="Q10" s="2"/>
      <c r="R10" s="1" t="s">
        <v>5</v>
      </c>
      <c r="S10" s="1"/>
      <c r="T10" s="1"/>
      <c r="U10" s="1"/>
      <c r="V10" s="1"/>
      <c r="W10" s="2"/>
      <c r="X10" s="3"/>
    </row>
    <row r="11" spans="1:24" ht="10.5" customHeight="1">
      <c r="A11" s="1"/>
      <c r="B11" s="1"/>
      <c r="C11" s="1"/>
      <c r="D11" s="2"/>
      <c r="E11" s="2"/>
      <c r="F11" s="2"/>
      <c r="G11" s="1"/>
      <c r="H11" s="2"/>
      <c r="I11" s="2"/>
      <c r="J11" s="2"/>
      <c r="K11" s="4" t="s">
        <v>39</v>
      </c>
      <c r="L11" s="5">
        <f>IF(M11&gt;30,IF(M11&gt;180,180,TRUNC(M11)+(M11-TRUNC(M11))*5/3),30)</f>
        <v>110</v>
      </c>
      <c r="M11" s="6">
        <v>110</v>
      </c>
      <c r="N11" s="2"/>
      <c r="O11" s="2"/>
      <c r="P11" s="2"/>
      <c r="Q11" s="2"/>
      <c r="R11" s="1" t="s">
        <v>6</v>
      </c>
      <c r="S11" s="1"/>
      <c r="T11" s="1"/>
      <c r="U11" s="1"/>
      <c r="V11" s="1"/>
      <c r="W11" s="2"/>
      <c r="X11" s="3"/>
    </row>
    <row r="12" spans="1:24" ht="10.5" customHeight="1">
      <c r="A12" s="1"/>
      <c r="B12" s="1"/>
      <c r="C12" s="1">
        <f>(L11-(L12*15+45))/15</f>
        <v>0.3333333333333333</v>
      </c>
      <c r="D12" s="2"/>
      <c r="E12" s="2"/>
      <c r="F12" s="2"/>
      <c r="G12" s="1"/>
      <c r="H12" s="2"/>
      <c r="I12" s="2"/>
      <c r="J12" s="2"/>
      <c r="K12" s="4" t="s">
        <v>7</v>
      </c>
      <c r="L12" s="7">
        <f>IF(M12&gt;0,IF(M12&gt;8,8,TRUNC(M12*2)/2),0)</f>
        <v>4</v>
      </c>
      <c r="M12" s="6">
        <v>4</v>
      </c>
      <c r="N12" s="2"/>
      <c r="O12" s="2"/>
      <c r="P12" s="2"/>
      <c r="Q12" s="2"/>
      <c r="R12" s="1" t="s">
        <v>8</v>
      </c>
      <c r="S12" s="1"/>
      <c r="T12" s="1"/>
      <c r="U12" s="1"/>
      <c r="V12" s="1"/>
      <c r="W12" s="2"/>
      <c r="X12" s="3"/>
    </row>
    <row r="13" spans="1:24" ht="10.5" customHeight="1">
      <c r="A13" s="1"/>
      <c r="B13" s="1"/>
      <c r="C13" s="1"/>
      <c r="D13" s="2"/>
      <c r="E13" s="2"/>
      <c r="F13" s="2"/>
      <c r="H13" s="8"/>
      <c r="I13" s="2"/>
      <c r="J13" s="2"/>
      <c r="K13" s="4" t="str">
        <f>IF(M13&gt;0,"Min. Sun Angle (Degrees):  ","Solar Refraction (Degrees):  ")</f>
        <v>Min. Sun Angle (Degrees):  </v>
      </c>
      <c r="L13" s="7">
        <f>IF(M13&gt;0,IF(M13&gt;80,80,TRUNC(M13)),-5/6)</f>
        <v>45</v>
      </c>
      <c r="M13" s="6">
        <v>45</v>
      </c>
      <c r="N13" s="2"/>
      <c r="O13" s="2"/>
      <c r="P13" s="2"/>
      <c r="Q13" s="2"/>
      <c r="R13" s="1" t="s">
        <v>9</v>
      </c>
      <c r="S13" s="1"/>
      <c r="T13" s="1"/>
      <c r="U13" s="1"/>
      <c r="V13" s="1"/>
      <c r="W13" s="2"/>
      <c r="X13" s="3"/>
    </row>
    <row r="14" spans="1:24" ht="10.5" customHeight="1">
      <c r="A14" s="1"/>
      <c r="B14" s="1"/>
      <c r="C14" s="1"/>
      <c r="D14" s="1"/>
      <c r="E14" s="1"/>
      <c r="F14" s="1"/>
      <c r="G14" s="1"/>
      <c r="H14" s="2"/>
      <c r="I14" s="1"/>
      <c r="J14" s="1"/>
      <c r="K14" s="1"/>
      <c r="L14" s="2"/>
      <c r="M14" s="6">
        <v>1</v>
      </c>
      <c r="N14" s="2"/>
      <c r="O14" s="2"/>
      <c r="P14" s="2"/>
      <c r="Q14" s="2"/>
      <c r="R14" s="1" t="s">
        <v>10</v>
      </c>
      <c r="S14" s="1"/>
      <c r="T14" s="1"/>
      <c r="U14" s="1"/>
      <c r="V14" s="1"/>
      <c r="W14" s="2"/>
      <c r="X14" s="3"/>
    </row>
    <row r="15" spans="1:24" ht="10.5" customHeight="1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  <c r="L15" s="2"/>
      <c r="M15" s="2"/>
      <c r="N15" s="2"/>
      <c r="O15" s="2"/>
      <c r="P15" s="2"/>
      <c r="Q15" s="2"/>
      <c r="R15" s="1" t="s">
        <v>11</v>
      </c>
      <c r="S15" s="1"/>
      <c r="T15" s="1"/>
      <c r="U15" s="1"/>
      <c r="V15" s="1"/>
      <c r="W15" s="2"/>
      <c r="X15" s="3"/>
    </row>
    <row r="16" spans="1:24" ht="10.5" customHeight="1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2"/>
      <c r="X16" s="3"/>
    </row>
    <row r="17" spans="1:2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1"/>
      <c r="S17" s="1"/>
      <c r="T17" s="1"/>
      <c r="U17" s="1"/>
      <c r="V17" s="1"/>
      <c r="W17" s="2"/>
      <c r="X17" s="3"/>
    </row>
    <row r="18" spans="1:24" ht="10.5" customHeight="1">
      <c r="A18" s="1"/>
      <c r="B18" s="1"/>
      <c r="C18" s="1"/>
      <c r="D18" s="1"/>
      <c r="E18" s="1"/>
      <c r="F18" s="1"/>
      <c r="G18" s="1"/>
      <c r="H18" s="9" t="s">
        <v>12</v>
      </c>
      <c r="I18" s="1"/>
      <c r="J18" s="1"/>
      <c r="K18" s="1"/>
      <c r="L18" s="1"/>
      <c r="M18" s="10"/>
      <c r="N18" s="2"/>
      <c r="O18" s="2"/>
      <c r="P18" s="2"/>
      <c r="Q18" s="2"/>
      <c r="R18" s="2"/>
      <c r="S18" s="9" t="s">
        <v>13</v>
      </c>
      <c r="T18" s="1"/>
      <c r="U18" s="1"/>
      <c r="V18" s="1"/>
      <c r="W18" s="2"/>
      <c r="X18" s="3"/>
    </row>
    <row r="19" spans="1:24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0"/>
      <c r="N19" s="2"/>
      <c r="O19" s="2"/>
      <c r="P19" s="2"/>
      <c r="Q19" s="2"/>
      <c r="R19" s="1"/>
      <c r="S19" s="1"/>
      <c r="T19" s="1"/>
      <c r="U19" s="1"/>
      <c r="V19" s="1"/>
      <c r="W19" s="2"/>
      <c r="X19" s="3"/>
    </row>
    <row r="20" spans="1:24" ht="10.5" customHeight="1">
      <c r="A20" s="1"/>
      <c r="B20" s="2"/>
      <c r="C20" s="2"/>
      <c r="D20" s="2"/>
      <c r="E20" s="2"/>
      <c r="F20" s="2"/>
      <c r="G20" s="2"/>
      <c r="H20" s="11" t="str">
        <f>IF(M13&gt;0,"Flying Window"," ")</f>
        <v>Flying Window</v>
      </c>
      <c r="I20" s="11"/>
      <c r="J20" s="11"/>
      <c r="K20" s="11" t="s">
        <v>14</v>
      </c>
      <c r="L20" s="2"/>
      <c r="M20" s="12"/>
      <c r="N20" s="2"/>
      <c r="O20" s="2"/>
      <c r="P20" s="2"/>
      <c r="Q20" s="2"/>
      <c r="R20" s="2"/>
      <c r="S20" s="11" t="str">
        <f>IF(M13&gt;0,"Flying Window"," ")</f>
        <v>Flying Window</v>
      </c>
      <c r="T20" s="11"/>
      <c r="U20" s="11"/>
      <c r="V20" s="11" t="s">
        <v>14</v>
      </c>
      <c r="W20" s="2"/>
      <c r="X20" s="3"/>
    </row>
    <row r="21" spans="1:24" ht="10.5" customHeight="1">
      <c r="A21" s="1"/>
      <c r="B21" s="13" t="s">
        <v>15</v>
      </c>
      <c r="C21" s="11"/>
      <c r="D21" s="11"/>
      <c r="E21" s="11"/>
      <c r="F21" s="11"/>
      <c r="G21" s="11" t="str">
        <f>IF(M13&gt;0,"   Start Time","       Sunrise")</f>
        <v>   Start Time</v>
      </c>
      <c r="H21" s="11"/>
      <c r="I21" s="11" t="str">
        <f>IF(M13&gt;0,"   End Time","      Sunset")</f>
        <v>   End Time</v>
      </c>
      <c r="J21" s="11"/>
      <c r="K21" s="11" t="s">
        <v>16</v>
      </c>
      <c r="L21" s="2"/>
      <c r="M21" s="14" t="s">
        <v>15</v>
      </c>
      <c r="N21" s="11"/>
      <c r="O21" s="11"/>
      <c r="P21" s="11"/>
      <c r="Q21" s="11"/>
      <c r="R21" s="11" t="str">
        <f>IF(M13&gt;0,"   Start Time","       Sunrise")</f>
        <v>   Start Time</v>
      </c>
      <c r="S21" s="11"/>
      <c r="T21" s="11" t="str">
        <f>IF(M13&gt;0,"   End Time","      Sunset")</f>
        <v>   End Time</v>
      </c>
      <c r="U21" s="11"/>
      <c r="V21" s="11" t="s">
        <v>16</v>
      </c>
      <c r="W21" s="2"/>
      <c r="X21" s="3"/>
    </row>
    <row r="22" spans="1:25" ht="10.5" customHeight="1">
      <c r="A22" s="1"/>
      <c r="B22" s="15">
        <f>IF(M14&gt;0,solrdat!B3,solrdat!I3)</f>
        <v>39814</v>
      </c>
      <c r="C22" s="1">
        <f>IF(M14&gt;0,solrdat!C3,solrdat!J3)</f>
        <v>12.06338888888889</v>
      </c>
      <c r="D22" s="1">
        <f>IF(M14&gt;0,solrdat!D3,solrdat!K3)</f>
        <v>-22.941312</v>
      </c>
      <c r="E22" s="1">
        <f>(TAN(RADIANS(L9))*SIN(RADIANS(D22))-SIN(RADIANS(L13))/COS(RADIANS(L9)))/COS(RADIANS(D22))</f>
        <v>-1.357505828927102</v>
      </c>
      <c r="F22" s="1" t="str">
        <f>IF(E22&lt;-1,"0",IF(E22&gt;1,24,(DEGREES(ASIN(E22))*2+180)/15))</f>
        <v>0</v>
      </c>
      <c r="G22" s="4" t="str">
        <f>IF(E22&lt;-1,"Below",IF(E22&gt;1,"Above",INT(C22+C12-(DEGREES(ASIN(E22))+90)/15+5/600)))</f>
        <v>Below</v>
      </c>
      <c r="H22" s="1" t="str">
        <f>IF(OR(E22&lt;-1,E22&gt;1),IF(M13&gt;0," Min."," Horz."),IF(INT((C22+C12-(DEGREES(ASIN(E22))+90)/15-G22)*60+1/2)&lt;10,":0"&amp;FIXED(INT((C22+C12-(DEGREES(ASIN(E22))+90)/15-G22)*60+1/2),0),":"&amp;FIXED(INT((C22+C12-(DEGREES(ASIN(E22))+90)/15-G22)*60+1/2),0)))</f>
        <v> Min.</v>
      </c>
      <c r="I22" s="4" t="str">
        <f>IF(E22&lt;-1,"Below",IF(E22&gt;1,"Above",INT(C22+C12+(DEGREES(ASIN(E22))+90)/15+5/600)))</f>
        <v>Below</v>
      </c>
      <c r="J22" s="1" t="str">
        <f>IF(OR(E22&lt;-1,E22&gt;1),IF(M13&gt;0," Min."," Horz."),IF(INT((C22+C12+(DEGREES(ASIN(E22))+90)/15-I22)*60+1/2)&lt;10,":0"&amp;FIXED(INT((C22+C12+(DEGREES(ASIN(E22))+90)/15-I22)*60+1/2),0),":"&amp;FIXED(INT((C22+C12+(DEGREES(ASIN(E22))+90)/15-I22)*60+1/2),0)))</f>
        <v> Min.</v>
      </c>
      <c r="K22" s="1">
        <f>ROUND(DEGREES(ASIN(COS(RADIANS(D22))*COS(RADIANS(L9))+SIN(RADIANS(D22))*SIN(RADIANS(L9)))),0)</f>
        <v>27</v>
      </c>
      <c r="L22" s="1" t="s">
        <v>17</v>
      </c>
      <c r="M22" s="16">
        <f>IF(M14&gt;0,solrdat!B35,solrdat!I35)</f>
        <v>39845</v>
      </c>
      <c r="N22" s="1">
        <f>IF(M14&gt;0,solrdat!C35,solrdat!J35)</f>
        <v>12.227527777777778</v>
      </c>
      <c r="O22" s="1">
        <f>IF(M14&gt;0,solrdat!D35,solrdat!K35)</f>
        <v>-16.895287</v>
      </c>
      <c r="P22" s="1">
        <f>(TAN(RADIANS(L9))*SIN(RADIANS(O22))-SIN(RADIANS(L13))/COS(RADIANS(L9)))/COS(RADIANS(O22))</f>
        <v>-1.2195638403235158</v>
      </c>
      <c r="Q22" s="1" t="str">
        <f>IF(P22&lt;-1,"0",IF(P22&gt;1,24,(DEGREES(ASIN(P22))*2+180)/15))</f>
        <v>0</v>
      </c>
      <c r="R22" s="4" t="str">
        <f>IF(P22&lt;-1,"Below",IF(P22&gt;1,"Above",INT(N22+C12-(DEGREES(ASIN(P22))+90)/15+5/600)))</f>
        <v>Below</v>
      </c>
      <c r="S22" s="1" t="str">
        <f>IF(OR(P22&lt;-1,P22&gt;1),IF(M13&gt;0," Min."," Horz."),IF(INT((N22+C12-(DEGREES(ASIN(P22))+90)/15-R22)*60+1/2)&lt;10,":0"&amp;FIXED(INT((N22+C12-(DEGREES(ASIN(P22))+90)/15-R22)*60+1/2),0),":"&amp;FIXED(INT((N22+C12-(DEGREES(ASIN(P22))+90)/15-R22)*60+1/2),0)))</f>
        <v> Min.</v>
      </c>
      <c r="T22" s="4" t="str">
        <f>IF(P22&lt;-1,"Below",IF(P22&gt;1,"Above",INT(N22+C12+(DEGREES(ASIN(P22))+90)/15+5/600)))</f>
        <v>Below</v>
      </c>
      <c r="U22" s="1" t="str">
        <f>IF(OR(P22&lt;-1,P22&gt;1),IF(M13&gt;0," Min."," Horz."),IF(INT((N22+C12+(DEGREES(ASIN(P22))+90)/15-T22)*60+1/2)&lt;10,":0"&amp;FIXED(INT((N22+C12+(DEGREES(ASIN(P22))+90)/15-T22)*60+1/2),0),":"&amp;FIXED(INT((N22+C12+(DEGREES(ASIN(P22))+90)/15-T22)*60+1/2),0)))</f>
        <v> Min.</v>
      </c>
      <c r="V22" s="1">
        <f>ROUND(DEGREES(ASIN(COS(RADIANS(O22))*COS(RADIANS(L9))+SIN(RADIANS(O22))*SIN(RADIANS(L9)))),0)</f>
        <v>33</v>
      </c>
      <c r="W22" s="1" t="s">
        <v>17</v>
      </c>
      <c r="X22" s="3"/>
      <c r="Y22" s="17"/>
    </row>
    <row r="23" spans="1:24" ht="10.5" customHeight="1">
      <c r="A23" s="1"/>
      <c r="B23" s="15">
        <f>IF(M14&gt;0,solrdat!B4,solrdat!I4)</f>
        <v>39815</v>
      </c>
      <c r="C23" s="1">
        <f>IF(M14&gt;0,solrdat!C4,solrdat!J4)</f>
        <v>12.071166666666667</v>
      </c>
      <c r="D23" s="1">
        <f>IF(M14&gt;0,solrdat!D4,solrdat!K4)</f>
        <v>-22.849639</v>
      </c>
      <c r="E23" s="1">
        <f>(TAN(RADIANS(L9))*SIN(RADIANS(D23))-SIN(RADIANS(L13))/COS(RADIANS(L9)))/COS(RADIANS(D23))</f>
        <v>-1.3552467478333343</v>
      </c>
      <c r="F23" s="1" t="str">
        <f aca="true" t="shared" si="0" ref="F23:F52">IF(E23&lt;-1,"0",IF(E23&gt;1,24,(DEGREES(ASIN(E23))*2+180)/15))</f>
        <v>0</v>
      </c>
      <c r="G23" s="4" t="str">
        <f>IF(E23&lt;-1,"Below",IF(E23&gt;1,"Above",INT(C23+C12-(DEGREES(ASIN(E23))+90)/15+5/600)))</f>
        <v>Below</v>
      </c>
      <c r="H23" s="1" t="str">
        <f>IF(OR(E23&lt;-1,E23&gt;1),IF(M13&gt;0," Min."," Horz."),IF(INT((C23+C12-(DEGREES(ASIN(E23))+90)/15-G23)*60+1/2)&lt;10,":0"&amp;FIXED(INT((C23+C12-(DEGREES(ASIN(E23))+90)/15-G23)*60+1/2),0),":"&amp;FIXED(INT((C23+C12-(DEGREES(ASIN(E23))+90)/15-G23)*60+1/2),0)))</f>
        <v> Min.</v>
      </c>
      <c r="I23" s="4" t="str">
        <f>IF(E23&lt;-1,"Below",IF(E23&gt;1,"Above",INT(C23+C12+(DEGREES(ASIN(E23))+90)/15+5/600)))</f>
        <v>Below</v>
      </c>
      <c r="J23" s="1" t="str">
        <f>IF(OR(E23&lt;-1,E23&gt;1),IF(M13&gt;0," Min."," Horz."),IF(INT((C23+C12+(DEGREES(ASIN(E23))+90)/15-I23)*60+1/2)&lt;10,":0"&amp;FIXED(INT((C23+C12+(DEGREES(ASIN(E23))+90)/15-I23)*60+1/2),0),":"&amp;FIXED(INT((C23+C12+(DEGREES(ASIN(E23))+90)/15-I23)*60+1/2),0)))</f>
        <v> Min.</v>
      </c>
      <c r="K23" s="1">
        <f>ROUND(DEGREES(ASIN(COS(RADIANS(D23))*COS(RADIANS(L9))+SIN(RADIANS(D23))*SIN(RADIANS(L9)))),0)</f>
        <v>27</v>
      </c>
      <c r="L23" s="1" t="s">
        <v>17</v>
      </c>
      <c r="M23" s="16">
        <f>IF(M14&gt;0,solrdat!B36,solrdat!I36)</f>
        <v>39846</v>
      </c>
      <c r="N23" s="1">
        <f>IF(M14&gt;0,solrdat!C36,solrdat!J36)</f>
        <v>12.229527777777777</v>
      </c>
      <c r="O23" s="1">
        <f>IF(M14&gt;0,solrdat!D36,solrdat!K36)</f>
        <v>-16.604744</v>
      </c>
      <c r="P23" s="1">
        <f>(TAN(RADIANS(L9))*SIN(RADIANS(O23))-SIN(RADIANS(L13))/COS(RADIANS(L9)))/COS(RADIANS(O23))</f>
        <v>-1.213452201341792</v>
      </c>
      <c r="Q23" s="1" t="str">
        <f aca="true" t="shared" si="1" ref="Q23:Q49">IF(P23&lt;-1,"0",IF(P23&gt;1,24,(DEGREES(ASIN(P23))*2+180)/15))</f>
        <v>0</v>
      </c>
      <c r="R23" s="4" t="str">
        <f>IF(P23&lt;-1,"Below",IF(P23&gt;1,"Above",INT(N23+C12-(DEGREES(ASIN(P23))+90)/15+5/600)))</f>
        <v>Below</v>
      </c>
      <c r="S23" s="1" t="str">
        <f>IF(OR(P23&lt;-1,P23&gt;1),IF(M13&gt;0," Min."," Horz."),IF(INT((N23+C12-(DEGREES(ASIN(P23))+90)/15-R23)*60+1/2)&lt;10,":0"&amp;FIXED(INT((N23+C12-(DEGREES(ASIN(P23))+90)/15-R23)*60+1/2),0),":"&amp;FIXED(INT((N23+C12-(DEGREES(ASIN(P23))+90)/15-R23)*60+1/2),0)))</f>
        <v> Min.</v>
      </c>
      <c r="T23" s="4" t="str">
        <f>IF(P23&lt;-1,"Below",IF(P23&gt;1,"Above",INT(N23+C12+(DEGREES(ASIN(P23))+90)/15+5/600)))</f>
        <v>Below</v>
      </c>
      <c r="U23" s="1" t="str">
        <f>IF(OR(P23&lt;-1,P23&gt;1),IF(M13&gt;0," Min."," Horz."),IF(INT((N23+C12+(DEGREES(ASIN(P23))+90)/15-T23)*60+1/2)&lt;10,":0"&amp;FIXED(INT((N23+C12+(DEGREES(ASIN(P23))+90)/15-T23)*60+1/2),0),":"&amp;FIXED(INT((N23+C12+(DEGREES(ASIN(P23))+90)/15-T23)*60+1/2),0)))</f>
        <v> Min.</v>
      </c>
      <c r="V23" s="1">
        <f>ROUND(DEGREES(ASIN(COS(RADIANS(O23))*COS(RADIANS(L9))+SIN(RADIANS(O23))*SIN(RADIANS(L9)))),0)</f>
        <v>33</v>
      </c>
      <c r="W23" s="1" t="s">
        <v>17</v>
      </c>
      <c r="X23" s="3"/>
    </row>
    <row r="24" spans="1:24" ht="10.5" customHeight="1">
      <c r="A24" s="1"/>
      <c r="B24" s="15">
        <f>IF(M14&gt;0,solrdat!B5,solrdat!I5)</f>
        <v>39816</v>
      </c>
      <c r="C24" s="1">
        <f>IF(M14&gt;0,solrdat!C5,solrdat!J5)</f>
        <v>12.078805555555556</v>
      </c>
      <c r="D24" s="1">
        <f>IF(M14&gt;0,solrdat!D5,solrdat!K5)</f>
        <v>-22.750397</v>
      </c>
      <c r="E24" s="1">
        <f>(TAN(RADIANS(L9))*SIN(RADIANS(D24))-SIN(RADIANS(L13))/COS(RADIANS(L9)))/COS(RADIANS(D24))</f>
        <v>-1.3528074646776647</v>
      </c>
      <c r="F24" s="1" t="str">
        <f t="shared" si="0"/>
        <v>0</v>
      </c>
      <c r="G24" s="4" t="str">
        <f>IF(E24&lt;-1,"Below",IF(E24&gt;1,"Above",INT(C24+C12-(DEGREES(ASIN(E24))+90)/15+5/600)))</f>
        <v>Below</v>
      </c>
      <c r="H24" s="1" t="str">
        <f>IF(OR(E24&lt;-1,E24&gt;1),IF(M13&gt;0," Min."," Horz."),IF(INT((C24+C12-(DEGREES(ASIN(E24))+90)/15-G24)*60+1/2)&lt;10,":0"&amp;FIXED(INT((C24+C12-(DEGREES(ASIN(E24))+90)/15-G24)*60+1/2),0),":"&amp;FIXED(INT((C24+C12-(DEGREES(ASIN(E24))+90)/15-G24)*60+1/2),0)))</f>
        <v> Min.</v>
      </c>
      <c r="I24" s="4" t="str">
        <f>IF(E24&lt;-1,"Below",IF(E24&gt;1,"Above",INT(C24+C12+(DEGREES(ASIN(E24))+90)/15+5/600)))</f>
        <v>Below</v>
      </c>
      <c r="J24" s="1" t="str">
        <f>IF(OR(E24&lt;-1,E24&gt;1),IF(M13&gt;0," Min."," Horz."),IF(INT((C24+C12+(DEGREES(ASIN(E24))+90)/15-I24)*60+1/2)&lt;10,":0"&amp;FIXED(INT((C24+C12+(DEGREES(ASIN(E24))+90)/15-I24)*60+1/2),0),":"&amp;FIXED(INT((C24+C12+(DEGREES(ASIN(E24))+90)/15-I24)*60+1/2),0)))</f>
        <v> Min.</v>
      </c>
      <c r="K24" s="1">
        <f>ROUND(DEGREES(ASIN(COS(RADIANS(D24))*COS(RADIANS(L9))+SIN(RADIANS(D24))*SIN(RADIANS(L9)))),0)</f>
        <v>27</v>
      </c>
      <c r="L24" s="1" t="s">
        <v>17</v>
      </c>
      <c r="M24" s="16">
        <f>IF(M14&gt;0,solrdat!B37,solrdat!I37)</f>
        <v>39847</v>
      </c>
      <c r="N24" s="1">
        <f>IF(M14&gt;0,solrdat!C37,solrdat!J37)</f>
        <v>12.231277777777779</v>
      </c>
      <c r="O24" s="1">
        <f>IF(M14&gt;0,solrdat!D37,solrdat!K37)</f>
        <v>-16.309407</v>
      </c>
      <c r="P24" s="1">
        <f>(TAN(RADIANS(L9))*SIN(RADIANS(O24))-SIN(RADIANS(L13))/COS(RADIANS(L9)))/COS(RADIANS(O24))</f>
        <v>-1.2072839789863958</v>
      </c>
      <c r="Q24" s="1" t="str">
        <f t="shared" si="1"/>
        <v>0</v>
      </c>
      <c r="R24" s="4" t="str">
        <f>IF(P24&lt;-1,"Below",IF(P24&gt;1,"Above",INT(N24+C12-(DEGREES(ASIN(P24))+90)/15+5/600)))</f>
        <v>Below</v>
      </c>
      <c r="S24" s="1" t="str">
        <f>IF(OR(P24&lt;-1,P24&gt;1),IF(M13&gt;0," Min."," Horz."),IF(INT((N24+C12-(DEGREES(ASIN(P24))+90)/15-R24)*60+1/2)&lt;10,":0"&amp;FIXED(INT((N24+C12-(DEGREES(ASIN(P24))+90)/15-R24)*60+1/2),0),":"&amp;FIXED(INT((N24+C12-(DEGREES(ASIN(P24))+90)/15-R24)*60+1/2),0)))</f>
        <v> Min.</v>
      </c>
      <c r="T24" s="4" t="str">
        <f>IF(P24&lt;-1,"Below",IF(P24&gt;1,"Above",INT(N24+C12+(DEGREES(ASIN(P24))+90)/15+5/600)))</f>
        <v>Below</v>
      </c>
      <c r="U24" s="1" t="str">
        <f>IF(OR(P24&lt;-1,P24&gt;1),IF(M13&gt;0," Min."," Horz."),IF(INT((N24+C12+(DEGREES(ASIN(P24))+90)/15-T24)*60+1/2)&lt;10,":0"&amp;FIXED(INT((N24+C12+(DEGREES(ASIN(P24))+90)/15-T24)*60+1/2),0),":"&amp;FIXED(INT((N24+C12+(DEGREES(ASIN(P24))+90)/15-T24)*60+1/2),0)))</f>
        <v> Min.</v>
      </c>
      <c r="V24" s="1">
        <f>ROUND(DEGREES(ASIN(COS(RADIANS(O24))*COS(RADIANS(L9))+SIN(RADIANS(O24))*SIN(RADIANS(L9)))),0)</f>
        <v>34</v>
      </c>
      <c r="W24" s="1" t="s">
        <v>17</v>
      </c>
      <c r="X24" s="3"/>
    </row>
    <row r="25" spans="1:24" ht="10.5" customHeight="1">
      <c r="A25" s="1"/>
      <c r="B25" s="15">
        <f>IF(M14&gt;0,solrdat!B6,solrdat!I6)</f>
        <v>39817</v>
      </c>
      <c r="C25" s="1">
        <f>IF(M14&gt;0,solrdat!C6,solrdat!J6)</f>
        <v>12.086361111111112</v>
      </c>
      <c r="D25" s="1">
        <f>IF(M14&gt;0,solrdat!D6,solrdat!K6)</f>
        <v>-22.643637</v>
      </c>
      <c r="E25" s="1">
        <f>(TAN(RADIANS(L9))*SIN(RADIANS(D25))-SIN(RADIANS(L13))/COS(RADIANS(L9)))/COS(RADIANS(D25))</f>
        <v>-1.350190698594705</v>
      </c>
      <c r="F25" s="1" t="str">
        <f t="shared" si="0"/>
        <v>0</v>
      </c>
      <c r="G25" s="4" t="str">
        <f>IF(E25&lt;-1,"Below",IF(E25&gt;1,"Above",INT(C25+C12-(DEGREES(ASIN(E25))+90)/15+5/600)))</f>
        <v>Below</v>
      </c>
      <c r="H25" s="1" t="str">
        <f>IF(OR(E25&lt;-1,E25&gt;1),IF(M13&gt;0," Min."," Horz."),IF(INT((C25+C12-(DEGREES(ASIN(E25))+90)/15-G25)*60+1/2)&lt;10,":0"&amp;FIXED(INT((C25+C12-(DEGREES(ASIN(E25))+90)/15-G25)*60+1/2),0),":"&amp;FIXED(INT((C25+C12-(DEGREES(ASIN(E25))+90)/15-G25)*60+1/2),0)))</f>
        <v> Min.</v>
      </c>
      <c r="I25" s="4" t="str">
        <f>IF(E25&lt;-1,"Below",IF(E25&gt;1,"Above",INT(C25+C12+(DEGREES(ASIN(E25))+90)/15+5/600)))</f>
        <v>Below</v>
      </c>
      <c r="J25" s="1" t="str">
        <f>IF(OR(E25&lt;-1,E25&gt;1),IF(M13&gt;0," Min."," Horz."),IF(INT((C25+C12+(DEGREES(ASIN(E25))+90)/15-I25)*60+1/2)&lt;10,":0"&amp;FIXED(INT((C25+C12+(DEGREES(ASIN(E25))+90)/15-I25)*60+1/2),0),":"&amp;FIXED(INT((C25+C12+(DEGREES(ASIN(E25))+90)/15-I25)*60+1/2),0)))</f>
        <v> Min.</v>
      </c>
      <c r="K25" s="1">
        <f>ROUND(DEGREES(ASIN(COS(RADIANS(D25))*COS(RADIANS(L9))+SIN(RADIANS(D25))*SIN(RADIANS(L9)))),0)</f>
        <v>27</v>
      </c>
      <c r="L25" s="1" t="s">
        <v>17</v>
      </c>
      <c r="M25" s="16">
        <f>IF(M14&gt;0,solrdat!B38,solrdat!I38)</f>
        <v>39848</v>
      </c>
      <c r="N25" s="1">
        <f>IF(M14&gt;0,solrdat!C38,solrdat!J38)</f>
        <v>12.232777777777779</v>
      </c>
      <c r="O25" s="1">
        <f>IF(M14&gt;0,solrdat!D38,solrdat!K38)</f>
        <v>-16.009394</v>
      </c>
      <c r="P25" s="1">
        <f>(TAN(RADIANS(L9))*SIN(RADIANS(O25))-SIN(RADIANS(L13))/COS(RADIANS(L9)))/COS(RADIANS(O25))</f>
        <v>-1.2010632406963861</v>
      </c>
      <c r="Q25" s="1" t="str">
        <f t="shared" si="1"/>
        <v>0</v>
      </c>
      <c r="R25" s="4" t="str">
        <f>IF(P25&lt;-1,"Below",IF(P25&gt;1,"Above",INT(N25+C12-(DEGREES(ASIN(P25))+90)/15+5/600)))</f>
        <v>Below</v>
      </c>
      <c r="S25" s="1" t="str">
        <f>IF(OR(P25&lt;-1,P25&gt;1),IF(M13&gt;0," Min."," Horz."),IF(INT((N25+C12-(DEGREES(ASIN(P25))+90)/15-R25)*60+1/2)&lt;10,":0"&amp;FIXED(INT((N25+C12-(DEGREES(ASIN(P25))+90)/15-R25)*60+1/2),0),":"&amp;FIXED(INT((N25+C12-(DEGREES(ASIN(P25))+90)/15-R25)*60+1/2),0)))</f>
        <v> Min.</v>
      </c>
      <c r="T25" s="4" t="str">
        <f>IF(P25&lt;-1,"Below",IF(P25&gt;1,"Above",INT(N25+C12+(DEGREES(ASIN(P25))+90)/15+5/600)))</f>
        <v>Below</v>
      </c>
      <c r="U25" s="1" t="str">
        <f>IF(OR(P25&lt;-1,P25&gt;1),IF(M13&gt;0," Min."," Horz."),IF(INT((N25+C12+(DEGREES(ASIN(P25))+90)/15-T25)*60+1/2)&lt;10,":0"&amp;FIXED(INT((N25+C12+(DEGREES(ASIN(P25))+90)/15-T25)*60+1/2),0),":"&amp;FIXED(INT((N25+C12+(DEGREES(ASIN(P25))+90)/15-T25)*60+1/2),0)))</f>
        <v> Min.</v>
      </c>
      <c r="V25" s="1">
        <f>ROUND(DEGREES(ASIN(COS(RADIANS(O25))*COS(RADIANS(L9))+SIN(RADIANS(O25))*SIN(RADIANS(L9)))),0)</f>
        <v>34</v>
      </c>
      <c r="W25" s="1" t="s">
        <v>17</v>
      </c>
      <c r="X25" s="3"/>
    </row>
    <row r="26" spans="1:24" ht="10.5" customHeight="1">
      <c r="A26" s="1"/>
      <c r="B26" s="15">
        <f>IF(M14&gt;0,solrdat!B7,solrdat!I7)</f>
        <v>39818</v>
      </c>
      <c r="C26" s="1">
        <f>IF(M14&gt;0,solrdat!C7,solrdat!J7)</f>
        <v>12.093777777777778</v>
      </c>
      <c r="D26" s="1">
        <f>IF(M14&gt;0,solrdat!D7,solrdat!K7)</f>
        <v>-22.529416</v>
      </c>
      <c r="E26" s="1">
        <f>(TAN(RADIANS(L9))*SIN(RADIANS(D26))-SIN(RADIANS(L13))/COS(RADIANS(L9)))/COS(RADIANS(D26))</f>
        <v>-1.3473993998365368</v>
      </c>
      <c r="F26" s="1" t="str">
        <f t="shared" si="0"/>
        <v>0</v>
      </c>
      <c r="G26" s="4" t="str">
        <f>IF(E26&lt;-1,"Below",IF(E26&gt;1,"Above",INT(C26+C12-(DEGREES(ASIN(E26))+90)/15+5/600)))</f>
        <v>Below</v>
      </c>
      <c r="H26" s="1" t="str">
        <f>IF(OR(E26&lt;-1,E26&gt;1),IF(M13&gt;0," Min."," Horz."),IF(INT((C26+C12-(DEGREES(ASIN(E26))+90)/15-G26)*60+1/2)&lt;10,":0"&amp;FIXED(INT((C26+C12-(DEGREES(ASIN(E26))+90)/15-G26)*60+1/2),0),":"&amp;FIXED(INT((C26+C12-(DEGREES(ASIN(E26))+90)/15-G26)*60+1/2),0)))</f>
        <v> Min.</v>
      </c>
      <c r="I26" s="4" t="str">
        <f>IF(E26&lt;-1,"Below",IF(E26&gt;1,"Above",INT(C26+C12+(DEGREES(ASIN(E26))+90)/15+5/600)))</f>
        <v>Below</v>
      </c>
      <c r="J26" s="1" t="str">
        <f>IF(OR(E26&lt;-1,E26&gt;1),IF(M13&gt;0," Min."," Horz."),IF(INT((C26+C12+(DEGREES(ASIN(E26))+90)/15-I26)*60+1/2)&lt;10,":0"&amp;FIXED(INT((C26+C12+(DEGREES(ASIN(E26))+90)/15-I26)*60+1/2),0),":"&amp;FIXED(INT((C26+C12+(DEGREES(ASIN(E26))+90)/15-I26)*60+1/2),0)))</f>
        <v> Min.</v>
      </c>
      <c r="K26" s="1">
        <f>ROUND(DEGREES(ASIN(COS(RADIANS(D26))*COS(RADIANS(L9))+SIN(RADIANS(D26))*SIN(RADIANS(L9)))),0)</f>
        <v>27</v>
      </c>
      <c r="L26" s="1" t="s">
        <v>17</v>
      </c>
      <c r="M26" s="16">
        <f>IF(M14&gt;0,solrdat!B39,solrdat!I39)</f>
        <v>39849</v>
      </c>
      <c r="N26" s="1">
        <f>IF(M14&gt;0,solrdat!C39,solrdat!J39)</f>
        <v>12.234055555555555</v>
      </c>
      <c r="O26" s="1">
        <f>IF(M14&gt;0,solrdat!D39,solrdat!K39)</f>
        <v>-15.704821</v>
      </c>
      <c r="P26" s="1">
        <f>(TAN(RADIANS(L9))*SIN(RADIANS(O26))-SIN(RADIANS(L13))/COS(RADIANS(L9)))/COS(RADIANS(O26))</f>
        <v>-1.1947939330955868</v>
      </c>
      <c r="Q26" s="1" t="str">
        <f t="shared" si="1"/>
        <v>0</v>
      </c>
      <c r="R26" s="4" t="str">
        <f>IF(P26&lt;-1,"Below",IF(P26&gt;1,"Above",INT(N26+C12-(DEGREES(ASIN(P26))+90)/15+5/600)))</f>
        <v>Below</v>
      </c>
      <c r="S26" s="1" t="str">
        <f>IF(OR(P26&lt;-1,P26&gt;1),IF(M13&gt;0," Min."," Horz."),IF(INT((N26+C12-(DEGREES(ASIN(P26))+90)/15-R26)*60+1/2)&lt;10,":0"&amp;FIXED(INT((N26+C12-(DEGREES(ASIN(P26))+90)/15-R26)*60+1/2),0),":"&amp;FIXED(INT((N26+C12-(DEGREES(ASIN(P26))+90)/15-R26)*60+1/2),0)))</f>
        <v> Min.</v>
      </c>
      <c r="T26" s="4" t="str">
        <f>IF(P26&lt;-1,"Below",IF(P26&gt;1,"Above",INT(N26+C12+(DEGREES(ASIN(P26))+90)/15+5/600)))</f>
        <v>Below</v>
      </c>
      <c r="U26" s="1" t="str">
        <f>IF(OR(P26&lt;-1,P26&gt;1),IF(M13&gt;0," Min."," Horz."),IF(INT((N26+C12+(DEGREES(ASIN(P26))+90)/15-T26)*60+1/2)&lt;10,":0"&amp;FIXED(INT((N26+C12+(DEGREES(ASIN(P26))+90)/15-T26)*60+1/2),0),":"&amp;FIXED(INT((N26+C12+(DEGREES(ASIN(P26))+90)/15-T26)*60+1/2),0)))</f>
        <v> Min.</v>
      </c>
      <c r="V26" s="1">
        <f>ROUND(DEGREES(ASIN(COS(RADIANS(O26))*COS(RADIANS(L9))+SIN(RADIANS(O26))*SIN(RADIANS(L9)))),0)</f>
        <v>34</v>
      </c>
      <c r="W26" s="1" t="s">
        <v>17</v>
      </c>
      <c r="X26" s="3"/>
    </row>
    <row r="27" spans="1:24" ht="10.5" customHeight="1">
      <c r="A27" s="1"/>
      <c r="B27" s="15">
        <f>IF(M14&gt;0,solrdat!B8,solrdat!I8)</f>
        <v>39819</v>
      </c>
      <c r="C27" s="1">
        <f>IF(M14&gt;0,solrdat!C8,solrdat!J8)</f>
        <v>12.101055555555556</v>
      </c>
      <c r="D27" s="1">
        <f>IF(M14&gt;0,solrdat!D8,solrdat!K8)</f>
        <v>-22.407792</v>
      </c>
      <c r="E27" s="1">
        <f>(TAN(RADIANS(L9))*SIN(RADIANS(D27))-SIN(RADIANS(L13))/COS(RADIANS(L9)))/COS(RADIANS(D27))</f>
        <v>-1.3444366209311647</v>
      </c>
      <c r="F27" s="1" t="str">
        <f t="shared" si="0"/>
        <v>0</v>
      </c>
      <c r="G27" s="4" t="str">
        <f>IF(E27&lt;-1,"Below",IF(E27&gt;1,"Above",INT(C27+C12-(DEGREES(ASIN(E27))+90)/15+5/600)))</f>
        <v>Below</v>
      </c>
      <c r="H27" s="1" t="str">
        <f>IF(OR(E27&lt;-1,E27&gt;1),IF(M13&gt;0," Min."," Horz."),IF(INT((C27+C12-(DEGREES(ASIN(E27))+90)/15-G27)*60+1/2)&lt;10,":0"&amp;FIXED(INT((C27+C12-(DEGREES(ASIN(E27))+90)/15-G27)*60+1/2),0),":"&amp;FIXED(INT((C27+C12-(DEGREES(ASIN(E27))+90)/15-G27)*60+1/2),0)))</f>
        <v> Min.</v>
      </c>
      <c r="I27" s="4" t="str">
        <f>IF(E27&lt;-1,"Below",IF(E27&gt;1,"Above",INT(C27+C12+(DEGREES(ASIN(E27))+90)/15+5/600)))</f>
        <v>Below</v>
      </c>
      <c r="J27" s="1" t="str">
        <f>IF(OR(E27&lt;-1,E27&gt;1),IF(M13&gt;0," Min."," Horz."),IF(INT((C27+C12+(DEGREES(ASIN(E27))+90)/15-I27)*60+1/2)&lt;10,":0"&amp;FIXED(INT((C27+C12+(DEGREES(ASIN(E27))+90)/15-I27)*60+1/2),0),":"&amp;FIXED(INT((C27+C12+(DEGREES(ASIN(E27))+90)/15-I27)*60+1/2),0)))</f>
        <v> Min.</v>
      </c>
      <c r="K27" s="1">
        <f>ROUND(DEGREES(ASIN(COS(RADIANS(D27))*COS(RADIANS(L9))+SIN(RADIANS(D27))*SIN(RADIANS(L9)))),0)</f>
        <v>28</v>
      </c>
      <c r="L27" s="1" t="s">
        <v>17</v>
      </c>
      <c r="M27" s="16">
        <f>IF(M14&gt;0,solrdat!B40,solrdat!I40)</f>
        <v>39850</v>
      </c>
      <c r="N27" s="1">
        <f>IF(M14&gt;0,solrdat!C40,solrdat!J40)</f>
        <v>12.235138888888889</v>
      </c>
      <c r="O27" s="1">
        <f>IF(M14&gt;0,solrdat!D40,solrdat!K40)</f>
        <v>-15.395805</v>
      </c>
      <c r="P27" s="1">
        <f>(TAN(RADIANS(L9))*SIN(RADIANS(O27))-SIN(RADIANS(L13))/COS(RADIANS(L9)))/COS(RADIANS(O27))</f>
        <v>-1.1884799432522013</v>
      </c>
      <c r="Q27" s="1" t="str">
        <f t="shared" si="1"/>
        <v>0</v>
      </c>
      <c r="R27" s="4" t="str">
        <f>IF(P27&lt;-1,"Below",IF(P27&gt;1,"Above",INT(N27+C12-(DEGREES(ASIN(P27))+90)/15+5/600)))</f>
        <v>Below</v>
      </c>
      <c r="S27" s="1" t="str">
        <f>IF(OR(P27&lt;-1,P27&gt;1),IF(M13&gt;0," Min."," Horz."),IF(INT((N27+C12-(DEGREES(ASIN(P27))+90)/15-R27)*60+1/2)&lt;10,":0"&amp;FIXED(INT((N27+C12-(DEGREES(ASIN(P27))+90)/15-R27)*60+1/2),0),":"&amp;FIXED(INT((N27+C12-(DEGREES(ASIN(P27))+90)/15-R27)*60+1/2),0)))</f>
        <v> Min.</v>
      </c>
      <c r="T27" s="4" t="str">
        <f>IF(P27&lt;-1,"Below",IF(P27&gt;1,"Above",INT(N27+C12+(DEGREES(ASIN(P27))+90)/15+5/600)))</f>
        <v>Below</v>
      </c>
      <c r="U27" s="1" t="str">
        <f>IF(OR(P27&lt;-1,P27&gt;1),IF(M13&gt;0," Min."," Horz."),IF(INT((N27+C12+(DEGREES(ASIN(P27))+90)/15-T27)*60+1/2)&lt;10,":0"&amp;FIXED(INT((N27+C12+(DEGREES(ASIN(P27))+90)/15-T27)*60+1/2),0),":"&amp;FIXED(INT((N27+C12+(DEGREES(ASIN(P27))+90)/15-T27)*60+1/2),0)))</f>
        <v> Min.</v>
      </c>
      <c r="V27" s="1">
        <f>ROUND(DEGREES(ASIN(COS(RADIANS(O27))*COS(RADIANS(L9))+SIN(RADIANS(O27))*SIN(RADIANS(L9)))),0)</f>
        <v>35</v>
      </c>
      <c r="W27" s="1" t="s">
        <v>17</v>
      </c>
      <c r="X27" s="3"/>
    </row>
    <row r="28" spans="1:24" ht="10.5" customHeight="1">
      <c r="A28" s="1"/>
      <c r="B28" s="15">
        <f>IF(M14&gt;0,solrdat!B9,solrdat!I9)</f>
        <v>39820</v>
      </c>
      <c r="C28" s="1">
        <f>IF(M14&gt;0,solrdat!C9,solrdat!J9)</f>
        <v>12.108222222222222</v>
      </c>
      <c r="D28" s="1">
        <f>IF(M14&gt;0,solrdat!D9,solrdat!K9)</f>
        <v>-22.278831</v>
      </c>
      <c r="E28" s="1">
        <f>(TAN(RADIANS(L9))*SIN(RADIANS(D28))-SIN(RADIANS(L13))/COS(RADIANS(L9)))/COS(RADIANS(D28))</f>
        <v>-1.3413056807641646</v>
      </c>
      <c r="F28" s="1" t="str">
        <f t="shared" si="0"/>
        <v>0</v>
      </c>
      <c r="G28" s="4" t="str">
        <f>IF(E28&lt;-1,"Below",IF(E28&gt;1,"Above",INT(C28+C12-(DEGREES(ASIN(E28))+90)/15+5/600)))</f>
        <v>Below</v>
      </c>
      <c r="H28" s="1" t="str">
        <f>IF(OR(E28&lt;-1,E28&gt;1),IF(M13&gt;0," Min."," Horz."),IF(INT((C28+C12-(DEGREES(ASIN(E28))+90)/15-G28)*60+1/2)&lt;10,":0"&amp;FIXED(INT((C28+C12-(DEGREES(ASIN(E28))+90)/15-G28)*60+1/2),0),":"&amp;FIXED(INT((C28+C12-(DEGREES(ASIN(E28))+90)/15-G28)*60+1/2),0)))</f>
        <v> Min.</v>
      </c>
      <c r="I28" s="4" t="str">
        <f>IF(E28&lt;-1,"Below",IF(E28&gt;1,"Above",INT(C28+C12+(DEGREES(ASIN(E28))+90)/15+5/600)))</f>
        <v>Below</v>
      </c>
      <c r="J28" s="1" t="str">
        <f>IF(OR(E28&lt;-1,E28&gt;1),IF(M13&gt;0," Min."," Horz."),IF(INT((C28+C12+(DEGREES(ASIN(E28))+90)/15-I28)*60+1/2)&lt;10,":0"&amp;FIXED(INT((C28+C12+(DEGREES(ASIN(E28))+90)/15-I28)*60+1/2),0),":"&amp;FIXED(INT((C28+C12+(DEGREES(ASIN(E28))+90)/15-I28)*60+1/2),0)))</f>
        <v> Min.</v>
      </c>
      <c r="K28" s="1">
        <f>ROUND(DEGREES(ASIN(COS(RADIANS(D28))*COS(RADIANS(L9))+SIN(RADIANS(D28))*SIN(RADIANS(L9)))),0)</f>
        <v>28</v>
      </c>
      <c r="L28" s="1" t="s">
        <v>17</v>
      </c>
      <c r="M28" s="16">
        <f>IF(M14&gt;0,solrdat!B41,solrdat!I41)</f>
        <v>39851</v>
      </c>
      <c r="N28" s="1">
        <f>IF(M14&gt;0,solrdat!C41,solrdat!J41)</f>
        <v>12.235972222222223</v>
      </c>
      <c r="O28" s="1">
        <f>IF(M14&gt;0,solrdat!D41,solrdat!K41)</f>
        <v>-15.082456</v>
      </c>
      <c r="P28" s="1">
        <f>(TAN(RADIANS(L9))*SIN(RADIANS(O28))-SIN(RADIANS(L13))/COS(RADIANS(L9)))/COS(RADIANS(O28))</f>
        <v>-1.182124935178277</v>
      </c>
      <c r="Q28" s="1" t="str">
        <f t="shared" si="1"/>
        <v>0</v>
      </c>
      <c r="R28" s="4" t="str">
        <f>IF(P28&lt;-1,"Below",IF(P28&gt;1,"Above",INT(N28+C12-(DEGREES(ASIN(P28))+90)/15+5/600)))</f>
        <v>Below</v>
      </c>
      <c r="S28" s="1" t="str">
        <f>IF(OR(P28&lt;-1,P28&gt;1),IF(M13&gt;0," Min."," Horz."),IF(INT((N28+C12-(DEGREES(ASIN(P28))+90)/15-R28)*60+1/2)&lt;10,":0"&amp;FIXED(INT((N28+C12-(DEGREES(ASIN(P28))+90)/15-R28)*60+1/2),0),":"&amp;FIXED(INT((N28+C12-(DEGREES(ASIN(P28))+90)/15-R28)*60+1/2),0)))</f>
        <v> Min.</v>
      </c>
      <c r="T28" s="4" t="str">
        <f>IF(P28&lt;-1,"Below",IF(P28&gt;1,"Above",INT(N28+C12+(DEGREES(ASIN(P28))+90)/15+5/600)))</f>
        <v>Below</v>
      </c>
      <c r="U28" s="1" t="str">
        <f>IF(OR(P28&lt;-1,P28&gt;1),IF(M13&gt;0," Min."," Horz."),IF(INT((N28+C12+(DEGREES(ASIN(P28))+90)/15-T28)*60+1/2)&lt;10,":0"&amp;FIXED(INT((N28+C12+(DEGREES(ASIN(P28))+90)/15-T28)*60+1/2),0),":"&amp;FIXED(INT((N28+C12+(DEGREES(ASIN(P28))+90)/15-T28)*60+1/2),0)))</f>
        <v> Min.</v>
      </c>
      <c r="V28" s="1">
        <f>ROUND(DEGREES(ASIN(COS(RADIANS(O28))*COS(RADIANS(L9))+SIN(RADIANS(O28))*SIN(RADIANS(L9)))),0)</f>
        <v>35</v>
      </c>
      <c r="W28" s="1" t="s">
        <v>17</v>
      </c>
      <c r="X28" s="3"/>
    </row>
    <row r="29" spans="1:24" ht="10.5" customHeight="1">
      <c r="A29" s="1"/>
      <c r="B29" s="15">
        <f>IF(M14&gt;0,solrdat!B10,solrdat!I10)</f>
        <v>39821</v>
      </c>
      <c r="C29" s="1">
        <f>IF(M14&gt;0,solrdat!C10,solrdat!J10)</f>
        <v>12.115222222222222</v>
      </c>
      <c r="D29" s="1">
        <f>IF(M14&gt;0,solrdat!D10,solrdat!K10)</f>
        <v>-22.142597</v>
      </c>
      <c r="E29" s="1">
        <f>(TAN(RADIANS(L9))*SIN(RADIANS(D29))-SIN(RADIANS(L13))/COS(RADIANS(L9)))/COS(RADIANS(D29))</f>
        <v>-1.3380099143575501</v>
      </c>
      <c r="F29" s="1" t="str">
        <f t="shared" si="0"/>
        <v>0</v>
      </c>
      <c r="G29" s="4" t="str">
        <f>IF(E29&lt;-1,"Below",IF(E29&gt;1,"Above",INT(C29+C12-(DEGREES(ASIN(E29))+90)/15+5/600)))</f>
        <v>Below</v>
      </c>
      <c r="H29" s="1" t="str">
        <f>IF(OR(E29&lt;-1,E29&gt;1),IF(M13&gt;0," Min."," Horz."),IF(INT((C29+C12-(DEGREES(ASIN(E29))+90)/15-G29)*60+1/2)&lt;10,":0"&amp;FIXED(INT((C29+C12-(DEGREES(ASIN(E29))+90)/15-G29)*60+1/2),0),":"&amp;FIXED(INT((C29+C12-(DEGREES(ASIN(E29))+90)/15-G29)*60+1/2),0)))</f>
        <v> Min.</v>
      </c>
      <c r="I29" s="4" t="str">
        <f>IF(E29&lt;-1,"Below",IF(E29&gt;1,"Above",INT(C29+C12+(DEGREES(ASIN(E29))+90)/15+5/600)))</f>
        <v>Below</v>
      </c>
      <c r="J29" s="1" t="str">
        <f>IF(OR(E29&lt;-1,E29&gt;1),IF(M13&gt;0," Min."," Horz."),IF(INT((C29+C12+(DEGREES(ASIN(E29))+90)/15-I29)*60+1/2)&lt;10,":0"&amp;FIXED(INT((C29+C12+(DEGREES(ASIN(E29))+90)/15-I29)*60+1/2),0),":"&amp;FIXED(INT((C29+C12+(DEGREES(ASIN(E29))+90)/15-I29)*60+1/2),0)))</f>
        <v> Min.</v>
      </c>
      <c r="K29" s="1">
        <f>ROUND(DEGREES(ASIN(COS(RADIANS(D29))*COS(RADIANS(L9))+SIN(RADIANS(D29))*SIN(RADIANS(L9)))),0)</f>
        <v>28</v>
      </c>
      <c r="L29" s="1" t="s">
        <v>17</v>
      </c>
      <c r="M29" s="16">
        <f>IF(M14&gt;0,solrdat!B42,solrdat!I42)</f>
        <v>39852</v>
      </c>
      <c r="N29" s="1">
        <f>IF(M14&gt;0,solrdat!C42,solrdat!J42)</f>
        <v>12.236583333333334</v>
      </c>
      <c r="O29" s="1">
        <f>IF(M14&gt;0,solrdat!D42,solrdat!K42)</f>
        <v>-14.764885</v>
      </c>
      <c r="P29" s="1">
        <f>(TAN(RADIANS(L9))*SIN(RADIANS(O29))-SIN(RADIANS(L13))/COS(RADIANS(L9)))/COS(RADIANS(O29))</f>
        <v>-1.1757325146791082</v>
      </c>
      <c r="Q29" s="1" t="str">
        <f t="shared" si="1"/>
        <v>0</v>
      </c>
      <c r="R29" s="4" t="str">
        <f>IF(P29&lt;-1,"Below",IF(P29&gt;1,"Above",INT(N29+C12-(DEGREES(ASIN(P29))+90)/15+5/600)))</f>
        <v>Below</v>
      </c>
      <c r="S29" s="1" t="str">
        <f>IF(OR(P29&lt;-1,P29&gt;1),IF(M13&gt;0," Min."," Horz."),IF(INT((N29+C12-(DEGREES(ASIN(P29))+90)/15-R29)*60+1/2)&lt;10,":0"&amp;FIXED(INT((N29+C12-(DEGREES(ASIN(P29))+90)/15-R29)*60+1/2),0),":"&amp;FIXED(INT((N29+C12-(DEGREES(ASIN(P29))+90)/15-R29)*60+1/2),0)))</f>
        <v> Min.</v>
      </c>
      <c r="T29" s="4" t="str">
        <f>IF(P29&lt;-1,"Below",IF(P29&gt;1,"Above",INT(N29+C12+(DEGREES(ASIN(P29))+90)/15+5/600)))</f>
        <v>Below</v>
      </c>
      <c r="U29" s="1" t="str">
        <f>IF(OR(P29&lt;-1,P29&gt;1),IF(M13&gt;0," Min."," Horz."),IF(INT((N29+C12+(DEGREES(ASIN(P29))+90)/15-T29)*60+1/2)&lt;10,":0"&amp;FIXED(INT((N29+C12+(DEGREES(ASIN(P29))+90)/15-T29)*60+1/2),0),":"&amp;FIXED(INT((N29+C12+(DEGREES(ASIN(P29))+90)/15-T29)*60+1/2),0)))</f>
        <v> Min.</v>
      </c>
      <c r="V29" s="1">
        <f>ROUND(DEGREES(ASIN(COS(RADIANS(O29))*COS(RADIANS(L9))+SIN(RADIANS(O29))*SIN(RADIANS(L9)))),0)</f>
        <v>35</v>
      </c>
      <c r="W29" s="1" t="s">
        <v>17</v>
      </c>
      <c r="X29" s="3"/>
    </row>
    <row r="30" spans="1:24" ht="10.5" customHeight="1">
      <c r="A30" s="1"/>
      <c r="B30" s="15">
        <f>IF(M14&gt;0,solrdat!B11,solrdat!I11)</f>
        <v>39822</v>
      </c>
      <c r="C30" s="1">
        <f>IF(M14&gt;0,solrdat!C11,solrdat!J11)</f>
        <v>12.122055555555555</v>
      </c>
      <c r="D30" s="1">
        <f>IF(M14&gt;0,solrdat!D11,solrdat!K11)</f>
        <v>-21.999159</v>
      </c>
      <c r="E30" s="1">
        <f>(TAN(RADIANS(L9))*SIN(RADIANS(D30))-SIN(RADIANS(L13))/COS(RADIANS(L9)))/COS(RADIANS(D30))</f>
        <v>-1.3345528366453483</v>
      </c>
      <c r="F30" s="1" t="str">
        <f t="shared" si="0"/>
        <v>0</v>
      </c>
      <c r="G30" s="4" t="str">
        <f>IF(E30&lt;-1,"Below",IF(E30&gt;1,"Above",INT(C30+C12-(DEGREES(ASIN(E30))+90)/15+5/600)))</f>
        <v>Below</v>
      </c>
      <c r="H30" s="1" t="str">
        <f>IF(OR(E30&lt;-1,E30&gt;1),IF(M13&gt;0," Min."," Horz."),IF(INT((C30+C12-(DEGREES(ASIN(E30))+90)/15-G30)*60+1/2)&lt;10,":0"&amp;FIXED(INT((C30+C12-(DEGREES(ASIN(E30))+90)/15-G30)*60+1/2),0),":"&amp;FIXED(INT((C30+C12-(DEGREES(ASIN(E30))+90)/15-G30)*60+1/2),0)))</f>
        <v> Min.</v>
      </c>
      <c r="I30" s="4" t="str">
        <f>IF(E30&lt;-1,"Below",IF(E30&gt;1,"Above",INT(C30+C12+(DEGREES(ASIN(E30))+90)/15+5/600)))</f>
        <v>Below</v>
      </c>
      <c r="J30" s="1" t="str">
        <f>IF(OR(E30&lt;-1,E30&gt;1),IF(M13&gt;0," Min."," Horz."),IF(INT((C30+C12+(DEGREES(ASIN(E30))+90)/15-I30)*60+1/2)&lt;10,":0"&amp;FIXED(INT((C30+C12+(DEGREES(ASIN(E30))+90)/15-I30)*60+1/2),0),":"&amp;FIXED(INT((C30+C12+(DEGREES(ASIN(E30))+90)/15-I30)*60+1/2),0)))</f>
        <v> Min.</v>
      </c>
      <c r="K30" s="1">
        <f>ROUND(DEGREES(ASIN(COS(RADIANS(D30))*COS(RADIANS(L9))+SIN(RADIANS(D30))*SIN(RADIANS(L9)))),0)</f>
        <v>28</v>
      </c>
      <c r="L30" s="1" t="s">
        <v>17</v>
      </c>
      <c r="M30" s="16">
        <f>IF(M14&gt;0,solrdat!B43,solrdat!I43)</f>
        <v>39853</v>
      </c>
      <c r="N30" s="1">
        <f>IF(M14&gt;0,solrdat!C43,solrdat!J43)</f>
        <v>12.236972222222223</v>
      </c>
      <c r="O30" s="1">
        <f>IF(M14&gt;0,solrdat!D43,solrdat!K43)</f>
        <v>-14.443195</v>
      </c>
      <c r="P30" s="1">
        <f>(TAN(RADIANS(L9))*SIN(RADIANS(O30))-SIN(RADIANS(L13))/COS(RADIANS(L9)))/COS(RADIANS(O30))</f>
        <v>-1.169306048791221</v>
      </c>
      <c r="Q30" s="1" t="str">
        <f t="shared" si="1"/>
        <v>0</v>
      </c>
      <c r="R30" s="4" t="str">
        <f>IF(P30&lt;-1,"Below",IF(P30&gt;1,"Above",INT(N30+C12-(DEGREES(ASIN(P30))+90)/15+5/600)))</f>
        <v>Below</v>
      </c>
      <c r="S30" s="1" t="str">
        <f>IF(OR(P30&lt;-1,P30&gt;1),IF(M13&gt;0," Min."," Horz."),IF(INT((N30+C12-(DEGREES(ASIN(P30))+90)/15-R30)*60+1/2)&lt;10,":0"&amp;FIXED(INT((N30+C12-(DEGREES(ASIN(P30))+90)/15-R30)*60+1/2),0),":"&amp;FIXED(INT((N30+C12-(DEGREES(ASIN(P30))+90)/15-R30)*60+1/2),0)))</f>
        <v> Min.</v>
      </c>
      <c r="T30" s="4" t="str">
        <f>IF(P30&lt;-1,"Below",IF(P30&gt;1,"Above",INT(N30+C12+(DEGREES(ASIN(P30))+90)/15+5/600)))</f>
        <v>Below</v>
      </c>
      <c r="U30" s="1" t="str">
        <f>IF(OR(P30&lt;-1,P30&gt;1),IF(M13&gt;0," Min."," Horz."),IF(INT((N30+C12+(DEGREES(ASIN(P30))+90)/15-T30)*60+1/2)&lt;10,":0"&amp;FIXED(INT((N30+C12+(DEGREES(ASIN(P30))+90)/15-T30)*60+1/2),0),":"&amp;FIXED(INT((N30+C12+(DEGREES(ASIN(P30))+90)/15-T30)*60+1/2),0)))</f>
        <v> Min.</v>
      </c>
      <c r="V30" s="1">
        <f>ROUND(DEGREES(ASIN(COS(RADIANS(O30))*COS(RADIANS(L9))+SIN(RADIANS(O30))*SIN(RADIANS(L9)))),0)</f>
        <v>36</v>
      </c>
      <c r="W30" s="1" t="s">
        <v>17</v>
      </c>
      <c r="X30" s="3"/>
    </row>
    <row r="31" spans="1:24" ht="10.5" customHeight="1">
      <c r="A31" s="1"/>
      <c r="B31" s="15">
        <f>IF(M14&gt;0,solrdat!B12,solrdat!I12)</f>
        <v>39823</v>
      </c>
      <c r="C31" s="1">
        <f>IF(M14&gt;0,solrdat!C12,solrdat!J12)</f>
        <v>12.12875</v>
      </c>
      <c r="D31" s="1">
        <f>IF(M14&gt;0,solrdat!D12,solrdat!K12)</f>
        <v>-21.848584</v>
      </c>
      <c r="E31" s="1">
        <f>(TAN(RADIANS(L9))*SIN(RADIANS(D31))-SIN(RADIANS(L13))/COS(RADIANS(L9)))/COS(RADIANS(D31))</f>
        <v>-1.3309379669275325</v>
      </c>
      <c r="F31" s="1" t="str">
        <f t="shared" si="0"/>
        <v>0</v>
      </c>
      <c r="G31" s="4" t="str">
        <f>IF(E31&lt;-1,"Below",IF(E31&gt;1,"Above",INT(C31+C12-(DEGREES(ASIN(E31))+90)/15+5/600)))</f>
        <v>Below</v>
      </c>
      <c r="H31" s="1" t="str">
        <f>IF(OR(E31&lt;-1,E31&gt;1),IF(M13&gt;0," Min."," Horz."),IF(INT((C31+C12-(DEGREES(ASIN(E31))+90)/15-G31)*60+1/2)&lt;10,":0"&amp;FIXED(INT((C31+C12-(DEGREES(ASIN(E31))+90)/15-G31)*60+1/2),0),":"&amp;FIXED(INT((C31+C12-(DEGREES(ASIN(E31))+90)/15-G31)*60+1/2),0)))</f>
        <v> Min.</v>
      </c>
      <c r="I31" s="4" t="str">
        <f>IF(E31&lt;-1,"Below",IF(E31&gt;1,"Above",INT(C31+C12+(DEGREES(ASIN(E31))+90)/15+5/600)))</f>
        <v>Below</v>
      </c>
      <c r="J31" s="1" t="str">
        <f>IF(OR(E31&lt;-1,E31&gt;1),IF(M13&gt;0," Min."," Horz."),IF(INT((C31+C12+(DEGREES(ASIN(E31))+90)/15-I31)*60+1/2)&lt;10,":0"&amp;FIXED(INT((C31+C12+(DEGREES(ASIN(E31))+90)/15-I31)*60+1/2),0),":"&amp;FIXED(INT((C31+C12+(DEGREES(ASIN(E31))+90)/15-I31)*60+1/2),0)))</f>
        <v> Min.</v>
      </c>
      <c r="K31" s="1">
        <f>ROUND(DEGREES(ASIN(COS(RADIANS(D31))*COS(RADIANS(L9))+SIN(RADIANS(D31))*SIN(RADIANS(L9)))),0)</f>
        <v>28</v>
      </c>
      <c r="L31" s="1" t="s">
        <v>17</v>
      </c>
      <c r="M31" s="16">
        <f>IF(M14&gt;0,solrdat!B44,solrdat!I44)</f>
        <v>39854</v>
      </c>
      <c r="N31" s="1">
        <f>IF(M14&gt;0,solrdat!C44,solrdat!J44)</f>
        <v>12.23713888888889</v>
      </c>
      <c r="O31" s="1">
        <f>IF(M14&gt;0,solrdat!D44,solrdat!K44)</f>
        <v>-14.117491</v>
      </c>
      <c r="P31" s="1">
        <f>(TAN(RADIANS(L9))*SIN(RADIANS(O31))-SIN(RADIANS(L13))/COS(RADIANS(L9)))/COS(RADIANS(O31))</f>
        <v>-1.1628488688416763</v>
      </c>
      <c r="Q31" s="1" t="str">
        <f t="shared" si="1"/>
        <v>0</v>
      </c>
      <c r="R31" s="4" t="str">
        <f>IF(P31&lt;-1,"Below",IF(P31&gt;1,"Above",INT(N31+C12-(DEGREES(ASIN(P31))+90)/15+5/600)))</f>
        <v>Below</v>
      </c>
      <c r="S31" s="1" t="str">
        <f>IF(OR(P31&lt;-1,P31&gt;1),IF(M13&gt;0," Min."," Horz."),IF(INT((N31+C12-(DEGREES(ASIN(P31))+90)/15-R31)*60+1/2)&lt;10,":0"&amp;FIXED(INT((N31+C12-(DEGREES(ASIN(P31))+90)/15-R31)*60+1/2),0),":"&amp;FIXED(INT((N31+C12-(DEGREES(ASIN(P31))+90)/15-R31)*60+1/2),0)))</f>
        <v> Min.</v>
      </c>
      <c r="T31" s="4" t="str">
        <f>IF(P31&lt;-1,"Below",IF(P31&gt;1,"Above",INT(N31+C12+(DEGREES(ASIN(P31))+90)/15+5/600)))</f>
        <v>Below</v>
      </c>
      <c r="U31" s="1" t="str">
        <f>IF(OR(P31&lt;-1,P31&gt;1),IF(M13&gt;0," Min."," Horz."),IF(INT((N31+C12+(DEGREES(ASIN(P31))+90)/15-T31)*60+1/2)&lt;10,":0"&amp;FIXED(INT((N31+C12+(DEGREES(ASIN(P31))+90)/15-T31)*60+1/2),0),":"&amp;FIXED(INT((N31+C12+(DEGREES(ASIN(P31))+90)/15-T31)*60+1/2),0)))</f>
        <v> Min.</v>
      </c>
      <c r="V31" s="1">
        <f>ROUND(DEGREES(ASIN(COS(RADIANS(O31))*COS(RADIANS(L9))+SIN(RADIANS(O31))*SIN(RADIANS(L9)))),0)</f>
        <v>36</v>
      </c>
      <c r="W31" s="1" t="s">
        <v>17</v>
      </c>
      <c r="X31" s="3"/>
    </row>
    <row r="32" spans="1:24" ht="10.5" customHeight="1">
      <c r="A32" s="1"/>
      <c r="B32" s="15">
        <f>IF(M14&gt;0,solrdat!B13,solrdat!I13)</f>
        <v>39824</v>
      </c>
      <c r="C32" s="1">
        <f>IF(M14&gt;0,solrdat!C13,solrdat!J13)</f>
        <v>12.135277777777778</v>
      </c>
      <c r="D32" s="1">
        <f>IF(M14&gt;0,solrdat!D13,solrdat!K13)</f>
        <v>-21.69094</v>
      </c>
      <c r="E32" s="1">
        <f>(TAN(RADIANS(L9))*SIN(RADIANS(D32))-SIN(RADIANS(L13))/COS(RADIANS(L9)))/COS(RADIANS(D32))</f>
        <v>-1.3271688958763697</v>
      </c>
      <c r="F32" s="1" t="str">
        <f t="shared" si="0"/>
        <v>0</v>
      </c>
      <c r="G32" s="4" t="str">
        <f>IF(E32&lt;-1,"Below",IF(E32&gt;1,"Above",INT(C32+C12-(DEGREES(ASIN(E32))+90)/15+5/600)))</f>
        <v>Below</v>
      </c>
      <c r="H32" s="1" t="str">
        <f>IF(OR(E32&lt;-1,E32&gt;1),IF(M13&gt;0," Min."," Horz."),IF(INT((C32+C12-(DEGREES(ASIN(E32))+90)/15-G32)*60+1/2)&lt;10,":0"&amp;FIXED(INT((C32+C12-(DEGREES(ASIN(E32))+90)/15-G32)*60+1/2),0),":"&amp;FIXED(INT((C32+C12-(DEGREES(ASIN(E32))+90)/15-G32)*60+1/2),0)))</f>
        <v> Min.</v>
      </c>
      <c r="I32" s="4" t="str">
        <f>IF(E32&lt;-1,"Below",IF(E32&gt;1,"Above",INT(C32+C12+(DEGREES(ASIN(E32))+90)/15+5/600)))</f>
        <v>Below</v>
      </c>
      <c r="J32" s="1" t="str">
        <f>IF(OR(E32&lt;-1,E32&gt;1),IF(M13&gt;0," Min."," Horz."),IF(INT((C32+C12+(DEGREES(ASIN(E32))+90)/15-I32)*60+1/2)&lt;10,":0"&amp;FIXED(INT((C32+C12+(DEGREES(ASIN(E32))+90)/15-I32)*60+1/2),0),":"&amp;FIXED(INT((C32+C12+(DEGREES(ASIN(E32))+90)/15-I32)*60+1/2),0)))</f>
        <v> Min.</v>
      </c>
      <c r="K32" s="1">
        <f>ROUND(DEGREES(ASIN(COS(RADIANS(D32))*COS(RADIANS(L9))+SIN(RADIANS(D32))*SIN(RADIANS(L9)))),0)</f>
        <v>28</v>
      </c>
      <c r="L32" s="1" t="s">
        <v>17</v>
      </c>
      <c r="M32" s="16">
        <f>IF(M14&gt;0,solrdat!B45,solrdat!I45)</f>
        <v>39855</v>
      </c>
      <c r="N32" s="1">
        <f>IF(M14&gt;0,solrdat!C45,solrdat!J45)</f>
        <v>12.237111111111112</v>
      </c>
      <c r="O32" s="1">
        <f>IF(M14&gt;0,solrdat!D45,solrdat!K45)</f>
        <v>-13.787876</v>
      </c>
      <c r="P32" s="1">
        <f>(TAN(RADIANS(L9))*SIN(RADIANS(O32))-SIN(RADIANS(L13))/COS(RADIANS(L9)))/COS(RADIANS(O32))</f>
        <v>-1.1563641901891626</v>
      </c>
      <c r="Q32" s="1" t="str">
        <f t="shared" si="1"/>
        <v>0</v>
      </c>
      <c r="R32" s="4" t="str">
        <f>IF(P32&lt;-1,"Below",IF(P32&gt;1,"Above",INT(N32+C12-(DEGREES(ASIN(P32))+90)/15+5/600)))</f>
        <v>Below</v>
      </c>
      <c r="S32" s="1" t="str">
        <f>IF(OR(P32&lt;-1,P32&gt;1),IF(M13&gt;0," Min."," Horz."),IF(INT((N32+C12-(DEGREES(ASIN(P32))+90)/15-R32)*60+1/2)&lt;10,":0"&amp;FIXED(INT((N32+C12-(DEGREES(ASIN(P32))+90)/15-R32)*60+1/2),0),":"&amp;FIXED(INT((N32+C12-(DEGREES(ASIN(P32))+90)/15-R32)*60+1/2),0)))</f>
        <v> Min.</v>
      </c>
      <c r="T32" s="4" t="str">
        <f>IF(P32&lt;-1,"Below",IF(P32&gt;1,"Above",INT(N32+C12+(DEGREES(ASIN(P32))+90)/15+5/600)))</f>
        <v>Below</v>
      </c>
      <c r="U32" s="1" t="str">
        <f>IF(OR(P32&lt;-1,P32&gt;1),IF(M13&gt;0," Min."," Horz."),IF(INT((N32+C12+(DEGREES(ASIN(P32))+90)/15-T32)*60+1/2)&lt;10,":0"&amp;FIXED(INT((N32+C12+(DEGREES(ASIN(P32))+90)/15-T32)*60+1/2),0),":"&amp;FIXED(INT((N32+C12+(DEGREES(ASIN(P32))+90)/15-T32)*60+1/2),0)))</f>
        <v> Min.</v>
      </c>
      <c r="V32" s="1">
        <f>ROUND(DEGREES(ASIN(COS(RADIANS(O32))*COS(RADIANS(L9))+SIN(RADIANS(O32))*SIN(RADIANS(L9)))),0)</f>
        <v>36</v>
      </c>
      <c r="W32" s="1" t="s">
        <v>17</v>
      </c>
      <c r="X32" s="3"/>
    </row>
    <row r="33" spans="1:24" ht="10.5" customHeight="1">
      <c r="A33" s="1"/>
      <c r="B33" s="15">
        <f>IF(M14&gt;0,solrdat!B14,solrdat!I14)</f>
        <v>39825</v>
      </c>
      <c r="C33" s="1">
        <f>IF(M14&gt;0,solrdat!C14,solrdat!J14)</f>
        <v>12.141666666666667</v>
      </c>
      <c r="D33" s="1">
        <f>IF(M14&gt;0,solrdat!D14,solrdat!K14)</f>
        <v>-21.526293</v>
      </c>
      <c r="E33" s="1">
        <f>(TAN(RADIANS(L9))*SIN(RADIANS(D33))-SIN(RADIANS(L13))/COS(RADIANS(L9)))/COS(RADIANS(D33))</f>
        <v>-1.3232492083229934</v>
      </c>
      <c r="F33" s="1" t="str">
        <f t="shared" si="0"/>
        <v>0</v>
      </c>
      <c r="G33" s="4" t="str">
        <f>IF(E33&lt;-1,"Below",IF(E33&gt;1,"Above",INT(C33+C12-(DEGREES(ASIN(E33))+90)/15+5/600)))</f>
        <v>Below</v>
      </c>
      <c r="H33" s="1" t="str">
        <f>IF(OR(E33&lt;-1,E33&gt;1),IF(M13&gt;0," Min."," Horz."),IF(INT((C33+C12-(DEGREES(ASIN(E33))+90)/15-G33)*60+1/2)&lt;10,":0"&amp;FIXED(INT((C33+C12-(DEGREES(ASIN(E33))+90)/15-G33)*60+1/2),0),":"&amp;FIXED(INT((C33+C12-(DEGREES(ASIN(E33))+90)/15-G33)*60+1/2),0)))</f>
        <v> Min.</v>
      </c>
      <c r="I33" s="4" t="str">
        <f>IF(E33&lt;-1,"Below",IF(E33&gt;1,"Above",INT(C33+C12+(DEGREES(ASIN(E33))+90)/15+5/600)))</f>
        <v>Below</v>
      </c>
      <c r="J33" s="1" t="str">
        <f>IF(OR(E33&lt;-1,E33&gt;1),IF(M13&gt;0," Min."," Horz."),IF(INT((C33+C12+(DEGREES(ASIN(E33))+90)/15-I33)*60+1/2)&lt;10,":0"&amp;FIXED(INT((C33+C12+(DEGREES(ASIN(E33))+90)/15-I33)*60+1/2),0),":"&amp;FIXED(INT((C33+C12+(DEGREES(ASIN(E33))+90)/15-I33)*60+1/2),0)))</f>
        <v> Min.</v>
      </c>
      <c r="K33" s="1">
        <f>ROUND(DEGREES(ASIN(COS(RADIANS(D33))*COS(RADIANS(L9))+SIN(RADIANS(D33))*SIN(RADIANS(L9)))),0)</f>
        <v>28</v>
      </c>
      <c r="L33" s="1" t="s">
        <v>17</v>
      </c>
      <c r="M33" s="16">
        <f>IF(M14&gt;0,solrdat!B46,solrdat!I46)</f>
        <v>39856</v>
      </c>
      <c r="N33" s="1">
        <f>IF(M14&gt;0,solrdat!C46,solrdat!J46)</f>
        <v>12.23686111111111</v>
      </c>
      <c r="O33" s="1">
        <f>IF(M14&gt;0,solrdat!D46,solrdat!K46)</f>
        <v>-13.454454</v>
      </c>
      <c r="P33" s="1">
        <f>(TAN(RADIANS(L9))*SIN(RADIANS(O33))-SIN(RADIANS(L13))/COS(RADIANS(L9)))/COS(RADIANS(O33))</f>
        <v>-1.1498551718814045</v>
      </c>
      <c r="Q33" s="1" t="str">
        <f t="shared" si="1"/>
        <v>0</v>
      </c>
      <c r="R33" s="4" t="str">
        <f>IF(P33&lt;-1,"Below",IF(P33&gt;1,"Above",INT(N33+C12-(DEGREES(ASIN(P33))+90)/15+5/600)))</f>
        <v>Below</v>
      </c>
      <c r="S33" s="1" t="str">
        <f>IF(OR(P33&lt;-1,P33&gt;1),IF(M13&gt;0," Min."," Horz."),IF(INT((N33+C12-(DEGREES(ASIN(P33))+90)/15-R33)*60+1/2)&lt;10,":0"&amp;FIXED(INT((N33+C12-(DEGREES(ASIN(P33))+90)/15-R33)*60+1/2),0),":"&amp;FIXED(INT((N33+C12-(DEGREES(ASIN(P33))+90)/15-R33)*60+1/2),0)))</f>
        <v> Min.</v>
      </c>
      <c r="T33" s="4" t="str">
        <f>IF(P33&lt;-1,"Below",IF(P33&gt;1,"Above",INT(N33+C12+(DEGREES(ASIN(P33))+90)/15+5/600)))</f>
        <v>Below</v>
      </c>
      <c r="U33" s="1" t="str">
        <f>IF(OR(P33&lt;-1,P33&gt;1),IF(M13&gt;0," Min."," Horz."),IF(INT((N33+C12+(DEGREES(ASIN(P33))+90)/15-T33)*60+1/2)&lt;10,":0"&amp;FIXED(INT((N33+C12+(DEGREES(ASIN(P33))+90)/15-T33)*60+1/2),0),":"&amp;FIXED(INT((N33+C12+(DEGREES(ASIN(P33))+90)/15-T33)*60+1/2),0)))</f>
        <v> Min.</v>
      </c>
      <c r="V33" s="1">
        <f>ROUND(DEGREES(ASIN(COS(RADIANS(O33))*COS(RADIANS(L9))+SIN(RADIANS(O33))*SIN(RADIANS(L9)))),0)</f>
        <v>37</v>
      </c>
      <c r="W33" s="1" t="s">
        <v>17</v>
      </c>
      <c r="X33" s="3"/>
    </row>
    <row r="34" spans="1:24" ht="10.5" customHeight="1">
      <c r="A34" s="1"/>
      <c r="B34" s="15">
        <f>IF(M14&gt;0,solrdat!B15,solrdat!I15)</f>
        <v>39826</v>
      </c>
      <c r="C34" s="1">
        <f>IF(M14&gt;0,solrdat!C15,solrdat!J15)</f>
        <v>12.147833333333333</v>
      </c>
      <c r="D34" s="1">
        <f>IF(M14&gt;0,solrdat!D15,solrdat!K15)</f>
        <v>-21.354711</v>
      </c>
      <c r="E34" s="1">
        <f>(TAN(RADIANS(L9))*SIN(RADIANS(D34))-SIN(RADIANS(L13))/COS(RADIANS(L9)))/COS(RADIANS(D34))</f>
        <v>-1.3191825735321554</v>
      </c>
      <c r="F34" s="1" t="str">
        <f t="shared" si="0"/>
        <v>0</v>
      </c>
      <c r="G34" s="4" t="str">
        <f>IF(E34&lt;-1,"Below",IF(E34&gt;1,"Above",INT(C34+C12-(DEGREES(ASIN(E34))+90)/15+5/600)))</f>
        <v>Below</v>
      </c>
      <c r="H34" s="1" t="str">
        <f>IF(OR(E34&lt;-1,E34&gt;1),IF(M13&gt;0," Min."," Horz."),IF(INT((C34+C12-(DEGREES(ASIN(E34))+90)/15-G34)*60+1/2)&lt;10,":0"&amp;FIXED(INT((C34+C12-(DEGREES(ASIN(E34))+90)/15-G34)*60+1/2),0),":"&amp;FIXED(INT((C34+C12-(DEGREES(ASIN(E34))+90)/15-G34)*60+1/2),0)))</f>
        <v> Min.</v>
      </c>
      <c r="I34" s="4" t="str">
        <f>IF(E34&lt;-1,"Below",IF(E34&gt;1,"Above",INT(C34+C12+(DEGREES(ASIN(E34))+90)/15+5/600)))</f>
        <v>Below</v>
      </c>
      <c r="J34" s="1" t="str">
        <f>IF(OR(E34&lt;-1,E34&gt;1),IF(M13&gt;0," Min."," Horz."),IF(INT((C34+C12+(DEGREES(ASIN(E34))+90)/15-I34)*60+1/2)&lt;10,":0"&amp;FIXED(INT((C34+C12+(DEGREES(ASIN(E34))+90)/15-I34)*60+1/2),0),":"&amp;FIXED(INT((C34+C12+(DEGREES(ASIN(E34))+90)/15-I34)*60+1/2),0)))</f>
        <v> Min.</v>
      </c>
      <c r="K34" s="1">
        <f>ROUND(DEGREES(ASIN(COS(RADIANS(D34))*COS(RADIANS(L9))+SIN(RADIANS(D34))*SIN(RADIANS(L9)))),0)</f>
        <v>29</v>
      </c>
      <c r="L34" s="1" t="s">
        <v>17</v>
      </c>
      <c r="M34" s="16">
        <f>IF(M14&gt;0,solrdat!B47,solrdat!I47)</f>
        <v>39857</v>
      </c>
      <c r="N34" s="1">
        <f>IF(M14&gt;0,solrdat!C47,solrdat!J47)</f>
        <v>12.236416666666667</v>
      </c>
      <c r="O34" s="1">
        <f>IF(M14&gt;0,solrdat!D47,solrdat!K47)</f>
        <v>-13.117334</v>
      </c>
      <c r="P34" s="1">
        <f>(TAN(RADIANS(L9))*SIN(RADIANS(O34))-SIN(RADIANS(L13))/COS(RADIANS(L9)))/COS(RADIANS(O34))</f>
        <v>-1.143324993021425</v>
      </c>
      <c r="Q34" s="1" t="str">
        <f t="shared" si="1"/>
        <v>0</v>
      </c>
      <c r="R34" s="4" t="str">
        <f>IF(P34&lt;-1,"Below",IF(P34&gt;1,"Above",INT(N34+C12-(DEGREES(ASIN(P34))+90)/15+5/600)))</f>
        <v>Below</v>
      </c>
      <c r="S34" s="1" t="str">
        <f>IF(OR(P34&lt;-1,P34&gt;1),IF(M13&gt;0," Min."," Horz."),IF(INT((N34+C12-(DEGREES(ASIN(P34))+90)/15-R34)*60+1/2)&lt;10,":0"&amp;FIXED(INT((N34+C12-(DEGREES(ASIN(P34))+90)/15-R34)*60+1/2),0),":"&amp;FIXED(INT((N34+C12-(DEGREES(ASIN(P34))+90)/15-R34)*60+1/2),0)))</f>
        <v> Min.</v>
      </c>
      <c r="T34" s="4" t="str">
        <f>IF(P34&lt;-1,"Below",IF(P34&gt;1,"Above",INT(N34+C12+(DEGREES(ASIN(P34))+90)/15+5/600)))</f>
        <v>Below</v>
      </c>
      <c r="U34" s="1" t="str">
        <f>IF(OR(P34&lt;-1,P34&gt;1),IF(M13&gt;0," Min."," Horz."),IF(INT((N34+C12+(DEGREES(ASIN(P34))+90)/15-T34)*60+1/2)&lt;10,":0"&amp;FIXED(INT((N34+C12+(DEGREES(ASIN(P34))+90)/15-T34)*60+1/2),0),":"&amp;FIXED(INT((N34+C12+(DEGREES(ASIN(P34))+90)/15-T34)*60+1/2),0)))</f>
        <v> Min.</v>
      </c>
      <c r="V34" s="1">
        <f>ROUND(DEGREES(ASIN(COS(RADIANS(O34))*COS(RADIANS(L9))+SIN(RADIANS(O34))*SIN(RADIANS(L9)))),0)</f>
        <v>37</v>
      </c>
      <c r="W34" s="1" t="s">
        <v>17</v>
      </c>
      <c r="X34" s="3"/>
    </row>
    <row r="35" spans="1:24" ht="10.5" customHeight="1">
      <c r="A35" s="1"/>
      <c r="B35" s="15">
        <f>IF(M14&gt;0,solrdat!B16,solrdat!I16)</f>
        <v>39827</v>
      </c>
      <c r="C35" s="1">
        <f>IF(M14&gt;0,solrdat!C16,solrdat!J16)</f>
        <v>12.15386111111111</v>
      </c>
      <c r="D35" s="1">
        <f>IF(M14&gt;0,solrdat!D16,solrdat!K16)</f>
        <v>-21.176264</v>
      </c>
      <c r="E35" s="1">
        <f>(TAN(RADIANS(L9))*SIN(RADIANS(D35))-SIN(RADIANS(L13))/COS(RADIANS(L9)))/COS(RADIANS(D35))</f>
        <v>-1.3149727388616799</v>
      </c>
      <c r="F35" s="1" t="str">
        <f t="shared" si="0"/>
        <v>0</v>
      </c>
      <c r="G35" s="4" t="str">
        <f>IF(E35&lt;-1,"Below",IF(E35&gt;1,"Above",INT(C35+C12-(DEGREES(ASIN(E35))+90)/15+5/600)))</f>
        <v>Below</v>
      </c>
      <c r="H35" s="1" t="str">
        <f>IF(OR(E35&lt;-1,E35&gt;1),IF(M13&gt;0," Min."," Horz."),IF(INT((C35+C12-(DEGREES(ASIN(E35))+90)/15-G35)*60+1/2)&lt;10,":0"&amp;FIXED(INT((C35+C12-(DEGREES(ASIN(E35))+90)/15-G35)*60+1/2),0),":"&amp;FIXED(INT((C35+C12-(DEGREES(ASIN(E35))+90)/15-G35)*60+1/2),0)))</f>
        <v> Min.</v>
      </c>
      <c r="I35" s="4" t="str">
        <f>IF(E35&lt;-1,"Below",IF(E35&gt;1,"Above",INT(C35+C12+(DEGREES(ASIN(E35))+90)/15+5/600)))</f>
        <v>Below</v>
      </c>
      <c r="J35" s="1" t="str">
        <f>IF(OR(E35&lt;-1,E35&gt;1),IF(M13&gt;0," Min."," Horz."),IF(INT((C35+C12+(DEGREES(ASIN(E35))+90)/15-I35)*60+1/2)&lt;10,":0"&amp;FIXED(INT((C35+C12+(DEGREES(ASIN(E35))+90)/15-I35)*60+1/2),0),":"&amp;FIXED(INT((C35+C12+(DEGREES(ASIN(E35))+90)/15-I35)*60+1/2),0)))</f>
        <v> Min.</v>
      </c>
      <c r="K35" s="1">
        <f>ROUND(DEGREES(ASIN(COS(RADIANS(D35))*COS(RADIANS(L9))+SIN(RADIANS(D35))*SIN(RADIANS(L9)))),0)</f>
        <v>29</v>
      </c>
      <c r="L35" s="1" t="s">
        <v>17</v>
      </c>
      <c r="M35" s="16">
        <f>IF(M14&gt;0,solrdat!B48,solrdat!I48)</f>
        <v>39858</v>
      </c>
      <c r="N35" s="1">
        <f>IF(M14&gt;0,solrdat!C48,solrdat!J48)</f>
        <v>12.23575</v>
      </c>
      <c r="O35" s="1">
        <f>IF(M14&gt;0,solrdat!D48,solrdat!K48)</f>
        <v>-12.776627</v>
      </c>
      <c r="P35" s="1">
        <f>(TAN(RADIANS(L9))*SIN(RADIANS(O35))-SIN(RADIANS(L13))/COS(RADIANS(L9)))/COS(RADIANS(O35))</f>
        <v>-1.1367767916433744</v>
      </c>
      <c r="Q35" s="1" t="str">
        <f t="shared" si="1"/>
        <v>0</v>
      </c>
      <c r="R35" s="4" t="str">
        <f>IF(P35&lt;-1,"Below",IF(P35&gt;1,"Above",INT(N35+C12-(DEGREES(ASIN(P35))+90)/15+5/600)))</f>
        <v>Below</v>
      </c>
      <c r="S35" s="1" t="str">
        <f>IF(OR(P35&lt;-1,P35&gt;1),IF(M13&gt;0," Min."," Horz."),IF(INT((N35+C12-(DEGREES(ASIN(P35))+90)/15-R35)*60+1/2)&lt;10,":0"&amp;FIXED(INT((N35+C12-(DEGREES(ASIN(P35))+90)/15-R35)*60+1/2),0),":"&amp;FIXED(INT((N35+C12-(DEGREES(ASIN(P35))+90)/15-R35)*60+1/2),0)))</f>
        <v> Min.</v>
      </c>
      <c r="T35" s="4" t="str">
        <f>IF(P35&lt;-1,"Below",IF(P35&gt;1,"Above",INT(N35+C12+(DEGREES(ASIN(P35))+90)/15+5/600)))</f>
        <v>Below</v>
      </c>
      <c r="U35" s="1" t="str">
        <f>IF(OR(P35&lt;-1,P35&gt;1),IF(M13&gt;0," Min."," Horz."),IF(INT((N35+C12+(DEGREES(ASIN(P35))+90)/15-T35)*60+1/2)&lt;10,":0"&amp;FIXED(INT((N35+C12+(DEGREES(ASIN(P35))+90)/15-T35)*60+1/2),0),":"&amp;FIXED(INT((N35+C12+(DEGREES(ASIN(P35))+90)/15-T35)*60+1/2),0)))</f>
        <v> Min.</v>
      </c>
      <c r="V35" s="1">
        <f>ROUND(DEGREES(ASIN(COS(RADIANS(O35))*COS(RADIANS(L9))+SIN(RADIANS(O35))*SIN(RADIANS(L9)))),0)</f>
        <v>37</v>
      </c>
      <c r="W35" s="1" t="s">
        <v>17</v>
      </c>
      <c r="X35" s="3"/>
    </row>
    <row r="36" spans="1:24" ht="10.5" customHeight="1">
      <c r="A36" s="1"/>
      <c r="B36" s="15">
        <f>IF(M14&gt;0,solrdat!B17,solrdat!I17)</f>
        <v>39828</v>
      </c>
      <c r="C36" s="1">
        <f>IF(M14&gt;0,solrdat!C17,solrdat!J17)</f>
        <v>12.159694444444444</v>
      </c>
      <c r="D36" s="1">
        <f>IF(M14&gt;0,solrdat!D17,solrdat!K17)</f>
        <v>-20.991027</v>
      </c>
      <c r="E36" s="1">
        <f>(TAN(RADIANS(L9))*SIN(RADIANS(D36))-SIN(RADIANS(L13))/COS(RADIANS(L9)))/COS(RADIANS(D36))</f>
        <v>-1.3106235936831145</v>
      </c>
      <c r="F36" s="1" t="str">
        <f t="shared" si="0"/>
        <v>0</v>
      </c>
      <c r="G36" s="4" t="str">
        <f>IF(E36&lt;-1,"Below",IF(E36&gt;1,"Above",INT(C36+C12-(DEGREES(ASIN(E36))+90)/15+5/600)))</f>
        <v>Below</v>
      </c>
      <c r="H36" s="1" t="str">
        <f>IF(OR(E36&lt;-1,E36&gt;1),IF(M13&gt;0," Min."," Horz."),IF(INT((C36+C12-(DEGREES(ASIN(E36))+90)/15-G36)*60+1/2)&lt;10,":0"&amp;FIXED(INT((C36+C12-(DEGREES(ASIN(E36))+90)/15-G36)*60+1/2),0),":"&amp;FIXED(INT((C36+C12-(DEGREES(ASIN(E36))+90)/15-G36)*60+1/2),0)))</f>
        <v> Min.</v>
      </c>
      <c r="I36" s="4" t="str">
        <f>IF(E36&lt;-1,"Below",IF(E36&gt;1,"Above",INT(C36+C12+(DEGREES(ASIN(E36))+90)/15+5/600)))</f>
        <v>Below</v>
      </c>
      <c r="J36" s="1" t="str">
        <f>IF(OR(E36&lt;-1,E36&gt;1),IF(M13&gt;0," Min."," Horz."),IF(INT((C36+C12+(DEGREES(ASIN(E36))+90)/15-I36)*60+1/2)&lt;10,":0"&amp;FIXED(INT((C36+C12+(DEGREES(ASIN(E36))+90)/15-I36)*60+1/2),0),":"&amp;FIXED(INT((C36+C12+(DEGREES(ASIN(E36))+90)/15-I36)*60+1/2),0)))</f>
        <v> Min.</v>
      </c>
      <c r="K36" s="1">
        <f>ROUND(DEGREES(ASIN(COS(RADIANS(D36))*COS(RADIANS(L9))+SIN(RADIANS(D36))*SIN(RADIANS(L9)))),0)</f>
        <v>29</v>
      </c>
      <c r="L36" s="1" t="s">
        <v>17</v>
      </c>
      <c r="M36" s="16">
        <f>IF(M14&gt;0,solrdat!B49,solrdat!I49)</f>
        <v>39859</v>
      </c>
      <c r="N36" s="1">
        <f>IF(M14&gt;0,solrdat!C49,solrdat!J49)</f>
        <v>12.234916666666667</v>
      </c>
      <c r="O36" s="1">
        <f>IF(M14&gt;0,solrdat!D49,solrdat!K49)</f>
        <v>-12.432445</v>
      </c>
      <c r="P36" s="1">
        <f>(TAN(RADIANS(L9))*SIN(RADIANS(O36))-SIN(RADIANS(L13))/COS(RADIANS(L9)))/COS(RADIANS(O36))</f>
        <v>-1.1302136444442716</v>
      </c>
      <c r="Q36" s="1" t="str">
        <f t="shared" si="1"/>
        <v>0</v>
      </c>
      <c r="R36" s="4" t="str">
        <f>IF(P36&lt;-1,"Below",IF(P36&gt;1,"Above",INT(N36+C12-(DEGREES(ASIN(P36))+90)/15+5/600)))</f>
        <v>Below</v>
      </c>
      <c r="S36" s="1" t="str">
        <f>IF(OR(P36&lt;-1,P36&gt;1),IF(M13&gt;0," Min."," Horz."),IF(INT((N36+C12-(DEGREES(ASIN(P36))+90)/15-R36)*60+1/2)&lt;10,":0"&amp;FIXED(INT((N36+C12-(DEGREES(ASIN(P36))+90)/15-R36)*60+1/2),0),":"&amp;FIXED(INT((N36+C12-(DEGREES(ASIN(P36))+90)/15-R36)*60+1/2),0)))</f>
        <v> Min.</v>
      </c>
      <c r="T36" s="4" t="str">
        <f>IF(P36&lt;-1,"Below",IF(P36&gt;1,"Above",INT(N36+C12+(DEGREES(ASIN(P36))+90)/15+5/600)))</f>
        <v>Below</v>
      </c>
      <c r="U36" s="1" t="str">
        <f>IF(OR(P36&lt;-1,P36&gt;1),IF(M13&gt;0," Min."," Horz."),IF(INT((N36+C12+(DEGREES(ASIN(P36))+90)/15-T36)*60+1/2)&lt;10,":0"&amp;FIXED(INT((N36+C12+(DEGREES(ASIN(P36))+90)/15-T36)*60+1/2),0),":"&amp;FIXED(INT((N36+C12+(DEGREES(ASIN(P36))+90)/15-T36)*60+1/2),0)))</f>
        <v> Min.</v>
      </c>
      <c r="V36" s="1">
        <f>ROUND(DEGREES(ASIN(COS(RADIANS(O36))*COS(RADIANS(L9))+SIN(RADIANS(O36))*SIN(RADIANS(L9)))),0)</f>
        <v>38</v>
      </c>
      <c r="W36" s="1" t="s">
        <v>17</v>
      </c>
      <c r="X36" s="3"/>
    </row>
    <row r="37" spans="1:24" ht="10.5" customHeight="1">
      <c r="A37" s="1"/>
      <c r="B37" s="15">
        <f>IF(M14&gt;0,solrdat!B18,solrdat!I18)</f>
        <v>39829</v>
      </c>
      <c r="C37" s="1">
        <f>IF(M14&gt;0,solrdat!C18,solrdat!J18)</f>
        <v>12.16536111111111</v>
      </c>
      <c r="D37" s="1">
        <f>IF(M14&gt;0,solrdat!D18,solrdat!K18)</f>
        <v>-20.799083</v>
      </c>
      <c r="E37" s="1">
        <f>(TAN(RADIANS(L9))*SIN(RADIANS(D37))-SIN(RADIANS(L13))/COS(RADIANS(L9)))/COS(RADIANS(D37))</f>
        <v>-1.3061392312022795</v>
      </c>
      <c r="F37" s="1" t="str">
        <f t="shared" si="0"/>
        <v>0</v>
      </c>
      <c r="G37" s="4" t="str">
        <f>IF(E37&lt;-1,"Below",IF(E37&gt;1,"Above",INT(C37+C12-(DEGREES(ASIN(E37))+90)/15+5/600)))</f>
        <v>Below</v>
      </c>
      <c r="H37" s="1" t="str">
        <f>IF(OR(E37&lt;-1,E37&gt;1),IF(M13&gt;0," Min."," Horz."),IF(INT((C37+C12-(DEGREES(ASIN(E37))+90)/15-G37)*60+1/2)&lt;10,":0"&amp;FIXED(INT((C37+C12-(DEGREES(ASIN(E37))+90)/15-G37)*60+1/2),0),":"&amp;FIXED(INT((C37+C12-(DEGREES(ASIN(E37))+90)/15-G37)*60+1/2),0)))</f>
        <v> Min.</v>
      </c>
      <c r="I37" s="4" t="str">
        <f>IF(E37&lt;-1,"Below",IF(E37&gt;1,"Above",INT(C37+C12+(DEGREES(ASIN(E37))+90)/15+5/600)))</f>
        <v>Below</v>
      </c>
      <c r="J37" s="1" t="str">
        <f>IF(OR(E37&lt;-1,E37&gt;1),IF(M13&gt;0," Min."," Horz."),IF(INT((C37+C12+(DEGREES(ASIN(E37))+90)/15-I37)*60+1/2)&lt;10,":0"&amp;FIXED(INT((C37+C12+(DEGREES(ASIN(E37))+90)/15-I37)*60+1/2),0),":"&amp;FIXED(INT((C37+C12+(DEGREES(ASIN(E37))+90)/15-I37)*60+1/2),0)))</f>
        <v> Min.</v>
      </c>
      <c r="K37" s="1">
        <f>ROUND(DEGREES(ASIN(COS(RADIANS(D37))*COS(RADIANS(L9))+SIN(RADIANS(D37))*SIN(RADIANS(L9)))),0)</f>
        <v>29</v>
      </c>
      <c r="L37" s="1" t="s">
        <v>17</v>
      </c>
      <c r="M37" s="16">
        <f>IF(M14&gt;0,solrdat!B50,solrdat!I50)</f>
        <v>39860</v>
      </c>
      <c r="N37" s="1">
        <f>IF(M14&gt;0,solrdat!C50,solrdat!J50)</f>
        <v>12.23386111111111</v>
      </c>
      <c r="O37" s="1">
        <f>IF(M14&gt;0,solrdat!D50,solrdat!K50)</f>
        <v>-12.084904</v>
      </c>
      <c r="P37" s="1">
        <f>(TAN(RADIANS(L9))*SIN(RADIANS(O37))-SIN(RADIANS(L13))/COS(RADIANS(L9)))/COS(RADIANS(O37))</f>
        <v>-1.1236386229331634</v>
      </c>
      <c r="Q37" s="1" t="str">
        <f t="shared" si="1"/>
        <v>0</v>
      </c>
      <c r="R37" s="4" t="str">
        <f>IF(P37&lt;-1,"Below",IF(P37&gt;1,"Above",INT(N37+C12-(DEGREES(ASIN(P37))+90)/15+5/600)))</f>
        <v>Below</v>
      </c>
      <c r="S37" s="1" t="str">
        <f>IF(OR(P37&lt;-1,P37&gt;1),IF(M13&gt;0," Min."," Horz."),IF(INT((N37+C12-(DEGREES(ASIN(P37))+90)/15-R37)*60+1/2)&lt;10,":0"&amp;FIXED(INT((N37+C12-(DEGREES(ASIN(P37))+90)/15-R37)*60+1/2),0),":"&amp;FIXED(INT((N37+C12-(DEGREES(ASIN(P37))+90)/15-R37)*60+1/2),0)))</f>
        <v> Min.</v>
      </c>
      <c r="T37" s="4" t="str">
        <f>IF(P37&lt;-1,"Below",IF(P37&gt;1,"Above",INT(N37+C12+(DEGREES(ASIN(P37))+90)/15+5/600)))</f>
        <v>Below</v>
      </c>
      <c r="U37" s="1" t="str">
        <f>IF(OR(P37&lt;-1,P37&gt;1),IF(M13&gt;0," Min."," Horz."),IF(INT((N37+C12+(DEGREES(ASIN(P37))+90)/15-T37)*60+1/2)&lt;10,":0"&amp;FIXED(INT((N37+C12+(DEGREES(ASIN(P37))+90)/15-T37)*60+1/2),0),":"&amp;FIXED(INT((N37+C12+(DEGREES(ASIN(P37))+90)/15-T37)*60+1/2),0)))</f>
        <v> Min.</v>
      </c>
      <c r="V37" s="1">
        <f>ROUND(DEGREES(ASIN(COS(RADIANS(O37))*COS(RADIANS(L9))+SIN(RADIANS(O37))*SIN(RADIANS(L9)))),0)</f>
        <v>38</v>
      </c>
      <c r="W37" s="1" t="s">
        <v>17</v>
      </c>
      <c r="X37" s="3"/>
    </row>
    <row r="38" spans="1:24" ht="10.5" customHeight="1">
      <c r="A38" s="1"/>
      <c r="B38" s="15">
        <f>IF(M14&gt;0,solrdat!B19,solrdat!I19)</f>
        <v>39830</v>
      </c>
      <c r="C38" s="1">
        <f>IF(M14&gt;0,solrdat!C19,solrdat!J19)</f>
        <v>12.170805555555555</v>
      </c>
      <c r="D38" s="1">
        <f>IF(M14&gt;0,solrdat!D19,solrdat!K19)</f>
        <v>-20.600518</v>
      </c>
      <c r="E38" s="1">
        <f>(TAN(RADIANS(L9))*SIN(RADIANS(D38))-SIN(RADIANS(L13))/COS(RADIANS(L9)))/COS(RADIANS(D38))</f>
        <v>-1.301523822538152</v>
      </c>
      <c r="F38" s="1" t="str">
        <f t="shared" si="0"/>
        <v>0</v>
      </c>
      <c r="G38" s="4" t="str">
        <f>IF(E38&lt;-1,"Below",IF(E38&gt;1,"Above",INT(C38+C12-(DEGREES(ASIN(E38))+90)/15+5/600)))</f>
        <v>Below</v>
      </c>
      <c r="H38" s="1" t="str">
        <f>IF(OR(E38&lt;-1,E38&gt;1),IF(M13&gt;0," Min."," Horz."),IF(INT((C38+C12-(DEGREES(ASIN(E38))+90)/15-G38)*60+1/2)&lt;10,":0"&amp;FIXED(INT((C38+C12-(DEGREES(ASIN(E38))+90)/15-G38)*60+1/2),0),":"&amp;FIXED(INT((C38+C12-(DEGREES(ASIN(E38))+90)/15-G38)*60+1/2),0)))</f>
        <v> Min.</v>
      </c>
      <c r="I38" s="4" t="str">
        <f>IF(E38&lt;-1,"Below",IF(E38&gt;1,"Above",INT(C38+C12+(DEGREES(ASIN(E38))+90)/15+5/600)))</f>
        <v>Below</v>
      </c>
      <c r="J38" s="1" t="str">
        <f>IF(OR(E38&lt;-1,E38&gt;1),IF(M13&gt;0," Min."," Horz."),IF(INT((C38+C12+(DEGREES(ASIN(E38))+90)/15-I38)*60+1/2)&lt;10,":0"&amp;FIXED(INT((C38+C12+(DEGREES(ASIN(E38))+90)/15-I38)*60+1/2),0),":"&amp;FIXED(INT((C38+C12+(DEGREES(ASIN(E38))+90)/15-I38)*60+1/2),0)))</f>
        <v> Min.</v>
      </c>
      <c r="K38" s="1">
        <f>ROUND(DEGREES(ASIN(COS(RADIANS(D38))*COS(RADIANS(L9))+SIN(RADIANS(D38))*SIN(RADIANS(L9)))),0)</f>
        <v>29</v>
      </c>
      <c r="L38" s="1" t="s">
        <v>17</v>
      </c>
      <c r="M38" s="16">
        <f>IF(M14&gt;0,solrdat!B51,solrdat!I51)</f>
        <v>39861</v>
      </c>
      <c r="N38" s="1">
        <f>IF(M14&gt;0,solrdat!C51,solrdat!J51)</f>
        <v>12.23263888888889</v>
      </c>
      <c r="O38" s="1">
        <f>IF(M14&gt;0,solrdat!D51,solrdat!K51)</f>
        <v>-11.734121</v>
      </c>
      <c r="P38" s="1">
        <f>(TAN(RADIANS(L9))*SIN(RADIANS(O38))-SIN(RADIANS(L13))/COS(RADIANS(L9)))/COS(RADIANS(O38))</f>
        <v>-1.1170547348557216</v>
      </c>
      <c r="Q38" s="1" t="str">
        <f t="shared" si="1"/>
        <v>0</v>
      </c>
      <c r="R38" s="4" t="str">
        <f>IF(P38&lt;-1,"Below",IF(P38&gt;1,"Above",INT(N38+C12-(DEGREES(ASIN(P38))+90)/15+5/600)))</f>
        <v>Below</v>
      </c>
      <c r="S38" s="1" t="str">
        <f>IF(OR(P38&lt;-1,P38&gt;1),IF(M13&gt;0," Min."," Horz."),IF(INT((N38+C12-(DEGREES(ASIN(P38))+90)/15-R38)*60+1/2)&lt;10,":0"&amp;FIXED(INT((N38+C12-(DEGREES(ASIN(P38))+90)/15-R38)*60+1/2),0),":"&amp;FIXED(INT((N38+C12-(DEGREES(ASIN(P38))+90)/15-R38)*60+1/2),0)))</f>
        <v> Min.</v>
      </c>
      <c r="T38" s="4" t="str">
        <f>IF(P38&lt;-1,"Below",IF(P38&gt;1,"Above",INT(N38+C12+(DEGREES(ASIN(P38))+90)/15+5/600)))</f>
        <v>Below</v>
      </c>
      <c r="U38" s="1" t="str">
        <f>IF(OR(P38&lt;-1,P38&gt;1),IF(M13&gt;0," Min."," Horz."),IF(INT((N38+C12+(DEGREES(ASIN(P38))+90)/15-T38)*60+1/2)&lt;10,":0"&amp;FIXED(INT((N38+C12+(DEGREES(ASIN(P38))+90)/15-T38)*60+1/2),0),":"&amp;FIXED(INT((N38+C12+(DEGREES(ASIN(P38))+90)/15-T38)*60+1/2),0)))</f>
        <v> Min.</v>
      </c>
      <c r="V38" s="1">
        <f>ROUND(DEGREES(ASIN(COS(RADIANS(O38))*COS(RADIANS(L9))+SIN(RADIANS(O38))*SIN(RADIANS(L9)))),0)</f>
        <v>38</v>
      </c>
      <c r="W38" s="1" t="s">
        <v>17</v>
      </c>
      <c r="X38" s="3"/>
    </row>
    <row r="39" spans="1:24" ht="10.5" customHeight="1">
      <c r="A39" s="1"/>
      <c r="B39" s="15">
        <f>IF(M14&gt;0,solrdat!B20,solrdat!I20)</f>
        <v>39831</v>
      </c>
      <c r="C39" s="1">
        <f>IF(M14&gt;0,solrdat!C20,solrdat!J20)</f>
        <v>12.176083333333333</v>
      </c>
      <c r="D39" s="1">
        <f>IF(M14&gt;0,solrdat!D20,solrdat!K20)</f>
        <v>-20.395421</v>
      </c>
      <c r="E39" s="1">
        <f>(TAN(RADIANS(L9))*SIN(RADIANS(D39))-SIN(RADIANS(L13))/COS(RADIANS(L9)))/COS(RADIANS(D39))</f>
        <v>-1.296781609606596</v>
      </c>
      <c r="F39" s="1" t="str">
        <f t="shared" si="0"/>
        <v>0</v>
      </c>
      <c r="G39" s="4" t="str">
        <f>IF(E39&lt;-1,"Below",IF(E39&gt;1,"Above",INT(C39+C12-(DEGREES(ASIN(E39))+90)/15+5/600)))</f>
        <v>Below</v>
      </c>
      <c r="H39" s="1" t="str">
        <f>IF(OR(E39&lt;-1,E39&gt;1),IF(M13&gt;0," Min."," Horz."),IF(INT((C39+C12-(DEGREES(ASIN(E39))+90)/15-G39)*60+1/2)&lt;10,":0"&amp;FIXED(INT((C39+C12-(DEGREES(ASIN(E39))+90)/15-G39)*60+1/2),0),":"&amp;FIXED(INT((C39+C12-(DEGREES(ASIN(E39))+90)/15-G39)*60+1/2),0)))</f>
        <v> Min.</v>
      </c>
      <c r="I39" s="4" t="str">
        <f>IF(E39&lt;-1,"Below",IF(E39&gt;1,"Above",INT(C39+C12+(DEGREES(ASIN(E39))+90)/15+5/600)))</f>
        <v>Below</v>
      </c>
      <c r="J39" s="1" t="str">
        <f>IF(OR(E39&lt;-1,E39&gt;1),IF(M13&gt;0," Min."," Horz."),IF(INT((C39+C12+(DEGREES(ASIN(E39))+90)/15-I39)*60+1/2)&lt;10,":0"&amp;FIXED(INT((C39+C12+(DEGREES(ASIN(E39))+90)/15-I39)*60+1/2),0),":"&amp;FIXED(INT((C39+C12+(DEGREES(ASIN(E39))+90)/15-I39)*60+1/2),0)))</f>
        <v> Min.</v>
      </c>
      <c r="K39" s="1">
        <f>ROUND(DEGREES(ASIN(COS(RADIANS(D39))*COS(RADIANS(L9))+SIN(RADIANS(D39))*SIN(RADIANS(L9)))),0)</f>
        <v>30</v>
      </c>
      <c r="L39" s="1" t="s">
        <v>17</v>
      </c>
      <c r="M39" s="16">
        <f>IF(M14&gt;0,solrdat!B52,solrdat!I52)</f>
        <v>39862</v>
      </c>
      <c r="N39" s="1">
        <f>IF(M14&gt;0,solrdat!C52,solrdat!J52)</f>
        <v>12.231222222222222</v>
      </c>
      <c r="O39" s="1">
        <f>IF(M14&gt;0,solrdat!D52,solrdat!K52)</f>
        <v>-11.380213</v>
      </c>
      <c r="P39" s="1">
        <f>(TAN(RADIANS(L9))*SIN(RADIANS(O39))-SIN(RADIANS(L13))/COS(RADIANS(L9)))/COS(RADIANS(O39))</f>
        <v>-1.1104649055401854</v>
      </c>
      <c r="Q39" s="1" t="str">
        <f t="shared" si="1"/>
        <v>0</v>
      </c>
      <c r="R39" s="4" t="str">
        <f>IF(P39&lt;-1,"Below",IF(P39&gt;1,"Above",INT(N39+C12-(DEGREES(ASIN(P39))+90)/15+5/600)))</f>
        <v>Below</v>
      </c>
      <c r="S39" s="1" t="str">
        <f>IF(OR(P39&lt;-1,P39&gt;1),IF(M13&gt;0," Min."," Horz."),IF(INT((N39+C12-(DEGREES(ASIN(P39))+90)/15-R39)*60+1/2)&lt;10,":0"&amp;FIXED(INT((N39+C12-(DEGREES(ASIN(P39))+90)/15-R39)*60+1/2),0),":"&amp;FIXED(INT((N39+C12-(DEGREES(ASIN(P39))+90)/15-R39)*60+1/2),0)))</f>
        <v> Min.</v>
      </c>
      <c r="T39" s="4" t="str">
        <f>IF(P39&lt;-1,"Below",IF(P39&gt;1,"Above",INT(N39+C12+(DEGREES(ASIN(P39))+90)/15+5/600)))</f>
        <v>Below</v>
      </c>
      <c r="U39" s="1" t="str">
        <f>IF(OR(P39&lt;-1,P39&gt;1),IF(M13&gt;0," Min."," Horz."),IF(INT((N39+C12+(DEGREES(ASIN(P39))+90)/15-T39)*60+1/2)&lt;10,":0"&amp;FIXED(INT((N39+C12+(DEGREES(ASIN(P39))+90)/15-T39)*60+1/2),0),":"&amp;FIXED(INT((N39+C12+(DEGREES(ASIN(P39))+90)/15-T39)*60+1/2),0)))</f>
        <v> Min.</v>
      </c>
      <c r="V39" s="1">
        <f>ROUND(DEGREES(ASIN(COS(RADIANS(O39))*COS(RADIANS(L9))+SIN(RADIANS(O39))*SIN(RADIANS(L9)))),0)</f>
        <v>39</v>
      </c>
      <c r="W39" s="1" t="s">
        <v>17</v>
      </c>
      <c r="X39" s="3"/>
    </row>
    <row r="40" spans="1:24" ht="10.5" customHeight="1">
      <c r="A40" s="1"/>
      <c r="B40" s="15">
        <f>IF(M14&gt;0,solrdat!B21,solrdat!I21)</f>
        <v>39832</v>
      </c>
      <c r="C40" s="1">
        <f>IF(M14&gt;0,solrdat!C21,solrdat!J21)</f>
        <v>12.181166666666666</v>
      </c>
      <c r="D40" s="1">
        <f>IF(M14&gt;0,solrdat!D21,solrdat!K21)</f>
        <v>-20.183886</v>
      </c>
      <c r="E40" s="1">
        <f>(TAN(RADIANS(L9))*SIN(RADIANS(D40))-SIN(RADIANS(L13))/COS(RADIANS(L9)))/COS(RADIANS(D40))</f>
        <v>-1.2919169439260116</v>
      </c>
      <c r="F40" s="1" t="str">
        <f t="shared" si="0"/>
        <v>0</v>
      </c>
      <c r="G40" s="4" t="str">
        <f>IF(E40&lt;-1,"Below",IF(E40&gt;1,"Above",INT(C40+C12-(DEGREES(ASIN(E40))+90)/15+5/600)))</f>
        <v>Below</v>
      </c>
      <c r="H40" s="1" t="str">
        <f>IF(OR(E40&lt;-1,E40&gt;1),IF(M13&gt;0," Min."," Horz."),IF(INT((C40+C12-(DEGREES(ASIN(E40))+90)/15-G40)*60+1/2)&lt;10,":0"&amp;FIXED(INT((C40+C12-(DEGREES(ASIN(E40))+90)/15-G40)*60+1/2),0),":"&amp;FIXED(INT((C40+C12-(DEGREES(ASIN(E40))+90)/15-G40)*60+1/2),0)))</f>
        <v> Min.</v>
      </c>
      <c r="I40" s="4" t="str">
        <f>IF(E40&lt;-1,"Below",IF(E40&gt;1,"Above",INT(C40+C12+(DEGREES(ASIN(E40))+90)/15+5/600)))</f>
        <v>Below</v>
      </c>
      <c r="J40" s="1" t="str">
        <f>IF(OR(E40&lt;-1,E40&gt;1),IF(M13&gt;0," Min."," Horz."),IF(INT((C40+C12+(DEGREES(ASIN(E40))+90)/15-I40)*60+1/2)&lt;10,":0"&amp;FIXED(INT((C40+C12+(DEGREES(ASIN(E40))+90)/15-I40)*60+1/2),0),":"&amp;FIXED(INT((C40+C12+(DEGREES(ASIN(E40))+90)/15-I40)*60+1/2),0)))</f>
        <v> Min.</v>
      </c>
      <c r="K40" s="1">
        <f>ROUND(DEGREES(ASIN(COS(RADIANS(D40))*COS(RADIANS(L9))+SIN(RADIANS(D40))*SIN(RADIANS(L9)))),0)</f>
        <v>30</v>
      </c>
      <c r="L40" s="1" t="s">
        <v>17</v>
      </c>
      <c r="M40" s="16">
        <f>IF(M14&gt;0,solrdat!B53,solrdat!I53)</f>
        <v>39863</v>
      </c>
      <c r="N40" s="1">
        <f>IF(M14&gt;0,solrdat!C53,solrdat!J53)</f>
        <v>12.229611111111112</v>
      </c>
      <c r="O40" s="1">
        <f>IF(M14&gt;0,solrdat!D53,solrdat!K53)</f>
        <v>-11.023298</v>
      </c>
      <c r="P40" s="1">
        <f>(TAN(RADIANS(L9))*SIN(RADIANS(O40))-SIN(RADIANS(L13))/COS(RADIANS(L9)))/COS(RADIANS(O40))</f>
        <v>-1.1038719970492996</v>
      </c>
      <c r="Q40" s="1" t="str">
        <f t="shared" si="1"/>
        <v>0</v>
      </c>
      <c r="R40" s="4" t="str">
        <f>IF(P40&lt;-1,"Below",IF(P40&gt;1,"Above",INT(N40+C12-(DEGREES(ASIN(P40))+90)/15+5/600)))</f>
        <v>Below</v>
      </c>
      <c r="S40" s="1" t="str">
        <f>IF(OR(P40&lt;-1,P40&gt;1),IF(M13&gt;0," Min."," Horz."),IF(INT((N40+C12-(DEGREES(ASIN(P40))+90)/15-R40)*60+1/2)&lt;10,":0"&amp;FIXED(INT((N40+C12-(DEGREES(ASIN(P40))+90)/15-R40)*60+1/2),0),":"&amp;FIXED(INT((N40+C12-(DEGREES(ASIN(P40))+90)/15-R40)*60+1/2),0)))</f>
        <v> Min.</v>
      </c>
      <c r="T40" s="4" t="str">
        <f>IF(P40&lt;-1,"Below",IF(P40&gt;1,"Above",INT(N40+C12+(DEGREES(ASIN(P40))+90)/15+5/600)))</f>
        <v>Below</v>
      </c>
      <c r="U40" s="1" t="str">
        <f>IF(OR(P40&lt;-1,P40&gt;1),IF(M13&gt;0," Min."," Horz."),IF(INT((N40+C12+(DEGREES(ASIN(P40))+90)/15-T40)*60+1/2)&lt;10,":0"&amp;FIXED(INT((N40+C12+(DEGREES(ASIN(P40))+90)/15-T40)*60+1/2),0),":"&amp;FIXED(INT((N40+C12+(DEGREES(ASIN(P40))+90)/15-T40)*60+1/2),0)))</f>
        <v> Min.</v>
      </c>
      <c r="V40" s="1">
        <f>ROUND(DEGREES(ASIN(COS(RADIANS(O40))*COS(RADIANS(L9))+SIN(RADIANS(O40))*SIN(RADIANS(L9)))),0)</f>
        <v>39</v>
      </c>
      <c r="W40" s="1" t="s">
        <v>17</v>
      </c>
      <c r="X40" s="3"/>
    </row>
    <row r="41" spans="1:24" ht="10.5" customHeight="1">
      <c r="A41" s="1"/>
      <c r="B41" s="15">
        <f>IF(M14&gt;0,solrdat!B22,solrdat!I22)</f>
        <v>39833</v>
      </c>
      <c r="C41" s="1">
        <f>IF(M14&gt;0,solrdat!C22,solrdat!J22)</f>
        <v>12.186027777777777</v>
      </c>
      <c r="D41" s="1">
        <f>IF(M14&gt;0,solrdat!D22,solrdat!K22)</f>
        <v>-19.966011</v>
      </c>
      <c r="E41" s="1">
        <f>(TAN(RADIANS(L9))*SIN(RADIANS(D41))-SIN(RADIANS(L13))/COS(RADIANS(L9)))/COS(RADIANS(D41))</f>
        <v>-1.2869342555374712</v>
      </c>
      <c r="F41" s="1" t="str">
        <f t="shared" si="0"/>
        <v>0</v>
      </c>
      <c r="G41" s="4" t="str">
        <f>IF(E41&lt;-1,"Below",IF(E41&gt;1,"Above",INT(C41+C12-(DEGREES(ASIN(E41))+90)/15+5/600)))</f>
        <v>Below</v>
      </c>
      <c r="H41" s="1" t="str">
        <f>IF(OR(E41&lt;-1,E41&gt;1),IF(M13&gt;0," Min."," Horz."),IF(INT((C41+C12-(DEGREES(ASIN(E41))+90)/15-G41)*60+1/2)&lt;10,":0"&amp;FIXED(INT((C41+C12-(DEGREES(ASIN(E41))+90)/15-G41)*60+1/2),0),":"&amp;FIXED(INT((C41+C12-(DEGREES(ASIN(E41))+90)/15-G41)*60+1/2),0)))</f>
        <v> Min.</v>
      </c>
      <c r="I41" s="4" t="str">
        <f>IF(E41&lt;-1,"Below",IF(E41&gt;1,"Above",INT(C41+C12+(DEGREES(ASIN(E41))+90)/15+5/600)))</f>
        <v>Below</v>
      </c>
      <c r="J41" s="1" t="str">
        <f>IF(OR(E41&lt;-1,E41&gt;1),IF(M13&gt;0," Min."," Horz."),IF(INT((C41+C12+(DEGREES(ASIN(E41))+90)/15-I41)*60+1/2)&lt;10,":0"&amp;FIXED(INT((C41+C12+(DEGREES(ASIN(E41))+90)/15-I41)*60+1/2),0),":"&amp;FIXED(INT((C41+C12+(DEGREES(ASIN(E41))+90)/15-I41)*60+1/2),0)))</f>
        <v> Min.</v>
      </c>
      <c r="K41" s="1">
        <f>ROUND(DEGREES(ASIN(COS(RADIANS(D41))*COS(RADIANS(L9))+SIN(RADIANS(D41))*SIN(RADIANS(L9)))),0)</f>
        <v>30</v>
      </c>
      <c r="L41" s="1" t="s">
        <v>17</v>
      </c>
      <c r="M41" s="16">
        <f>IF(M14&gt;0,solrdat!B54,solrdat!I54)</f>
        <v>39864</v>
      </c>
      <c r="N41" s="1">
        <f>IF(M14&gt;0,solrdat!C54,solrdat!J54)</f>
        <v>12.227833333333333</v>
      </c>
      <c r="O41" s="1">
        <f>IF(M14&gt;0,solrdat!D54,solrdat!K54)</f>
        <v>-10.663494</v>
      </c>
      <c r="P41" s="1">
        <f>(TAN(RADIANS(L9))*SIN(RADIANS(O41))-SIN(RADIANS(L13))/COS(RADIANS(L9)))/COS(RADIANS(O41))</f>
        <v>-1.0972787900519252</v>
      </c>
      <c r="Q41" s="1" t="str">
        <f t="shared" si="1"/>
        <v>0</v>
      </c>
      <c r="R41" s="4" t="str">
        <f>IF(P41&lt;-1,"Below",IF(P41&gt;1,"Above",INT(N41+C12-(DEGREES(ASIN(P41))+90)/15+5/600)))</f>
        <v>Below</v>
      </c>
      <c r="S41" s="1" t="str">
        <f>IF(OR(P41&lt;-1,P41&gt;1),IF(M13&gt;0," Min."," Horz."),IF(INT((N41+C12-(DEGREES(ASIN(P41))+90)/15-R41)*60+1/2)&lt;10,":0"&amp;FIXED(INT((N41+C12-(DEGREES(ASIN(P41))+90)/15-R41)*60+1/2),0),":"&amp;FIXED(INT((N41+C12-(DEGREES(ASIN(P41))+90)/15-R41)*60+1/2),0)))</f>
        <v> Min.</v>
      </c>
      <c r="T41" s="4" t="str">
        <f>IF(P41&lt;-1,"Below",IF(P41&gt;1,"Above",INT(N41+C12+(DEGREES(ASIN(P41))+90)/15+5/600)))</f>
        <v>Below</v>
      </c>
      <c r="U41" s="1" t="str">
        <f>IF(OR(P41&lt;-1,P41&gt;1),IF(M13&gt;0," Min."," Horz."),IF(INT((N41+C12+(DEGREES(ASIN(P41))+90)/15-T41)*60+1/2)&lt;10,":0"&amp;FIXED(INT((N41+C12+(DEGREES(ASIN(P41))+90)/15-T41)*60+1/2),0),":"&amp;FIXED(INT((N41+C12+(DEGREES(ASIN(P41))+90)/15-T41)*60+1/2),0)))</f>
        <v> Min.</v>
      </c>
      <c r="V41" s="1">
        <f>ROUND(DEGREES(ASIN(COS(RADIANS(O41))*COS(RADIANS(L9))+SIN(RADIANS(O41))*SIN(RADIANS(L9)))),0)</f>
        <v>39</v>
      </c>
      <c r="W41" s="1" t="s">
        <v>17</v>
      </c>
      <c r="X41" s="3"/>
    </row>
    <row r="42" spans="1:24" ht="10.5" customHeight="1">
      <c r="A42" s="1"/>
      <c r="B42" s="15">
        <f>IF(M14&gt;0,solrdat!B23,solrdat!I23)</f>
        <v>39834</v>
      </c>
      <c r="C42" s="1">
        <f>IF(M14&gt;0,solrdat!C23,solrdat!J23)</f>
        <v>12.190694444444444</v>
      </c>
      <c r="D42" s="1">
        <f>IF(M14&gt;0,solrdat!D23,solrdat!K23)</f>
        <v>-19.741895</v>
      </c>
      <c r="E42" s="1">
        <f>(TAN(RADIANS(L9))*SIN(RADIANS(D42))-SIN(RADIANS(L13))/COS(RADIANS(L9)))/COS(RADIANS(D42))</f>
        <v>-1.281837977386998</v>
      </c>
      <c r="F42" s="1" t="str">
        <f t="shared" si="0"/>
        <v>0</v>
      </c>
      <c r="G42" s="4" t="str">
        <f>IF(E42&lt;-1,"Below",IF(E42&gt;1,"Above",INT(C42+C12-(DEGREES(ASIN(E42))+90)/15+5/600)))</f>
        <v>Below</v>
      </c>
      <c r="H42" s="1" t="str">
        <f>IF(OR(E42&lt;-1,E42&gt;1),IF(M13&gt;0," Min."," Horz."),IF(INT((C42+C12-(DEGREES(ASIN(E42))+90)/15-G42)*60+1/2)&lt;10,":0"&amp;FIXED(INT((C42+C12-(DEGREES(ASIN(E42))+90)/15-G42)*60+1/2),0),":"&amp;FIXED(INT((C42+C12-(DEGREES(ASIN(E42))+90)/15-G42)*60+1/2),0)))</f>
        <v> Min.</v>
      </c>
      <c r="I42" s="4" t="str">
        <f>IF(E42&lt;-1,"Below",IF(E42&gt;1,"Above",INT(C42+C12+(DEGREES(ASIN(E42))+90)/15+5/600)))</f>
        <v>Below</v>
      </c>
      <c r="J42" s="1" t="str">
        <f>IF(OR(E42&lt;-1,E42&gt;1),IF(M13&gt;0," Min."," Horz."),IF(INT((C42+C12+(DEGREES(ASIN(E42))+90)/15-I42)*60+1/2)&lt;10,":0"&amp;FIXED(INT((C42+C12+(DEGREES(ASIN(E42))+90)/15-I42)*60+1/2),0),":"&amp;FIXED(INT((C42+C12+(DEGREES(ASIN(E42))+90)/15-I42)*60+1/2),0)))</f>
        <v> Min.</v>
      </c>
      <c r="K42" s="1">
        <f>ROUND(DEGREES(ASIN(COS(RADIANS(D42))*COS(RADIANS(L9))+SIN(RADIANS(D42))*SIN(RADIANS(L9)))),0)</f>
        <v>30</v>
      </c>
      <c r="L42" s="1" t="s">
        <v>17</v>
      </c>
      <c r="M42" s="16">
        <f>IF(M14&gt;0,solrdat!B55,solrdat!I55)</f>
        <v>39865</v>
      </c>
      <c r="N42" s="1">
        <f>IF(M14&gt;0,solrdat!C55,solrdat!J55)</f>
        <v>12.225888888888889</v>
      </c>
      <c r="O42" s="1">
        <f>IF(M14&gt;0,solrdat!D55,solrdat!K55)</f>
        <v>-10.300921</v>
      </c>
      <c r="P42" s="1">
        <f>(TAN(RADIANS(L9))*SIN(RADIANS(O42))-SIN(RADIANS(L13))/COS(RADIANS(L9)))/COS(RADIANS(O42))</f>
        <v>-1.0906880209954335</v>
      </c>
      <c r="Q42" s="1" t="str">
        <f t="shared" si="1"/>
        <v>0</v>
      </c>
      <c r="R42" s="4" t="str">
        <f>IF(P42&lt;-1,"Below",IF(P42&gt;1,"Above",INT(N42+C12-(DEGREES(ASIN(P42))+90)/15+5/600)))</f>
        <v>Below</v>
      </c>
      <c r="S42" s="1" t="str">
        <f>IF(OR(P42&lt;-1,P42&gt;1),IF(M13&gt;0," Min."," Horz."),IF(INT((N42+C12-(DEGREES(ASIN(P42))+90)/15-R42)*60+1/2)&lt;10,":0"&amp;FIXED(INT((N42+C12-(DEGREES(ASIN(P42))+90)/15-R42)*60+1/2),0),":"&amp;FIXED(INT((N42+C12-(DEGREES(ASIN(P42))+90)/15-R42)*60+1/2),0)))</f>
        <v> Min.</v>
      </c>
      <c r="T42" s="4" t="str">
        <f>IF(P42&lt;-1,"Below",IF(P42&gt;1,"Above",INT(N42+C12+(DEGREES(ASIN(P42))+90)/15+5/600)))</f>
        <v>Below</v>
      </c>
      <c r="U42" s="1" t="str">
        <f>IF(OR(P42&lt;-1,P42&gt;1),IF(M13&gt;0," Min."," Horz."),IF(INT((N42+C12+(DEGREES(ASIN(P42))+90)/15-T42)*60+1/2)&lt;10,":0"&amp;FIXED(INT((N42+C12+(DEGREES(ASIN(P42))+90)/15-T42)*60+1/2),0),":"&amp;FIXED(INT((N42+C12+(DEGREES(ASIN(P42))+90)/15-T42)*60+1/2),0)))</f>
        <v> Min.</v>
      </c>
      <c r="V42" s="1">
        <f>ROUND(DEGREES(ASIN(COS(RADIANS(O42))*COS(RADIANS(L9))+SIN(RADIANS(O42))*SIN(RADIANS(L9)))),0)</f>
        <v>40</v>
      </c>
      <c r="W42" s="1" t="s">
        <v>17</v>
      </c>
      <c r="X42" s="3"/>
    </row>
    <row r="43" spans="1:24" ht="10.5" customHeight="1">
      <c r="A43" s="1"/>
      <c r="B43" s="15">
        <f>IF(M14&gt;0,solrdat!B24,solrdat!I24)</f>
        <v>39835</v>
      </c>
      <c r="C43" s="1">
        <f>IF(M14&gt;0,solrdat!C24,solrdat!J24)</f>
        <v>12.19513888888889</v>
      </c>
      <c r="D43" s="1">
        <f>IF(M14&gt;0,solrdat!D24,solrdat!K24)</f>
        <v>-19.511641</v>
      </c>
      <c r="E43" s="1">
        <f>(TAN(RADIANS(L9))*SIN(RADIANS(D43))-SIN(RADIANS(L13))/COS(RADIANS(L9)))/COS(RADIANS(D43))</f>
        <v>-1.2766326074408538</v>
      </c>
      <c r="F43" s="1" t="str">
        <f t="shared" si="0"/>
        <v>0</v>
      </c>
      <c r="G43" s="4" t="str">
        <f>IF(E43&lt;-1,"Below",IF(E43&gt;1,"Above",INT(C43+C12-(DEGREES(ASIN(E43))+90)/15+5/600)))</f>
        <v>Below</v>
      </c>
      <c r="H43" s="1" t="str">
        <f>IF(OR(E43&lt;-1,E43&gt;1),IF(M13&gt;0," Min."," Horz."),IF(INT((C43+C12-(DEGREES(ASIN(E43))+90)/15-G43)*60+1/2)&lt;10,":0"&amp;FIXED(INT((C43+C12-(DEGREES(ASIN(E43))+90)/15-G43)*60+1/2),0),":"&amp;FIXED(INT((C43+C12-(DEGREES(ASIN(E43))+90)/15-G43)*60+1/2),0)))</f>
        <v> Min.</v>
      </c>
      <c r="I43" s="4" t="str">
        <f>IF(E43&lt;-1,"Below",IF(E43&gt;1,"Above",INT(C43+C12+(DEGREES(ASIN(E43))+90)/15+5/600)))</f>
        <v>Below</v>
      </c>
      <c r="J43" s="1" t="str">
        <f>IF(OR(E43&lt;-1,E43&gt;1),IF(M13&gt;0," Min."," Horz."),IF(INT((C43+C12+(DEGREES(ASIN(E43))+90)/15-I43)*60+1/2)&lt;10,":0"&amp;FIXED(INT((C43+C12+(DEGREES(ASIN(E43))+90)/15-I43)*60+1/2),0),":"&amp;FIXED(INT((C43+C12+(DEGREES(ASIN(E43))+90)/15-I43)*60+1/2),0)))</f>
        <v> Min.</v>
      </c>
      <c r="K43" s="1">
        <f>ROUND(DEGREES(ASIN(COS(RADIANS(D43))*COS(RADIANS(L9))+SIN(RADIANS(D43))*SIN(RADIANS(L9)))),0)</f>
        <v>30</v>
      </c>
      <c r="L43" s="1" t="s">
        <v>17</v>
      </c>
      <c r="M43" s="16">
        <f>IF(M14&gt;0,solrdat!B56,solrdat!I56)</f>
        <v>39866</v>
      </c>
      <c r="N43" s="1">
        <f>IF(M14&gt;0,solrdat!C56,solrdat!J56)</f>
        <v>12.22375</v>
      </c>
      <c r="O43" s="1">
        <f>IF(M14&gt;0,solrdat!D56,solrdat!K56)</f>
        <v>-9.935696</v>
      </c>
      <c r="P43" s="1">
        <f>(TAN(RADIANS(L9))*SIN(RADIANS(O43))-SIN(RADIANS(L13))/COS(RADIANS(L9)))/COS(RADIANS(O43))</f>
        <v>-1.0841022919070133</v>
      </c>
      <c r="Q43" s="1" t="str">
        <f t="shared" si="1"/>
        <v>0</v>
      </c>
      <c r="R43" s="4" t="str">
        <f>IF(P43&lt;-1,"Below",IF(P43&gt;1,"Above",INT(N43+C12-(DEGREES(ASIN(P43))+90)/15+5/600)))</f>
        <v>Below</v>
      </c>
      <c r="S43" s="1" t="str">
        <f>IF(OR(P43&lt;-1,P43&gt;1),IF(M13&gt;0," Min."," Horz."),IF(INT((N43+C12-(DEGREES(ASIN(P43))+90)/15-R43)*60+1/2)&lt;10,":0"&amp;FIXED(INT((N43+C12-(DEGREES(ASIN(P43))+90)/15-R43)*60+1/2),0),":"&amp;FIXED(INT((N43+C12-(DEGREES(ASIN(P43))+90)/15-R43)*60+1/2),0)))</f>
        <v> Min.</v>
      </c>
      <c r="T43" s="4" t="str">
        <f>IF(P43&lt;-1,"Below",IF(P43&gt;1,"Above",INT(N43+C12+(DEGREES(ASIN(P43))+90)/15+5/600)))</f>
        <v>Below</v>
      </c>
      <c r="U43" s="1" t="str">
        <f>IF(OR(P43&lt;-1,P43&gt;1),IF(M13&gt;0," Min."," Horz."),IF(INT((N43+C12+(DEGREES(ASIN(P43))+90)/15-T43)*60+1/2)&lt;10,":0"&amp;FIXED(INT((N43+C12+(DEGREES(ASIN(P43))+90)/15-T43)*60+1/2),0),":"&amp;FIXED(INT((N43+C12+(DEGREES(ASIN(P43))+90)/15-T43)*60+1/2),0)))</f>
        <v> Min.</v>
      </c>
      <c r="V43" s="1">
        <f>ROUND(DEGREES(ASIN(COS(RADIANS(O43))*COS(RADIANS(L9))+SIN(RADIANS(O43))*SIN(RADIANS(L9)))),0)</f>
        <v>40</v>
      </c>
      <c r="W43" s="1" t="s">
        <v>17</v>
      </c>
      <c r="X43" s="3"/>
    </row>
    <row r="44" spans="1:24" ht="10.5" customHeight="1">
      <c r="A44" s="1"/>
      <c r="B44" s="15">
        <f>IF(M14&gt;0,solrdat!B25,solrdat!I25)</f>
        <v>39836</v>
      </c>
      <c r="C44" s="1">
        <f>IF(M14&gt;0,solrdat!C25,solrdat!J25)</f>
        <v>12.199388888888889</v>
      </c>
      <c r="D44" s="1">
        <f>IF(M14&gt;0,solrdat!D25,solrdat!K25)</f>
        <v>-19.275353</v>
      </c>
      <c r="E44" s="1">
        <f>(TAN(RADIANS(L9))*SIN(RADIANS(D44))-SIN(RADIANS(L13))/COS(RADIANS(L9)))/COS(RADIANS(D44))</f>
        <v>-1.271322634137212</v>
      </c>
      <c r="F44" s="1" t="str">
        <f t="shared" si="0"/>
        <v>0</v>
      </c>
      <c r="G44" s="4" t="str">
        <f>IF(E44&lt;-1,"Below",IF(E44&gt;1,"Above",INT(C44+C12-(DEGREES(ASIN(E44))+90)/15+5/600)))</f>
        <v>Below</v>
      </c>
      <c r="H44" s="1" t="str">
        <f>IF(OR(E44&lt;-1,E44&gt;1),IF(M13&gt;0," Min."," Horz."),IF(INT((C44+C12-(DEGREES(ASIN(E44))+90)/15-G44)*60+1/2)&lt;10,":0"&amp;FIXED(INT((C44+C12-(DEGREES(ASIN(E44))+90)/15-G44)*60+1/2),0),":"&amp;FIXED(INT((C44+C12-(DEGREES(ASIN(E44))+90)/15-G44)*60+1/2),0)))</f>
        <v> Min.</v>
      </c>
      <c r="I44" s="4" t="str">
        <f>IF(E44&lt;-1,"Below",IF(E44&gt;1,"Above",INT(C44+C12+(DEGREES(ASIN(E44))+90)/15+5/600)))</f>
        <v>Below</v>
      </c>
      <c r="J44" s="1" t="str">
        <f>IF(OR(E44&lt;-1,E44&gt;1),IF(M13&gt;0," Min."," Horz."),IF(INT((C44+C12+(DEGREES(ASIN(E44))+90)/15-I44)*60+1/2)&lt;10,":0"&amp;FIXED(INT((C44+C12+(DEGREES(ASIN(E44))+90)/15-I44)*60+1/2),0),":"&amp;FIXED(INT((C44+C12+(DEGREES(ASIN(E44))+90)/15-I44)*60+1/2),0)))</f>
        <v> Min.</v>
      </c>
      <c r="K44" s="1">
        <f>ROUND(DEGREES(ASIN(COS(RADIANS(D44))*COS(RADIANS(L9))+SIN(RADIANS(D44))*SIN(RADIANS(L9)))),0)</f>
        <v>31</v>
      </c>
      <c r="L44" s="1" t="s">
        <v>17</v>
      </c>
      <c r="M44" s="16">
        <f>IF(M14&gt;0,solrdat!B57,solrdat!I57)</f>
        <v>39867</v>
      </c>
      <c r="N44" s="1">
        <f>IF(M14&gt;0,solrdat!C57,solrdat!J57)</f>
        <v>12.221444444444444</v>
      </c>
      <c r="O44" s="1">
        <f>IF(M14&gt;0,solrdat!D57,solrdat!K57)</f>
        <v>-9.567939</v>
      </c>
      <c r="P44" s="1">
        <f>(TAN(RADIANS(L9))*SIN(RADIANS(O44))-SIN(RADIANS(L13))/COS(RADIANS(L9)))/COS(RADIANS(O44))</f>
        <v>-1.077524180602713</v>
      </c>
      <c r="Q44" s="1" t="str">
        <f t="shared" si="1"/>
        <v>0</v>
      </c>
      <c r="R44" s="4" t="str">
        <f>IF(P44&lt;-1,"Below",IF(P44&gt;1,"Above",INT(N44+C12-(DEGREES(ASIN(P44))+90)/15+5/600)))</f>
        <v>Below</v>
      </c>
      <c r="S44" s="1" t="str">
        <f>IF(OR(P44&lt;-1,P44&gt;1),IF(M13&gt;0," Min."," Horz."),IF(INT((N44+C12-(DEGREES(ASIN(P44))+90)/15-R44)*60+1/2)&lt;10,":0"&amp;FIXED(INT((N44+C12-(DEGREES(ASIN(P44))+90)/15-R44)*60+1/2),0),":"&amp;FIXED(INT((N44+C12-(DEGREES(ASIN(P44))+90)/15-R44)*60+1/2),0)))</f>
        <v> Min.</v>
      </c>
      <c r="T44" s="4" t="str">
        <f>IF(P44&lt;-1,"Below",IF(P44&gt;1,"Above",INT(N44+C12+(DEGREES(ASIN(P44))+90)/15+5/600)))</f>
        <v>Below</v>
      </c>
      <c r="U44" s="1" t="str">
        <f>IF(OR(P44&lt;-1,P44&gt;1),IF(M13&gt;0," Min."," Horz."),IF(INT((N44+C12+(DEGREES(ASIN(P44))+90)/15-T44)*60+1/2)&lt;10,":0"&amp;FIXED(INT((N44+C12+(DEGREES(ASIN(P44))+90)/15-T44)*60+1/2),0),":"&amp;FIXED(INT((N44+C12+(DEGREES(ASIN(P44))+90)/15-T44)*60+1/2),0)))</f>
        <v> Min.</v>
      </c>
      <c r="V44" s="1">
        <f>ROUND(DEGREES(ASIN(COS(RADIANS(O44))*COS(RADIANS(L9))+SIN(RADIANS(O44))*SIN(RADIANS(L9)))),0)</f>
        <v>40</v>
      </c>
      <c r="W44" s="1" t="s">
        <v>17</v>
      </c>
      <c r="X44" s="3"/>
    </row>
    <row r="45" spans="1:24" ht="10.5" customHeight="1">
      <c r="A45" s="1"/>
      <c r="B45" s="15">
        <f>IF(M14&gt;0,solrdat!B26,solrdat!I26)</f>
        <v>39837</v>
      </c>
      <c r="C45" s="1">
        <f>IF(M14&gt;0,solrdat!C26,solrdat!J26)</f>
        <v>12.203416666666667</v>
      </c>
      <c r="D45" s="1">
        <f>IF(M14&gt;0,solrdat!D26,solrdat!K26)</f>
        <v>-19.033137</v>
      </c>
      <c r="E45" s="1">
        <f>(TAN(RADIANS(L9))*SIN(RADIANS(D45))-SIN(RADIANS(L13))/COS(RADIANS(L9)))/COS(RADIANS(D45))</f>
        <v>-1.2659125535080475</v>
      </c>
      <c r="F45" s="1" t="str">
        <f t="shared" si="0"/>
        <v>0</v>
      </c>
      <c r="G45" s="4" t="str">
        <f>IF(E45&lt;-1,"Below",IF(E45&gt;1,"Above",INT(C45+C12-(DEGREES(ASIN(E45))+90)/15+5/600)))</f>
        <v>Below</v>
      </c>
      <c r="H45" s="1" t="str">
        <f>IF(OR(E45&lt;-1,E45&gt;1),IF(M13&gt;0," Min."," Horz."),IF(INT((C45+C12-(DEGREES(ASIN(E45))+90)/15-G45)*60+1/2)&lt;10,":0"&amp;FIXED(INT((C45+C12-(DEGREES(ASIN(E45))+90)/15-G45)*60+1/2),0),":"&amp;FIXED(INT((C45+C12-(DEGREES(ASIN(E45))+90)/15-G45)*60+1/2),0)))</f>
        <v> Min.</v>
      </c>
      <c r="I45" s="4" t="str">
        <f>IF(E45&lt;-1,"Below",IF(E45&gt;1,"Above",INT(C45+C12+(DEGREES(ASIN(E45))+90)/15+5/600)))</f>
        <v>Below</v>
      </c>
      <c r="J45" s="1" t="str">
        <f>IF(OR(E45&lt;-1,E45&gt;1),IF(M13&gt;0," Min."," Horz."),IF(INT((C45+C12+(DEGREES(ASIN(E45))+90)/15-I45)*60+1/2)&lt;10,":0"&amp;FIXED(INT((C45+C12+(DEGREES(ASIN(E45))+90)/15-I45)*60+1/2),0),":"&amp;FIXED(INT((C45+C12+(DEGREES(ASIN(E45))+90)/15-I45)*60+1/2),0)))</f>
        <v> Min.</v>
      </c>
      <c r="K45" s="1">
        <f>ROUND(DEGREES(ASIN(COS(RADIANS(D45))*COS(RADIANS(L9))+SIN(RADIANS(D45))*SIN(RADIANS(L9)))),0)</f>
        <v>31</v>
      </c>
      <c r="L45" s="1" t="s">
        <v>17</v>
      </c>
      <c r="M45" s="16">
        <f>IF(M14&gt;0,solrdat!B58,solrdat!I58)</f>
        <v>39868</v>
      </c>
      <c r="N45" s="1">
        <f>IF(M14&gt;0,solrdat!C58,solrdat!J58)</f>
        <v>12.218972222222222</v>
      </c>
      <c r="O45" s="1">
        <f>IF(M14&gt;0,solrdat!D58,solrdat!K58)</f>
        <v>-9.197768</v>
      </c>
      <c r="P45" s="1">
        <f>(TAN(RADIANS(L9))*SIN(RADIANS(O45))-SIN(RADIANS(L13))/COS(RADIANS(L9)))/COS(RADIANS(O45))</f>
        <v>-1.0709561513768313</v>
      </c>
      <c r="Q45" s="1" t="str">
        <f t="shared" si="1"/>
        <v>0</v>
      </c>
      <c r="R45" s="4" t="str">
        <f>IF(P45&lt;-1,"Below",IF(P45&gt;1,"Above",INT(N45+C12-(DEGREES(ASIN(P45))+90)/15+5/600)))</f>
        <v>Below</v>
      </c>
      <c r="S45" s="1" t="str">
        <f>IF(OR(P45&lt;-1,P45&gt;1),IF(M13&gt;0," Min."," Horz."),IF(INT((N45+C12-(DEGREES(ASIN(P45))+90)/15-R45)*60+1/2)&lt;10,":0"&amp;FIXED(INT((N45+C12-(DEGREES(ASIN(P45))+90)/15-R45)*60+1/2),0),":"&amp;FIXED(INT((N45+C12-(DEGREES(ASIN(P45))+90)/15-R45)*60+1/2),0)))</f>
        <v> Min.</v>
      </c>
      <c r="T45" s="4" t="str">
        <f>IF(P45&lt;-1,"Below",IF(P45&gt;1,"Above",INT(N45+C12+(DEGREES(ASIN(P45))+90)/15+5/600)))</f>
        <v>Below</v>
      </c>
      <c r="U45" s="1" t="str">
        <f>IF(OR(P45&lt;-1,P45&gt;1),IF(M13&gt;0," Min."," Horz."),IF(INT((N45+C12+(DEGREES(ASIN(P45))+90)/15-T45)*60+1/2)&lt;10,":0"&amp;FIXED(INT((N45+C12+(DEGREES(ASIN(P45))+90)/15-T45)*60+1/2),0),":"&amp;FIXED(INT((N45+C12+(DEGREES(ASIN(P45))+90)/15-T45)*60+1/2),0)))</f>
        <v> Min.</v>
      </c>
      <c r="V45" s="1">
        <f>ROUND(DEGREES(ASIN(COS(RADIANS(O45))*COS(RADIANS(L9))+SIN(RADIANS(O45))*SIN(RADIANS(L9)))),0)</f>
        <v>41</v>
      </c>
      <c r="W45" s="1" t="s">
        <v>17</v>
      </c>
      <c r="X45" s="3"/>
    </row>
    <row r="46" spans="1:24" ht="10.5" customHeight="1">
      <c r="A46" s="1"/>
      <c r="B46" s="15">
        <f>IF(M14&gt;0,solrdat!B27,solrdat!I27)</f>
        <v>39838</v>
      </c>
      <c r="C46" s="1">
        <f>IF(M14&gt;0,solrdat!C27,solrdat!J27)</f>
        <v>12.207222222222223</v>
      </c>
      <c r="D46" s="1">
        <f>IF(M14&gt;0,solrdat!D27,solrdat!K27)</f>
        <v>-18.785103</v>
      </c>
      <c r="E46" s="1">
        <f>(TAN(RADIANS(L9))*SIN(RADIANS(D46))-SIN(RADIANS(L13))/COS(RADIANS(L9)))/COS(RADIANS(D46))</f>
        <v>-1.260406907819369</v>
      </c>
      <c r="F46" s="1" t="str">
        <f t="shared" si="0"/>
        <v>0</v>
      </c>
      <c r="G46" s="4" t="str">
        <f>IF(E46&lt;-1,"Below",IF(E46&gt;1,"Above",INT(C46+C12-(DEGREES(ASIN(E46))+90)/15+5/600)))</f>
        <v>Below</v>
      </c>
      <c r="H46" s="1" t="str">
        <f>IF(OR(E46&lt;-1,E46&gt;1),IF(M13&gt;0," Min."," Horz."),IF(INT((C46+C12-(DEGREES(ASIN(E46))+90)/15-G46)*60+1/2)&lt;10,":0"&amp;FIXED(INT((C46+C12-(DEGREES(ASIN(E46))+90)/15-G46)*60+1/2),0),":"&amp;FIXED(INT((C46+C12-(DEGREES(ASIN(E46))+90)/15-G46)*60+1/2),0)))</f>
        <v> Min.</v>
      </c>
      <c r="I46" s="4" t="str">
        <f>IF(E46&lt;-1,"Below",IF(E46&gt;1,"Above",INT(C46+C12+(DEGREES(ASIN(E46))+90)/15+5/600)))</f>
        <v>Below</v>
      </c>
      <c r="J46" s="1" t="str">
        <f>IF(OR(E46&lt;-1,E46&gt;1),IF(M13&gt;0," Min."," Horz."),IF(INT((C46+C12+(DEGREES(ASIN(E46))+90)/15-I46)*60+1/2)&lt;10,":0"&amp;FIXED(INT((C46+C12+(DEGREES(ASIN(E46))+90)/15-I46)*60+1/2),0),":"&amp;FIXED(INT((C46+C12+(DEGREES(ASIN(E46))+90)/15-I46)*60+1/2),0)))</f>
        <v> Min.</v>
      </c>
      <c r="K46" s="1">
        <f>ROUND(DEGREES(ASIN(COS(RADIANS(D46))*COS(RADIANS(L9))+SIN(RADIANS(D46))*SIN(RADIANS(L9)))),0)</f>
        <v>31</v>
      </c>
      <c r="L46" s="1" t="s">
        <v>17</v>
      </c>
      <c r="M46" s="16">
        <f>IF(M14&gt;0,solrdat!B59,solrdat!I59)</f>
        <v>39869</v>
      </c>
      <c r="N46" s="1">
        <f>IF(M14&gt;0,solrdat!C59,solrdat!J59)</f>
        <v>12.21636111111111</v>
      </c>
      <c r="O46" s="1">
        <f>IF(M14&gt;0,solrdat!D59,solrdat!K59)</f>
        <v>-8.825302</v>
      </c>
      <c r="P46" s="1">
        <f>(TAN(RADIANS(L9))*SIN(RADIANS(O46))-SIN(RADIANS(L13))/COS(RADIANS(L9)))/COS(RADIANS(O46))</f>
        <v>-1.0644006103093624</v>
      </c>
      <c r="Q46" s="1" t="str">
        <f t="shared" si="1"/>
        <v>0</v>
      </c>
      <c r="R46" s="4" t="str">
        <f>IF(P46&lt;-1,"Below",IF(P46&gt;1,"Above",INT(N46+C12-(DEGREES(ASIN(P46))+90)/15+5/600)))</f>
        <v>Below</v>
      </c>
      <c r="S46" s="1" t="str">
        <f>IF(OR(P46&lt;-1,P46&gt;1),IF(M13&gt;0," Min."," Horz."),IF(INT((N46+C12-(DEGREES(ASIN(P46))+90)/15-R46)*60+1/2)&lt;10,":0"&amp;FIXED(INT((N46+C12-(DEGREES(ASIN(P46))+90)/15-R46)*60+1/2),0),":"&amp;FIXED(INT((N46+C12-(DEGREES(ASIN(P46))+90)/15-R46)*60+1/2),0)))</f>
        <v> Min.</v>
      </c>
      <c r="T46" s="4" t="str">
        <f>IF(P46&lt;-1,"Below",IF(P46&gt;1,"Above",INT(N46+C12+(DEGREES(ASIN(P46))+90)/15+5/600)))</f>
        <v>Below</v>
      </c>
      <c r="U46" s="1" t="str">
        <f>IF(OR(P46&lt;-1,P46&gt;1),IF(M13&gt;0," Min."," Horz."),IF(INT((N46+C12+(DEGREES(ASIN(P46))+90)/15-T46)*60+1/2)&lt;10,":0"&amp;FIXED(INT((N46+C12+(DEGREES(ASIN(P46))+90)/15-T46)*60+1/2),0),":"&amp;FIXED(INT((N46+C12+(DEGREES(ASIN(P46))+90)/15-T46)*60+1/2),0)))</f>
        <v> Min.</v>
      </c>
      <c r="V46" s="1">
        <f>ROUND(DEGREES(ASIN(COS(RADIANS(O46))*COS(RADIANS(L9))+SIN(RADIANS(O46))*SIN(RADIANS(L9)))),0)</f>
        <v>41</v>
      </c>
      <c r="W46" s="1" t="s">
        <v>17</v>
      </c>
      <c r="X46" s="3"/>
    </row>
    <row r="47" spans="1:24" ht="10.5" customHeight="1">
      <c r="A47" s="1"/>
      <c r="B47" s="15">
        <f>IF(M14&gt;0,solrdat!B28,solrdat!I28)</f>
        <v>39839</v>
      </c>
      <c r="C47" s="1">
        <f>IF(M14&gt;0,solrdat!C28,solrdat!J28)</f>
        <v>12.210805555555556</v>
      </c>
      <c r="D47" s="1">
        <f>IF(M14&gt;0,solrdat!D28,solrdat!K28)</f>
        <v>-18.531358</v>
      </c>
      <c r="E47" s="1">
        <f>(TAN(RADIANS(L9))*SIN(RADIANS(D47))-SIN(RADIANS(L13))/COS(RADIANS(L9)))/COS(RADIANS(D47))</f>
        <v>-1.2548101248470438</v>
      </c>
      <c r="F47" s="1" t="str">
        <f t="shared" si="0"/>
        <v>0</v>
      </c>
      <c r="G47" s="4" t="str">
        <f>IF(E47&lt;-1,"Below",IF(E47&gt;1,"Above",INT(C47+C12-(DEGREES(ASIN(E47))+90)/15+5/600)))</f>
        <v>Below</v>
      </c>
      <c r="H47" s="1" t="str">
        <f>IF(OR(E47&lt;-1,E47&gt;1),IF(M13&gt;0," Min."," Horz."),IF(INT((C47+C12-(DEGREES(ASIN(E47))+90)/15-G47)*60+1/2)&lt;10,":0"&amp;FIXED(INT((C47+C12-(DEGREES(ASIN(E47))+90)/15-G47)*60+1/2),0),":"&amp;FIXED(INT((C47+C12-(DEGREES(ASIN(E47))+90)/15-G47)*60+1/2),0)))</f>
        <v> Min.</v>
      </c>
      <c r="I47" s="4" t="str">
        <f>IF(E47&lt;-1,"Below",IF(E47&gt;1,"Above",INT(C47+C12+(DEGREES(ASIN(E47))+90)/15+5/600)))</f>
        <v>Below</v>
      </c>
      <c r="J47" s="1" t="str">
        <f>IF(OR(E47&lt;-1,E47&gt;1),IF(M13&gt;0," Min."," Horz."),IF(INT((C47+C12+(DEGREES(ASIN(E47))+90)/15-I47)*60+1/2)&lt;10,":0"&amp;FIXED(INT((C47+C12+(DEGREES(ASIN(E47))+90)/15-I47)*60+1/2),0),":"&amp;FIXED(INT((C47+C12+(DEGREES(ASIN(E47))+90)/15-I47)*60+1/2),0)))</f>
        <v> Min.</v>
      </c>
      <c r="K47" s="1">
        <f>ROUND(DEGREES(ASIN(COS(RADIANS(D47))*COS(RADIANS(L9))+SIN(RADIANS(D47))*SIN(RADIANS(L9)))),0)</f>
        <v>31</v>
      </c>
      <c r="L47" s="1" t="s">
        <v>17</v>
      </c>
      <c r="M47" s="16">
        <f>IF(M14&gt;0,solrdat!B60,solrdat!I60)</f>
        <v>39870</v>
      </c>
      <c r="N47" s="1">
        <f>IF(M14&gt;0,solrdat!C60,solrdat!J60)</f>
        <v>12.213555555555555</v>
      </c>
      <c r="O47" s="1">
        <f>IF(M14&gt;0,solrdat!D60,solrdat!K60)</f>
        <v>-8.450657</v>
      </c>
      <c r="P47" s="1">
        <f>(TAN(RADIANS(L9))*SIN(RADIANS(O47))-SIN(RADIANS(L13))/COS(RADIANS(L9)))/COS(RADIANS(O47))</f>
        <v>-1.057859836343101</v>
      </c>
      <c r="Q47" s="1" t="str">
        <f t="shared" si="1"/>
        <v>0</v>
      </c>
      <c r="R47" s="4" t="str">
        <f>IF(P47&lt;-1,"Below",IF(P47&gt;1,"Above",INT(N47+C12-(DEGREES(ASIN(P47))+90)/15+5/600)))</f>
        <v>Below</v>
      </c>
      <c r="S47" s="1" t="str">
        <f>IF(OR(P47&lt;-1,P47&gt;1),IF(M13&gt;0," Min."," Horz."),IF(INT((N47+C12-(DEGREES(ASIN(P47))+90)/15-R47)*60+1/2)&lt;10,":0"&amp;FIXED(INT((N47+C12-(DEGREES(ASIN(P47))+90)/15-R47)*60+1/2),0),":"&amp;FIXED(INT((N47+C12-(DEGREES(ASIN(P47))+90)/15-R47)*60+1/2),0)))</f>
        <v> Min.</v>
      </c>
      <c r="T47" s="4" t="str">
        <f>IF(P47&lt;-1,"Below",IF(P47&gt;1,"Above",INT(N47+C12+(DEGREES(ASIN(P47))+90)/15+5/600)))</f>
        <v>Below</v>
      </c>
      <c r="U47" s="1" t="str">
        <f>IF(OR(P47&lt;-1,P47&gt;1),IF(M13&gt;0," Min."," Horz."),IF(INT((N47+C12+(DEGREES(ASIN(P47))+90)/15-T47)*60+1/2)&lt;10,":0"&amp;FIXED(INT((N47+C12+(DEGREES(ASIN(P47))+90)/15-T47)*60+1/2),0),":"&amp;FIXED(INT((N47+C12+(DEGREES(ASIN(P47))+90)/15-T47)*60+1/2),0)))</f>
        <v> Min.</v>
      </c>
      <c r="V47" s="1">
        <f>ROUND(DEGREES(ASIN(COS(RADIANS(O47))*COS(RADIANS(L9))+SIN(RADIANS(O47))*SIN(RADIANS(L9)))),0)</f>
        <v>42</v>
      </c>
      <c r="W47" s="1" t="s">
        <v>17</v>
      </c>
      <c r="X47" s="3"/>
    </row>
    <row r="48" spans="1:24" ht="10.5" customHeight="1">
      <c r="A48" s="1"/>
      <c r="B48" s="15">
        <f>IF(M14&gt;0,solrdat!B29,solrdat!I29)</f>
        <v>39840</v>
      </c>
      <c r="C48" s="1">
        <f>IF(M14&gt;0,solrdat!C29,solrdat!J29)</f>
        <v>12.214166666666667</v>
      </c>
      <c r="D48" s="1">
        <f>IF(M14&gt;0,solrdat!D29,solrdat!K29)</f>
        <v>-18.272016</v>
      </c>
      <c r="E48" s="1">
        <f>(TAN(RADIANS(L9))*SIN(RADIANS(D48))-SIN(RADIANS(L13))/COS(RADIANS(L9)))/COS(RADIANS(D48))</f>
        <v>-1.2491267346571746</v>
      </c>
      <c r="F48" s="1" t="str">
        <f t="shared" si="0"/>
        <v>0</v>
      </c>
      <c r="G48" s="4" t="str">
        <f>IF(E48&lt;-1,"Below",IF(E48&gt;1,"Above",INT(C48+C12-(DEGREES(ASIN(E48))+90)/15+5/600)))</f>
        <v>Below</v>
      </c>
      <c r="H48" s="1" t="str">
        <f>IF(OR(E48&lt;-1,E48&gt;1),IF(M13&gt;0," Min."," Horz."),IF(INT((C48+C12-(DEGREES(ASIN(E48))+90)/15-G48)*60+1/2)&lt;10,":0"&amp;FIXED(INT((C48+C12-(DEGREES(ASIN(E48))+90)/15-G48)*60+1/2),0),":"&amp;FIXED(INT((C48+C12-(DEGREES(ASIN(E48))+90)/15-G48)*60+1/2),0)))</f>
        <v> Min.</v>
      </c>
      <c r="I48" s="4" t="str">
        <f>IF(E48&lt;-1,"Below",IF(E48&gt;1,"Above",INT(C48+C12+(DEGREES(ASIN(E48))+90)/15+5/600)))</f>
        <v>Below</v>
      </c>
      <c r="J48" s="1" t="str">
        <f>IF(OR(E48&lt;-1,E48&gt;1),IF(M13&gt;0," Min."," Horz."),IF(INT((C48+C12+(DEGREES(ASIN(E48))+90)/15-I48)*60+1/2)&lt;10,":0"&amp;FIXED(INT((C48+C12+(DEGREES(ASIN(E48))+90)/15-I48)*60+1/2),0),":"&amp;FIXED(INT((C48+C12+(DEGREES(ASIN(E48))+90)/15-I48)*60+1/2),0)))</f>
        <v> Min.</v>
      </c>
      <c r="K48" s="1">
        <f>ROUND(DEGREES(ASIN(COS(RADIANS(D48))*COS(RADIANS(L9))+SIN(RADIANS(D48))*SIN(RADIANS(L9)))),0)</f>
        <v>32</v>
      </c>
      <c r="L48" s="1" t="s">
        <v>17</v>
      </c>
      <c r="M48" s="16">
        <f>IF(M14&gt;0,solrdat!B61,solrdat!I61)</f>
        <v>39871</v>
      </c>
      <c r="N48" s="1">
        <f>IF(M14&gt;0,solrdat!C61,solrdat!J61)</f>
        <v>12.210638888888889</v>
      </c>
      <c r="O48" s="1">
        <f>IF(M14&gt;0,solrdat!D61,solrdat!K61)</f>
        <v>-8.073952</v>
      </c>
      <c r="P48" s="1">
        <f>(TAN(RADIANS(L9))*SIN(RADIANS(O48))-SIN(RADIANS(L13))/COS(RADIANS(L9)))/COS(RADIANS(O48))</f>
        <v>-1.0513360882738099</v>
      </c>
      <c r="Q48" s="1" t="str">
        <f t="shared" si="1"/>
        <v>0</v>
      </c>
      <c r="R48" s="4" t="str">
        <f>IF(P48&lt;-1,"Below",IF(P48&gt;1,"Above",INT(N48+C12-(DEGREES(ASIN(P48))+90)/15+5/600)))</f>
        <v>Below</v>
      </c>
      <c r="S48" s="1" t="str">
        <f>IF(OR(P48&lt;-1,P48&gt;1),IF(M13&gt;0," Min."," Horz."),IF(INT((N48+C12-(DEGREES(ASIN(P48))+90)/15-R48)*60+1/2)&lt;10,":0"&amp;FIXED(INT((N48+C12-(DEGREES(ASIN(P48))+90)/15-R48)*60+1/2),0),":"&amp;FIXED(INT((N48+C12-(DEGREES(ASIN(P48))+90)/15-R48)*60+1/2),0)))</f>
        <v> Min.</v>
      </c>
      <c r="T48" s="4" t="str">
        <f>IF(P48&lt;-1,"Below",IF(P48&gt;1,"Above",INT(N48+C12+(DEGREES(ASIN(P48))+90)/15+5/600)))</f>
        <v>Below</v>
      </c>
      <c r="U48" s="1" t="str">
        <f>IF(OR(P48&lt;-1,P48&gt;1),IF(M13&gt;0," Min."," Horz."),IF(INT((N48+C12+(DEGREES(ASIN(P48))+90)/15-T48)*60+1/2)&lt;10,":0"&amp;FIXED(INT((N48+C12+(DEGREES(ASIN(P48))+90)/15-T48)*60+1/2),0),":"&amp;FIXED(INT((N48+C12+(DEGREES(ASIN(P48))+90)/15-T48)*60+1/2),0)))</f>
        <v> Min.</v>
      </c>
      <c r="V48" s="1">
        <f>ROUND(DEGREES(ASIN(COS(RADIANS(O48))*COS(RADIANS(L9))+SIN(RADIANS(O48))*SIN(RADIANS(L9)))),0)</f>
        <v>42</v>
      </c>
      <c r="W48" s="1" t="s">
        <v>17</v>
      </c>
      <c r="X48" s="3"/>
    </row>
    <row r="49" spans="1:24" ht="10.5" customHeight="1">
      <c r="A49" s="1"/>
      <c r="B49" s="15">
        <f>IF(M14&gt;0,solrdat!B30,solrdat!I30)</f>
        <v>39841</v>
      </c>
      <c r="C49" s="1">
        <f>IF(M14&gt;0,solrdat!C30,solrdat!J30)</f>
        <v>12.217305555555555</v>
      </c>
      <c r="D49" s="1">
        <f>IF(M14&gt;0,solrdat!D30,solrdat!K30)</f>
        <v>-18.007187</v>
      </c>
      <c r="E49" s="1">
        <f>(TAN(RADIANS(L9))*SIN(RADIANS(D49))-SIN(RADIANS(L13))/COS(RADIANS(L9)))/COS(RADIANS(D49))</f>
        <v>-1.2433611223841607</v>
      </c>
      <c r="F49" s="1" t="str">
        <f t="shared" si="0"/>
        <v>0</v>
      </c>
      <c r="G49" s="4" t="str">
        <f>IF(E49&lt;-1,"Below",IF(E49&gt;1,"Above",INT(C49+C12-(DEGREES(ASIN(E49))+90)/15+5/600)))</f>
        <v>Below</v>
      </c>
      <c r="H49" s="1" t="str">
        <f>IF(OR(E49&lt;-1,E49&gt;1),IF(M13&gt;0," Min."," Horz."),IF(INT((C49+C12-(DEGREES(ASIN(E49))+90)/15-G49)*60+1/2)&lt;10,":0"&amp;FIXED(INT((C49+C12-(DEGREES(ASIN(E49))+90)/15-G49)*60+1/2),0),":"&amp;FIXED(INT((C49+C12-(DEGREES(ASIN(E49))+90)/15-G49)*60+1/2),0)))</f>
        <v> Min.</v>
      </c>
      <c r="I49" s="4" t="str">
        <f>IF(E49&lt;-1,"Below",IF(E49&gt;1,"Above",INT(C49+C12+(DEGREES(ASIN(E49))+90)/15+5/600)))</f>
        <v>Below</v>
      </c>
      <c r="J49" s="1" t="str">
        <f>IF(OR(E49&lt;-1,E49&gt;1),IF(M13&gt;0," Min."," Horz."),IF(INT((C49+C12+(DEGREES(ASIN(E49))+90)/15-I49)*60+1/2)&lt;10,":0"&amp;FIXED(INT((C49+C12+(DEGREES(ASIN(E49))+90)/15-I49)*60+1/2),0),":"&amp;FIXED(INT((C49+C12+(DEGREES(ASIN(E49))+90)/15-I49)*60+1/2),0)))</f>
        <v> Min.</v>
      </c>
      <c r="K49" s="1">
        <f>ROUND(DEGREES(ASIN(COS(RADIANS(D49))*COS(RADIANS(L9))+SIN(RADIANS(D49))*SIN(RADIANS(L9)))),0)</f>
        <v>32</v>
      </c>
      <c r="L49" s="1" t="s">
        <v>17</v>
      </c>
      <c r="M49" s="16">
        <f>IF(M14&gt;0,solrdat!B62,solrdat!I62)</f>
        <v>39872</v>
      </c>
      <c r="N49" s="1">
        <f>IF(M14&gt;0,solrdat!C62,solrdat!J62)</f>
        <v>12.207527777777777</v>
      </c>
      <c r="O49" s="1">
        <f>IF(M14&gt;0,solrdat!D62,solrdat!K62)</f>
        <v>-7.695302</v>
      </c>
      <c r="P49" s="1">
        <f>(TAN(RADIANS(L9))*SIN(RADIANS(O49))-SIN(RADIANS(L13))/COS(RADIANS(L9)))/COS(RADIANS(O49))</f>
        <v>-1.0448314843156101</v>
      </c>
      <c r="Q49" s="1" t="str">
        <f t="shared" si="1"/>
        <v>0</v>
      </c>
      <c r="R49" s="4" t="str">
        <f>IF(P49&lt;-1,"Below",IF(P49&gt;1,"Above",INT(N49+C12-(DEGREES(ASIN(P49))+90)/15+5/600)))</f>
        <v>Below</v>
      </c>
      <c r="S49" s="1" t="str">
        <f>IF(OR(P49&lt;-1,P49&gt;1),IF(M13&gt;0," Min."," Horz."),IF(INT((N49+C12-(DEGREES(ASIN(P49))+90)/15-R49)*60+1/2)&lt;10,":0"&amp;FIXED(INT((N49+C12-(DEGREES(ASIN(P49))+90)/15-R49)*60+1/2),0),":"&amp;FIXED(INT((N49+C12-(DEGREES(ASIN(P49))+90)/15-R49)*60+1/2),0)))</f>
        <v> Min.</v>
      </c>
      <c r="T49" s="4" t="str">
        <f>IF(P49&lt;-1,"Below",IF(P49&gt;1,"Above",INT(N49+C12+(DEGREES(ASIN(P49))+90)/15+5/600)))</f>
        <v>Below</v>
      </c>
      <c r="U49" s="1" t="str">
        <f>IF(OR(P49&lt;-1,P49&gt;1),IF(M13&gt;0," Min."," Horz."),IF(INT((N49+C12+(DEGREES(ASIN(P49))+90)/15-T49)*60+1/2)&lt;10,":0"&amp;FIXED(INT((N49+C12+(DEGREES(ASIN(P49))+90)/15-T49)*60+1/2),0),":"&amp;FIXED(INT((N49+C12+(DEGREES(ASIN(P49))+90)/15-T49)*60+1/2),0)))</f>
        <v> Min.</v>
      </c>
      <c r="V49" s="1">
        <f>ROUND(DEGREES(ASIN(COS(RADIANS(O49))*COS(RADIANS(L9))+SIN(RADIANS(O49))*SIN(RADIANS(L9)))),0)</f>
        <v>42</v>
      </c>
      <c r="W49" s="1" t="s">
        <v>17</v>
      </c>
      <c r="X49" s="3"/>
    </row>
    <row r="50" spans="1:24" ht="10.5" customHeight="1">
      <c r="A50" s="1"/>
      <c r="B50" s="15">
        <f>IF(M14&gt;0,solrdat!B31,solrdat!I31)</f>
        <v>39842</v>
      </c>
      <c r="C50" s="1">
        <f>IF(M14&gt;0,solrdat!C31,solrdat!J31)</f>
        <v>12.220194444444445</v>
      </c>
      <c r="D50" s="1">
        <f>IF(M14&gt;0,solrdat!D31,solrdat!K31)</f>
        <v>-17.736985</v>
      </c>
      <c r="E50" s="1">
        <f>(TAN(RADIANS(L9))*SIN(RADIANS(D50))-SIN(RADIANS(L13))/COS(RADIANS(L9)))/COS(RADIANS(D50))</f>
        <v>-1.2375177002559479</v>
      </c>
      <c r="F50" s="1" t="str">
        <f t="shared" si="0"/>
        <v>0</v>
      </c>
      <c r="G50" s="4" t="str">
        <f>IF(E50&lt;-1,"Below",IF(E50&gt;1,"Above",INT(C50+C12-(DEGREES(ASIN(E50))+90)/15+5/600)))</f>
        <v>Below</v>
      </c>
      <c r="H50" s="1" t="str">
        <f>IF(OR(E50&lt;-1,E50&gt;1),IF(M13&gt;0," Min."," Horz."),IF(INT((C50+C12-(DEGREES(ASIN(E50))+90)/15-G50)*60+1/2)&lt;10,":0"&amp;FIXED(INT((C50+C12-(DEGREES(ASIN(E50))+90)/15-G50)*60+1/2),0),":"&amp;FIXED(INT((C50+C12-(DEGREES(ASIN(E50))+90)/15-G50)*60+1/2),0)))</f>
        <v> Min.</v>
      </c>
      <c r="I50" s="4" t="str">
        <f>IF(E50&lt;-1,"Below",IF(E50&gt;1,"Above",INT(C50+C12+(DEGREES(ASIN(E50))+90)/15+5/600)))</f>
        <v>Below</v>
      </c>
      <c r="J50" s="1" t="str">
        <f>IF(OR(E50&lt;-1,E50&gt;1),IF(M13&gt;0," Min."," Horz."),IF(INT((C50+C12+(DEGREES(ASIN(E50))+90)/15-I50)*60+1/2)&lt;10,":0"&amp;FIXED(INT((C50+C12+(DEGREES(ASIN(E50))+90)/15-I50)*60+1/2),0),":"&amp;FIXED(INT((C50+C12+(DEGREES(ASIN(E50))+90)/15-I50)*60+1/2),0)))</f>
        <v> Min.</v>
      </c>
      <c r="K50" s="1">
        <f>ROUND(DEGREES(ASIN(COS(RADIANS(D50))*COS(RADIANS(L9))+SIN(RADIANS(D50))*SIN(RADIANS(L9)))),0)</f>
        <v>32</v>
      </c>
      <c r="L50" s="1" t="s">
        <v>17</v>
      </c>
      <c r="M50" s="16" t="str">
        <f>IF(M14&gt;0,IF(solrdat!B63&gt;0,solrdat!B63," "),IF(solrdat!I63&gt;0,solrdat!I63," "))</f>
        <v> </v>
      </c>
      <c r="N50" s="1" t="str">
        <f>IF(M50&gt;0,IF(M14&gt;0,solrdat!C63,solrdat!J63)," ")</f>
        <v> </v>
      </c>
      <c r="O50" s="1" t="str">
        <f>IF(M50&gt;0,IF(M14&gt;0,solrdat!D63,solrdat!K63)," ")</f>
        <v> </v>
      </c>
      <c r="P50" s="1" t="str">
        <f>IF(M50&gt;0,(TAN(RADIANS(L9))*SIN(RADIANS(O50))-SIN(RADIANS(L13))/COS(RADIANS(L9)))/COS(RADIANS(O50))," ")</f>
        <v> </v>
      </c>
      <c r="Q50" s="1" t="str">
        <f>IF(M50&gt;0,IF(P50&lt;-1,"0",(DEGREES(ASIN(P50))*2+180)/15)," ")</f>
        <v> </v>
      </c>
      <c r="R50" s="4" t="str">
        <f>IF(M50&gt;0,IF(P50&lt;-1,"Below",IF(P50&gt;1,"Above",INT(N50+C12-(DEGREES(ASIN(P50))+90)/15+5/600)))," ")</f>
        <v> </v>
      </c>
      <c r="S50" s="1" t="str">
        <f>IF(M50&gt;0,IF(OR(P50&lt;-1,P50&gt;1),IF(M13&gt;0," Min."," Horz."),IF(INT((N50+C12-(DEGREES(ASIN(P50))+90)/15-R50)*60+1/2)&lt;10,":0"&amp;FIXED(INT((N50+C12-(DEGREES(ASIN(P50))+90)/15-R50)*60+1/2),0),":"&amp;FIXED(INT((N50+C12-(DEGREES(ASIN(P50))+90)/15-R50)*60+1/2),0)))," ")</f>
        <v> </v>
      </c>
      <c r="T50" s="4" t="str">
        <f>IF(M50&gt;0,IF(P50&lt;-1,"Below",IF(P50&gt;1,"Above",INT(N50+C12+(DEGREES(ASIN(P50))+90)/15+5/600)))," ")</f>
        <v> </v>
      </c>
      <c r="U50" s="1" t="str">
        <f>IF(M50&gt;0,IF(OR(P50&lt;-1,P50&gt;1),IF(M13&gt;0," Min."," Horz."),IF(INT((N50+C12+(DEGREES(ASIN(P50))+90)/15-T50)*60+1/2)&lt;10,":0"&amp;FIXED(INT((N50+C12+(DEGREES(ASIN(P50))+90)/15-T50)*60+1/2),0),":"&amp;FIXED(INT((N50+C12+(DEGREES(ASIN(P50))+90)/15-T50)*60+1/2),0)))," ")</f>
        <v> </v>
      </c>
      <c r="V50" s="1" t="str">
        <f>IF(M50&gt;0,ROUND(DEGREES(ASIN(COS(RADIANS(O50))*COS(RADIANS(L9))+SIN(RADIANS(O50))*SIN(RADIANS(L9)))),0)," ")</f>
        <v> </v>
      </c>
      <c r="W50" s="1" t="str">
        <f>IF(M50&gt;0,"Deg."," ")</f>
        <v> </v>
      </c>
      <c r="X50" s="3"/>
    </row>
    <row r="51" spans="1:24" ht="10.5" customHeight="1">
      <c r="A51" s="1"/>
      <c r="B51" s="15">
        <f>IF(M14&gt;0,solrdat!B32,solrdat!I32)</f>
        <v>39843</v>
      </c>
      <c r="C51" s="1">
        <f>IF(M14&gt;0,solrdat!C32,solrdat!J32)</f>
        <v>12.222888888888889</v>
      </c>
      <c r="D51" s="1">
        <f>IF(M14&gt;0,solrdat!D32,solrdat!K32)</f>
        <v>-17.461524</v>
      </c>
      <c r="E51" s="1">
        <f>(TAN(RADIANS(L9))*SIN(RADIANS(D51))-SIN(RADIANS(L13))/COS(RADIANS(L9)))/COS(RADIANS(D51))</f>
        <v>-1.2316008160374863</v>
      </c>
      <c r="F51" s="1" t="str">
        <f t="shared" si="0"/>
        <v>0</v>
      </c>
      <c r="G51" s="4" t="str">
        <f>IF(E51&lt;-1,"Below",IF(E51&gt;1,"Above",INT(C51+C12-(DEGREES(ASIN(E51))+90)/15+5/600)))</f>
        <v>Below</v>
      </c>
      <c r="H51" s="1" t="str">
        <f>IF(OR(E51&lt;-1,E51&gt;1),IF(M13&gt;0," Min."," Horz."),IF(INT((C51+C12-(DEGREES(ASIN(E51))+90)/15-G51)*60+1/2)&lt;10,":0"&amp;FIXED(INT((C51+C12-(DEGREES(ASIN(E51))+90)/15-G51)*60+1/2),0),":"&amp;FIXED(INT((C51+C12-(DEGREES(ASIN(E51))+90)/15-G51)*60+1/2),0)))</f>
        <v> Min.</v>
      </c>
      <c r="I51" s="4" t="str">
        <f>IF(E51&lt;-1,"Below",IF(E51&gt;1,"Above",INT(C51+C12+(DEGREES(ASIN(E51))+90)/15+5/600)))</f>
        <v>Below</v>
      </c>
      <c r="J51" s="1" t="str">
        <f>IF(OR(E51&lt;-1,E51&gt;1),IF(M13&gt;0," Min."," Horz."),IF(INT((C51+C12+(DEGREES(ASIN(E51))+90)/15-I51)*60+1/2)&lt;10,":0"&amp;FIXED(INT((C51+C12+(DEGREES(ASIN(E51))+90)/15-I51)*60+1/2),0),":"&amp;FIXED(INT((C51+C12+(DEGREES(ASIN(E51))+90)/15-I51)*60+1/2),0)))</f>
        <v> Min.</v>
      </c>
      <c r="K51" s="1">
        <f>ROUND(DEGREES(ASIN(COS(RADIANS(D51))*COS(RADIANS(L9))+SIN(RADIANS(D51))*SIN(RADIANS(L9)))),0)</f>
        <v>33</v>
      </c>
      <c r="L51" s="1" t="s">
        <v>17</v>
      </c>
      <c r="M51" s="10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ht="10.5" customHeight="1">
      <c r="A52" s="1"/>
      <c r="B52" s="15">
        <f>IF(M14&gt;0,solrdat!B33,solrdat!I33)</f>
        <v>39844</v>
      </c>
      <c r="C52" s="1">
        <f>IF(M14&gt;0,solrdat!C33,solrdat!J33)</f>
        <v>12.225333333333333</v>
      </c>
      <c r="D52" s="1">
        <f>IF(M14&gt;0,solrdat!D33,solrdat!K33)</f>
        <v>-17.18092</v>
      </c>
      <c r="E52" s="1">
        <f>(TAN(RADIANS(L9))*SIN(RADIANS(D52))-SIN(RADIANS(L13))/COS(RADIANS(L9)))/COS(RADIANS(D52))</f>
        <v>-1.225614792769579</v>
      </c>
      <c r="F52" s="1" t="str">
        <f t="shared" si="0"/>
        <v>0</v>
      </c>
      <c r="G52" s="4" t="str">
        <f>IF(E52&lt;-1,"Below",IF(E52&gt;1,"Above",INT(C52+C12-(DEGREES(ASIN(E52))+90)/15+5/600)))</f>
        <v>Below</v>
      </c>
      <c r="H52" s="1" t="str">
        <f>IF(OR(E52&lt;-1,E52&gt;1),IF(M13&gt;0," Min."," Horz."),IF(INT((C52+C12-(DEGREES(ASIN(E52))+90)/15-G52)*60+1/2)&lt;10,":0"&amp;FIXED(INT((C52+C12-(DEGREES(ASIN(E52))+90)/15-G52)*60+1/2),0),":"&amp;FIXED(INT((C52+C12-(DEGREES(ASIN(E52))+90)/15-G52)*60+1/2),0)))</f>
        <v> Min.</v>
      </c>
      <c r="I52" s="4" t="str">
        <f>IF(E52&lt;-1,"Below",IF(E52&gt;1,"Above",INT(C52+C12+(DEGREES(ASIN(E52))+90)/15+5/600)))</f>
        <v>Below</v>
      </c>
      <c r="J52" s="1" t="str">
        <f>IF(OR(E52&lt;-1,E52&gt;1),IF(M13&gt;0," Min."," Horz."),IF(INT((C52+C12+(DEGREES(ASIN(E52))+90)/15-I52)*60+1/2)&lt;10,":0"&amp;FIXED(INT((C52+C12+(DEGREES(ASIN(E52))+90)/15-I52)*60+1/2),0),":"&amp;FIXED(INT((C52+C12+(DEGREES(ASIN(E52))+90)/15-I52)*60+1/2),0)))</f>
        <v> Min.</v>
      </c>
      <c r="K52" s="1">
        <f>ROUND(DEGREES(ASIN(COS(RADIANS(D52))*COS(RADIANS(L9))+SIN(RADIANS(D52))*SIN(RADIANS(L9)))),0)</f>
        <v>33</v>
      </c>
      <c r="L52" s="1" t="s">
        <v>17</v>
      </c>
      <c r="M52" s="10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ht="10.5" customHeight="1">
      <c r="A53" s="1"/>
      <c r="B53" s="1"/>
      <c r="C53" s="1"/>
      <c r="D53" s="1"/>
      <c r="E53" s="1"/>
      <c r="F53" s="1"/>
      <c r="G53" s="1"/>
      <c r="H53" s="1"/>
      <c r="I53" s="4"/>
      <c r="J53" s="1"/>
      <c r="K53" s="1"/>
      <c r="L53" s="1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8"/>
    </row>
    <row r="54" spans="1:24" ht="10.5" customHeight="1">
      <c r="A54" s="1"/>
      <c r="B54" s="4"/>
      <c r="C54" s="1"/>
      <c r="D54" s="1"/>
      <c r="E54" s="1"/>
      <c r="F54" s="1">
        <f>COUNT(F22:F52)</f>
        <v>0</v>
      </c>
      <c r="G54" s="1"/>
      <c r="H54" s="1"/>
      <c r="I54" s="1"/>
      <c r="J54" s="4" t="str">
        <f>IF(M13&gt;0,"Average Daily Maximum Flying Time: ","Average Length of Day: ")</f>
        <v>Average Daily Maximum Flying Time: </v>
      </c>
      <c r="K54" s="19">
        <f>IF(F54&lt;1,0,AVERAGE(F22:F52))</f>
        <v>0</v>
      </c>
      <c r="L54" s="1" t="s">
        <v>18</v>
      </c>
      <c r="M54" s="20"/>
      <c r="N54" s="1"/>
      <c r="O54" s="1"/>
      <c r="P54" s="1"/>
      <c r="Q54" s="1">
        <f>COUNT(Q22:Q50)</f>
        <v>0</v>
      </c>
      <c r="R54" s="1"/>
      <c r="S54" s="1"/>
      <c r="T54" s="1"/>
      <c r="U54" s="4" t="str">
        <f>IF(M13&gt;0,"Average Daily Maximum Flying Time: ","Average Length of Day: ")</f>
        <v>Average Daily Maximum Flying Time: </v>
      </c>
      <c r="V54" s="19">
        <f>IF(Q54&lt;1,0,AVERAGE(Q22:Q50))</f>
        <v>0</v>
      </c>
      <c r="W54" s="1" t="s">
        <v>18</v>
      </c>
      <c r="X54" s="18"/>
    </row>
    <row r="55" spans="1:24" ht="10.5" customHeight="1">
      <c r="A55" s="1"/>
      <c r="B55" s="4"/>
      <c r="C55" s="1"/>
      <c r="D55" s="1"/>
      <c r="E55" s="1"/>
      <c r="F55" s="1"/>
      <c r="G55" s="1"/>
      <c r="H55" s="1"/>
      <c r="I55" s="1"/>
      <c r="J55" s="4"/>
      <c r="K55" s="19"/>
      <c r="L55" s="1"/>
      <c r="M55" s="21"/>
      <c r="N55" s="1"/>
      <c r="O55" s="1"/>
      <c r="P55" s="1"/>
      <c r="Q55" s="1"/>
      <c r="R55" s="1"/>
      <c r="S55" s="1"/>
      <c r="T55" s="1"/>
      <c r="U55" s="4"/>
      <c r="V55" s="19"/>
      <c r="W55" s="1"/>
      <c r="X55" s="18"/>
    </row>
    <row r="56" spans="1:24" ht="10.5" customHeight="1">
      <c r="A56" s="1"/>
      <c r="B56" s="1"/>
      <c r="C56" s="1"/>
      <c r="D56" s="1"/>
      <c r="E56" s="1"/>
      <c r="F56" s="1"/>
      <c r="G56" s="1"/>
      <c r="I56" s="22"/>
      <c r="J56" s="23"/>
      <c r="K56" s="23"/>
      <c r="L56" s="23"/>
      <c r="M56" s="23"/>
      <c r="N56" s="23"/>
      <c r="O56" s="1"/>
      <c r="P56" s="1"/>
      <c r="Q56" s="1"/>
      <c r="R56" s="23"/>
      <c r="S56" s="24"/>
      <c r="U56" s="1"/>
      <c r="V56" s="1"/>
      <c r="W56" s="1"/>
      <c r="X56" s="18"/>
    </row>
    <row r="57" spans="1:24" ht="10.5" customHeight="1">
      <c r="A57" s="1"/>
      <c r="B57" s="1"/>
      <c r="C57" s="1"/>
      <c r="D57" s="1"/>
      <c r="E57" s="1"/>
      <c r="F57" s="1"/>
      <c r="G57" s="1"/>
      <c r="I57" s="25"/>
      <c r="J57" s="1"/>
      <c r="K57" s="1"/>
      <c r="L57" s="26" t="s">
        <v>19</v>
      </c>
      <c r="M57" s="1"/>
      <c r="N57" s="1"/>
      <c r="O57" s="1"/>
      <c r="P57" s="1"/>
      <c r="Q57" s="1"/>
      <c r="R57" s="1"/>
      <c r="S57" s="27"/>
      <c r="U57" s="1"/>
      <c r="V57" s="1"/>
      <c r="W57" s="1"/>
      <c r="X57" s="18"/>
    </row>
    <row r="58" spans="1:24" ht="10.5" customHeight="1">
      <c r="A58" s="1"/>
      <c r="B58" s="1"/>
      <c r="C58" s="1"/>
      <c r="D58" s="1"/>
      <c r="E58" s="1"/>
      <c r="F58" s="1"/>
      <c r="G58" s="1"/>
      <c r="I58" s="25"/>
      <c r="J58" s="8"/>
      <c r="K58" s="1"/>
      <c r="L58" s="1"/>
      <c r="M58" s="1"/>
      <c r="N58" s="1"/>
      <c r="O58" s="1"/>
      <c r="P58" s="1"/>
      <c r="Q58" s="1"/>
      <c r="R58" s="1"/>
      <c r="S58" s="27"/>
      <c r="U58" s="1"/>
      <c r="V58" s="1"/>
      <c r="W58" s="1"/>
      <c r="X58" s="18"/>
    </row>
    <row r="59" spans="1:24" ht="10.5" customHeight="1">
      <c r="A59" s="1"/>
      <c r="B59" s="1"/>
      <c r="C59" s="1"/>
      <c r="D59" s="1"/>
      <c r="E59" s="1"/>
      <c r="F59" s="1"/>
      <c r="G59" s="1"/>
      <c r="I59" s="25"/>
      <c r="J59" s="1" t="s">
        <v>20</v>
      </c>
      <c r="K59" s="1"/>
      <c r="L59" s="1"/>
      <c r="M59" s="1"/>
      <c r="N59" s="1"/>
      <c r="O59" s="1"/>
      <c r="P59" s="1"/>
      <c r="Q59" s="1"/>
      <c r="R59" s="1"/>
      <c r="S59" s="27"/>
      <c r="U59" s="1"/>
      <c r="V59" s="1"/>
      <c r="W59" s="1"/>
      <c r="X59" s="18"/>
    </row>
    <row r="60" spans="1:24" ht="10.5" customHeight="1">
      <c r="A60" s="1"/>
      <c r="B60" s="1"/>
      <c r="C60" s="1"/>
      <c r="D60" s="1"/>
      <c r="E60" s="1"/>
      <c r="F60" s="1"/>
      <c r="G60" s="1"/>
      <c r="I60" s="25"/>
      <c r="J60" s="1" t="s">
        <v>21</v>
      </c>
      <c r="K60" s="1"/>
      <c r="L60" s="1"/>
      <c r="M60" s="1"/>
      <c r="N60" s="1"/>
      <c r="O60" s="1"/>
      <c r="P60" s="1"/>
      <c r="Q60" s="1"/>
      <c r="R60" s="1"/>
      <c r="S60" s="27"/>
      <c r="U60" s="1"/>
      <c r="V60" s="1"/>
      <c r="W60" s="1"/>
      <c r="X60" s="18"/>
    </row>
    <row r="61" spans="1:24" ht="10.5" customHeight="1">
      <c r="A61" s="1"/>
      <c r="B61" s="1"/>
      <c r="C61" s="1"/>
      <c r="D61" s="1"/>
      <c r="E61" s="1"/>
      <c r="F61" s="1"/>
      <c r="G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27"/>
      <c r="U61" s="1"/>
      <c r="V61" s="1"/>
      <c r="W61" s="1"/>
      <c r="X61" s="18"/>
    </row>
    <row r="62" spans="1:24" ht="10.5" customHeight="1">
      <c r="A62" s="1"/>
      <c r="B62" s="1"/>
      <c r="C62" s="1"/>
      <c r="D62" s="1"/>
      <c r="E62" s="1"/>
      <c r="F62" s="1"/>
      <c r="G62" s="1"/>
      <c r="I62" s="10"/>
      <c r="J62" s="1" t="s">
        <v>22</v>
      </c>
      <c r="K62" s="1"/>
      <c r="L62" s="1"/>
      <c r="M62" s="1"/>
      <c r="N62" s="1"/>
      <c r="O62" s="1"/>
      <c r="P62" s="1"/>
      <c r="Q62" s="1"/>
      <c r="R62" s="1"/>
      <c r="S62" s="27"/>
      <c r="U62" s="1"/>
      <c r="V62" s="1"/>
      <c r="W62" s="1"/>
      <c r="X62" s="18"/>
    </row>
    <row r="63" spans="1:24" ht="10.5" customHeight="1">
      <c r="A63" s="1"/>
      <c r="B63" s="1"/>
      <c r="C63" s="1"/>
      <c r="D63" s="1"/>
      <c r="E63" s="1"/>
      <c r="F63" s="1"/>
      <c r="G63" s="1"/>
      <c r="I63" s="10"/>
      <c r="J63" s="1" t="s">
        <v>23</v>
      </c>
      <c r="K63" s="1"/>
      <c r="L63" s="1"/>
      <c r="M63" s="1"/>
      <c r="N63" s="1"/>
      <c r="O63" s="1"/>
      <c r="P63" s="1"/>
      <c r="Q63" s="1"/>
      <c r="R63" s="1"/>
      <c r="S63" s="27"/>
      <c r="U63" s="1"/>
      <c r="V63" s="1"/>
      <c r="W63" s="1"/>
      <c r="X63" s="18"/>
    </row>
    <row r="64" spans="1:24" ht="10.5" customHeight="1">
      <c r="A64" s="1"/>
      <c r="B64" s="1"/>
      <c r="C64" s="1"/>
      <c r="D64" s="1"/>
      <c r="E64" s="1"/>
      <c r="F64" s="1"/>
      <c r="G64" s="1"/>
      <c r="I64" s="28" t="s">
        <v>24</v>
      </c>
      <c r="J64" s="29"/>
      <c r="K64" s="29"/>
      <c r="L64" s="29"/>
      <c r="M64" s="29"/>
      <c r="N64" s="29"/>
      <c r="O64" s="1"/>
      <c r="P64" s="1"/>
      <c r="Q64" s="1"/>
      <c r="R64" s="29"/>
      <c r="S64" s="30"/>
      <c r="U64" s="1"/>
      <c r="V64" s="1"/>
      <c r="W64" s="1"/>
      <c r="X64" s="18"/>
    </row>
    <row r="65" spans="1:24" ht="10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8"/>
    </row>
    <row r="66" spans="1:24" ht="10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8"/>
    </row>
    <row r="67" spans="1:24" ht="1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8"/>
    </row>
    <row r="68" spans="1:24" ht="10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8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44" t="str">
        <f>J3</f>
        <v> Two Month Daily Sun Angle Chart</v>
      </c>
      <c r="K69" s="45"/>
      <c r="L69" s="45"/>
      <c r="M69" s="45"/>
      <c r="N69" s="45"/>
      <c r="O69" s="45"/>
      <c r="P69" s="45"/>
      <c r="Q69" s="45"/>
      <c r="R69" s="45"/>
      <c r="S69" s="1"/>
      <c r="T69" s="1"/>
      <c r="U69" s="1"/>
      <c r="V69" s="1"/>
      <c r="W69" s="1"/>
      <c r="X69" s="18"/>
    </row>
    <row r="70" spans="1:24" ht="10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8"/>
    </row>
    <row r="71" spans="1:24" ht="12.75" customHeight="1">
      <c r="A71" s="1"/>
      <c r="B71" s="4" t="s">
        <v>0</v>
      </c>
      <c r="C71" s="1"/>
      <c r="D71" s="1"/>
      <c r="E71" s="1"/>
      <c r="F71" s="1"/>
      <c r="G71" s="44" t="str">
        <f>G5</f>
        <v>--Type Project Name Here--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" t="s">
        <v>1</v>
      </c>
      <c r="U71" s="44" t="str">
        <f>U5</f>
        <v>--US--</v>
      </c>
      <c r="V71" s="45"/>
      <c r="W71" s="45"/>
      <c r="X71" s="18"/>
    </row>
    <row r="72" spans="1:24" ht="10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8"/>
    </row>
    <row r="73" spans="1:24" ht="12.75" customHeight="1">
      <c r="A73" s="1"/>
      <c r="B73" s="4" t="s">
        <v>2</v>
      </c>
      <c r="C73" s="1"/>
      <c r="D73" s="1"/>
      <c r="E73" s="1"/>
      <c r="F73" s="1"/>
      <c r="G73" s="44" t="str">
        <f>G7</f>
        <v>--Type Solicitation Number Here, or Leave Blank--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" t="s">
        <v>3</v>
      </c>
      <c r="U73" s="46" t="str">
        <f>U7</f>
        <v>--No.--</v>
      </c>
      <c r="V73" s="45"/>
      <c r="W73" s="45"/>
      <c r="X73" s="18"/>
    </row>
    <row r="74" spans="1:24" ht="10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8"/>
    </row>
    <row r="75" spans="1:24" ht="1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 t="s">
        <v>4</v>
      </c>
      <c r="S75" s="1"/>
      <c r="T75" s="1"/>
      <c r="U75" s="1"/>
      <c r="V75" s="1"/>
      <c r="W75" s="1"/>
      <c r="X75" s="18"/>
    </row>
    <row r="76" spans="1:24" ht="10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4" t="str">
        <f>K10</f>
        <v>Latitude (Degrees North):  </v>
      </c>
      <c r="L76" s="5">
        <f>L10</f>
        <v>40</v>
      </c>
      <c r="M76" s="1"/>
      <c r="N76" s="1"/>
      <c r="O76" s="1"/>
      <c r="P76" s="1"/>
      <c r="Q76" s="1"/>
      <c r="R76" s="1" t="s">
        <v>5</v>
      </c>
      <c r="S76" s="1"/>
      <c r="T76" s="1"/>
      <c r="U76" s="1"/>
      <c r="V76" s="1"/>
      <c r="W76" s="1"/>
      <c r="X76" s="18"/>
    </row>
    <row r="77" spans="1:24" ht="10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4" t="s">
        <v>39</v>
      </c>
      <c r="L77" s="5">
        <f>L11</f>
        <v>110</v>
      </c>
      <c r="M77" s="1"/>
      <c r="N77" s="1"/>
      <c r="O77" s="1"/>
      <c r="P77" s="1"/>
      <c r="Q77" s="1"/>
      <c r="R77" s="1" t="s">
        <v>6</v>
      </c>
      <c r="S77" s="1"/>
      <c r="T77" s="1"/>
      <c r="U77" s="1"/>
      <c r="V77" s="1"/>
      <c r="W77" s="1"/>
      <c r="X77" s="18"/>
    </row>
    <row r="78" spans="1:24" ht="10.5" customHeight="1">
      <c r="A78" s="1"/>
      <c r="B78" s="1"/>
      <c r="C78" s="1">
        <f>C12</f>
        <v>0.3333333333333333</v>
      </c>
      <c r="D78" s="1"/>
      <c r="E78" s="1"/>
      <c r="F78" s="1"/>
      <c r="G78" s="1"/>
      <c r="H78" s="1"/>
      <c r="I78" s="1"/>
      <c r="J78" s="1"/>
      <c r="K78" s="4" t="s">
        <v>7</v>
      </c>
      <c r="L78" s="7">
        <f>L12</f>
        <v>4</v>
      </c>
      <c r="M78" s="1"/>
      <c r="N78" s="1"/>
      <c r="O78" s="1"/>
      <c r="P78" s="1"/>
      <c r="Q78" s="1"/>
      <c r="R78" s="1" t="s">
        <v>8</v>
      </c>
      <c r="S78" s="1"/>
      <c r="T78" s="1"/>
      <c r="U78" s="1"/>
      <c r="V78" s="1"/>
      <c r="W78" s="1"/>
      <c r="X78" s="18"/>
    </row>
    <row r="79" spans="1:24" ht="10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4" t="str">
        <f>K13</f>
        <v>Min. Sun Angle (Degrees):  </v>
      </c>
      <c r="L79" s="7">
        <f>L13</f>
        <v>45</v>
      </c>
      <c r="M79" s="1"/>
      <c r="N79" s="1"/>
      <c r="O79" s="1"/>
      <c r="P79" s="1"/>
      <c r="Q79" s="1"/>
      <c r="R79" s="1" t="s">
        <v>9</v>
      </c>
      <c r="S79" s="1"/>
      <c r="T79" s="1"/>
      <c r="U79" s="1"/>
      <c r="V79" s="1"/>
      <c r="W79" s="1"/>
      <c r="X79" s="18"/>
    </row>
    <row r="80" spans="1:24" ht="10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 t="s">
        <v>10</v>
      </c>
      <c r="S80" s="1"/>
      <c r="T80" s="1"/>
      <c r="U80" s="1"/>
      <c r="V80" s="1"/>
      <c r="W80" s="1"/>
      <c r="X80" s="18"/>
    </row>
    <row r="81" spans="1:24" ht="10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 t="s">
        <v>11</v>
      </c>
      <c r="S81" s="1"/>
      <c r="T81" s="1"/>
      <c r="U81" s="1"/>
      <c r="V81" s="1"/>
      <c r="W81" s="1"/>
      <c r="X81" s="18"/>
    </row>
    <row r="82" spans="1:24" ht="10.5" customHeight="1">
      <c r="A82" s="1"/>
      <c r="B82" s="1"/>
      <c r="C82" s="1"/>
      <c r="D82" s="1"/>
      <c r="E82" s="1"/>
      <c r="F82" s="1"/>
      <c r="G82" s="1"/>
      <c r="H82" s="2"/>
      <c r="I82" s="1"/>
      <c r="J82" s="1"/>
      <c r="K82" s="1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2"/>
      <c r="X82" s="3"/>
    </row>
    <row r="83" spans="1:24" ht="10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/>
      <c r="Q83" s="2"/>
      <c r="R83" s="1"/>
      <c r="S83" s="1"/>
      <c r="T83" s="1"/>
      <c r="U83" s="1"/>
      <c r="V83" s="1"/>
      <c r="W83" s="2"/>
      <c r="X83" s="3"/>
    </row>
    <row r="84" spans="1:24" ht="10.5" customHeight="1">
      <c r="A84" s="1"/>
      <c r="B84" s="1"/>
      <c r="C84" s="1"/>
      <c r="D84" s="1"/>
      <c r="E84" s="1"/>
      <c r="F84" s="1"/>
      <c r="G84" s="1"/>
      <c r="H84" s="9" t="s">
        <v>25</v>
      </c>
      <c r="I84" s="1"/>
      <c r="J84" s="1"/>
      <c r="K84" s="1"/>
      <c r="L84" s="1"/>
      <c r="M84" s="10"/>
      <c r="N84" s="2"/>
      <c r="O84" s="2"/>
      <c r="P84" s="2"/>
      <c r="Q84" s="2"/>
      <c r="R84" s="2"/>
      <c r="S84" s="9" t="s">
        <v>26</v>
      </c>
      <c r="T84" s="1"/>
      <c r="U84" s="1"/>
      <c r="V84" s="1"/>
      <c r="W84" s="2"/>
      <c r="X84" s="3"/>
    </row>
    <row r="85" spans="1:24" ht="10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0"/>
      <c r="N85" s="2"/>
      <c r="O85" s="2"/>
      <c r="P85" s="2"/>
      <c r="Q85" s="2"/>
      <c r="R85" s="1"/>
      <c r="S85" s="1"/>
      <c r="T85" s="1"/>
      <c r="U85" s="1"/>
      <c r="V85" s="1"/>
      <c r="W85" s="2"/>
      <c r="X85" s="3"/>
    </row>
    <row r="86" spans="1:24" ht="10.5" customHeight="1">
      <c r="A86" s="1"/>
      <c r="B86" s="2"/>
      <c r="C86" s="2"/>
      <c r="D86" s="2"/>
      <c r="E86" s="2"/>
      <c r="F86" s="2"/>
      <c r="G86" s="2"/>
      <c r="H86" s="11" t="str">
        <f>H20</f>
        <v>Flying Window</v>
      </c>
      <c r="I86" s="11"/>
      <c r="J86" s="11"/>
      <c r="K86" s="11" t="s">
        <v>14</v>
      </c>
      <c r="L86" s="2"/>
      <c r="M86" s="12"/>
      <c r="N86" s="2"/>
      <c r="O86" s="2"/>
      <c r="P86" s="2"/>
      <c r="Q86" s="2"/>
      <c r="R86" s="2"/>
      <c r="S86" s="11" t="str">
        <f>S20</f>
        <v>Flying Window</v>
      </c>
      <c r="T86" s="11"/>
      <c r="U86" s="11"/>
      <c r="V86" s="11" t="s">
        <v>14</v>
      </c>
      <c r="W86" s="2"/>
      <c r="X86" s="3"/>
    </row>
    <row r="87" spans="1:24" ht="10.5" customHeight="1">
      <c r="A87" s="1"/>
      <c r="B87" s="13" t="s">
        <v>15</v>
      </c>
      <c r="C87" s="11"/>
      <c r="D87" s="11"/>
      <c r="E87" s="11"/>
      <c r="F87" s="11"/>
      <c r="G87" s="11" t="str">
        <f>G21</f>
        <v>   Start Time</v>
      </c>
      <c r="H87" s="11"/>
      <c r="I87" s="11" t="str">
        <f>I21</f>
        <v>   End Time</v>
      </c>
      <c r="J87" s="11"/>
      <c r="K87" s="11" t="s">
        <v>16</v>
      </c>
      <c r="L87" s="2"/>
      <c r="M87" s="14" t="s">
        <v>15</v>
      </c>
      <c r="N87" s="11"/>
      <c r="O87" s="11"/>
      <c r="P87" s="11"/>
      <c r="Q87" s="11"/>
      <c r="R87" s="11" t="str">
        <f>R21</f>
        <v>   Start Time</v>
      </c>
      <c r="S87" s="11"/>
      <c r="T87" s="11" t="str">
        <f>T21</f>
        <v>   End Time</v>
      </c>
      <c r="U87" s="11"/>
      <c r="V87" s="11" t="s">
        <v>16</v>
      </c>
      <c r="W87" s="2"/>
      <c r="X87" s="3"/>
    </row>
    <row r="88" spans="1:24" ht="10.5" customHeight="1">
      <c r="A88" s="1"/>
      <c r="B88" s="15">
        <f>IF(M14&gt;0,solrdat!B67,solrdat!I67)</f>
        <v>39873</v>
      </c>
      <c r="C88" s="1">
        <f>IF(M14&gt;0,solrdat!C67,solrdat!J67)</f>
        <v>12.204305555555555</v>
      </c>
      <c r="D88" s="1">
        <f>IF(M14&gt;0,solrdat!D67,solrdat!K67)</f>
        <v>-7.314823</v>
      </c>
      <c r="E88" s="1">
        <f>(TAN(RADIANS(L9))*SIN(RADIANS(D88))-SIN(RADIANS(L13))/COS(RADIANS(L9)))/COS(RADIANS(D88))</f>
        <v>-1.0383480912011769</v>
      </c>
      <c r="F88" s="1" t="str">
        <f aca="true" t="shared" si="2" ref="F88:F118">IF(E88&lt;-1,"0",IF(E88&gt;1,24,(DEGREES(ASIN(E88))*2+180)/15))</f>
        <v>0</v>
      </c>
      <c r="G88" s="4" t="str">
        <f>IF(E88&lt;-1,"Below",IF(E88&gt;1,"Above",INT(C88+C12-(DEGREES(ASIN(E88))+90)/15+5/600)))</f>
        <v>Below</v>
      </c>
      <c r="H88" s="1" t="str">
        <f>IF(OR(E88&lt;-1,E88&gt;1),IF(M13&gt;0," Min."," Horz."),IF(INT((C88+C12-(DEGREES(ASIN(E88))+90)/15-G88)*60+1/2)&lt;10,":0"&amp;FIXED(INT((C88+C12-(DEGREES(ASIN(E88))+90)/15-G88)*60+1/2),0),":"&amp;FIXED(INT((C88+C12-(DEGREES(ASIN(E88))+90)/15-G88)*60+1/2),0)))</f>
        <v> Min.</v>
      </c>
      <c r="I88" s="4" t="str">
        <f>IF(E88&lt;-1,"Below",IF(E88&gt;1,"Above",INT(C88+C12+(DEGREES(ASIN(E88))+90)/15+5/600)))</f>
        <v>Below</v>
      </c>
      <c r="J88" s="1" t="str">
        <f>IF(OR(E88&lt;-1,E88&gt;1),IF(M13&gt;0," Min."," Horz."),IF(INT((C88+C12+(DEGREES(ASIN(E88))+90)/15-I88)*60+1/2)&lt;10,":0"&amp;FIXED(INT((C88+C12+(DEGREES(ASIN(E88))+90)/15-I88)*60+1/2),0),":"&amp;FIXED(INT((C88+C12+(DEGREES(ASIN(E88))+90)/15-I88)*60+1/2),0)))</f>
        <v> Min.</v>
      </c>
      <c r="K88" s="1">
        <f>ROUND(DEGREES(ASIN(COS(RADIANS(D88))*COS(RADIANS(L9))+SIN(RADIANS(D88))*SIN(RADIANS(L9)))),0)</f>
        <v>43</v>
      </c>
      <c r="L88" s="1" t="s">
        <v>17</v>
      </c>
      <c r="M88" s="16">
        <f>IF(M14&gt;0,solrdat!B99,solrdat!I99)</f>
        <v>39904</v>
      </c>
      <c r="N88" s="1">
        <f>IF(M14&gt;0,solrdat!C99,solrdat!J99)</f>
        <v>12.062444444444445</v>
      </c>
      <c r="O88" s="1">
        <f>IF(M14&gt;0,solrdat!D99,solrdat!K99)</f>
        <v>4.815861</v>
      </c>
      <c r="P88" s="1">
        <f>(TAN(RADIANS(L9))*SIN(RADIANS(O88))-SIN(RADIANS(L13))/COS(RADIANS(L9)))/COS(RADIANS(O88))</f>
        <v>-0.8556375253221925</v>
      </c>
      <c r="Q88" s="1">
        <f aca="true" t="shared" si="3" ref="Q88:Q117">IF(P88&lt;-1,"0",IF(P88&gt;1,24,(DEGREES(ASIN(P88))*2+180)/15))</f>
        <v>4.155968352837504</v>
      </c>
      <c r="R88" s="4">
        <f>IF(P88&lt;-1,"Below",IF(P88&gt;1,"Above",INT(N88+C12-(DEGREES(ASIN(P88))+90)/15+5/600)))</f>
        <v>10</v>
      </c>
      <c r="S88" s="1" t="str">
        <f>IF(OR(P88&lt;-1,P88&gt;1),IF(M13&gt;0," Min."," Horz."),IF(INT((N88+C12-(DEGREES(ASIN(P88))+90)/15-R88)*60+1/2)&lt;10,":0"&amp;FIXED(INT((N88+C12-(DEGREES(ASIN(P88))+90)/15-R88)*60+1/2),0),":"&amp;FIXED(INT((N88+C12-(DEGREES(ASIN(P88))+90)/15-R88)*60+1/2),0)))</f>
        <v>:19</v>
      </c>
      <c r="T88" s="4">
        <f>IF(P88&lt;-1,"Below",IF(P88&gt;1,"Above",INT(N88+C12+(DEGREES(ASIN(P88))+90)/15+5/600)))</f>
        <v>14</v>
      </c>
      <c r="U88" s="1" t="str">
        <f>IF(OR(P88&lt;-1,P88&gt;1),IF(M13&gt;0," Min."," Horz."),IF(INT((N88+C12+(DEGREES(ASIN(P88))+90)/15-T88)*60+1/2)&lt;10,":0"&amp;FIXED(INT((N88+C12+(DEGREES(ASIN(P88))+90)/15-T88)*60+1/2),0),":"&amp;FIXED(INT((N88+C12+(DEGREES(ASIN(P88))+90)/15-T88)*60+1/2),0)))</f>
        <v>:28</v>
      </c>
      <c r="V88" s="1">
        <f>ROUND(DEGREES(ASIN(COS(RADIANS(O88))*COS(RADIANS(L9))+SIN(RADIANS(O88))*SIN(RADIANS(L9)))),0)</f>
        <v>55</v>
      </c>
      <c r="W88" s="1" t="s">
        <v>17</v>
      </c>
      <c r="X88" s="18"/>
    </row>
    <row r="89" spans="1:24" ht="10.5" customHeight="1">
      <c r="A89" s="1"/>
      <c r="B89" s="15">
        <f>IF(M14&gt;0,solrdat!B68,solrdat!I68)</f>
        <v>39874</v>
      </c>
      <c r="C89" s="1">
        <f>IF(M14&gt;0,solrdat!C68,solrdat!J68)</f>
        <v>12.200916666666666</v>
      </c>
      <c r="D89" s="1">
        <f>IF(M14&gt;0,solrdat!D68,solrdat!K68)</f>
        <v>-6.932631</v>
      </c>
      <c r="E89" s="1">
        <f>(TAN(RADIANS(L9))*SIN(RADIANS(D89))-SIN(RADIANS(L13))/COS(RADIANS(L9)))/COS(RADIANS(D89))</f>
        <v>-1.03188790813974</v>
      </c>
      <c r="F89" s="1" t="str">
        <f t="shared" si="2"/>
        <v>0</v>
      </c>
      <c r="G89" s="4" t="str">
        <f>IF(E89&lt;-1,"Below",IF(E89&gt;1,"Above",INT(C89+C12-(DEGREES(ASIN(E89))+90)/15+5/600)))</f>
        <v>Below</v>
      </c>
      <c r="H89" s="1" t="str">
        <f>IF(OR(E89&lt;-1,E89&gt;1),IF(M13&gt;0," Min."," Horz."),IF(INT((C89+C12-(DEGREES(ASIN(E89))+90)/15-G89)*60+1/2)&lt;10,":0"&amp;FIXED(INT((C89+C12-(DEGREES(ASIN(E89))+90)/15-G89)*60+1/2),0),":"&amp;FIXED(INT((C89+C12-(DEGREES(ASIN(E89))+90)/15-G89)*60+1/2),0)))</f>
        <v> Min.</v>
      </c>
      <c r="I89" s="4" t="str">
        <f>IF(E89&lt;-1,"Below",IF(E89&gt;1,"Above",INT(C89+C12+(DEGREES(ASIN(E89))+90)/15+5/600)))</f>
        <v>Below</v>
      </c>
      <c r="J89" s="1" t="str">
        <f>IF(OR(E89&lt;-1,E89&gt;1),IF(M13&gt;0," Min."," Horz."),IF(INT((C89+C12+(DEGREES(ASIN(E89))+90)/15-I89)*60+1/2)&lt;10,":0"&amp;FIXED(INT((C89+C12+(DEGREES(ASIN(E89))+90)/15-I89)*60+1/2),0),":"&amp;FIXED(INT((C89+C12+(DEGREES(ASIN(E89))+90)/15-I89)*60+1/2),0)))</f>
        <v> Min.</v>
      </c>
      <c r="K89" s="1">
        <f>ROUND(DEGREES(ASIN(COS(RADIANS(D89))*COS(RADIANS(L9))+SIN(RADIANS(D89))*SIN(RADIANS(L9)))),0)</f>
        <v>43</v>
      </c>
      <c r="L89" s="1" t="s">
        <v>17</v>
      </c>
      <c r="M89" s="16">
        <f>IF(M14&gt;0,solrdat!B100,solrdat!I100)</f>
        <v>39905</v>
      </c>
      <c r="N89" s="1">
        <f>IF(M14&gt;0,solrdat!C100,solrdat!J100)</f>
        <v>12.057527777777779</v>
      </c>
      <c r="O89" s="1">
        <f>IF(M14&gt;0,solrdat!D100,solrdat!K100)</f>
        <v>5.20008</v>
      </c>
      <c r="P89" s="1">
        <f>(TAN(RADIANS(L9))*SIN(RADIANS(O89))-SIN(RADIANS(L13))/COS(RADIANS(L9)))/COS(RADIANS(O89))</f>
        <v>-0.8505118906432055</v>
      </c>
      <c r="Q89" s="1">
        <f t="shared" si="3"/>
        <v>4.2310147802712</v>
      </c>
      <c r="R89" s="4">
        <f>IF(P89&lt;-1,"Below",IF(P89&gt;1,"Above",INT(N89+C12-(DEGREES(ASIN(P89))+90)/15+5/600)))</f>
        <v>10</v>
      </c>
      <c r="S89" s="1" t="str">
        <f>IF(OR(P89&lt;-1,P89&gt;1),IF(M13&gt;0," Min."," Horz."),IF(INT((N89+C12-(DEGREES(ASIN(P89))+90)/15-R89)*60+1/2)&lt;10,":0"&amp;FIXED(INT((N89+C12-(DEGREES(ASIN(P89))+90)/15-R89)*60+1/2),0),":"&amp;FIXED(INT((N89+C12-(DEGREES(ASIN(P89))+90)/15-R89)*60+1/2),0)))</f>
        <v>:17</v>
      </c>
      <c r="T89" s="4">
        <f>IF(P89&lt;-1,"Below",IF(P89&gt;1,"Above",INT(N89+C12+(DEGREES(ASIN(P89))+90)/15+5/600)))</f>
        <v>14</v>
      </c>
      <c r="U89" s="1" t="str">
        <f>IF(OR(P89&lt;-1,P89&gt;1),IF(M13&gt;0," Min."," Horz."),IF(INT((N89+C12+(DEGREES(ASIN(P89))+90)/15-T89)*60+1/2)&lt;10,":0"&amp;FIXED(INT((N89+C12+(DEGREES(ASIN(P89))+90)/15-T89)*60+1/2),0),":"&amp;FIXED(INT((N89+C12+(DEGREES(ASIN(P89))+90)/15-T89)*60+1/2),0)))</f>
        <v>:30</v>
      </c>
      <c r="V89" s="1">
        <f>ROUND(DEGREES(ASIN(COS(RADIANS(O89))*COS(RADIANS(L9))+SIN(RADIANS(O89))*SIN(RADIANS(L9)))),0)</f>
        <v>55</v>
      </c>
      <c r="W89" s="1" t="s">
        <v>17</v>
      </c>
      <c r="X89" s="18"/>
    </row>
    <row r="90" spans="1:24" ht="10.5" customHeight="1">
      <c r="A90" s="1"/>
      <c r="B90" s="15">
        <f>IF(M14&gt;0,solrdat!B69,solrdat!I69)</f>
        <v>39875</v>
      </c>
      <c r="C90" s="1">
        <f>IF(M14&gt;0,solrdat!C69,solrdat!J69)</f>
        <v>12.197416666666667</v>
      </c>
      <c r="D90" s="1">
        <f>IF(M14&gt;0,solrdat!D69,solrdat!K69)</f>
        <v>-6.54884</v>
      </c>
      <c r="E90" s="1">
        <f>(TAN(RADIANS(L9))*SIN(RADIANS(D90))-SIN(RADIANS(L13))/COS(RADIANS(L9)))/COS(RADIANS(D90))</f>
        <v>-1.025452834933925</v>
      </c>
      <c r="F90" s="1" t="str">
        <f t="shared" si="2"/>
        <v>0</v>
      </c>
      <c r="G90" s="4" t="str">
        <f>IF(E90&lt;-1,"Below",IF(E90&gt;1,"Above",INT(C90+C12-(DEGREES(ASIN(E90))+90)/15+5/600)))</f>
        <v>Below</v>
      </c>
      <c r="H90" s="1" t="str">
        <f>IF(OR(E90&lt;-1,E90&gt;1),IF(M13&gt;0," Min."," Horz."),IF(INT((C90+C12-(DEGREES(ASIN(E90))+90)/15-G90)*60+1/2)&lt;10,":0"&amp;FIXED(INT((C90+C12-(DEGREES(ASIN(E90))+90)/15-G90)*60+1/2),0),":"&amp;FIXED(INT((C90+C12-(DEGREES(ASIN(E90))+90)/15-G90)*60+1/2),0)))</f>
        <v> Min.</v>
      </c>
      <c r="I90" s="4" t="str">
        <f>IF(E90&lt;-1,"Below",IF(E90&gt;1,"Above",INT(C90+C12+(DEGREES(ASIN(E90))+90)/15+5/600)))</f>
        <v>Below</v>
      </c>
      <c r="J90" s="1" t="str">
        <f>IF(OR(E90&lt;-1,E90&gt;1),IF(M13&gt;0," Min."," Horz."),IF(INT((C90+C12+(DEGREES(ASIN(E90))+90)/15-I90)*60+1/2)&lt;10,":0"&amp;FIXED(INT((C90+C12+(DEGREES(ASIN(E90))+90)/15-I90)*60+1/2),0),":"&amp;FIXED(INT((C90+C12+(DEGREES(ASIN(E90))+90)/15-I90)*60+1/2),0)))</f>
        <v> Min.</v>
      </c>
      <c r="K90" s="1">
        <f>ROUND(DEGREES(ASIN(COS(RADIANS(D90))*COS(RADIANS(L9))+SIN(RADIANS(D90))*SIN(RADIANS(L9)))),0)</f>
        <v>43</v>
      </c>
      <c r="L90" s="1" t="s">
        <v>17</v>
      </c>
      <c r="M90" s="16">
        <f>IF(M14&gt;0,solrdat!B101,solrdat!I101)</f>
        <v>39906</v>
      </c>
      <c r="N90" s="1">
        <f>IF(M14&gt;0,solrdat!C101,solrdat!J101)</f>
        <v>12.05263888888889</v>
      </c>
      <c r="O90" s="1">
        <f>IF(M14&gt;0,solrdat!D101,solrdat!K101)</f>
        <v>5.582726</v>
      </c>
      <c r="P90" s="1">
        <f>(TAN(RADIANS(L9))*SIN(RADIANS(O90))-SIN(RADIANS(L13))/COS(RADIANS(L9)))/COS(RADIANS(O90))</f>
        <v>-0.8454424702636608</v>
      </c>
      <c r="Q90" s="1">
        <f t="shared" si="3"/>
        <v>4.304083475003273</v>
      </c>
      <c r="R90" s="4">
        <f>IF(P90&lt;-1,"Below",IF(P90&gt;1,"Above",INT(N90+C12-(DEGREES(ASIN(P90))+90)/15+5/600)))</f>
        <v>10</v>
      </c>
      <c r="S90" s="1" t="str">
        <f>IF(OR(P90&lt;-1,P90&gt;1),IF(M13&gt;0," Min."," Horz."),IF(INT((N90+C12-(DEGREES(ASIN(P90))+90)/15-R90)*60+1/2)&lt;10,":0"&amp;FIXED(INT((N90+C12-(DEGREES(ASIN(P90))+90)/15-R90)*60+1/2),0),":"&amp;FIXED(INT((N90+C12-(DEGREES(ASIN(P90))+90)/15-R90)*60+1/2),0)))</f>
        <v>:14</v>
      </c>
      <c r="T90" s="4">
        <f>IF(P90&lt;-1,"Below",IF(P90&gt;1,"Above",INT(N90+C12+(DEGREES(ASIN(P90))+90)/15+5/600)))</f>
        <v>14</v>
      </c>
      <c r="U90" s="1" t="str">
        <f>IF(OR(P90&lt;-1,P90&gt;1),IF(M13&gt;0," Min."," Horz."),IF(INT((N90+C12+(DEGREES(ASIN(P90))+90)/15-T90)*60+1/2)&lt;10,":0"&amp;FIXED(INT((N90+C12+(DEGREES(ASIN(P90))+90)/15-T90)*60+1/2),0),":"&amp;FIXED(INT((N90+C12+(DEGREES(ASIN(P90))+90)/15-T90)*60+1/2),0)))</f>
        <v>:32</v>
      </c>
      <c r="V90" s="1">
        <f>ROUND(DEGREES(ASIN(COS(RADIANS(O90))*COS(RADIANS(L9))+SIN(RADIANS(O90))*SIN(RADIANS(L9)))),0)</f>
        <v>56</v>
      </c>
      <c r="W90" s="1" t="s">
        <v>17</v>
      </c>
      <c r="X90" s="18"/>
    </row>
    <row r="91" spans="1:24" ht="10.5" customHeight="1">
      <c r="A91" s="1"/>
      <c r="B91" s="15">
        <f>IF(M14&gt;0,solrdat!B70,solrdat!I70)</f>
        <v>39876</v>
      </c>
      <c r="C91" s="1">
        <f>IF(M14&gt;0,solrdat!C70,solrdat!J70)</f>
        <v>12.193777777777777</v>
      </c>
      <c r="D91" s="1">
        <f>IF(M14&gt;0,solrdat!D70,solrdat!K70)</f>
        <v>-6.163564</v>
      </c>
      <c r="E91" s="1">
        <f>(TAN(RADIANS(L9))*SIN(RADIANS(D91))-SIN(RADIANS(L13))/COS(RADIANS(L9)))/COS(RADIANS(D91))</f>
        <v>-1.0190447079905514</v>
      </c>
      <c r="F91" s="1" t="str">
        <f t="shared" si="2"/>
        <v>0</v>
      </c>
      <c r="G91" s="4" t="str">
        <f>IF(E91&lt;-1,"Below",IF(E91&gt;1,"Above",INT(C91+C12-(DEGREES(ASIN(E91))+90)/15+5/600)))</f>
        <v>Below</v>
      </c>
      <c r="H91" s="1" t="str">
        <f>IF(OR(E91&lt;-1,E91&gt;1),IF(M13&gt;0," Min."," Horz."),IF(INT((C91+C12-(DEGREES(ASIN(E91))+90)/15-G91)*60+1/2)&lt;10,":0"&amp;FIXED(INT((C91+C12-(DEGREES(ASIN(E91))+90)/15-G91)*60+1/2),0),":"&amp;FIXED(INT((C91+C12-(DEGREES(ASIN(E91))+90)/15-G91)*60+1/2),0)))</f>
        <v> Min.</v>
      </c>
      <c r="I91" s="4" t="str">
        <f>IF(E91&lt;-1,"Below",IF(E91&gt;1,"Above",INT(C91+C12+(DEGREES(ASIN(E91))+90)/15+5/600)))</f>
        <v>Below</v>
      </c>
      <c r="J91" s="1" t="str">
        <f>IF(OR(E91&lt;-1,E91&gt;1),IF(M13&gt;0," Min."," Horz."),IF(INT((C91+C12+(DEGREES(ASIN(E91))+90)/15-I91)*60+1/2)&lt;10,":0"&amp;FIXED(INT((C91+C12+(DEGREES(ASIN(E91))+90)/15-I91)*60+1/2),0),":"&amp;FIXED(INT((C91+C12+(DEGREES(ASIN(E91))+90)/15-I91)*60+1/2),0)))</f>
        <v> Min.</v>
      </c>
      <c r="K91" s="1">
        <f>ROUND(DEGREES(ASIN(COS(RADIANS(D91))*COS(RADIANS(L9))+SIN(RADIANS(D91))*SIN(RADIANS(L9)))),0)</f>
        <v>44</v>
      </c>
      <c r="L91" s="1" t="s">
        <v>17</v>
      </c>
      <c r="M91" s="16">
        <f>IF(M14&gt;0,solrdat!B102,solrdat!I102)</f>
        <v>39907</v>
      </c>
      <c r="N91" s="1">
        <f>IF(M14&gt;0,solrdat!C102,solrdat!J102)</f>
        <v>12.047805555555556</v>
      </c>
      <c r="O91" s="1">
        <f>IF(M14&gt;0,solrdat!D102,solrdat!K102)</f>
        <v>5.963707</v>
      </c>
      <c r="P91" s="1">
        <f>(TAN(RADIANS(L9))*SIN(RADIANS(O91))-SIN(RADIANS(L13))/COS(RADIANS(L9)))/COS(RADIANS(O91))</f>
        <v>-0.840429653224463</v>
      </c>
      <c r="Q91" s="1">
        <f t="shared" si="3"/>
        <v>4.37526429518264</v>
      </c>
      <c r="R91" s="4">
        <f>IF(P91&lt;-1,"Below",IF(P91&gt;1,"Above",INT(N91+C12-(DEGREES(ASIN(P91))+90)/15+5/600)))</f>
        <v>10</v>
      </c>
      <c r="S91" s="1" t="str">
        <f>IF(OR(P91&lt;-1,P91&gt;1),IF(M13&gt;0," Min."," Horz."),IF(INT((N91+C12-(DEGREES(ASIN(P91))+90)/15-R91)*60+1/2)&lt;10,":0"&amp;FIXED(INT((N91+C12-(DEGREES(ASIN(P91))+90)/15-R91)*60+1/2),0),":"&amp;FIXED(INT((N91+C12-(DEGREES(ASIN(P91))+90)/15-R91)*60+1/2),0)))</f>
        <v>:12</v>
      </c>
      <c r="T91" s="4">
        <f>IF(P91&lt;-1,"Below",IF(P91&gt;1,"Above",INT(N91+C12+(DEGREES(ASIN(P91))+90)/15+5/600)))</f>
        <v>14</v>
      </c>
      <c r="U91" s="1" t="str">
        <f>IF(OR(P91&lt;-1,P91&gt;1),IF(M13&gt;0," Min."," Horz."),IF(INT((N91+C12+(DEGREES(ASIN(P91))+90)/15-T91)*60+1/2)&lt;10,":0"&amp;FIXED(INT((N91+C12+(DEGREES(ASIN(P91))+90)/15-T91)*60+1/2),0),":"&amp;FIXED(INT((N91+C12+(DEGREES(ASIN(P91))+90)/15-T91)*60+1/2),0)))</f>
        <v>:34</v>
      </c>
      <c r="V91" s="1">
        <f>ROUND(DEGREES(ASIN(COS(RADIANS(O91))*COS(RADIANS(L9))+SIN(RADIANS(O91))*SIN(RADIANS(L9)))),0)</f>
        <v>56</v>
      </c>
      <c r="W91" s="1" t="s">
        <v>17</v>
      </c>
      <c r="X91" s="18"/>
    </row>
    <row r="92" spans="1:24" ht="10.5" customHeight="1">
      <c r="A92" s="1"/>
      <c r="B92" s="15">
        <f>IF(M14&gt;0,solrdat!B71,solrdat!I71)</f>
        <v>39877</v>
      </c>
      <c r="C92" s="1">
        <f>IF(M14&gt;0,solrdat!C71,solrdat!J71)</f>
        <v>12.19</v>
      </c>
      <c r="D92" s="1">
        <f>IF(M14&gt;0,solrdat!D71,solrdat!K71)</f>
        <v>-5.776912</v>
      </c>
      <c r="E92" s="1">
        <f>(TAN(RADIANS(L9))*SIN(RADIANS(D92))-SIN(RADIANS(L13))/COS(RADIANS(L9)))/COS(RADIANS(D92))</f>
        <v>-1.012665219687806</v>
      </c>
      <c r="F92" s="1" t="str">
        <f t="shared" si="2"/>
        <v>0</v>
      </c>
      <c r="G92" s="4" t="str">
        <f>IF(E92&lt;-1,"Below",IF(E92&gt;1,"Above",INT(C92+C12-(DEGREES(ASIN(E92))+90)/15+5/600)))</f>
        <v>Below</v>
      </c>
      <c r="H92" s="1" t="str">
        <f>IF(OR(E92&lt;-1,E92&gt;1),IF(M13&gt;0," Min."," Horz."),IF(INT((C92+C12-(DEGREES(ASIN(E92))+90)/15-G92)*60+1/2)&lt;10,":0"&amp;FIXED(INT((C92+C12-(DEGREES(ASIN(E92))+90)/15-G92)*60+1/2),0),":"&amp;FIXED(INT((C92+C12-(DEGREES(ASIN(E92))+90)/15-G92)*60+1/2),0)))</f>
        <v> Min.</v>
      </c>
      <c r="I92" s="4" t="str">
        <f>IF(E92&lt;-1,"Below",IF(E92&gt;1,"Above",INT(C92+C12+(DEGREES(ASIN(E92))+90)/15+5/600)))</f>
        <v>Below</v>
      </c>
      <c r="J92" s="1" t="str">
        <f>IF(OR(E92&lt;-1,E92&gt;1),IF(M13&gt;0," Min."," Horz."),IF(INT((C92+C12+(DEGREES(ASIN(E92))+90)/15-I92)*60+1/2)&lt;10,":0"&amp;FIXED(INT((C92+C12+(DEGREES(ASIN(E92))+90)/15-I92)*60+1/2),0),":"&amp;FIXED(INT((C92+C12+(DEGREES(ASIN(E92))+90)/15-I92)*60+1/2),0)))</f>
        <v> Min.</v>
      </c>
      <c r="K92" s="1">
        <f>ROUND(DEGREES(ASIN(COS(RADIANS(D92))*COS(RADIANS(L9))+SIN(RADIANS(D92))*SIN(RADIANS(L9)))),0)</f>
        <v>44</v>
      </c>
      <c r="L92" s="1" t="s">
        <v>17</v>
      </c>
      <c r="M92" s="16">
        <f>IF(M14&gt;0,solrdat!B103,solrdat!I103)</f>
        <v>39908</v>
      </c>
      <c r="N92" s="1">
        <f>IF(M14&gt;0,solrdat!C103,solrdat!J103)</f>
        <v>12.043</v>
      </c>
      <c r="O92" s="1">
        <f>IF(M14&gt;0,solrdat!D103,solrdat!K103)</f>
        <v>6.342929</v>
      </c>
      <c r="P92" s="1">
        <f>(TAN(RADIANS(L9))*SIN(RADIANS(O92))-SIN(RADIANS(L13))/COS(RADIANS(L9)))/COS(RADIANS(O92))</f>
        <v>-0.8354738401527195</v>
      </c>
      <c r="Q92" s="1">
        <f t="shared" si="3"/>
        <v>4.4446386733057865</v>
      </c>
      <c r="R92" s="4">
        <f>IF(P92&lt;-1,"Below",IF(P92&gt;1,"Above",INT(N92+C12-(DEGREES(ASIN(P92))+90)/15+5/600)))</f>
        <v>10</v>
      </c>
      <c r="S92" s="1" t="str">
        <f>IF(OR(P92&lt;-1,P92&gt;1),IF(M13&gt;0," Min."," Horz."),IF(INT((N92+C12-(DEGREES(ASIN(P92))+90)/15-R92)*60+1/2)&lt;10,":0"&amp;FIXED(INT((N92+C12-(DEGREES(ASIN(P92))+90)/15-R92)*60+1/2),0),":"&amp;FIXED(INT((N92+C12-(DEGREES(ASIN(P92))+90)/15-R92)*60+1/2),0)))</f>
        <v>:09</v>
      </c>
      <c r="T92" s="4">
        <f>IF(P92&lt;-1,"Below",IF(P92&gt;1,"Above",INT(N92+C12+(DEGREES(ASIN(P92))+90)/15+5/600)))</f>
        <v>14</v>
      </c>
      <c r="U92" s="1" t="str">
        <f>IF(OR(P92&lt;-1,P92&gt;1),IF(M13&gt;0," Min."," Horz."),IF(INT((N92+C12+(DEGREES(ASIN(P92))+90)/15-T92)*60+1/2)&lt;10,":0"&amp;FIXED(INT((N92+C12+(DEGREES(ASIN(P92))+90)/15-T92)*60+1/2),0),":"&amp;FIXED(INT((N92+C12+(DEGREES(ASIN(P92))+90)/15-T92)*60+1/2),0)))</f>
        <v>:36</v>
      </c>
      <c r="V92" s="1">
        <f>ROUND(DEGREES(ASIN(COS(RADIANS(O92))*COS(RADIANS(L9))+SIN(RADIANS(O92))*SIN(RADIANS(L9)))),0)</f>
        <v>56</v>
      </c>
      <c r="W92" s="1" t="s">
        <v>17</v>
      </c>
      <c r="X92" s="18"/>
    </row>
    <row r="93" spans="1:24" ht="10.5" customHeight="1">
      <c r="A93" s="1"/>
      <c r="B93" s="15">
        <f>IF(M14&gt;0,solrdat!B72,solrdat!I72)</f>
        <v>39878</v>
      </c>
      <c r="C93" s="1">
        <f>IF(M14&gt;0,solrdat!C72,solrdat!J72)</f>
        <v>12.186111111111112</v>
      </c>
      <c r="D93" s="1">
        <f>IF(M14&gt;0,solrdat!D72,solrdat!K72)</f>
        <v>-5.388995</v>
      </c>
      <c r="E93" s="1">
        <f>(TAN(RADIANS(L9))*SIN(RADIANS(D93))-SIN(RADIANS(L13))/COS(RADIANS(L9)))/COS(RADIANS(D93))</f>
        <v>-1.0063160373168587</v>
      </c>
      <c r="F93" s="1" t="str">
        <f t="shared" si="2"/>
        <v>0</v>
      </c>
      <c r="G93" s="4" t="str">
        <f>IF(E93&lt;-1,"Below",IF(E93&gt;1,"Above",INT(C93+C12-(DEGREES(ASIN(E93))+90)/15+5/600)))</f>
        <v>Below</v>
      </c>
      <c r="H93" s="1" t="str">
        <f>IF(OR(E93&lt;-1,E93&gt;1),IF(M13&gt;0," Min."," Horz."),IF(INT((C93+C12-(DEGREES(ASIN(E93))+90)/15-G93)*60+1/2)&lt;10,":0"&amp;FIXED(INT((C93+C12-(DEGREES(ASIN(E93))+90)/15-G93)*60+1/2),0),":"&amp;FIXED(INT((C93+C12-(DEGREES(ASIN(E93))+90)/15-G93)*60+1/2),0)))</f>
        <v> Min.</v>
      </c>
      <c r="I93" s="4" t="str">
        <f>IF(E93&lt;-1,"Below",IF(E93&gt;1,"Above",INT(C93+C12+(DEGREES(ASIN(E93))+90)/15+5/600)))</f>
        <v>Below</v>
      </c>
      <c r="J93" s="1" t="str">
        <f>IF(OR(E93&lt;-1,E93&gt;1),IF(M13&gt;0," Min."," Horz."),IF(INT((C93+C12+(DEGREES(ASIN(E93))+90)/15-I93)*60+1/2)&lt;10,":0"&amp;FIXED(INT((C93+C12+(DEGREES(ASIN(E93))+90)/15-I93)*60+1/2),0),":"&amp;FIXED(INT((C93+C12+(DEGREES(ASIN(E93))+90)/15-I93)*60+1/2),0)))</f>
        <v> Min.</v>
      </c>
      <c r="K93" s="1">
        <f>ROUND(DEGREES(ASIN(COS(RADIANS(D93))*COS(RADIANS(L9))+SIN(RADIANS(D93))*SIN(RADIANS(L9)))),0)</f>
        <v>45</v>
      </c>
      <c r="L93" s="1" t="s">
        <v>17</v>
      </c>
      <c r="M93" s="16">
        <f>IF(M14&gt;0,solrdat!B104,solrdat!I104)</f>
        <v>39909</v>
      </c>
      <c r="N93" s="1">
        <f>IF(M14&gt;0,solrdat!C104,solrdat!J104)</f>
        <v>12.03825</v>
      </c>
      <c r="O93" s="1">
        <f>IF(M14&gt;0,solrdat!D104,solrdat!K104)</f>
        <v>6.720304</v>
      </c>
      <c r="P93" s="1">
        <f>(TAN(RADIANS(L9))*SIN(RADIANS(O93))-SIN(RADIANS(L13))/COS(RADIANS(L9)))/COS(RADIANS(O93))</f>
        <v>-0.8305753396343748</v>
      </c>
      <c r="Q93" s="1">
        <f t="shared" si="3"/>
        <v>4.512282036330964</v>
      </c>
      <c r="R93" s="4">
        <f>IF(P93&lt;-1,"Below",IF(P93&gt;1,"Above",INT(N93+C12-(DEGREES(ASIN(P93))+90)/15+5/600)))</f>
        <v>10</v>
      </c>
      <c r="S93" s="1" t="str">
        <f>IF(OR(P93&lt;-1,P93&gt;1),IF(M13&gt;0," Min."," Horz."),IF(INT((N93+C12-(DEGREES(ASIN(P93))+90)/15-R93)*60+1/2)&lt;10,":0"&amp;FIXED(INT((N93+C12-(DEGREES(ASIN(P93))+90)/15-R93)*60+1/2),0),":"&amp;FIXED(INT((N93+C12-(DEGREES(ASIN(P93))+90)/15-R93)*60+1/2),0)))</f>
        <v>:07</v>
      </c>
      <c r="T93" s="4">
        <f>IF(P93&lt;-1,"Below",IF(P93&gt;1,"Above",INT(N93+C12+(DEGREES(ASIN(P93))+90)/15+5/600)))</f>
        <v>14</v>
      </c>
      <c r="U93" s="1" t="str">
        <f>IF(OR(P93&lt;-1,P93&gt;1),IF(M13&gt;0," Min."," Horz."),IF(INT((N93+C12+(DEGREES(ASIN(P93))+90)/15-T93)*60+1/2)&lt;10,":0"&amp;FIXED(INT((N93+C12+(DEGREES(ASIN(P93))+90)/15-T93)*60+1/2),0),":"&amp;FIXED(INT((N93+C12+(DEGREES(ASIN(P93))+90)/15-T93)*60+1/2),0)))</f>
        <v>:38</v>
      </c>
      <c r="V93" s="1">
        <f>ROUND(DEGREES(ASIN(COS(RADIANS(O93))*COS(RADIANS(L9))+SIN(RADIANS(O93))*SIN(RADIANS(L9)))),0)</f>
        <v>57</v>
      </c>
      <c r="W93" s="1" t="s">
        <v>17</v>
      </c>
      <c r="X93" s="18"/>
    </row>
    <row r="94" spans="1:24" ht="10.5" customHeight="1">
      <c r="A94" s="1"/>
      <c r="B94" s="15">
        <f>IF(M14&gt;0,solrdat!B73,solrdat!I73)</f>
        <v>39879</v>
      </c>
      <c r="C94" s="1">
        <f>IF(M14&gt;0,solrdat!C73,solrdat!J73)</f>
        <v>12.182083333333333</v>
      </c>
      <c r="D94" s="1">
        <f>IF(M14&gt;0,solrdat!D73,solrdat!K73)</f>
        <v>-4.999918</v>
      </c>
      <c r="E94" s="1">
        <f>(TAN(RADIANS(L9))*SIN(RADIANS(D94))-SIN(RADIANS(L13))/COS(RADIANS(L9)))/COS(RADIANS(D94))</f>
        <v>-0.9999986738957576</v>
      </c>
      <c r="F94" s="1">
        <f t="shared" si="2"/>
        <v>0.012441285235424478</v>
      </c>
      <c r="G94" s="4">
        <f>IF(E94&lt;-1,"Below",IF(E94&gt;1,"Above",INT(C94+C12-(DEGREES(ASIN(E94))+90)/15+5/600)))</f>
        <v>12</v>
      </c>
      <c r="H94" s="1" t="str">
        <f>IF(OR(E94&lt;-1,E94&gt;1),IF(M13&gt;0," Min."," Horz."),IF(INT((C94+C12-(DEGREES(ASIN(E94))+90)/15-G94)*60+1/2)&lt;10,":0"&amp;FIXED(INT((C94+C12-(DEGREES(ASIN(E94))+90)/15-G94)*60+1/2),0),":"&amp;FIXED(INT((C94+C12-(DEGREES(ASIN(E94))+90)/15-G94)*60+1/2),0)))</f>
        <v>:31</v>
      </c>
      <c r="I94" s="4">
        <f>IF(E94&lt;-1,"Below",IF(E94&gt;1,"Above",INT(C94+C12+(DEGREES(ASIN(E94))+90)/15+5/600)))</f>
        <v>12</v>
      </c>
      <c r="J94" s="1" t="str">
        <f>IF(OR(E94&lt;-1,E94&gt;1),IF(M13&gt;0," Min."," Horz."),IF(INT((C94+C12+(DEGREES(ASIN(E94))+90)/15-I94)*60+1/2)&lt;10,":0"&amp;FIXED(INT((C94+C12+(DEGREES(ASIN(E94))+90)/15-I94)*60+1/2),0),":"&amp;FIXED(INT((C94+C12+(DEGREES(ASIN(E94))+90)/15-I94)*60+1/2),0)))</f>
        <v>:31</v>
      </c>
      <c r="K94" s="1">
        <f>ROUND(DEGREES(ASIN(COS(RADIANS(D94))*COS(RADIANS(L9))+SIN(RADIANS(D94))*SIN(RADIANS(L9)))),0)</f>
        <v>45</v>
      </c>
      <c r="L94" s="1" t="s">
        <v>17</v>
      </c>
      <c r="M94" s="16">
        <f>IF(M14&gt;0,solrdat!B105,solrdat!I105)</f>
        <v>39910</v>
      </c>
      <c r="N94" s="1">
        <f>IF(M14&gt;0,solrdat!C105,solrdat!J105)</f>
        <v>12.033555555555555</v>
      </c>
      <c r="O94" s="1">
        <f>IF(M14&gt;0,solrdat!D105,solrdat!K105)</f>
        <v>7.095747</v>
      </c>
      <c r="P94" s="1">
        <f>(TAN(RADIANS(L9))*SIN(RADIANS(O94))-SIN(RADIANS(L13))/COS(RADIANS(L9)))/COS(RADIANS(O94))</f>
        <v>-0.8257344100913209</v>
      </c>
      <c r="Q94" s="1">
        <f t="shared" si="3"/>
        <v>4.578263997687165</v>
      </c>
      <c r="R94" s="4">
        <f>IF(P94&lt;-1,"Below",IF(P94&gt;1,"Above",INT(N94+C12-(DEGREES(ASIN(P94))+90)/15+5/600)))</f>
        <v>10</v>
      </c>
      <c r="S94" s="1" t="str">
        <f>IF(OR(P94&lt;-1,P94&gt;1),IF(M13&gt;0," Min."," Horz."),IF(INT((N94+C12-(DEGREES(ASIN(P94))+90)/15-R94)*60+1/2)&lt;10,":0"&amp;FIXED(INT((N94+C12-(DEGREES(ASIN(P94))+90)/15-R94)*60+1/2),0),":"&amp;FIXED(INT((N94+C12-(DEGREES(ASIN(P94))+90)/15-R94)*60+1/2),0)))</f>
        <v>:05</v>
      </c>
      <c r="T94" s="4">
        <f>IF(P94&lt;-1,"Below",IF(P94&gt;1,"Above",INT(N94+C12+(DEGREES(ASIN(P94))+90)/15+5/600)))</f>
        <v>14</v>
      </c>
      <c r="U94" s="1" t="str">
        <f>IF(OR(P94&lt;-1,P94&gt;1),IF(M13&gt;0," Min."," Horz."),IF(INT((N94+C12+(DEGREES(ASIN(P94))+90)/15-T94)*60+1/2)&lt;10,":0"&amp;FIXED(INT((N94+C12+(DEGREES(ASIN(P94))+90)/15-T94)*60+1/2),0),":"&amp;FIXED(INT((N94+C12+(DEGREES(ASIN(P94))+90)/15-T94)*60+1/2),0)))</f>
        <v>:39</v>
      </c>
      <c r="V94" s="1">
        <f>ROUND(DEGREES(ASIN(COS(RADIANS(O94))*COS(RADIANS(L9))+SIN(RADIANS(O94))*SIN(RADIANS(L9)))),0)</f>
        <v>57</v>
      </c>
      <c r="W94" s="1" t="s">
        <v>17</v>
      </c>
      <c r="X94" s="18"/>
    </row>
    <row r="95" spans="1:24" ht="10.5" customHeight="1">
      <c r="A95" s="1"/>
      <c r="B95" s="15">
        <f>IF(M14&gt;0,solrdat!B74,solrdat!I74)</f>
        <v>39880</v>
      </c>
      <c r="C95" s="1">
        <f>IF(M14&gt;0,solrdat!C74,solrdat!J74)</f>
        <v>12.177972222222222</v>
      </c>
      <c r="D95" s="1">
        <f>IF(M14&gt;0,solrdat!D74,solrdat!K74)</f>
        <v>-4.609781</v>
      </c>
      <c r="E95" s="1">
        <f>(TAN(RADIANS(L9))*SIN(RADIANS(D95))-SIN(RADIANS(L13))/COS(RADIANS(L9)))/COS(RADIANS(D95))</f>
        <v>-0.993714509589451</v>
      </c>
      <c r="F95" s="1">
        <f t="shared" si="2"/>
        <v>0.8569859324902969</v>
      </c>
      <c r="G95" s="4">
        <f>IF(E95&lt;-1,"Below",IF(E95&gt;1,"Above",INT(C95+C12-(DEGREES(ASIN(E95))+90)/15+5/600)))</f>
        <v>12</v>
      </c>
      <c r="H95" s="1" t="str">
        <f>IF(OR(E95&lt;-1,E95&gt;1),IF(M13&gt;0," Min."," Horz."),IF(INT((C95+C12-(DEGREES(ASIN(E95))+90)/15-G95)*60+1/2)&lt;10,":0"&amp;FIXED(INT((C95+C12-(DEGREES(ASIN(E95))+90)/15-G95)*60+1/2),0),":"&amp;FIXED(INT((C95+C12-(DEGREES(ASIN(E95))+90)/15-G95)*60+1/2),0)))</f>
        <v>:05</v>
      </c>
      <c r="I95" s="4">
        <f>IF(E95&lt;-1,"Below",IF(E95&gt;1,"Above",INT(C95+C12+(DEGREES(ASIN(E95))+90)/15+5/600)))</f>
        <v>12</v>
      </c>
      <c r="J95" s="1" t="str">
        <f>IF(OR(E95&lt;-1,E95&gt;1),IF(M13&gt;0," Min."," Horz."),IF(INT((C95+C12+(DEGREES(ASIN(E95))+90)/15-I95)*60+1/2)&lt;10,":0"&amp;FIXED(INT((C95+C12+(DEGREES(ASIN(E95))+90)/15-I95)*60+1/2),0),":"&amp;FIXED(INT((C95+C12+(DEGREES(ASIN(E95))+90)/15-I95)*60+1/2),0)))</f>
        <v>:56</v>
      </c>
      <c r="K95" s="1">
        <f>ROUND(DEGREES(ASIN(COS(RADIANS(D95))*COS(RADIANS(L9))+SIN(RADIANS(D95))*SIN(RADIANS(L9)))),0)</f>
        <v>45</v>
      </c>
      <c r="L95" s="1" t="s">
        <v>17</v>
      </c>
      <c r="M95" s="16">
        <f>IF(M14&gt;0,solrdat!B106,solrdat!I106)</f>
        <v>39911</v>
      </c>
      <c r="N95" s="1">
        <f>IF(M14&gt;0,solrdat!C106,solrdat!J106)</f>
        <v>12.028944444444445</v>
      </c>
      <c r="O95" s="1">
        <f>IF(M14&gt;0,solrdat!D106,solrdat!K106)</f>
        <v>7.469172</v>
      </c>
      <c r="P95" s="1">
        <f>(TAN(RADIANS(L9))*SIN(RADIANS(O95))-SIN(RADIANS(L13))/COS(RADIANS(L9)))/COS(RADIANS(O95))</f>
        <v>-0.8209513127627707</v>
      </c>
      <c r="Q95" s="1">
        <f t="shared" si="3"/>
        <v>4.642648333741919</v>
      </c>
      <c r="R95" s="4">
        <f>IF(P95&lt;-1,"Below",IF(P95&gt;1,"Above",INT(N95+C12-(DEGREES(ASIN(P95))+90)/15+5/600)))</f>
        <v>10</v>
      </c>
      <c r="S95" s="1" t="str">
        <f>IF(OR(P95&lt;-1,P95&gt;1),IF(M13&gt;0," Min."," Horz."),IF(INT((N95+C12-(DEGREES(ASIN(P95))+90)/15-R95)*60+1/2)&lt;10,":0"&amp;FIXED(INT((N95+C12-(DEGREES(ASIN(P95))+90)/15-R95)*60+1/2),0),":"&amp;FIXED(INT((N95+C12-(DEGREES(ASIN(P95))+90)/15-R95)*60+1/2),0)))</f>
        <v>:02</v>
      </c>
      <c r="T95" s="4">
        <f>IF(P95&lt;-1,"Below",IF(P95&gt;1,"Above",INT(N95+C12+(DEGREES(ASIN(P95))+90)/15+5/600)))</f>
        <v>14</v>
      </c>
      <c r="U95" s="1" t="str">
        <f>IF(OR(P95&lt;-1,P95&gt;1),IF(M13&gt;0," Min."," Horz."),IF(INT((N95+C12+(DEGREES(ASIN(P95))+90)/15-T95)*60+1/2)&lt;10,":0"&amp;FIXED(INT((N95+C12+(DEGREES(ASIN(P95))+90)/15-T95)*60+1/2),0),":"&amp;FIXED(INT((N95+C12+(DEGREES(ASIN(P95))+90)/15-T95)*60+1/2),0)))</f>
        <v>:41</v>
      </c>
      <c r="V95" s="1">
        <f>ROUND(DEGREES(ASIN(COS(RADIANS(O95))*COS(RADIANS(L9))+SIN(RADIANS(O95))*SIN(RADIANS(L9)))),0)</f>
        <v>57</v>
      </c>
      <c r="W95" s="1" t="s">
        <v>17</v>
      </c>
      <c r="X95" s="18"/>
    </row>
    <row r="96" spans="1:24" ht="10.5" customHeight="1">
      <c r="A96" s="1"/>
      <c r="B96" s="15">
        <f>IF(M14&gt;0,solrdat!B75,solrdat!I75)</f>
        <v>39881</v>
      </c>
      <c r="C96" s="1">
        <f>IF(M14&gt;0,solrdat!C75,solrdat!J75)</f>
        <v>12.17375</v>
      </c>
      <c r="D96" s="1">
        <f>IF(M14&gt;0,solrdat!D75,solrdat!K75)</f>
        <v>-4.218681</v>
      </c>
      <c r="E96" s="1">
        <f>(TAN(RADIANS(L9))*SIN(RADIANS(D96))-SIN(RADIANS(L13))/COS(RADIANS(L9)))/COS(RADIANS(D96))</f>
        <v>-0.9874648281601089</v>
      </c>
      <c r="F96" s="1">
        <f t="shared" si="2"/>
        <v>1.2108663825615205</v>
      </c>
      <c r="G96" s="4">
        <f>IF(E96&lt;-1,"Below",IF(E96&gt;1,"Above",INT(C96+C12-(DEGREES(ASIN(E96))+90)/15+5/600)))</f>
        <v>11</v>
      </c>
      <c r="H96" s="1" t="str">
        <f>IF(OR(E96&lt;-1,E96&gt;1),IF(M13&gt;0," Min."," Horz."),IF(INT((C96+C12-(DEGREES(ASIN(E96))+90)/15-G96)*60+1/2)&lt;10,":0"&amp;FIXED(INT((C96+C12-(DEGREES(ASIN(E96))+90)/15-G96)*60+1/2),0),":"&amp;FIXED(INT((C96+C12-(DEGREES(ASIN(E96))+90)/15-G96)*60+1/2),0)))</f>
        <v>:54</v>
      </c>
      <c r="I96" s="4">
        <f>IF(E96&lt;-1,"Below",IF(E96&gt;1,"Above",INT(C96+C12+(DEGREES(ASIN(E96))+90)/15+5/600)))</f>
        <v>13</v>
      </c>
      <c r="J96" s="1" t="str">
        <f>IF(OR(E96&lt;-1,E96&gt;1),IF(M13&gt;0," Min."," Horz."),IF(INT((C96+C12+(DEGREES(ASIN(E96))+90)/15-I96)*60+1/2)&lt;10,":0"&amp;FIXED(INT((C96+C12+(DEGREES(ASIN(E96))+90)/15-I96)*60+1/2),0),":"&amp;FIXED(INT((C96+C12+(DEGREES(ASIN(E96))+90)/15-I96)*60+1/2),0)))</f>
        <v>:07</v>
      </c>
      <c r="K96" s="1">
        <f>ROUND(DEGREES(ASIN(COS(RADIANS(D96))*COS(RADIANS(L9))+SIN(RADIANS(D96))*SIN(RADIANS(L9)))),0)</f>
        <v>46</v>
      </c>
      <c r="L96" s="1" t="s">
        <v>17</v>
      </c>
      <c r="M96" s="16">
        <f>IF(M14&gt;0,solrdat!B107,solrdat!I107)</f>
        <v>39912</v>
      </c>
      <c r="N96" s="1">
        <f>IF(M14&gt;0,solrdat!C107,solrdat!J107)</f>
        <v>12.02436111111111</v>
      </c>
      <c r="O96" s="1">
        <f>IF(M14&gt;0,solrdat!D107,solrdat!K107)</f>
        <v>7.840497</v>
      </c>
      <c r="P96" s="1">
        <f>(TAN(RADIANS(L9))*SIN(RADIANS(O96))-SIN(RADIANS(L13))/COS(RADIANS(L9)))/COS(RADIANS(O96))</f>
        <v>-0.8162262484622114</v>
      </c>
      <c r="Q96" s="1">
        <f t="shared" si="3"/>
        <v>4.705494451365687</v>
      </c>
      <c r="R96" s="4">
        <f>IF(P96&lt;-1,"Below",IF(P96&gt;1,"Above",INT(N96+C12-(DEGREES(ASIN(P96))+90)/15+5/600)))</f>
        <v>10</v>
      </c>
      <c r="S96" s="1" t="str">
        <f>IF(OR(P96&lt;-1,P96&gt;1),IF(M13&gt;0," Min."," Horz."),IF(INT((N96+C12-(DEGREES(ASIN(P96))+90)/15-R96)*60+1/2)&lt;10,":0"&amp;FIXED(INT((N96+C12-(DEGREES(ASIN(P96))+90)/15-R96)*60+1/2),0),":"&amp;FIXED(INT((N96+C12-(DEGREES(ASIN(P96))+90)/15-R96)*60+1/2),0)))</f>
        <v>:00</v>
      </c>
      <c r="T96" s="4">
        <f>IF(P96&lt;-1,"Below",IF(P96&gt;1,"Above",INT(N96+C12+(DEGREES(ASIN(P96))+90)/15+5/600)))</f>
        <v>14</v>
      </c>
      <c r="U96" s="1" t="str">
        <f>IF(OR(P96&lt;-1,P96&gt;1),IF(M13&gt;0," Min."," Horz."),IF(INT((N96+C12+(DEGREES(ASIN(P96))+90)/15-T96)*60+1/2)&lt;10,":0"&amp;FIXED(INT((N96+C12+(DEGREES(ASIN(P96))+90)/15-T96)*60+1/2),0),":"&amp;FIXED(INT((N96+C12+(DEGREES(ASIN(P96))+90)/15-T96)*60+1/2),0)))</f>
        <v>:43</v>
      </c>
      <c r="V96" s="1">
        <f>ROUND(DEGREES(ASIN(COS(RADIANS(O96))*COS(RADIANS(L9))+SIN(RADIANS(O96))*SIN(RADIANS(L9)))),0)</f>
        <v>58</v>
      </c>
      <c r="W96" s="1" t="s">
        <v>17</v>
      </c>
      <c r="X96" s="18"/>
    </row>
    <row r="97" spans="1:24" ht="10.5" customHeight="1">
      <c r="A97" s="1"/>
      <c r="B97" s="15">
        <f>IF(M14&gt;0,solrdat!B76,solrdat!I76)</f>
        <v>39882</v>
      </c>
      <c r="C97" s="1">
        <f>IF(M14&gt;0,solrdat!C76,solrdat!J76)</f>
        <v>12.169416666666667</v>
      </c>
      <c r="D97" s="1">
        <f>IF(M14&gt;0,solrdat!D76,solrdat!K76)</f>
        <v>-3.826713</v>
      </c>
      <c r="E97" s="1">
        <f>(TAN(RADIANS(L9))*SIN(RADIANS(D97))-SIN(RADIANS(L13))/COS(RADIANS(L9)))/COS(RADIANS(D97))</f>
        <v>-0.981250836010235</v>
      </c>
      <c r="F97" s="1">
        <f t="shared" si="2"/>
        <v>1.4816588523266907</v>
      </c>
      <c r="G97" s="4">
        <f>IF(E97&lt;-1,"Below",IF(E97&gt;1,"Above",INT(C97+C12-(DEGREES(ASIN(E97))+90)/15+5/600)))</f>
        <v>11</v>
      </c>
      <c r="H97" s="1" t="str">
        <f>IF(OR(E97&lt;-1,E97&gt;1),IF(M13&gt;0," Min."," Horz."),IF(INT((C97+C12-(DEGREES(ASIN(E97))+90)/15-G97)*60+1/2)&lt;10,":0"&amp;FIXED(INT((C97+C12-(DEGREES(ASIN(E97))+90)/15-G97)*60+1/2),0),":"&amp;FIXED(INT((C97+C12-(DEGREES(ASIN(E97))+90)/15-G97)*60+1/2),0)))</f>
        <v>:46</v>
      </c>
      <c r="I97" s="4">
        <f>IF(E97&lt;-1,"Below",IF(E97&gt;1,"Above",INT(C97+C12+(DEGREES(ASIN(E97))+90)/15+5/600)))</f>
        <v>13</v>
      </c>
      <c r="J97" s="1" t="str">
        <f>IF(OR(E97&lt;-1,E97&gt;1),IF(M13&gt;0," Min."," Horz."),IF(INT((C97+C12+(DEGREES(ASIN(E97))+90)/15-I97)*60+1/2)&lt;10,":0"&amp;FIXED(INT((C97+C12+(DEGREES(ASIN(E97))+90)/15-I97)*60+1/2),0),":"&amp;FIXED(INT((C97+C12+(DEGREES(ASIN(E97))+90)/15-I97)*60+1/2),0)))</f>
        <v>:15</v>
      </c>
      <c r="K97" s="1">
        <f>ROUND(DEGREES(ASIN(COS(RADIANS(D97))*COS(RADIANS(L9))+SIN(RADIANS(D97))*SIN(RADIANS(L9)))),0)</f>
        <v>46</v>
      </c>
      <c r="L97" s="1" t="s">
        <v>17</v>
      </c>
      <c r="M97" s="16">
        <f>IF(M14&gt;0,solrdat!B108,solrdat!I108)</f>
        <v>39913</v>
      </c>
      <c r="N97" s="1">
        <f>IF(M14&gt;0,solrdat!C108,solrdat!J108)</f>
        <v>12.01988888888889</v>
      </c>
      <c r="O97" s="1">
        <f>IF(M14&gt;0,solrdat!D108,solrdat!K108)</f>
        <v>8.209635</v>
      </c>
      <c r="P97" s="1">
        <f>(TAN(RADIANS(L9))*SIN(RADIANS(O97))-SIN(RADIANS(L13))/COS(RADIANS(L9)))/COS(RADIANS(O97))</f>
        <v>-0.8115594732144558</v>
      </c>
      <c r="Q97" s="1">
        <f t="shared" si="3"/>
        <v>4.766856374568277</v>
      </c>
      <c r="R97" s="4">
        <f>IF(P97&lt;-1,"Below",IF(P97&gt;1,"Above",INT(N97+C12-(DEGREES(ASIN(P97))+90)/15+5/600)))</f>
        <v>9</v>
      </c>
      <c r="S97" s="1" t="str">
        <f>IF(OR(P97&lt;-1,P97&gt;1),IF(M13&gt;0," Min."," Horz."),IF(INT((N97+C12-(DEGREES(ASIN(P97))+90)/15-R97)*60+1/2)&lt;10,":0"&amp;FIXED(INT((N97+C12-(DEGREES(ASIN(P97))+90)/15-R97)*60+1/2),0),":"&amp;FIXED(INT((N97+C12-(DEGREES(ASIN(P97))+90)/15-R97)*60+1/2),0)))</f>
        <v>:58</v>
      </c>
      <c r="T97" s="4">
        <f>IF(P97&lt;-1,"Below",IF(P97&gt;1,"Above",INT(N97+C12+(DEGREES(ASIN(P97))+90)/15+5/600)))</f>
        <v>14</v>
      </c>
      <c r="U97" s="1" t="str">
        <f>IF(OR(P97&lt;-1,P97&gt;1),IF(M13&gt;0," Min."," Horz."),IF(INT((N97+C12+(DEGREES(ASIN(P97))+90)/15-T97)*60+1/2)&lt;10,":0"&amp;FIXED(INT((N97+C12+(DEGREES(ASIN(P97))+90)/15-T97)*60+1/2),0),":"&amp;FIXED(INT((N97+C12+(DEGREES(ASIN(P97))+90)/15-T97)*60+1/2),0)))</f>
        <v>:44</v>
      </c>
      <c r="V97" s="1">
        <f>ROUND(DEGREES(ASIN(COS(RADIANS(O97))*COS(RADIANS(L9))+SIN(RADIANS(O97))*SIN(RADIANS(L9)))),0)</f>
        <v>58</v>
      </c>
      <c r="W97" s="1" t="s">
        <v>17</v>
      </c>
      <c r="X97" s="18"/>
    </row>
    <row r="98" spans="1:24" ht="10.5" customHeight="1">
      <c r="A98" s="1"/>
      <c r="B98" s="15">
        <f>IF(M14&gt;0,solrdat!B77,solrdat!I77)</f>
        <v>39883</v>
      </c>
      <c r="C98" s="1">
        <f>IF(M14&gt;0,solrdat!C77,solrdat!J77)</f>
        <v>12.165027777777778</v>
      </c>
      <c r="D98" s="1">
        <f>IF(M14&gt;0,solrdat!D77,solrdat!K77)</f>
        <v>-3.43397</v>
      </c>
      <c r="E98" s="1">
        <f>(TAN(RADIANS(L9))*SIN(RADIANS(D98))-SIN(RADIANS(L13))/COS(RADIANS(L9)))/COS(RADIANS(D98))</f>
        <v>-0.9750736647438508</v>
      </c>
      <c r="F98" s="1">
        <f t="shared" si="2"/>
        <v>1.7092746354916926</v>
      </c>
      <c r="G98" s="4">
        <f>IF(E98&lt;-1,"Below",IF(E98&gt;1,"Above",INT(C98+C12-(DEGREES(ASIN(E98))+90)/15+5/600)))</f>
        <v>11</v>
      </c>
      <c r="H98" s="1" t="str">
        <f>IF(OR(E98&lt;-1,E98&gt;1),IF(M13&gt;0," Min."," Horz."),IF(INT((C98+C12-(DEGREES(ASIN(E98))+90)/15-G98)*60+1/2)&lt;10,":0"&amp;FIXED(INT((C98+C12-(DEGREES(ASIN(E98))+90)/15-G98)*60+1/2),0),":"&amp;FIXED(INT((C98+C12-(DEGREES(ASIN(E98))+90)/15-G98)*60+1/2),0)))</f>
        <v>:39</v>
      </c>
      <c r="I98" s="4">
        <f>IF(E98&lt;-1,"Below",IF(E98&gt;1,"Above",INT(C98+C12+(DEGREES(ASIN(E98))+90)/15+5/600)))</f>
        <v>13</v>
      </c>
      <c r="J98" s="1" t="str">
        <f>IF(OR(E98&lt;-1,E98&gt;1),IF(M13&gt;0," Min."," Horz."),IF(INT((C98+C12+(DEGREES(ASIN(E98))+90)/15-I98)*60+1/2)&lt;10,":0"&amp;FIXED(INT((C98+C12+(DEGREES(ASIN(E98))+90)/15-I98)*60+1/2),0),":"&amp;FIXED(INT((C98+C12+(DEGREES(ASIN(E98))+90)/15-I98)*60+1/2),0)))</f>
        <v>:21</v>
      </c>
      <c r="K98" s="1">
        <f>ROUND(DEGREES(ASIN(COS(RADIANS(D98))*COS(RADIANS(L9))+SIN(RADIANS(D98))*SIN(RADIANS(L9)))),0)</f>
        <v>47</v>
      </c>
      <c r="L98" s="1" t="s">
        <v>17</v>
      </c>
      <c r="M98" s="16">
        <f>IF(M14&gt;0,solrdat!B109,solrdat!I109)</f>
        <v>39914</v>
      </c>
      <c r="N98" s="1">
        <f>IF(M14&gt;0,solrdat!C109,solrdat!J109)</f>
        <v>12.015472222222222</v>
      </c>
      <c r="O98" s="1">
        <f>IF(M14&gt;0,solrdat!D109,solrdat!K109)</f>
        <v>8.576501</v>
      </c>
      <c r="P98" s="1">
        <f>(TAN(RADIANS(L9))*SIN(RADIANS(O98))-SIN(RADIANS(L13))/COS(RADIANS(L9)))/COS(RADIANS(O98))</f>
        <v>-0.8069512091131698</v>
      </c>
      <c r="Q98" s="1">
        <f t="shared" si="3"/>
        <v>4.826784412403029</v>
      </c>
      <c r="R98" s="4">
        <f>IF(P98&lt;-1,"Below",IF(P98&gt;1,"Above",INT(N98+C12-(DEGREES(ASIN(P98))+90)/15+5/600)))</f>
        <v>9</v>
      </c>
      <c r="S98" s="1" t="str">
        <f>IF(OR(P98&lt;-1,P98&gt;1),IF(M13&gt;0," Min."," Horz."),IF(INT((N98+C12-(DEGREES(ASIN(P98))+90)/15-R98)*60+1/2)&lt;10,":0"&amp;FIXED(INT((N98+C12-(DEGREES(ASIN(P98))+90)/15-R98)*60+1/2),0),":"&amp;FIXED(INT((N98+C12-(DEGREES(ASIN(P98))+90)/15-R98)*60+1/2),0)))</f>
        <v>:56</v>
      </c>
      <c r="T98" s="4">
        <f>IF(P98&lt;-1,"Below",IF(P98&gt;1,"Above",INT(N98+C12+(DEGREES(ASIN(P98))+90)/15+5/600)))</f>
        <v>14</v>
      </c>
      <c r="U98" s="1" t="str">
        <f>IF(OR(P98&lt;-1,P98&gt;1),IF(M13&gt;0," Min."," Horz."),IF(INT((N98+C12+(DEGREES(ASIN(P98))+90)/15-T98)*60+1/2)&lt;10,":0"&amp;FIXED(INT((N98+C12+(DEGREES(ASIN(P98))+90)/15-T98)*60+1/2),0),":"&amp;FIXED(INT((N98+C12+(DEGREES(ASIN(P98))+90)/15-T98)*60+1/2),0)))</f>
        <v>:46</v>
      </c>
      <c r="V98" s="1">
        <f>ROUND(DEGREES(ASIN(COS(RADIANS(O98))*COS(RADIANS(L9))+SIN(RADIANS(O98))*SIN(RADIANS(L9)))),0)</f>
        <v>59</v>
      </c>
      <c r="W98" s="1" t="s">
        <v>17</v>
      </c>
      <c r="X98" s="18"/>
    </row>
    <row r="99" spans="1:24" ht="10.5" customHeight="1">
      <c r="A99" s="1"/>
      <c r="B99" s="15">
        <f>IF(M14&gt;0,solrdat!B78,solrdat!I78)</f>
        <v>39884</v>
      </c>
      <c r="C99" s="1">
        <f>IF(M14&gt;0,solrdat!C78,solrdat!J78)</f>
        <v>12.160527777777778</v>
      </c>
      <c r="D99" s="1">
        <f>IF(M14&gt;0,solrdat!D78,solrdat!K78)</f>
        <v>-3.040544</v>
      </c>
      <c r="E99" s="1">
        <f>(TAN(RADIANS(L9))*SIN(RADIANS(D99))-SIN(RADIANS(L13))/COS(RADIANS(L9)))/COS(RADIANS(D99))</f>
        <v>-0.968934389219686</v>
      </c>
      <c r="F99" s="1">
        <f t="shared" si="2"/>
        <v>1.9091808776924515</v>
      </c>
      <c r="G99" s="4">
        <f>IF(E99&lt;-1,"Below",IF(E99&gt;1,"Above",INT(C99+C12-(DEGREES(ASIN(E99))+90)/15+5/600)))</f>
        <v>11</v>
      </c>
      <c r="H99" s="1" t="str">
        <f>IF(OR(E99&lt;-1,E99&gt;1),IF(M13&gt;0," Min."," Horz."),IF(INT((C99+C12-(DEGREES(ASIN(E99))+90)/15-G99)*60+1/2)&lt;10,":0"&amp;FIXED(INT((C99+C12-(DEGREES(ASIN(E99))+90)/15-G99)*60+1/2),0),":"&amp;FIXED(INT((C99+C12-(DEGREES(ASIN(E99))+90)/15-G99)*60+1/2),0)))</f>
        <v>:32</v>
      </c>
      <c r="I99" s="4">
        <f>IF(E99&lt;-1,"Below",IF(E99&gt;1,"Above",INT(C99+C12+(DEGREES(ASIN(E99))+90)/15+5/600)))</f>
        <v>13</v>
      </c>
      <c r="J99" s="1" t="str">
        <f>IF(OR(E99&lt;-1,E99&gt;1),IF(M13&gt;0," Min."," Horz."),IF(INT((C99+C12+(DEGREES(ASIN(E99))+90)/15-I99)*60+1/2)&lt;10,":0"&amp;FIXED(INT((C99+C12+(DEGREES(ASIN(E99))+90)/15-I99)*60+1/2),0),":"&amp;FIXED(INT((C99+C12+(DEGREES(ASIN(E99))+90)/15-I99)*60+1/2),0)))</f>
        <v>:27</v>
      </c>
      <c r="K99" s="1">
        <f>ROUND(DEGREES(ASIN(COS(RADIANS(D99))*COS(RADIANS(L9))+SIN(RADIANS(D99))*SIN(RADIANS(L9)))),0)</f>
        <v>47</v>
      </c>
      <c r="L99" s="1" t="s">
        <v>17</v>
      </c>
      <c r="M99" s="16">
        <f>IF(M14&gt;0,solrdat!B110,solrdat!I110)</f>
        <v>39915</v>
      </c>
      <c r="N99" s="1">
        <f>IF(M14&gt;0,solrdat!C110,solrdat!J110)</f>
        <v>12.011138888888889</v>
      </c>
      <c r="O99" s="1">
        <f>IF(M14&gt;0,solrdat!D110,solrdat!K110)</f>
        <v>8.941004</v>
      </c>
      <c r="P99" s="1">
        <f>(TAN(RADIANS(L9))*SIN(RADIANS(O99))-SIN(RADIANS(L13))/COS(RADIANS(L9)))/COS(RADIANS(O99))</f>
        <v>-0.8024017452153748</v>
      </c>
      <c r="Q99" s="1">
        <f t="shared" si="3"/>
        <v>4.885324255915901</v>
      </c>
      <c r="R99" s="4">
        <f>IF(P99&lt;-1,"Below",IF(P99&gt;1,"Above",INT(N99+C12-(DEGREES(ASIN(P99))+90)/15+5/600)))</f>
        <v>9</v>
      </c>
      <c r="S99" s="1" t="str">
        <f>IF(OR(P99&lt;-1,P99&gt;1),IF(M13&gt;0," Min."," Horz."),IF(INT((N99+C12-(DEGREES(ASIN(P99))+90)/15-R99)*60+1/2)&lt;10,":0"&amp;FIXED(INT((N99+C12-(DEGREES(ASIN(P99))+90)/15-R99)*60+1/2),0),":"&amp;FIXED(INT((N99+C12-(DEGREES(ASIN(P99))+90)/15-R99)*60+1/2),0)))</f>
        <v>:54</v>
      </c>
      <c r="T99" s="4">
        <f>IF(P99&lt;-1,"Below",IF(P99&gt;1,"Above",INT(N99+C12+(DEGREES(ASIN(P99))+90)/15+5/600)))</f>
        <v>14</v>
      </c>
      <c r="U99" s="1" t="str">
        <f>IF(OR(P99&lt;-1,P99&gt;1),IF(M13&gt;0," Min."," Horz."),IF(INT((N99+C12+(DEGREES(ASIN(P99))+90)/15-T99)*60+1/2)&lt;10,":0"&amp;FIXED(INT((N99+C12+(DEGREES(ASIN(P99))+90)/15-T99)*60+1/2),0),":"&amp;FIXED(INT((N99+C12+(DEGREES(ASIN(P99))+90)/15-T99)*60+1/2),0)))</f>
        <v>:47</v>
      </c>
      <c r="V99" s="1">
        <f>ROUND(DEGREES(ASIN(COS(RADIANS(O99))*COS(RADIANS(L9))+SIN(RADIANS(O99))*SIN(RADIANS(L9)))),0)</f>
        <v>59</v>
      </c>
      <c r="W99" s="1" t="s">
        <v>17</v>
      </c>
      <c r="X99" s="18"/>
    </row>
    <row r="100" spans="1:24" ht="10.5" customHeight="1">
      <c r="A100" s="1"/>
      <c r="B100" s="15">
        <f>IF(M14&gt;0,solrdat!B79,solrdat!I79)</f>
        <v>39885</v>
      </c>
      <c r="C100" s="1">
        <f>IF(M14&gt;0,solrdat!C79,solrdat!J79)</f>
        <v>12.155944444444444</v>
      </c>
      <c r="D100" s="1">
        <f>IF(M14&gt;0,solrdat!D79,solrdat!K79)</f>
        <v>-2.64653</v>
      </c>
      <c r="E100" s="1">
        <f>(TAN(RADIANS(L9))*SIN(RADIANS(D100))-SIN(RADIANS(L13))/COS(RADIANS(L9)))/COS(RADIANS(D100))</f>
        <v>-0.9628340910873149</v>
      </c>
      <c r="F100" s="1">
        <f t="shared" si="2"/>
        <v>2.0893109726737027</v>
      </c>
      <c r="G100" s="4">
        <f>IF(E100&lt;-1,"Below",IF(E100&gt;1,"Above",INT(C100+C12-(DEGREES(ASIN(E100))+90)/15+5/600)))</f>
        <v>11</v>
      </c>
      <c r="H100" s="1" t="str">
        <f>IF(OR(E100&lt;-1,E100&gt;1),IF(M13&gt;0," Min."," Horz."),IF(INT((C100+C12-(DEGREES(ASIN(E100))+90)/15-G100)*60+1/2)&lt;10,":0"&amp;FIXED(INT((C100+C12-(DEGREES(ASIN(E100))+90)/15-G100)*60+1/2),0),":"&amp;FIXED(INT((C100+C12-(DEGREES(ASIN(E100))+90)/15-G100)*60+1/2),0)))</f>
        <v>:27</v>
      </c>
      <c r="I100" s="4">
        <f>IF(E100&lt;-1,"Below",IF(E100&gt;1,"Above",INT(C100+C12+(DEGREES(ASIN(E100))+90)/15+5/600)))</f>
        <v>13</v>
      </c>
      <c r="J100" s="1" t="str">
        <f>IF(OR(E100&lt;-1,E100&gt;1),IF(M13&gt;0," Min."," Horz."),IF(INT((C100+C12+(DEGREES(ASIN(E100))+90)/15-I100)*60+1/2)&lt;10,":0"&amp;FIXED(INT((C100+C12+(DEGREES(ASIN(E100))+90)/15-I100)*60+1/2),0),":"&amp;FIXED(INT((C100+C12+(DEGREES(ASIN(E100))+90)/15-I100)*60+1/2),0)))</f>
        <v>:32</v>
      </c>
      <c r="K100" s="1">
        <f>ROUND(DEGREES(ASIN(COS(RADIANS(D100))*COS(RADIANS(L9))+SIN(RADIANS(D100))*SIN(RADIANS(L9)))),0)</f>
        <v>47</v>
      </c>
      <c r="L100" s="1" t="s">
        <v>17</v>
      </c>
      <c r="M100" s="16">
        <f>IF(M14&gt;0,solrdat!B111,solrdat!I111)</f>
        <v>39916</v>
      </c>
      <c r="N100" s="1">
        <f>IF(M14&gt;0,solrdat!C111,solrdat!J111)</f>
        <v>12.006916666666667</v>
      </c>
      <c r="O100" s="1">
        <f>IF(M14&gt;0,solrdat!D111,solrdat!K111)</f>
        <v>9.303055</v>
      </c>
      <c r="P100" s="1">
        <f>(TAN(RADIANS(L9))*SIN(RADIANS(O100))-SIN(RADIANS(L13))/COS(RADIANS(L9)))/COS(RADIANS(O100))</f>
        <v>-0.7979113368203055</v>
      </c>
      <c r="Q100" s="1">
        <f t="shared" si="3"/>
        <v>4.942518659354561</v>
      </c>
      <c r="R100" s="4">
        <f>IF(P100&lt;-1,"Below",IF(P100&gt;1,"Above",INT(N100+C12-(DEGREES(ASIN(P100))+90)/15+5/600)))</f>
        <v>9</v>
      </c>
      <c r="S100" s="1" t="str">
        <f>IF(OR(P100&lt;-1,P100&gt;1),IF(M13&gt;0," Min."," Horz."),IF(INT((N100+C12-(DEGREES(ASIN(P100))+90)/15-R100)*60+1/2)&lt;10,":0"&amp;FIXED(INT((N100+C12-(DEGREES(ASIN(P100))+90)/15-R100)*60+1/2),0),":"&amp;FIXED(INT((N100+C12-(DEGREES(ASIN(P100))+90)/15-R100)*60+1/2),0)))</f>
        <v>:52</v>
      </c>
      <c r="T100" s="4">
        <f>IF(P100&lt;-1,"Below",IF(P100&gt;1,"Above",INT(N100+C12+(DEGREES(ASIN(P100))+90)/15+5/600)))</f>
        <v>14</v>
      </c>
      <c r="U100" s="1" t="str">
        <f>IF(OR(P100&lt;-1,P100&gt;1),IF(M13&gt;0," Min."," Horz."),IF(INT((N100+C12+(DEGREES(ASIN(P100))+90)/15-T100)*60+1/2)&lt;10,":0"&amp;FIXED(INT((N100+C12+(DEGREES(ASIN(P100))+90)/15-T100)*60+1/2),0),":"&amp;FIXED(INT((N100+C12+(DEGREES(ASIN(P100))+90)/15-T100)*60+1/2),0)))</f>
        <v>:49</v>
      </c>
      <c r="V100" s="1">
        <f>ROUND(DEGREES(ASIN(COS(RADIANS(O100))*COS(RADIANS(L9))+SIN(RADIANS(O100))*SIN(RADIANS(L9)))),0)</f>
        <v>59</v>
      </c>
      <c r="W100" s="1" t="s">
        <v>17</v>
      </c>
      <c r="X100" s="18"/>
    </row>
    <row r="101" spans="1:24" ht="10.5" customHeight="1">
      <c r="A101" s="1"/>
      <c r="B101" s="15">
        <f>IF(M14&gt;0,solrdat!B80,solrdat!I80)</f>
        <v>39886</v>
      </c>
      <c r="C101" s="1">
        <f>IF(M14&gt;0,solrdat!C80,solrdat!J80)</f>
        <v>12.151305555555556</v>
      </c>
      <c r="D101" s="1">
        <f>IF(M14&gt;0,solrdat!D80,solrdat!K80)</f>
        <v>-2.252025</v>
      </c>
      <c r="E101" s="1">
        <f>(TAN(RADIANS(L9))*SIN(RADIANS(D101))-SIN(RADIANS(L13))/COS(RADIANS(L9)))/COS(RADIANS(D101))</f>
        <v>-0.9567738428986763</v>
      </c>
      <c r="F101" s="1">
        <f t="shared" si="2"/>
        <v>2.2543774665577945</v>
      </c>
      <c r="G101" s="4">
        <f>IF(E101&lt;-1,"Below",IF(E101&gt;1,"Above",INT(C101+C12-(DEGREES(ASIN(E101))+90)/15+5/600)))</f>
        <v>11</v>
      </c>
      <c r="H101" s="1" t="str">
        <f>IF(OR(E101&lt;-1,E101&gt;1),IF(M13&gt;0," Min."," Horz."),IF(INT((C101+C12-(DEGREES(ASIN(E101))+90)/15-G101)*60+1/2)&lt;10,":0"&amp;FIXED(INT((C101+C12-(DEGREES(ASIN(E101))+90)/15-G101)*60+1/2),0),":"&amp;FIXED(INT((C101+C12-(DEGREES(ASIN(E101))+90)/15-G101)*60+1/2),0)))</f>
        <v>:21</v>
      </c>
      <c r="I101" s="4">
        <f>IF(E101&lt;-1,"Below",IF(E101&gt;1,"Above",INT(C101+C12+(DEGREES(ASIN(E101))+90)/15+5/600)))</f>
        <v>13</v>
      </c>
      <c r="J101" s="1" t="str">
        <f>IF(OR(E101&lt;-1,E101&gt;1),IF(M13&gt;0," Min."," Horz."),IF(INT((C101+C12+(DEGREES(ASIN(E101))+90)/15-I101)*60+1/2)&lt;10,":0"&amp;FIXED(INT((C101+C12+(DEGREES(ASIN(E101))+90)/15-I101)*60+1/2),0),":"&amp;FIXED(INT((C101+C12+(DEGREES(ASIN(E101))+90)/15-I101)*60+1/2),0)))</f>
        <v>:37</v>
      </c>
      <c r="K101" s="1">
        <f>ROUND(DEGREES(ASIN(COS(RADIANS(D101))*COS(RADIANS(L9))+SIN(RADIANS(D101))*SIN(RADIANS(L9)))),0)</f>
        <v>48</v>
      </c>
      <c r="L101" s="1" t="s">
        <v>17</v>
      </c>
      <c r="M101" s="16">
        <f>IF(M14&gt;0,solrdat!B112,solrdat!I112)</f>
        <v>39917</v>
      </c>
      <c r="N101" s="1">
        <f>IF(M14&gt;0,solrdat!C112,solrdat!J112)</f>
        <v>12.002777777777778</v>
      </c>
      <c r="O101" s="1">
        <f>IF(M14&gt;0,solrdat!D112,solrdat!K112)</f>
        <v>9.662561</v>
      </c>
      <c r="P101" s="1">
        <f>(TAN(RADIANS(L9))*SIN(RADIANS(O101))-SIN(RADIANS(L13))/COS(RADIANS(L9)))/COS(RADIANS(O101))</f>
        <v>-0.7934802805491233</v>
      </c>
      <c r="Q101" s="1">
        <f t="shared" si="3"/>
        <v>4.998406791397495</v>
      </c>
      <c r="R101" s="4">
        <f>IF(P101&lt;-1,"Below",IF(P101&gt;1,"Above",INT(N101+C12-(DEGREES(ASIN(P101))+90)/15+5/600)))</f>
        <v>9</v>
      </c>
      <c r="S101" s="1" t="str">
        <f>IF(OR(P101&lt;-1,P101&gt;1),IF(M13&gt;0," Min."," Horz."),IF(INT((N101+C12-(DEGREES(ASIN(P101))+90)/15-R101)*60+1/2)&lt;10,":0"&amp;FIXED(INT((N101+C12-(DEGREES(ASIN(P101))+90)/15-R101)*60+1/2),0),":"&amp;FIXED(INT((N101+C12-(DEGREES(ASIN(P101))+90)/15-R101)*60+1/2),0)))</f>
        <v>:50</v>
      </c>
      <c r="T101" s="4">
        <f>IF(P101&lt;-1,"Below",IF(P101&gt;1,"Above",INT(N101+C12+(DEGREES(ASIN(P101))+90)/15+5/600)))</f>
        <v>14</v>
      </c>
      <c r="U101" s="1" t="str">
        <f>IF(OR(P101&lt;-1,P101&gt;1),IF(M13&gt;0," Min."," Horz."),IF(INT((N101+C12+(DEGREES(ASIN(P101))+90)/15-T101)*60+1/2)&lt;10,":0"&amp;FIXED(INT((N101+C12+(DEGREES(ASIN(P101))+90)/15-T101)*60+1/2),0),":"&amp;FIXED(INT((N101+C12+(DEGREES(ASIN(P101))+90)/15-T101)*60+1/2),0)))</f>
        <v>:50</v>
      </c>
      <c r="V101" s="1">
        <f>ROUND(DEGREES(ASIN(COS(RADIANS(O101))*COS(RADIANS(L9))+SIN(RADIANS(O101))*SIN(RADIANS(L9)))),0)</f>
        <v>60</v>
      </c>
      <c r="W101" s="1" t="s">
        <v>17</v>
      </c>
      <c r="X101" s="18"/>
    </row>
    <row r="102" spans="1:24" ht="10.5" customHeight="1">
      <c r="A102" s="1"/>
      <c r="B102" s="15">
        <f>IF(M14&gt;0,solrdat!B81,solrdat!I81)</f>
        <v>39887</v>
      </c>
      <c r="C102" s="1">
        <f>IF(M14&gt;0,solrdat!C81,solrdat!J81)</f>
        <v>12.146611111111111</v>
      </c>
      <c r="D102" s="1">
        <f>IF(M14&gt;0,solrdat!D81,solrdat!K81)</f>
        <v>-1.857127</v>
      </c>
      <c r="E102" s="1">
        <f>(TAN(RADIANS(L9))*SIN(RADIANS(D102))-SIN(RADIANS(L13))/COS(RADIANS(L9)))/COS(RADIANS(D102))</f>
        <v>-0.9507546929817637</v>
      </c>
      <c r="F102" s="1">
        <f t="shared" si="2"/>
        <v>2.4074504168145436</v>
      </c>
      <c r="G102" s="4">
        <f>IF(E102&lt;-1,"Below",IF(E102&gt;1,"Above",INT(C102+C12-(DEGREES(ASIN(E102))+90)/15+5/600)))</f>
        <v>11</v>
      </c>
      <c r="H102" s="1" t="str">
        <f>IF(OR(E102&lt;-1,E102&gt;1),IF(M13&gt;0," Min."," Horz."),IF(INT((C102+C12-(DEGREES(ASIN(E102))+90)/15-G102)*60+1/2)&lt;10,":0"&amp;FIXED(INT((C102+C12-(DEGREES(ASIN(E102))+90)/15-G102)*60+1/2),0),":"&amp;FIXED(INT((C102+C12-(DEGREES(ASIN(E102))+90)/15-G102)*60+1/2),0)))</f>
        <v>:17</v>
      </c>
      <c r="I102" s="4">
        <f>IF(E102&lt;-1,"Below",IF(E102&gt;1,"Above",INT(C102+C12+(DEGREES(ASIN(E102))+90)/15+5/600)))</f>
        <v>13</v>
      </c>
      <c r="J102" s="1" t="str">
        <f>IF(OR(E102&lt;-1,E102&gt;1),IF(M13&gt;0," Min."," Horz."),IF(INT((C102+C12+(DEGREES(ASIN(E102))+90)/15-I102)*60+1/2)&lt;10,":0"&amp;FIXED(INT((C102+C12+(DEGREES(ASIN(E102))+90)/15-I102)*60+1/2),0),":"&amp;FIXED(INT((C102+C12+(DEGREES(ASIN(E102))+90)/15-I102)*60+1/2),0)))</f>
        <v>:41</v>
      </c>
      <c r="K102" s="1">
        <f>ROUND(DEGREES(ASIN(COS(RADIANS(D102))*COS(RADIANS(L9))+SIN(RADIANS(D102))*SIN(RADIANS(L9)))),0)</f>
        <v>48</v>
      </c>
      <c r="L102" s="1" t="s">
        <v>17</v>
      </c>
      <c r="M102" s="16">
        <f>IF(M14&gt;0,solrdat!B113,solrdat!I113)</f>
        <v>39918</v>
      </c>
      <c r="N102" s="1">
        <f>IF(M14&gt;0,solrdat!C113,solrdat!J113)</f>
        <v>11.99875</v>
      </c>
      <c r="O102" s="1">
        <f>IF(M14&gt;0,solrdat!D113,solrdat!K113)</f>
        <v>10.019429</v>
      </c>
      <c r="P102" s="1">
        <f>(TAN(RADIANS(L9))*SIN(RADIANS(O102))-SIN(RADIANS(L13))/COS(RADIANS(L9)))/COS(RADIANS(O102))</f>
        <v>-0.7891088645405672</v>
      </c>
      <c r="Q102" s="1">
        <f t="shared" si="3"/>
        <v>5.053025157402211</v>
      </c>
      <c r="R102" s="4">
        <f>IF(P102&lt;-1,"Below",IF(P102&gt;1,"Above",INT(N102+C12-(DEGREES(ASIN(P102))+90)/15+5/600)))</f>
        <v>9</v>
      </c>
      <c r="S102" s="1" t="str">
        <f>IF(OR(P102&lt;-1,P102&gt;1),IF(M13&gt;0," Min."," Horz."),IF(INT((N102+C12-(DEGREES(ASIN(P102))+90)/15-R102)*60+1/2)&lt;10,":0"&amp;FIXED(INT((N102+C12-(DEGREES(ASIN(P102))+90)/15-R102)*60+1/2),0),":"&amp;FIXED(INT((N102+C12-(DEGREES(ASIN(P102))+90)/15-R102)*60+1/2),0)))</f>
        <v>:48</v>
      </c>
      <c r="T102" s="4">
        <f>IF(P102&lt;-1,"Below",IF(P102&gt;1,"Above",INT(N102+C12+(DEGREES(ASIN(P102))+90)/15+5/600)))</f>
        <v>14</v>
      </c>
      <c r="U102" s="1" t="str">
        <f>IF(OR(P102&lt;-1,P102&gt;1),IF(M13&gt;0," Min."," Horz."),IF(INT((N102+C12+(DEGREES(ASIN(P102))+90)/15-T102)*60+1/2)&lt;10,":0"&amp;FIXED(INT((N102+C12+(DEGREES(ASIN(P102))+90)/15-T102)*60+1/2),0),":"&amp;FIXED(INT((N102+C12+(DEGREES(ASIN(P102))+90)/15-T102)*60+1/2),0)))</f>
        <v>:52</v>
      </c>
      <c r="V102" s="1">
        <f>ROUND(DEGREES(ASIN(COS(RADIANS(O102))*COS(RADIANS(L9))+SIN(RADIANS(O102))*SIN(RADIANS(L9)))),0)</f>
        <v>60</v>
      </c>
      <c r="W102" s="1" t="s">
        <v>17</v>
      </c>
      <c r="X102" s="18"/>
    </row>
    <row r="103" spans="1:24" ht="10.5" customHeight="1">
      <c r="A103" s="1"/>
      <c r="B103" s="15">
        <f>IF(M14&gt;0,solrdat!B82,solrdat!I82)</f>
        <v>39888</v>
      </c>
      <c r="C103" s="1">
        <f>IF(M14&gt;0,solrdat!C82,solrdat!J82)</f>
        <v>12.141861111111112</v>
      </c>
      <c r="D103" s="1">
        <f>IF(M14&gt;0,solrdat!D82,solrdat!K82)</f>
        <v>-1.461938</v>
      </c>
      <c r="E103" s="1">
        <f>(TAN(RADIANS(L9))*SIN(RADIANS(D103))-SIN(RADIANS(L13))/COS(RADIANS(L9)))/COS(RADIANS(D103))</f>
        <v>-0.944777711309144</v>
      </c>
      <c r="F103" s="1">
        <f t="shared" si="2"/>
        <v>2.5506606158013105</v>
      </c>
      <c r="G103" s="4">
        <f>IF(E103&lt;-1,"Below",IF(E103&gt;1,"Above",INT(C103+C12-(DEGREES(ASIN(E103))+90)/15+5/600)))</f>
        <v>11</v>
      </c>
      <c r="H103" s="1" t="str">
        <f>IF(OR(E103&lt;-1,E103&gt;1),IF(M13&gt;0," Min."," Horz."),IF(INT((C103+C12-(DEGREES(ASIN(E103))+90)/15-G103)*60+1/2)&lt;10,":0"&amp;FIXED(INT((C103+C12-(DEGREES(ASIN(E103))+90)/15-G103)*60+1/2),0),":"&amp;FIXED(INT((C103+C12-(DEGREES(ASIN(E103))+90)/15-G103)*60+1/2),0)))</f>
        <v>:12</v>
      </c>
      <c r="I103" s="4">
        <f>IF(E103&lt;-1,"Below",IF(E103&gt;1,"Above",INT(C103+C12+(DEGREES(ASIN(E103))+90)/15+5/600)))</f>
        <v>13</v>
      </c>
      <c r="J103" s="1" t="str">
        <f>IF(OR(E103&lt;-1,E103&gt;1),IF(M13&gt;0," Min."," Horz."),IF(INT((C103+C12+(DEGREES(ASIN(E103))+90)/15-I103)*60+1/2)&lt;10,":0"&amp;FIXED(INT((C103+C12+(DEGREES(ASIN(E103))+90)/15-I103)*60+1/2),0),":"&amp;FIXED(INT((C103+C12+(DEGREES(ASIN(E103))+90)/15-I103)*60+1/2),0)))</f>
        <v>:45</v>
      </c>
      <c r="K103" s="1">
        <f>ROUND(DEGREES(ASIN(COS(RADIANS(D103))*COS(RADIANS(L9))+SIN(RADIANS(D103))*SIN(RADIANS(L9)))),0)</f>
        <v>49</v>
      </c>
      <c r="L103" s="1" t="s">
        <v>17</v>
      </c>
      <c r="M103" s="16">
        <f>IF(M14&gt;0,solrdat!B114,solrdat!I114)</f>
        <v>39919</v>
      </c>
      <c r="N103" s="1">
        <f>IF(M14&gt;0,solrdat!C114,solrdat!J114)</f>
        <v>11.994805555555555</v>
      </c>
      <c r="O103" s="1">
        <f>IF(M14&gt;0,solrdat!D114,solrdat!K114)</f>
        <v>10.373563</v>
      </c>
      <c r="P103" s="1">
        <f>(TAN(RADIANS(L9))*SIN(RADIANS(O103))-SIN(RADIANS(L13))/COS(RADIANS(L9)))/COS(RADIANS(O103))</f>
        <v>-0.7847974054512438</v>
      </c>
      <c r="Q103" s="1">
        <f t="shared" si="3"/>
        <v>5.106407383305046</v>
      </c>
      <c r="R103" s="4">
        <f>IF(P103&lt;-1,"Below",IF(P103&gt;1,"Above",INT(N103+C12-(DEGREES(ASIN(P103))+90)/15+5/600)))</f>
        <v>9</v>
      </c>
      <c r="S103" s="1" t="str">
        <f>IF(OR(P103&lt;-1,P103&gt;1),IF(M13&gt;0," Min."," Horz."),IF(INT((N103+C12-(DEGREES(ASIN(P103))+90)/15-R103)*60+1/2)&lt;10,":0"&amp;FIXED(INT((N103+C12-(DEGREES(ASIN(P103))+90)/15-R103)*60+1/2),0),":"&amp;FIXED(INT((N103+C12-(DEGREES(ASIN(P103))+90)/15-R103)*60+1/2),0)))</f>
        <v>:46</v>
      </c>
      <c r="T103" s="4">
        <f>IF(P103&lt;-1,"Below",IF(P103&gt;1,"Above",INT(N103+C12+(DEGREES(ASIN(P103))+90)/15+5/600)))</f>
        <v>14</v>
      </c>
      <c r="U103" s="1" t="str">
        <f>IF(OR(P103&lt;-1,P103&gt;1),IF(M13&gt;0," Min."," Horz."),IF(INT((N103+C12+(DEGREES(ASIN(P103))+90)/15-T103)*60+1/2)&lt;10,":0"&amp;FIXED(INT((N103+C12+(DEGREES(ASIN(P103))+90)/15-T103)*60+1/2),0),":"&amp;FIXED(INT((N103+C12+(DEGREES(ASIN(P103))+90)/15-T103)*60+1/2),0)))</f>
        <v>:53</v>
      </c>
      <c r="V103" s="1">
        <f>ROUND(DEGREES(ASIN(COS(RADIANS(O103))*COS(RADIANS(L9))+SIN(RADIANS(O103))*SIN(RADIANS(L9)))),0)</f>
        <v>60</v>
      </c>
      <c r="W103" s="1" t="s">
        <v>17</v>
      </c>
      <c r="X103" s="18"/>
    </row>
    <row r="104" spans="1:24" ht="10.5" customHeight="1">
      <c r="A104" s="1"/>
      <c r="B104" s="15">
        <f>IF(M14&gt;0,solrdat!B83,solrdat!I83)</f>
        <v>39889</v>
      </c>
      <c r="C104" s="1">
        <f>IF(M14&gt;0,solrdat!C83,solrdat!J83)</f>
        <v>12.137055555555555</v>
      </c>
      <c r="D104" s="1">
        <f>IF(M14&gt;0,solrdat!D83,solrdat!K83)</f>
        <v>-1.06656</v>
      </c>
      <c r="E104" s="1">
        <f>(TAN(RADIANS(L9))*SIN(RADIANS(D104))-SIN(RADIANS(L13))/COS(RADIANS(L9)))/COS(RADIANS(D104))</f>
        <v>-0.9388439286373329</v>
      </c>
      <c r="F104" s="1">
        <f t="shared" si="2"/>
        <v>2.6855590781167527</v>
      </c>
      <c r="G104" s="4">
        <f>IF(E104&lt;-1,"Below",IF(E104&gt;1,"Above",INT(C104+C12-(DEGREES(ASIN(E104))+90)/15+5/600)))</f>
        <v>11</v>
      </c>
      <c r="H104" s="1" t="str">
        <f>IF(OR(E104&lt;-1,E104&gt;1),IF(M13&gt;0," Min."," Horz."),IF(INT((C104+C12-(DEGREES(ASIN(E104))+90)/15-G104)*60+1/2)&lt;10,":0"&amp;FIXED(INT((C104+C12-(DEGREES(ASIN(E104))+90)/15-G104)*60+1/2),0),":"&amp;FIXED(INT((C104+C12-(DEGREES(ASIN(E104))+90)/15-G104)*60+1/2),0)))</f>
        <v>:08</v>
      </c>
      <c r="I104" s="4">
        <f>IF(E104&lt;-1,"Below",IF(E104&gt;1,"Above",INT(C104+C12+(DEGREES(ASIN(E104))+90)/15+5/600)))</f>
        <v>13</v>
      </c>
      <c r="J104" s="1" t="str">
        <f>IF(OR(E104&lt;-1,E104&gt;1),IF(M13&gt;0," Min."," Horz."),IF(INT((C104+C12+(DEGREES(ASIN(E104))+90)/15-I104)*60+1/2)&lt;10,":0"&amp;FIXED(INT((C104+C12+(DEGREES(ASIN(E104))+90)/15-I104)*60+1/2),0),":"&amp;FIXED(INT((C104+C12+(DEGREES(ASIN(E104))+90)/15-I104)*60+1/2),0)))</f>
        <v>:49</v>
      </c>
      <c r="K104" s="1">
        <f>ROUND(DEGREES(ASIN(COS(RADIANS(D104))*COS(RADIANS(L9))+SIN(RADIANS(D104))*SIN(RADIANS(L9)))),0)</f>
        <v>49</v>
      </c>
      <c r="L104" s="1" t="s">
        <v>17</v>
      </c>
      <c r="M104" s="16">
        <f>IF(M14&gt;0,solrdat!B115,solrdat!I115)</f>
        <v>39920</v>
      </c>
      <c r="N104" s="1">
        <f>IF(M14&gt;0,solrdat!C115,solrdat!J115)</f>
        <v>11.990972222222222</v>
      </c>
      <c r="O104" s="1">
        <f>IF(M14&gt;0,solrdat!D115,solrdat!K115)</f>
        <v>10.724869</v>
      </c>
      <c r="P104" s="1">
        <f>(TAN(RADIANS(L9))*SIN(RADIANS(O104))-SIN(RADIANS(L13))/COS(RADIANS(L9)))/COS(RADIANS(O104))</f>
        <v>-0.7805461876125571</v>
      </c>
      <c r="Q104" s="1">
        <f t="shared" si="3"/>
        <v>5.158585191873922</v>
      </c>
      <c r="R104" s="4">
        <f>IF(P104&lt;-1,"Below",IF(P104&gt;1,"Above",INT(N104+C12-(DEGREES(ASIN(P104))+90)/15+5/600)))</f>
        <v>9</v>
      </c>
      <c r="S104" s="1" t="str">
        <f>IF(OR(P104&lt;-1,P104&gt;1),IF(M13&gt;0," Min."," Horz."),IF(INT((N104+C12-(DEGREES(ASIN(P104))+90)/15-R104)*60+1/2)&lt;10,":0"&amp;FIXED(INT((N104+C12-(DEGREES(ASIN(P104))+90)/15-R104)*60+1/2),0),":"&amp;FIXED(INT((N104+C12-(DEGREES(ASIN(P104))+90)/15-R104)*60+1/2),0)))</f>
        <v>:45</v>
      </c>
      <c r="T104" s="4">
        <f>IF(P104&lt;-1,"Below",IF(P104&gt;1,"Above",INT(N104+C12+(DEGREES(ASIN(P104))+90)/15+5/600)))</f>
        <v>14</v>
      </c>
      <c r="U104" s="1" t="str">
        <f>IF(OR(P104&lt;-1,P104&gt;1),IF(M13&gt;0," Min."," Horz."),IF(INT((N104+C12+(DEGREES(ASIN(P104))+90)/15-T104)*60+1/2)&lt;10,":0"&amp;FIXED(INT((N104+C12+(DEGREES(ASIN(P104))+90)/15-T104)*60+1/2),0),":"&amp;FIXED(INT((N104+C12+(DEGREES(ASIN(P104))+90)/15-T104)*60+1/2),0)))</f>
        <v>:54</v>
      </c>
      <c r="V104" s="1">
        <f>ROUND(DEGREES(ASIN(COS(RADIANS(O104))*COS(RADIANS(L9))+SIN(RADIANS(O104))*SIN(RADIANS(L9)))),0)</f>
        <v>61</v>
      </c>
      <c r="W104" s="1" t="s">
        <v>17</v>
      </c>
      <c r="X104" s="18"/>
    </row>
    <row r="105" spans="1:24" ht="10.5" customHeight="1">
      <c r="A105" s="1"/>
      <c r="B105" s="15">
        <f>IF(M14&gt;0,solrdat!B84,solrdat!I84)</f>
        <v>39890</v>
      </c>
      <c r="C105" s="1">
        <f>IF(M14&gt;0,solrdat!C84,solrdat!J84)</f>
        <v>12.132194444444444</v>
      </c>
      <c r="D105" s="1">
        <f>IF(M14&gt;0,solrdat!D84,solrdat!K84)</f>
        <v>-0.671095</v>
      </c>
      <c r="E105" s="1">
        <f>(TAN(RADIANS(L9))*SIN(RADIANS(D105))-SIN(RADIANS(L13))/COS(RADIANS(L9)))/COS(RADIANS(D105))</f>
        <v>-0.9329543378026639</v>
      </c>
      <c r="F105" s="1">
        <f t="shared" si="2"/>
        <v>2.813316293428126</v>
      </c>
      <c r="G105" s="4">
        <f>IF(E105&lt;-1,"Below",IF(E105&gt;1,"Above",INT(C105+C12-(DEGREES(ASIN(E105))+90)/15+5/600)))</f>
        <v>11</v>
      </c>
      <c r="H105" s="1" t="str">
        <f>IF(OR(E105&lt;-1,E105&gt;1),IF(M13&gt;0," Min."," Horz."),IF(INT((C105+C12-(DEGREES(ASIN(E105))+90)/15-G105)*60+1/2)&lt;10,":0"&amp;FIXED(INT((C105+C12-(DEGREES(ASIN(E105))+90)/15-G105)*60+1/2),0),":"&amp;FIXED(INT((C105+C12-(DEGREES(ASIN(E105))+90)/15-G105)*60+1/2),0)))</f>
        <v>:04</v>
      </c>
      <c r="I105" s="4">
        <f>IF(E105&lt;-1,"Below",IF(E105&gt;1,"Above",INT(C105+C12+(DEGREES(ASIN(E105))+90)/15+5/600)))</f>
        <v>13</v>
      </c>
      <c r="J105" s="1" t="str">
        <f>IF(OR(E105&lt;-1,E105&gt;1),IF(M13&gt;0," Min."," Horz."),IF(INT((C105+C12+(DEGREES(ASIN(E105))+90)/15-I105)*60+1/2)&lt;10,":0"&amp;FIXED(INT((C105+C12+(DEGREES(ASIN(E105))+90)/15-I105)*60+1/2),0),":"&amp;FIXED(INT((C105+C12+(DEGREES(ASIN(E105))+90)/15-I105)*60+1/2),0)))</f>
        <v>:52</v>
      </c>
      <c r="K105" s="1">
        <f>ROUND(DEGREES(ASIN(COS(RADIANS(D105))*COS(RADIANS(L9))+SIN(RADIANS(D105))*SIN(RADIANS(L9)))),0)</f>
        <v>49</v>
      </c>
      <c r="L105" s="1" t="s">
        <v>17</v>
      </c>
      <c r="M105" s="16">
        <f>IF(M14&gt;0,solrdat!B116,solrdat!I116)</f>
        <v>39921</v>
      </c>
      <c r="N105" s="1">
        <f>IF(M14&gt;0,solrdat!C116,solrdat!J116)</f>
        <v>11.987277777777777</v>
      </c>
      <c r="O105" s="1">
        <f>IF(M14&gt;0,solrdat!D116,solrdat!K116)</f>
        <v>11.073251</v>
      </c>
      <c r="P105" s="1">
        <f>(TAN(RADIANS(L9))*SIN(RADIANS(O105))-SIN(RADIANS(L13))/COS(RADIANS(L9)))/COS(RADIANS(O105))</f>
        <v>-0.7763555123178117</v>
      </c>
      <c r="Q105" s="1">
        <f t="shared" si="3"/>
        <v>5.209587981541284</v>
      </c>
      <c r="R105" s="4">
        <f>IF(P105&lt;-1,"Below",IF(P105&gt;1,"Above",INT(N105+C12-(DEGREES(ASIN(P105))+90)/15+5/600)))</f>
        <v>9</v>
      </c>
      <c r="S105" s="1" t="str">
        <f>IF(OR(P105&lt;-1,P105&gt;1),IF(M13&gt;0," Min."," Horz."),IF(INT((N105+C12-(DEGREES(ASIN(P105))+90)/15-R105)*60+1/2)&lt;10,":0"&amp;FIXED(INT((N105+C12-(DEGREES(ASIN(P105))+90)/15-R105)*60+1/2),0),":"&amp;FIXED(INT((N105+C12-(DEGREES(ASIN(P105))+90)/15-R105)*60+1/2),0)))</f>
        <v>:43</v>
      </c>
      <c r="T105" s="4">
        <f>IF(P105&lt;-1,"Below",IF(P105&gt;1,"Above",INT(N105+C12+(DEGREES(ASIN(P105))+90)/15+5/600)))</f>
        <v>14</v>
      </c>
      <c r="U105" s="1" t="str">
        <f>IF(OR(P105&lt;-1,P105&gt;1),IF(M13&gt;0," Min."," Horz."),IF(INT((N105+C12+(DEGREES(ASIN(P105))+90)/15-T105)*60+1/2)&lt;10,":0"&amp;FIXED(INT((N105+C12+(DEGREES(ASIN(P105))+90)/15-T105)*60+1/2),0),":"&amp;FIXED(INT((N105+C12+(DEGREES(ASIN(P105))+90)/15-T105)*60+1/2),0)))</f>
        <v>:56</v>
      </c>
      <c r="V105" s="1">
        <f>ROUND(DEGREES(ASIN(COS(RADIANS(O105))*COS(RADIANS(L9))+SIN(RADIANS(O105))*SIN(RADIANS(L9)))),0)</f>
        <v>61</v>
      </c>
      <c r="W105" s="1" t="s">
        <v>17</v>
      </c>
      <c r="X105" s="18"/>
    </row>
    <row r="106" spans="1:24" ht="10.5" customHeight="1">
      <c r="A106" s="1"/>
      <c r="B106" s="15">
        <f>IF(M14&gt;0,solrdat!B85,solrdat!I85)</f>
        <v>39891</v>
      </c>
      <c r="C106" s="1">
        <f>IF(M14&gt;0,solrdat!C85,solrdat!J85)</f>
        <v>12.127305555555555</v>
      </c>
      <c r="D106" s="1">
        <f>IF(M14&gt;0,solrdat!D85,solrdat!K85)</f>
        <v>-0.275649</v>
      </c>
      <c r="E106" s="1">
        <f>(TAN(RADIANS(L9))*SIN(RADIANS(D106))-SIN(RADIANS(L13))/COS(RADIANS(L9)))/COS(RADIANS(D106))</f>
        <v>-0.9271099538908154</v>
      </c>
      <c r="F106" s="1">
        <f t="shared" si="2"/>
        <v>2.934840038845694</v>
      </c>
      <c r="G106" s="4">
        <f>IF(E106&lt;-1,"Below",IF(E106&gt;1,"Above",INT(C106+C12-(DEGREES(ASIN(E106))+90)/15+5/600)))</f>
        <v>11</v>
      </c>
      <c r="H106" s="1" t="str">
        <f>IF(OR(E106&lt;-1,E106&gt;1),IF(M13&gt;0," Min."," Horz."),IF(INT((C106+C12-(DEGREES(ASIN(E106))+90)/15-G106)*60+1/2)&lt;10,":0"&amp;FIXED(INT((C106+C12-(DEGREES(ASIN(E106))+90)/15-G106)*60+1/2),0),":"&amp;FIXED(INT((C106+C12-(DEGREES(ASIN(E106))+90)/15-G106)*60+1/2),0)))</f>
        <v>:00</v>
      </c>
      <c r="I106" s="4">
        <f>IF(E106&lt;-1,"Below",IF(E106&gt;1,"Above",INT(C106+C12+(DEGREES(ASIN(E106))+90)/15+5/600)))</f>
        <v>13</v>
      </c>
      <c r="J106" s="1" t="str">
        <f>IF(OR(E106&lt;-1,E106&gt;1),IF(M13&gt;0," Min."," Horz."),IF(INT((C106+C12+(DEGREES(ASIN(E106))+90)/15-I106)*60+1/2)&lt;10,":0"&amp;FIXED(INT((C106+C12+(DEGREES(ASIN(E106))+90)/15-I106)*60+1/2),0),":"&amp;FIXED(INT((C106+C12+(DEGREES(ASIN(E106))+90)/15-I106)*60+1/2),0)))</f>
        <v>:56</v>
      </c>
      <c r="K106" s="1">
        <f>ROUND(DEGREES(ASIN(COS(RADIANS(D106))*COS(RADIANS(L9))+SIN(RADIANS(D106))*SIN(RADIANS(L9)))),0)</f>
        <v>50</v>
      </c>
      <c r="L106" s="1" t="s">
        <v>17</v>
      </c>
      <c r="M106" s="16">
        <f>IF(M14&gt;0,solrdat!B117,solrdat!I117)</f>
        <v>39922</v>
      </c>
      <c r="N106" s="1">
        <f>IF(M14&gt;0,solrdat!C117,solrdat!J117)</f>
        <v>11.983694444444444</v>
      </c>
      <c r="O106" s="1">
        <f>IF(M14&gt;0,solrdat!D117,solrdat!K117)</f>
        <v>11.418612</v>
      </c>
      <c r="P106" s="1">
        <f>(TAN(RADIANS(L9))*SIN(RADIANS(O106))-SIN(RADIANS(L13))/COS(RADIANS(L9)))/COS(RADIANS(O106))</f>
        <v>-0.7722256857565627</v>
      </c>
      <c r="Q106" s="1">
        <f t="shared" si="3"/>
        <v>5.259443153008801</v>
      </c>
      <c r="R106" s="4">
        <f>IF(P106&lt;-1,"Below",IF(P106&gt;1,"Above",INT(N106+C12-(DEGREES(ASIN(P106))+90)/15+5/600)))</f>
        <v>9</v>
      </c>
      <c r="S106" s="1" t="str">
        <f>IF(OR(P106&lt;-1,P106&gt;1),IF(M13&gt;0," Min."," Horz."),IF(INT((N106+C12-(DEGREES(ASIN(P106))+90)/15-R106)*60+1/2)&lt;10,":0"&amp;FIXED(INT((N106+C12-(DEGREES(ASIN(P106))+90)/15-R106)*60+1/2),0),":"&amp;FIXED(INT((N106+C12-(DEGREES(ASIN(P106))+90)/15-R106)*60+1/2),0)))</f>
        <v>:41</v>
      </c>
      <c r="T106" s="4">
        <f>IF(P106&lt;-1,"Below",IF(P106&gt;1,"Above",INT(N106+C12+(DEGREES(ASIN(P106))+90)/15+5/600)))</f>
        <v>14</v>
      </c>
      <c r="U106" s="1" t="str">
        <f>IF(OR(P106&lt;-1,P106&gt;1),IF(M13&gt;0," Min."," Horz."),IF(INT((N106+C12+(DEGREES(ASIN(P106))+90)/15-T106)*60+1/2)&lt;10,":0"&amp;FIXED(INT((N106+C12+(DEGREES(ASIN(P106))+90)/15-T106)*60+1/2),0),":"&amp;FIXED(INT((N106+C12+(DEGREES(ASIN(P106))+90)/15-T106)*60+1/2),0)))</f>
        <v>:57</v>
      </c>
      <c r="V106" s="1">
        <f>ROUND(DEGREES(ASIN(COS(RADIANS(O106))*COS(RADIANS(L9))+SIN(RADIANS(O106))*SIN(RADIANS(L9)))),0)</f>
        <v>61</v>
      </c>
      <c r="W106" s="1" t="s">
        <v>17</v>
      </c>
      <c r="X106" s="18"/>
    </row>
    <row r="107" spans="1:24" ht="10.5" customHeight="1">
      <c r="A107" s="1"/>
      <c r="B107" s="15">
        <f>IF(M14&gt;0,solrdat!B86,solrdat!I86)</f>
        <v>39892</v>
      </c>
      <c r="C107" s="1">
        <f>IF(M14&gt;0,solrdat!C86,solrdat!J86)</f>
        <v>12.122361111111111</v>
      </c>
      <c r="D107" s="1">
        <f>IF(M14&gt;0,solrdat!D86,solrdat!K86)</f>
        <v>0.119675</v>
      </c>
      <c r="E107" s="1">
        <f>(TAN(RADIANS(L9))*SIN(RADIANS(D107))-SIN(RADIANS(L13))/COS(RADIANS(L9)))/COS(RADIANS(D107))</f>
        <v>-0.921311710986848</v>
      </c>
      <c r="F107" s="1">
        <f t="shared" si="2"/>
        <v>3.0508527012274973</v>
      </c>
      <c r="G107" s="4">
        <f>IF(E107&lt;-1,"Below",IF(E107&gt;1,"Above",INT(C107+C12-(DEGREES(ASIN(E107))+90)/15+5/600)))</f>
        <v>10</v>
      </c>
      <c r="H107" s="1" t="str">
        <f>IF(OR(E107&lt;-1,E107&gt;1),IF(M13&gt;0," Min."," Horz."),IF(INT((C107+C12-(DEGREES(ASIN(E107))+90)/15-G107)*60+1/2)&lt;10,":0"&amp;FIXED(INT((C107+C12-(DEGREES(ASIN(E107))+90)/15-G107)*60+1/2),0),":"&amp;FIXED(INT((C107+C12-(DEGREES(ASIN(E107))+90)/15-G107)*60+1/2),0)))</f>
        <v>:56</v>
      </c>
      <c r="I107" s="4">
        <f>IF(E107&lt;-1,"Below",IF(E107&gt;1,"Above",INT(C107+C12+(DEGREES(ASIN(E107))+90)/15+5/600)))</f>
        <v>13</v>
      </c>
      <c r="J107" s="1" t="str">
        <f>IF(OR(E107&lt;-1,E107&gt;1),IF(M13&gt;0," Min."," Horz."),IF(INT((C107+C12+(DEGREES(ASIN(E107))+90)/15-I107)*60+1/2)&lt;10,":0"&amp;FIXED(INT((C107+C12+(DEGREES(ASIN(E107))+90)/15-I107)*60+1/2),0),":"&amp;FIXED(INT((C107+C12+(DEGREES(ASIN(E107))+90)/15-I107)*60+1/2),0)))</f>
        <v>:59</v>
      </c>
      <c r="K107" s="1">
        <f>ROUND(DEGREES(ASIN(COS(RADIANS(D107))*COS(RADIANS(L9))+SIN(RADIANS(D107))*SIN(RADIANS(L9)))),0)</f>
        <v>50</v>
      </c>
      <c r="L107" s="1" t="s">
        <v>17</v>
      </c>
      <c r="M107" s="16">
        <f>IF(M14&gt;0,solrdat!B118,solrdat!I118)</f>
        <v>39923</v>
      </c>
      <c r="N107" s="1">
        <f>IF(M14&gt;0,solrdat!C118,solrdat!J118)</f>
        <v>11.980222222222222</v>
      </c>
      <c r="O107" s="1">
        <f>IF(M14&gt;0,solrdat!D118,solrdat!K118)</f>
        <v>11.760856</v>
      </c>
      <c r="P107" s="1">
        <f>(TAN(RADIANS(L9))*SIN(RADIANS(O107))-SIN(RADIANS(L13))/COS(RADIANS(L9)))/COS(RADIANS(O107))</f>
        <v>-0.7681569955353267</v>
      </c>
      <c r="Q107" s="1">
        <f t="shared" si="3"/>
        <v>5.308176546201398</v>
      </c>
      <c r="R107" s="4">
        <f>IF(P107&lt;-1,"Below",IF(P107&gt;1,"Above",INT(N107+C12-(DEGREES(ASIN(P107))+90)/15+5/600)))</f>
        <v>9</v>
      </c>
      <c r="S107" s="1" t="str">
        <f>IF(OR(P107&lt;-1,P107&gt;1),IF(M13&gt;0," Min."," Horz."),IF(INT((N107+C12-(DEGREES(ASIN(P107))+90)/15-R107)*60+1/2)&lt;10,":0"&amp;FIXED(INT((N107+C12-(DEGREES(ASIN(P107))+90)/15-R107)*60+1/2),0),":"&amp;FIXED(INT((N107+C12-(DEGREES(ASIN(P107))+90)/15-R107)*60+1/2),0)))</f>
        <v>:40</v>
      </c>
      <c r="T107" s="4">
        <f>IF(P107&lt;-1,"Below",IF(P107&gt;1,"Above",INT(N107+C12+(DEGREES(ASIN(P107))+90)/15+5/600)))</f>
        <v>14</v>
      </c>
      <c r="U107" s="1" t="str">
        <f>IF(OR(P107&lt;-1,P107&gt;1),IF(M13&gt;0," Min."," Horz."),IF(INT((N107+C12+(DEGREES(ASIN(P107))+90)/15-T107)*60+1/2)&lt;10,":0"&amp;FIXED(INT((N107+C12+(DEGREES(ASIN(P107))+90)/15-T107)*60+1/2),0),":"&amp;FIXED(INT((N107+C12+(DEGREES(ASIN(P107))+90)/15-T107)*60+1/2),0)))</f>
        <v>:58</v>
      </c>
      <c r="V107" s="1">
        <f>ROUND(DEGREES(ASIN(COS(RADIANS(O107))*COS(RADIANS(L9))+SIN(RADIANS(O107))*SIN(RADIANS(L9)))),0)</f>
        <v>62</v>
      </c>
      <c r="W107" s="1" t="s">
        <v>17</v>
      </c>
      <c r="X107" s="18"/>
    </row>
    <row r="108" spans="1:24" ht="10.5" customHeight="1">
      <c r="A108" s="1"/>
      <c r="B108" s="15">
        <f>IF(M14&gt;0,solrdat!B87,solrdat!I87)</f>
        <v>39893</v>
      </c>
      <c r="C108" s="1">
        <f>IF(M14&gt;0,solrdat!C87,solrdat!J87)</f>
        <v>12.117416666666667</v>
      </c>
      <c r="D108" s="1">
        <f>IF(M14&gt;0,solrdat!D87,solrdat!K87)</f>
        <v>0.514772</v>
      </c>
      <c r="E108" s="1">
        <f>(TAN(RADIANS(L9))*SIN(RADIANS(D108))-SIN(RADIANS(L13))/COS(RADIANS(L9)))/COS(RADIANS(D108))</f>
        <v>-0.9155605376294773</v>
      </c>
      <c r="F108" s="1">
        <f t="shared" si="2"/>
        <v>3.1619391147359126</v>
      </c>
      <c r="G108" s="4">
        <f>IF(E108&lt;-1,"Below",IF(E108&gt;1,"Above",INT(C108+C12-(DEGREES(ASIN(E108))+90)/15+5/600)))</f>
        <v>10</v>
      </c>
      <c r="H108" s="1" t="str">
        <f>IF(OR(E108&lt;-1,E108&gt;1),IF(M13&gt;0," Min."," Horz."),IF(INT((C108+C12-(DEGREES(ASIN(E108))+90)/15-G108)*60+1/2)&lt;10,":0"&amp;FIXED(INT((C108+C12-(DEGREES(ASIN(E108))+90)/15-G108)*60+1/2),0),":"&amp;FIXED(INT((C108+C12-(DEGREES(ASIN(E108))+90)/15-G108)*60+1/2),0)))</f>
        <v>:52</v>
      </c>
      <c r="I108" s="4">
        <f>IF(E108&lt;-1,"Below",IF(E108&gt;1,"Above",INT(C108+C12+(DEGREES(ASIN(E108))+90)/15+5/600)))</f>
        <v>14</v>
      </c>
      <c r="J108" s="1" t="str">
        <f>IF(OR(E108&lt;-1,E108&gt;1),IF(M13&gt;0," Min."," Horz."),IF(INT((C108+C12+(DEGREES(ASIN(E108))+90)/15-I108)*60+1/2)&lt;10,":0"&amp;FIXED(INT((C108+C12+(DEGREES(ASIN(E108))+90)/15-I108)*60+1/2),0),":"&amp;FIXED(INT((C108+C12+(DEGREES(ASIN(E108))+90)/15-I108)*60+1/2),0)))</f>
        <v>:02</v>
      </c>
      <c r="K108" s="1">
        <f>ROUND(DEGREES(ASIN(COS(RADIANS(D108))*COS(RADIANS(L9))+SIN(RADIANS(D108))*SIN(RADIANS(L9)))),0)</f>
        <v>51</v>
      </c>
      <c r="L108" s="1" t="s">
        <v>17</v>
      </c>
      <c r="M108" s="16">
        <f>IF(M14&gt;0,solrdat!B119,solrdat!I119)</f>
        <v>39924</v>
      </c>
      <c r="N108" s="1">
        <f>IF(M14&gt;0,solrdat!C119,solrdat!J119)</f>
        <v>11.976861111111111</v>
      </c>
      <c r="O108" s="1">
        <f>IF(M14&gt;0,solrdat!D119,solrdat!K119)</f>
        <v>12.099887</v>
      </c>
      <c r="P108" s="1">
        <f>(TAN(RADIANS(L9))*SIN(RADIANS(O108))-SIN(RADIANS(L13))/COS(RADIANS(L9)))/COS(RADIANS(O108))</f>
        <v>-0.7641497233777693</v>
      </c>
      <c r="Q108" s="1">
        <f t="shared" si="3"/>
        <v>5.355812420224078</v>
      </c>
      <c r="R108" s="4">
        <f>IF(P108&lt;-1,"Below",IF(P108&gt;1,"Above",INT(N108+C12-(DEGREES(ASIN(P108))+90)/15+5/600)))</f>
        <v>9</v>
      </c>
      <c r="S108" s="1" t="str">
        <f>IF(OR(P108&lt;-1,P108&gt;1),IF(M13&gt;0," Min."," Horz."),IF(INT((N108+C12-(DEGREES(ASIN(P108))+90)/15-R108)*60+1/2)&lt;10,":0"&amp;FIXED(INT((N108+C12-(DEGREES(ASIN(P108))+90)/15-R108)*60+1/2),0),":"&amp;FIXED(INT((N108+C12-(DEGREES(ASIN(P108))+90)/15-R108)*60+1/2),0)))</f>
        <v>:38</v>
      </c>
      <c r="T108" s="4">
        <f>IF(P108&lt;-1,"Below",IF(P108&gt;1,"Above",INT(N108+C12+(DEGREES(ASIN(P108))+90)/15+5/600)))</f>
        <v>14</v>
      </c>
      <c r="U108" s="1" t="str">
        <f>IF(OR(P108&lt;-1,P108&gt;1),IF(M13&gt;0," Min."," Horz."),IF(INT((N108+C12+(DEGREES(ASIN(P108))+90)/15-T108)*60+1/2)&lt;10,":0"&amp;FIXED(INT((N108+C12+(DEGREES(ASIN(P108))+90)/15-T108)*60+1/2),0),":"&amp;FIXED(INT((N108+C12+(DEGREES(ASIN(P108))+90)/15-T108)*60+1/2),0)))</f>
        <v>:59</v>
      </c>
      <c r="V108" s="1">
        <f>ROUND(DEGREES(ASIN(COS(RADIANS(O108))*COS(RADIANS(L9))+SIN(RADIANS(O108))*SIN(RADIANS(L9)))),0)</f>
        <v>62</v>
      </c>
      <c r="W108" s="1" t="s">
        <v>17</v>
      </c>
      <c r="X108" s="18"/>
    </row>
    <row r="109" spans="1:24" ht="10.5" customHeight="1">
      <c r="A109" s="1"/>
      <c r="B109" s="15">
        <f>IF(M14&gt;0,solrdat!B88,solrdat!I88)</f>
        <v>39894</v>
      </c>
      <c r="C109" s="1">
        <f>IF(M14&gt;0,solrdat!C88,solrdat!J88)</f>
        <v>12.112444444444444</v>
      </c>
      <c r="D109" s="1">
        <f>IF(M14&gt;0,solrdat!D88,solrdat!K88)</f>
        <v>0.909537</v>
      </c>
      <c r="E109" s="1">
        <f>(TAN(RADIANS(L9))*SIN(RADIANS(D109))-SIN(RADIANS(L13))/COS(RADIANS(L9)))/COS(RADIANS(D109))</f>
        <v>-0.9098573281728511</v>
      </c>
      <c r="F109" s="1">
        <f t="shared" si="2"/>
        <v>3.2685809624480764</v>
      </c>
      <c r="G109" s="4">
        <f>IF(E109&lt;-1,"Below",IF(E109&gt;1,"Above",INT(C109+C12-(DEGREES(ASIN(E109))+90)/15+5/600)))</f>
        <v>10</v>
      </c>
      <c r="H109" s="1" t="str">
        <f>IF(OR(E109&lt;-1,E109&gt;1),IF(M13&gt;0," Min."," Horz."),IF(INT((C109+C12-(DEGREES(ASIN(E109))+90)/15-G109)*60+1/2)&lt;10,":0"&amp;FIXED(INT((C109+C12-(DEGREES(ASIN(E109))+90)/15-G109)*60+1/2),0),":"&amp;FIXED(INT((C109+C12-(DEGREES(ASIN(E109))+90)/15-G109)*60+1/2),0)))</f>
        <v>:49</v>
      </c>
      <c r="I109" s="4">
        <f>IF(E109&lt;-1,"Below",IF(E109&gt;1,"Above",INT(C109+C12+(DEGREES(ASIN(E109))+90)/15+5/600)))</f>
        <v>14</v>
      </c>
      <c r="J109" s="1" t="str">
        <f>IF(OR(E109&lt;-1,E109&gt;1),IF(M13&gt;0," Min."," Horz."),IF(INT((C109+C12+(DEGREES(ASIN(E109))+90)/15-I109)*60+1/2)&lt;10,":0"&amp;FIXED(INT((C109+C12+(DEGREES(ASIN(E109))+90)/15-I109)*60+1/2),0),":"&amp;FIXED(INT((C109+C12+(DEGREES(ASIN(E109))+90)/15-I109)*60+1/2),0)))</f>
        <v>:05</v>
      </c>
      <c r="K109" s="1">
        <f>ROUND(DEGREES(ASIN(COS(RADIANS(D109))*COS(RADIANS(L9))+SIN(RADIANS(D109))*SIN(RADIANS(L9)))),0)</f>
        <v>51</v>
      </c>
      <c r="L109" s="1" t="s">
        <v>17</v>
      </c>
      <c r="M109" s="16">
        <f>IF(M14&gt;0,solrdat!B120,solrdat!I120)</f>
        <v>39925</v>
      </c>
      <c r="N109" s="1">
        <f>IF(M14&gt;0,solrdat!C120,solrdat!J120)</f>
        <v>11.973638888888889</v>
      </c>
      <c r="O109" s="1">
        <f>IF(M14&gt;0,solrdat!D120,solrdat!K120)</f>
        <v>12.435607</v>
      </c>
      <c r="P109" s="1">
        <f>(TAN(RADIANS(L9))*SIN(RADIANS(O109))-SIN(RADIANS(L13))/COS(RADIANS(L9)))/COS(RADIANS(O109))</f>
        <v>-0.7602041691153008</v>
      </c>
      <c r="Q109" s="1">
        <f t="shared" si="3"/>
        <v>5.402373294203839</v>
      </c>
      <c r="R109" s="4">
        <f>IF(P109&lt;-1,"Below",IF(P109&gt;1,"Above",INT(N109+C12-(DEGREES(ASIN(P109))+90)/15+5/600)))</f>
        <v>9</v>
      </c>
      <c r="S109" s="1" t="str">
        <f>IF(OR(P109&lt;-1,P109&gt;1),IF(M13&gt;0," Min."," Horz."),IF(INT((N109+C12-(DEGREES(ASIN(P109))+90)/15-R109)*60+1/2)&lt;10,":0"&amp;FIXED(INT((N109+C12-(DEGREES(ASIN(P109))+90)/15-R109)*60+1/2),0),":"&amp;FIXED(INT((N109+C12-(DEGREES(ASIN(P109))+90)/15-R109)*60+1/2),0)))</f>
        <v>:36</v>
      </c>
      <c r="T109" s="4">
        <f>IF(P109&lt;-1,"Below",IF(P109&gt;1,"Above",INT(N109+C12+(DEGREES(ASIN(P109))+90)/15+5/600)))</f>
        <v>15</v>
      </c>
      <c r="U109" s="1" t="str">
        <f>IF(OR(P109&lt;-1,P109&gt;1),IF(M13&gt;0," Min."," Horz."),IF(INT((N109+C12+(DEGREES(ASIN(P109))+90)/15-T109)*60+1/2)&lt;10,":0"&amp;FIXED(INT((N109+C12+(DEGREES(ASIN(P109))+90)/15-T109)*60+1/2),0),":"&amp;FIXED(INT((N109+C12+(DEGREES(ASIN(P109))+90)/15-T109)*60+1/2),0)))</f>
        <v>:00</v>
      </c>
      <c r="V109" s="1">
        <f>ROUND(DEGREES(ASIN(COS(RADIANS(O109))*COS(RADIANS(L9))+SIN(RADIANS(O109))*SIN(RADIANS(L9)))),0)</f>
        <v>62</v>
      </c>
      <c r="W109" s="1" t="s">
        <v>17</v>
      </c>
      <c r="X109" s="18"/>
    </row>
    <row r="110" spans="1:24" ht="10.5" customHeight="1">
      <c r="A110" s="1"/>
      <c r="B110" s="15">
        <f>IF(M14&gt;0,solrdat!B89,solrdat!I89)</f>
        <v>39895</v>
      </c>
      <c r="C110" s="1">
        <f>IF(M14&gt;0,solrdat!C89,solrdat!J89)</f>
        <v>12.107444444444445</v>
      </c>
      <c r="D110" s="1">
        <f>IF(M14&gt;0,solrdat!D89,solrdat!K89)</f>
        <v>1.303864</v>
      </c>
      <c r="E110" s="1">
        <f>(TAN(RADIANS(L9))*SIN(RADIANS(D110))-SIN(RADIANS(L13))/COS(RADIANS(L9)))/COS(RADIANS(D110))</f>
        <v>-0.9042029583130742</v>
      </c>
      <c r="F110" s="1">
        <f t="shared" si="2"/>
        <v>3.371180269730852</v>
      </c>
      <c r="G110" s="4">
        <f>IF(E110&lt;-1,"Below",IF(E110&gt;1,"Above",INT(C110+C12-(DEGREES(ASIN(E110))+90)/15+5/600)))</f>
        <v>10</v>
      </c>
      <c r="H110" s="1" t="str">
        <f>IF(OR(E110&lt;-1,E110&gt;1),IF(M13&gt;0," Min."," Horz."),IF(INT((C110+C12-(DEGREES(ASIN(E110))+90)/15-G110)*60+1/2)&lt;10,":0"&amp;FIXED(INT((C110+C12-(DEGREES(ASIN(E110))+90)/15-G110)*60+1/2),0),":"&amp;FIXED(INT((C110+C12-(DEGREES(ASIN(E110))+90)/15-G110)*60+1/2),0)))</f>
        <v>:45</v>
      </c>
      <c r="I110" s="4">
        <f>IF(E110&lt;-1,"Below",IF(E110&gt;1,"Above",INT(C110+C12+(DEGREES(ASIN(E110))+90)/15+5/600)))</f>
        <v>14</v>
      </c>
      <c r="J110" s="1" t="str">
        <f>IF(OR(E110&lt;-1,E110&gt;1),IF(M13&gt;0," Min."," Horz."),IF(INT((C110+C12+(DEGREES(ASIN(E110))+90)/15-I110)*60+1/2)&lt;10,":0"&amp;FIXED(INT((C110+C12+(DEGREES(ASIN(E110))+90)/15-I110)*60+1/2),0),":"&amp;FIXED(INT((C110+C12+(DEGREES(ASIN(E110))+90)/15-I110)*60+1/2),0)))</f>
        <v>:08</v>
      </c>
      <c r="K110" s="1">
        <f>ROUND(DEGREES(ASIN(COS(RADIANS(D110))*COS(RADIANS(L9))+SIN(RADIANS(D110))*SIN(RADIANS(L9)))),0)</f>
        <v>51</v>
      </c>
      <c r="L110" s="1" t="s">
        <v>17</v>
      </c>
      <c r="M110" s="16">
        <f>IF(M14&gt;0,solrdat!B121,solrdat!I121)</f>
        <v>39926</v>
      </c>
      <c r="N110" s="1">
        <f>IF(M14&gt;0,solrdat!C121,solrdat!J121)</f>
        <v>11.970555555555556</v>
      </c>
      <c r="O110" s="1">
        <f>IF(M14&gt;0,solrdat!D121,solrdat!K121)</f>
        <v>12.767922</v>
      </c>
      <c r="P110" s="1">
        <f>(TAN(RADIANS(L9))*SIN(RADIANS(O110))-SIN(RADIANS(L13))/COS(RADIANS(L9)))/COS(RADIANS(O110))</f>
        <v>-0.7563205806524468</v>
      </c>
      <c r="Q110" s="1">
        <f t="shared" si="3"/>
        <v>5.447880885843932</v>
      </c>
      <c r="R110" s="4">
        <f>IF(P110&lt;-1,"Below",IF(P110&gt;1,"Above",INT(N110+C12-(DEGREES(ASIN(P110))+90)/15+5/600)))</f>
        <v>9</v>
      </c>
      <c r="S110" s="1" t="str">
        <f>IF(OR(P110&lt;-1,P110&gt;1),IF(M13&gt;0," Min."," Horz."),IF(INT((N110+C12-(DEGREES(ASIN(P110))+90)/15-R110)*60+1/2)&lt;10,":0"&amp;FIXED(INT((N110+C12-(DEGREES(ASIN(P110))+90)/15-R110)*60+1/2),0),":"&amp;FIXED(INT((N110+C12-(DEGREES(ASIN(P110))+90)/15-R110)*60+1/2),0)))</f>
        <v>:35</v>
      </c>
      <c r="T110" s="4">
        <f>IF(P110&lt;-1,"Below",IF(P110&gt;1,"Above",INT(N110+C12+(DEGREES(ASIN(P110))+90)/15+5/600)))</f>
        <v>15</v>
      </c>
      <c r="U110" s="1" t="str">
        <f>IF(OR(P110&lt;-1,P110&gt;1),IF(M13&gt;0," Min."," Horz."),IF(INT((N110+C12+(DEGREES(ASIN(P110))+90)/15-T110)*60+1/2)&lt;10,":0"&amp;FIXED(INT((N110+C12+(DEGREES(ASIN(P110))+90)/15-T110)*60+1/2),0),":"&amp;FIXED(INT((N110+C12+(DEGREES(ASIN(P110))+90)/15-T110)*60+1/2),0)))</f>
        <v>:02</v>
      </c>
      <c r="V110" s="1">
        <f>ROUND(DEGREES(ASIN(COS(RADIANS(O110))*COS(RADIANS(L9))+SIN(RADIANS(O110))*SIN(RADIANS(L9)))),0)</f>
        <v>63</v>
      </c>
      <c r="W110" s="1" t="s">
        <v>17</v>
      </c>
      <c r="X110" s="18"/>
    </row>
    <row r="111" spans="1:24" ht="10.5" customHeight="1">
      <c r="A111" s="1"/>
      <c r="B111" s="15">
        <f>IF(M14&gt;0,solrdat!B90,solrdat!I90)</f>
        <v>39896</v>
      </c>
      <c r="C111" s="1">
        <f>IF(M14&gt;0,solrdat!C90,solrdat!J90)</f>
        <v>12.102444444444444</v>
      </c>
      <c r="D111" s="1">
        <f>IF(M14&gt;0,solrdat!D90,solrdat!K90)</f>
        <v>1.697648</v>
      </c>
      <c r="E111" s="1">
        <f>(TAN(RADIANS(L9))*SIN(RADIANS(D111))-SIN(RADIANS(L13))/COS(RADIANS(L9)))/COS(RADIANS(D111))</f>
        <v>-0.8985982574182869</v>
      </c>
      <c r="F111" s="1">
        <f t="shared" si="2"/>
        <v>3.47007709349078</v>
      </c>
      <c r="G111" s="4">
        <f>IF(E111&lt;-1,"Below",IF(E111&gt;1,"Above",INT(C111+C12-(DEGREES(ASIN(E111))+90)/15+5/600)))</f>
        <v>10</v>
      </c>
      <c r="H111" s="1" t="str">
        <f>IF(OR(E111&lt;-1,E111&gt;1),IF(M13&gt;0," Min."," Horz."),IF(INT((C111+C12-(DEGREES(ASIN(E111))+90)/15-G111)*60+1/2)&lt;10,":0"&amp;FIXED(INT((C111+C12-(DEGREES(ASIN(E111))+90)/15-G111)*60+1/2),0),":"&amp;FIXED(INT((C111+C12-(DEGREES(ASIN(E111))+90)/15-G111)*60+1/2),0)))</f>
        <v>:42</v>
      </c>
      <c r="I111" s="4">
        <f>IF(E111&lt;-1,"Below",IF(E111&gt;1,"Above",INT(C111+C12+(DEGREES(ASIN(E111))+90)/15+5/600)))</f>
        <v>14</v>
      </c>
      <c r="J111" s="1" t="str">
        <f>IF(OR(E111&lt;-1,E111&gt;1),IF(M13&gt;0," Min."," Horz."),IF(INT((C111+C12+(DEGREES(ASIN(E111))+90)/15-I111)*60+1/2)&lt;10,":0"&amp;FIXED(INT((C111+C12+(DEGREES(ASIN(E111))+90)/15-I111)*60+1/2),0),":"&amp;FIXED(INT((C111+C12+(DEGREES(ASIN(E111))+90)/15-I111)*60+1/2),0)))</f>
        <v>:10</v>
      </c>
      <c r="K111" s="1">
        <f>ROUND(DEGREES(ASIN(COS(RADIANS(D111))*COS(RADIANS(L9))+SIN(RADIANS(D111))*SIN(RADIANS(L9)))),0)</f>
        <v>52</v>
      </c>
      <c r="L111" s="1" t="s">
        <v>17</v>
      </c>
      <c r="M111" s="16">
        <f>IF(M14&gt;0,solrdat!B122,solrdat!I122)</f>
        <v>39927</v>
      </c>
      <c r="N111" s="1">
        <f>IF(M14&gt;0,solrdat!C122,solrdat!J122)</f>
        <v>11.967611111111111</v>
      </c>
      <c r="O111" s="1">
        <f>IF(M14&gt;0,solrdat!D122,solrdat!K122)</f>
        <v>13.096735</v>
      </c>
      <c r="P111" s="1">
        <f>(TAN(RADIANS(L9))*SIN(RADIANS(O111))-SIN(RADIANS(L13))/COS(RADIANS(L9)))/COS(RADIANS(O111))</f>
        <v>-0.752499236936331</v>
      </c>
      <c r="Q111" s="1">
        <f t="shared" si="3"/>
        <v>5.492355230707874</v>
      </c>
      <c r="R111" s="4">
        <f>IF(P111&lt;-1,"Below",IF(P111&gt;1,"Above",INT(N111+C12-(DEGREES(ASIN(P111))+90)/15+5/600)))</f>
        <v>9</v>
      </c>
      <c r="S111" s="1" t="str">
        <f>IF(OR(P111&lt;-1,P111&gt;1),IF(M13&gt;0," Min."," Horz."),IF(INT((N111+C12-(DEGREES(ASIN(P111))+90)/15-R111)*60+1/2)&lt;10,":0"&amp;FIXED(INT((N111+C12-(DEGREES(ASIN(P111))+90)/15-R111)*60+1/2),0),":"&amp;FIXED(INT((N111+C12-(DEGREES(ASIN(P111))+90)/15-R111)*60+1/2),0)))</f>
        <v>:33</v>
      </c>
      <c r="T111" s="4">
        <f>IF(P111&lt;-1,"Below",IF(P111&gt;1,"Above",INT(N111+C12+(DEGREES(ASIN(P111))+90)/15+5/600)))</f>
        <v>15</v>
      </c>
      <c r="U111" s="1" t="str">
        <f>IF(OR(P111&lt;-1,P111&gt;1),IF(M13&gt;0," Min."," Horz."),IF(INT((N111+C12+(DEGREES(ASIN(P111))+90)/15-T111)*60+1/2)&lt;10,":0"&amp;FIXED(INT((N111+C12+(DEGREES(ASIN(P111))+90)/15-T111)*60+1/2),0),":"&amp;FIXED(INT((N111+C12+(DEGREES(ASIN(P111))+90)/15-T111)*60+1/2),0)))</f>
        <v>:03</v>
      </c>
      <c r="V111" s="1">
        <f>ROUND(DEGREES(ASIN(COS(RADIANS(O111))*COS(RADIANS(L9))+SIN(RADIANS(O111))*SIN(RADIANS(L9)))),0)</f>
        <v>63</v>
      </c>
      <c r="W111" s="1" t="s">
        <v>17</v>
      </c>
      <c r="X111" s="18"/>
    </row>
    <row r="112" spans="1:24" ht="10.5" customHeight="1">
      <c r="A112" s="1"/>
      <c r="B112" s="15">
        <f>IF(M14&gt;0,solrdat!B91,solrdat!I91)</f>
        <v>39897</v>
      </c>
      <c r="C112" s="1">
        <f>IF(M14&gt;0,solrdat!C91,solrdat!J91)</f>
        <v>12.097416666666666</v>
      </c>
      <c r="D112" s="1">
        <f>IF(M14&gt;0,solrdat!D91,solrdat!K91)</f>
        <v>2.090785</v>
      </c>
      <c r="E112" s="1">
        <f>(TAN(RADIANS(L9))*SIN(RADIANS(D112))-SIN(RADIANS(L13))/COS(RADIANS(L9)))/COS(RADIANS(D112))</f>
        <v>-0.8930440102603167</v>
      </c>
      <c r="F112" s="1">
        <f t="shared" si="2"/>
        <v>3.5655621406986406</v>
      </c>
      <c r="G112" s="4">
        <f>IF(E112&lt;-1,"Below",IF(E112&gt;1,"Above",INT(C112+C12-(DEGREES(ASIN(E112))+90)/15+5/600)))</f>
        <v>10</v>
      </c>
      <c r="H112" s="1" t="str">
        <f>IF(OR(E112&lt;-1,E112&gt;1),IF(M13&gt;0," Min."," Horz."),IF(INT((C112+C12-(DEGREES(ASIN(E112))+90)/15-G112)*60+1/2)&lt;10,":0"&amp;FIXED(INT((C112+C12-(DEGREES(ASIN(E112))+90)/15-G112)*60+1/2),0),":"&amp;FIXED(INT((C112+C12-(DEGREES(ASIN(E112))+90)/15-G112)*60+1/2),0)))</f>
        <v>:39</v>
      </c>
      <c r="I112" s="4">
        <f>IF(E112&lt;-1,"Below",IF(E112&gt;1,"Above",INT(C112+C12+(DEGREES(ASIN(E112))+90)/15+5/600)))</f>
        <v>14</v>
      </c>
      <c r="J112" s="1" t="str">
        <f>IF(OR(E112&lt;-1,E112&gt;1),IF(M13&gt;0," Min."," Horz."),IF(INT((C112+C12+(DEGREES(ASIN(E112))+90)/15-I112)*60+1/2)&lt;10,":0"&amp;FIXED(INT((C112+C12+(DEGREES(ASIN(E112))+90)/15-I112)*60+1/2),0),":"&amp;FIXED(INT((C112+C12+(DEGREES(ASIN(E112))+90)/15-I112)*60+1/2),0)))</f>
        <v>:13</v>
      </c>
      <c r="K112" s="1">
        <f>ROUND(DEGREES(ASIN(COS(RADIANS(D112))*COS(RADIANS(L9))+SIN(RADIANS(D112))*SIN(RADIANS(L9)))),0)</f>
        <v>52</v>
      </c>
      <c r="L112" s="1" t="s">
        <v>17</v>
      </c>
      <c r="M112" s="16">
        <f>IF(M14&gt;0,solrdat!B123,solrdat!I123)</f>
        <v>39928</v>
      </c>
      <c r="N112" s="1">
        <f>IF(M14&gt;0,solrdat!C123,solrdat!J123)</f>
        <v>11.964777777777778</v>
      </c>
      <c r="O112" s="1">
        <f>IF(M14&gt;0,solrdat!D123,solrdat!K123)</f>
        <v>13.421952</v>
      </c>
      <c r="P112" s="1">
        <f>(TAN(RADIANS(L9))*SIN(RADIANS(O112))-SIN(RADIANS(L13))/COS(RADIANS(L9)))/COS(RADIANS(O112))</f>
        <v>-0.7487403783536635</v>
      </c>
      <c r="Q112" s="1">
        <f t="shared" si="3"/>
        <v>5.535815589980661</v>
      </c>
      <c r="R112" s="4">
        <f>IF(P112&lt;-1,"Below",IF(P112&gt;1,"Above",INT(N112+C12-(DEGREES(ASIN(P112))+90)/15+5/600)))</f>
        <v>9</v>
      </c>
      <c r="S112" s="1" t="str">
        <f>IF(OR(P112&lt;-1,P112&gt;1),IF(M13&gt;0," Min."," Horz."),IF(INT((N112+C12-(DEGREES(ASIN(P112))+90)/15-R112)*60+1/2)&lt;10,":0"&amp;FIXED(INT((N112+C12-(DEGREES(ASIN(P112))+90)/15-R112)*60+1/2),0),":"&amp;FIXED(INT((N112+C12-(DEGREES(ASIN(P112))+90)/15-R112)*60+1/2),0)))</f>
        <v>:32</v>
      </c>
      <c r="T112" s="4">
        <f>IF(P112&lt;-1,"Below",IF(P112&gt;1,"Above",INT(N112+C12+(DEGREES(ASIN(P112))+90)/15+5/600)))</f>
        <v>15</v>
      </c>
      <c r="U112" s="1" t="str">
        <f>IF(OR(P112&lt;-1,P112&gt;1),IF(M13&gt;0," Min."," Horz."),IF(INT((N112+C12+(DEGREES(ASIN(P112))+90)/15-T112)*60+1/2)&lt;10,":0"&amp;FIXED(INT((N112+C12+(DEGREES(ASIN(P112))+90)/15-T112)*60+1/2),0),":"&amp;FIXED(INT((N112+C12+(DEGREES(ASIN(P112))+90)/15-T112)*60+1/2),0)))</f>
        <v>:04</v>
      </c>
      <c r="V112" s="1">
        <f>ROUND(DEGREES(ASIN(COS(RADIANS(O112))*COS(RADIANS(L9))+SIN(RADIANS(O112))*SIN(RADIANS(L9)))),0)</f>
        <v>63</v>
      </c>
      <c r="W112" s="1" t="s">
        <v>17</v>
      </c>
      <c r="X112" s="18"/>
    </row>
    <row r="113" spans="1:24" ht="10.5" customHeight="1">
      <c r="A113" s="1"/>
      <c r="B113" s="15">
        <f>IF(M14&gt;0,solrdat!B92,solrdat!I92)</f>
        <v>39898</v>
      </c>
      <c r="C113" s="1">
        <f>IF(M14&gt;0,solrdat!C92,solrdat!J92)</f>
        <v>12.09238888888889</v>
      </c>
      <c r="D113" s="1">
        <f>IF(M14&gt;0,solrdat!D92,solrdat!K92)</f>
        <v>2.48317</v>
      </c>
      <c r="E113" s="1">
        <f>(TAN(RADIANS(L9))*SIN(RADIANS(D113))-SIN(RADIANS(L13))/COS(RADIANS(L9)))/COS(RADIANS(D113))</f>
        <v>-0.8875409866482863</v>
      </c>
      <c r="F113" s="1">
        <f t="shared" si="2"/>
        <v>3.657885803706242</v>
      </c>
      <c r="G113" s="4">
        <f>IF(E113&lt;-1,"Below",IF(E113&gt;1,"Above",INT(C113+C12-(DEGREES(ASIN(E113))+90)/15+5/600)))</f>
        <v>10</v>
      </c>
      <c r="H113" s="1" t="str">
        <f>IF(OR(E113&lt;-1,E113&gt;1),IF(M13&gt;0," Min."," Horz."),IF(INT((C113+C12-(DEGREES(ASIN(E113))+90)/15-G113)*60+1/2)&lt;10,":0"&amp;FIXED(INT((C113+C12-(DEGREES(ASIN(E113))+90)/15-G113)*60+1/2),0),":"&amp;FIXED(INT((C113+C12-(DEGREES(ASIN(E113))+90)/15-G113)*60+1/2),0)))</f>
        <v>:36</v>
      </c>
      <c r="I113" s="4">
        <f>IF(E113&lt;-1,"Below",IF(E113&gt;1,"Above",INT(C113+C12+(DEGREES(ASIN(E113))+90)/15+5/600)))</f>
        <v>14</v>
      </c>
      <c r="J113" s="1" t="str">
        <f>IF(OR(E113&lt;-1,E113&gt;1),IF(M13&gt;0," Min."," Horz."),IF(INT((C113+C12+(DEGREES(ASIN(E113))+90)/15-I113)*60+1/2)&lt;10,":0"&amp;FIXED(INT((C113+C12+(DEGREES(ASIN(E113))+90)/15-I113)*60+1/2),0),":"&amp;FIXED(INT((C113+C12+(DEGREES(ASIN(E113))+90)/15-I113)*60+1/2),0)))</f>
        <v>:15</v>
      </c>
      <c r="K113" s="1">
        <f>ROUND(DEGREES(ASIN(COS(RADIANS(D113))*COS(RADIANS(L9))+SIN(RADIANS(D113))*SIN(RADIANS(L9)))),0)</f>
        <v>52</v>
      </c>
      <c r="L113" s="1" t="s">
        <v>17</v>
      </c>
      <c r="M113" s="16">
        <f>IF(M14&gt;0,solrdat!B124,solrdat!I124)</f>
        <v>39929</v>
      </c>
      <c r="N113" s="1">
        <f>IF(M14&gt;0,solrdat!C124,solrdat!J124)</f>
        <v>11.962083333333334</v>
      </c>
      <c r="O113" s="1">
        <f>IF(M14&gt;0,solrdat!D124,solrdat!K124)</f>
        <v>13.743478</v>
      </c>
      <c r="P113" s="1">
        <f>(TAN(RADIANS(L9))*SIN(RADIANS(O113))-SIN(RADIANS(L13))/COS(RADIANS(L9)))/COS(RADIANS(O113))</f>
        <v>-0.7450442540476675</v>
      </c>
      <c r="Q113" s="1">
        <f t="shared" si="3"/>
        <v>5.5782799791227715</v>
      </c>
      <c r="R113" s="4">
        <f>IF(P113&lt;-1,"Below",IF(P113&gt;1,"Above",INT(N113+C12-(DEGREES(ASIN(P113))+90)/15+5/600)))</f>
        <v>9</v>
      </c>
      <c r="S113" s="1" t="str">
        <f>IF(OR(P113&lt;-1,P113&gt;1),IF(M13&gt;0," Min."," Horz."),IF(INT((N113+C12-(DEGREES(ASIN(P113))+90)/15-R113)*60+1/2)&lt;10,":0"&amp;FIXED(INT((N113+C12-(DEGREES(ASIN(P113))+90)/15-R113)*60+1/2),0),":"&amp;FIXED(INT((N113+C12-(DEGREES(ASIN(P113))+90)/15-R113)*60+1/2),0)))</f>
        <v>:30</v>
      </c>
      <c r="T113" s="4">
        <f>IF(P113&lt;-1,"Below",IF(P113&gt;1,"Above",INT(N113+C12+(DEGREES(ASIN(P113))+90)/15+5/600)))</f>
        <v>15</v>
      </c>
      <c r="U113" s="1" t="str">
        <f>IF(OR(P113&lt;-1,P113&gt;1),IF(M13&gt;0," Min."," Horz."),IF(INT((N113+C12+(DEGREES(ASIN(P113))+90)/15-T113)*60+1/2)&lt;10,":0"&amp;FIXED(INT((N113+C12+(DEGREES(ASIN(P113))+90)/15-T113)*60+1/2),0),":"&amp;FIXED(INT((N113+C12+(DEGREES(ASIN(P113))+90)/15-T113)*60+1/2),0)))</f>
        <v>:05</v>
      </c>
      <c r="V113" s="1">
        <f>ROUND(DEGREES(ASIN(COS(RADIANS(O113))*COS(RADIANS(L9))+SIN(RADIANS(O113))*SIN(RADIANS(L9)))),0)</f>
        <v>64</v>
      </c>
      <c r="W113" s="1" t="s">
        <v>17</v>
      </c>
      <c r="X113" s="18"/>
    </row>
    <row r="114" spans="1:24" ht="10.5" customHeight="1">
      <c r="A114" s="1"/>
      <c r="B114" s="15">
        <f>IF(M14&gt;0,solrdat!B93,solrdat!I93)</f>
        <v>39899</v>
      </c>
      <c r="C114" s="1">
        <f>IF(M14&gt;0,solrdat!C93,solrdat!J93)</f>
        <v>12.087388888888889</v>
      </c>
      <c r="D114" s="1">
        <f>IF(M14&gt;0,solrdat!D93,solrdat!K93)</f>
        <v>2.874698</v>
      </c>
      <c r="E114" s="1">
        <f>(TAN(RADIANS(L9))*SIN(RADIANS(D114))-SIN(RADIANS(L13))/COS(RADIANS(L9)))/COS(RADIANS(D114))</f>
        <v>-0.8820899281857731</v>
      </c>
      <c r="F114" s="1">
        <f t="shared" si="2"/>
        <v>3.747265724868174</v>
      </c>
      <c r="G114" s="4">
        <f>IF(E114&lt;-1,"Below",IF(E114&gt;1,"Above",INT(C114+C12-(DEGREES(ASIN(E114))+90)/15+5/600)))</f>
        <v>10</v>
      </c>
      <c r="H114" s="1" t="str">
        <f>IF(OR(E114&lt;-1,E114&gt;1),IF(M13&gt;0," Min."," Horz."),IF(INT((C114+C12-(DEGREES(ASIN(E114))+90)/15-G114)*60+1/2)&lt;10,":0"&amp;FIXED(INT((C114+C12-(DEGREES(ASIN(E114))+90)/15-G114)*60+1/2),0),":"&amp;FIXED(INT((C114+C12-(DEGREES(ASIN(E114))+90)/15-G114)*60+1/2),0)))</f>
        <v>:33</v>
      </c>
      <c r="I114" s="4">
        <f>IF(E114&lt;-1,"Below",IF(E114&gt;1,"Above",INT(C114+C12+(DEGREES(ASIN(E114))+90)/15+5/600)))</f>
        <v>14</v>
      </c>
      <c r="J114" s="1" t="str">
        <f>IF(OR(E114&lt;-1,E114&gt;1),IF(M13&gt;0," Min."," Horz."),IF(INT((C114+C12+(DEGREES(ASIN(E114))+90)/15-I114)*60+1/2)&lt;10,":0"&amp;FIXED(INT((C114+C12+(DEGREES(ASIN(E114))+90)/15-I114)*60+1/2),0),":"&amp;FIXED(INT((C114+C12+(DEGREES(ASIN(E114))+90)/15-I114)*60+1/2),0)))</f>
        <v>:18</v>
      </c>
      <c r="K114" s="1">
        <f>ROUND(DEGREES(ASIN(COS(RADIANS(D114))*COS(RADIANS(L9))+SIN(RADIANS(D114))*SIN(RADIANS(L9)))),0)</f>
        <v>53</v>
      </c>
      <c r="L114" s="1" t="s">
        <v>17</v>
      </c>
      <c r="M114" s="16">
        <f>IF(M14&gt;0,solrdat!B125,solrdat!I125)</f>
        <v>39930</v>
      </c>
      <c r="N114" s="1">
        <f>IF(M14&gt;0,solrdat!C125,solrdat!J125)</f>
        <v>11.959555555555555</v>
      </c>
      <c r="O114" s="1">
        <f>IF(M14&gt;0,solrdat!D125,solrdat!K125)</f>
        <v>14.061219</v>
      </c>
      <c r="P114" s="1">
        <f>(TAN(RADIANS(L9))*SIN(RADIANS(O114))-SIN(RADIANS(L13))/COS(RADIANS(L9)))/COS(RADIANS(O114))</f>
        <v>-0.7414110992953146</v>
      </c>
      <c r="Q114" s="1">
        <f t="shared" si="3"/>
        <v>5.619765506326468</v>
      </c>
      <c r="R114" s="4">
        <f>IF(P114&lt;-1,"Below",IF(P114&gt;1,"Above",INT(N114+C12-(DEGREES(ASIN(P114))+90)/15+5/600)))</f>
        <v>9</v>
      </c>
      <c r="S114" s="1" t="str">
        <f>IF(OR(P114&lt;-1,P114&gt;1),IF(M13&gt;0," Min."," Horz."),IF(INT((N114+C12-(DEGREES(ASIN(P114))+90)/15-R114)*60+1/2)&lt;10,":0"&amp;FIXED(INT((N114+C12-(DEGREES(ASIN(P114))+90)/15-R114)*60+1/2),0),":"&amp;FIXED(INT((N114+C12-(DEGREES(ASIN(P114))+90)/15-R114)*60+1/2),0)))</f>
        <v>:29</v>
      </c>
      <c r="T114" s="4">
        <f>IF(P114&lt;-1,"Below",IF(P114&gt;1,"Above",INT(N114+C12+(DEGREES(ASIN(P114))+90)/15+5/600)))</f>
        <v>15</v>
      </c>
      <c r="U114" s="1" t="str">
        <f>IF(OR(P114&lt;-1,P114&gt;1),IF(M13&gt;0," Min."," Horz."),IF(INT((N114+C12+(DEGREES(ASIN(P114))+90)/15-T114)*60+1/2)&lt;10,":0"&amp;FIXED(INT((N114+C12+(DEGREES(ASIN(P114))+90)/15-T114)*60+1/2),0),":"&amp;FIXED(INT((N114+C12+(DEGREES(ASIN(P114))+90)/15-T114)*60+1/2),0)))</f>
        <v>:06</v>
      </c>
      <c r="V114" s="1">
        <f>ROUND(DEGREES(ASIN(COS(RADIANS(O114))*COS(RADIANS(L9))+SIN(RADIANS(O114))*SIN(RADIANS(L9)))),0)</f>
        <v>64</v>
      </c>
      <c r="W114" s="1" t="s">
        <v>17</v>
      </c>
      <c r="X114" s="18"/>
    </row>
    <row r="115" spans="1:24" ht="10.5" customHeight="1">
      <c r="A115" s="1"/>
      <c r="B115" s="15">
        <f>IF(M14&gt;0,solrdat!B94,solrdat!I94)</f>
        <v>39900</v>
      </c>
      <c r="C115" s="1">
        <f>IF(M14&gt;0,solrdat!C94,solrdat!J94)</f>
        <v>12.082361111111112</v>
      </c>
      <c r="D115" s="1">
        <f>IF(M14&gt;0,solrdat!D94,solrdat!K94)</f>
        <v>3.265266</v>
      </c>
      <c r="E115" s="1">
        <f>(TAN(RADIANS(L9))*SIN(RADIANS(D115))-SIN(RADIANS(L13))/COS(RADIANS(L9)))/COS(RADIANS(D115))</f>
        <v>-0.8766915218532604</v>
      </c>
      <c r="F115" s="1">
        <f t="shared" si="2"/>
        <v>3.833892907421882</v>
      </c>
      <c r="G115" s="4">
        <f>IF(E115&lt;-1,"Below",IF(E115&gt;1,"Above",INT(C115+C12-(DEGREES(ASIN(E115))+90)/15+5/600)))</f>
        <v>10</v>
      </c>
      <c r="H115" s="1" t="str">
        <f>IF(OR(E115&lt;-1,E115&gt;1),IF(M13&gt;0," Min."," Horz."),IF(INT((C115+C12-(DEGREES(ASIN(E115))+90)/15-G115)*60+1/2)&lt;10,":0"&amp;FIXED(INT((C115+C12-(DEGREES(ASIN(E115))+90)/15-G115)*60+1/2),0),":"&amp;FIXED(INT((C115+C12-(DEGREES(ASIN(E115))+90)/15-G115)*60+1/2),0)))</f>
        <v>:30</v>
      </c>
      <c r="I115" s="4">
        <f>IF(E115&lt;-1,"Below",IF(E115&gt;1,"Above",INT(C115+C12+(DEGREES(ASIN(E115))+90)/15+5/600)))</f>
        <v>14</v>
      </c>
      <c r="J115" s="1" t="str">
        <f>IF(OR(E115&lt;-1,E115&gt;1),IF(M13&gt;0," Min."," Horz."),IF(INT((C115+C12+(DEGREES(ASIN(E115))+90)/15-I115)*60+1/2)&lt;10,":0"&amp;FIXED(INT((C115+C12+(DEGREES(ASIN(E115))+90)/15-I115)*60+1/2),0),":"&amp;FIXED(INT((C115+C12+(DEGREES(ASIN(E115))+90)/15-I115)*60+1/2),0)))</f>
        <v>:20</v>
      </c>
      <c r="K115" s="1">
        <f>ROUND(DEGREES(ASIN(COS(RADIANS(D115))*COS(RADIANS(L9))+SIN(RADIANS(D115))*SIN(RADIANS(L9)))),0)</f>
        <v>53</v>
      </c>
      <c r="L115" s="1" t="s">
        <v>17</v>
      </c>
      <c r="M115" s="16">
        <f>IF(M14&gt;0,solrdat!B126,solrdat!I126)</f>
        <v>39931</v>
      </c>
      <c r="N115" s="1">
        <f>IF(M14&gt;0,solrdat!C126,solrdat!J126)</f>
        <v>11.957138888888888</v>
      </c>
      <c r="O115" s="1">
        <f>IF(M14&gt;0,solrdat!D126,solrdat!K126)</f>
        <v>14.375078</v>
      </c>
      <c r="P115" s="1">
        <f>(TAN(RADIANS(L9))*SIN(RADIANS(O115))-SIN(RADIANS(L13))/COS(RADIANS(L9)))/COS(RADIANS(O115))</f>
        <v>-0.7378411816781658</v>
      </c>
      <c r="Q115" s="1">
        <f t="shared" si="3"/>
        <v>5.660287916117174</v>
      </c>
      <c r="R115" s="4">
        <f>IF(P115&lt;-1,"Below",IF(P115&gt;1,"Above",INT(N115+C12-(DEGREES(ASIN(P115))+90)/15+5/600)))</f>
        <v>9</v>
      </c>
      <c r="S115" s="1" t="str">
        <f>IF(OR(P115&lt;-1,P115&gt;1),IF(M13&gt;0," Min."," Horz."),IF(INT((N115+C12-(DEGREES(ASIN(P115))+90)/15-R115)*60+1/2)&lt;10,":0"&amp;FIXED(INT((N115+C12-(DEGREES(ASIN(P115))+90)/15-R115)*60+1/2),0),":"&amp;FIXED(INT((N115+C12-(DEGREES(ASIN(P115))+90)/15-R115)*60+1/2),0)))</f>
        <v>:28</v>
      </c>
      <c r="T115" s="4">
        <f>IF(P115&lt;-1,"Below",IF(P115&gt;1,"Above",INT(N115+C12+(DEGREES(ASIN(P115))+90)/15+5/600)))</f>
        <v>15</v>
      </c>
      <c r="U115" s="1" t="str">
        <f>IF(OR(P115&lt;-1,P115&gt;1),IF(M13&gt;0," Min."," Horz."),IF(INT((N115+C12+(DEGREES(ASIN(P115))+90)/15-T115)*60+1/2)&lt;10,":0"&amp;FIXED(INT((N115+C12+(DEGREES(ASIN(P115))+90)/15-T115)*60+1/2),0),":"&amp;FIXED(INT((N115+C12+(DEGREES(ASIN(P115))+90)/15-T115)*60+1/2),0)))</f>
        <v>:07</v>
      </c>
      <c r="V115" s="1">
        <f>ROUND(DEGREES(ASIN(COS(RADIANS(O115))*COS(RADIANS(L9))+SIN(RADIANS(O115))*SIN(RADIANS(L9)))),0)</f>
        <v>64</v>
      </c>
      <c r="W115" s="1" t="s">
        <v>17</v>
      </c>
      <c r="X115" s="18"/>
    </row>
    <row r="116" spans="1:24" ht="10.5" customHeight="1">
      <c r="A116" s="1"/>
      <c r="B116" s="15">
        <f>IF(M14&gt;0,solrdat!B95,solrdat!I95)</f>
        <v>39901</v>
      </c>
      <c r="C116" s="1">
        <f>IF(M14&gt;0,solrdat!C95,solrdat!J95)</f>
        <v>12.077361111111111</v>
      </c>
      <c r="D116" s="1">
        <f>IF(M14&gt;0,solrdat!D95,solrdat!K95)</f>
        <v>3.654769</v>
      </c>
      <c r="E116" s="1">
        <f>(TAN(RADIANS(L9))*SIN(RADIANS(D116))-SIN(RADIANS(L13))/COS(RADIANS(L9)))/COS(RADIANS(D116))</f>
        <v>-0.8713464567902233</v>
      </c>
      <c r="F116" s="1">
        <f t="shared" si="2"/>
        <v>3.9179352747562204</v>
      </c>
      <c r="G116" s="4">
        <f>IF(E116&lt;-1,"Below",IF(E116&gt;1,"Above",INT(C116+C12-(DEGREES(ASIN(E116))+90)/15+5/600)))</f>
        <v>10</v>
      </c>
      <c r="H116" s="1" t="str">
        <f>IF(OR(E116&lt;-1,E116&gt;1),IF(M13&gt;0," Min."," Horz."),IF(INT((C116+C12-(DEGREES(ASIN(E116))+90)/15-G116)*60+1/2)&lt;10,":0"&amp;FIXED(INT((C116+C12-(DEGREES(ASIN(E116))+90)/15-G116)*60+1/2),0),":"&amp;FIXED(INT((C116+C12-(DEGREES(ASIN(E116))+90)/15-G116)*60+1/2),0)))</f>
        <v>:27</v>
      </c>
      <c r="I116" s="4">
        <f>IF(E116&lt;-1,"Below",IF(E116&gt;1,"Above",INT(C116+C12+(DEGREES(ASIN(E116))+90)/15+5/600)))</f>
        <v>14</v>
      </c>
      <c r="J116" s="1" t="str">
        <f>IF(OR(E116&lt;-1,E116&gt;1),IF(M13&gt;0," Min."," Horz."),IF(INT((C116+C12+(DEGREES(ASIN(E116))+90)/15-I116)*60+1/2)&lt;10,":0"&amp;FIXED(INT((C116+C12+(DEGREES(ASIN(E116))+90)/15-I116)*60+1/2),0),":"&amp;FIXED(INT((C116+C12+(DEGREES(ASIN(E116))+90)/15-I116)*60+1/2),0)))</f>
        <v>:22</v>
      </c>
      <c r="K116" s="1">
        <f>ROUND(DEGREES(ASIN(COS(RADIANS(D116))*COS(RADIANS(L9))+SIN(RADIANS(D116))*SIN(RADIANS(L9)))),0)</f>
        <v>54</v>
      </c>
      <c r="L116" s="1" t="s">
        <v>17</v>
      </c>
      <c r="M116" s="16">
        <f>IF(M14&gt;0,solrdat!B127,solrdat!I127)</f>
        <v>39932</v>
      </c>
      <c r="N116" s="1">
        <f>IF(M14&gt;0,solrdat!C127,solrdat!J127)</f>
        <v>11.95486111111111</v>
      </c>
      <c r="O116" s="1">
        <f>IF(M14&gt;0,solrdat!D127,solrdat!K127)</f>
        <v>14.684961</v>
      </c>
      <c r="P116" s="1">
        <f>(TAN(RADIANS(L9))*SIN(RADIANS(O116))-SIN(RADIANS(L13))/COS(RADIANS(L9)))/COS(RADIANS(O116))</f>
        <v>-0.7343347329693162</v>
      </c>
      <c r="Q116" s="1">
        <f t="shared" si="3"/>
        <v>5.69986243116473</v>
      </c>
      <c r="R116" s="4">
        <f>IF(P116&lt;-1,"Below",IF(P116&gt;1,"Above",INT(N116+C12-(DEGREES(ASIN(P116))+90)/15+5/600)))</f>
        <v>9</v>
      </c>
      <c r="S116" s="1" t="str">
        <f>IF(OR(P116&lt;-1,P116&gt;1),IF(M13&gt;0," Min."," Horz."),IF(INT((N116+C12-(DEGREES(ASIN(P116))+90)/15-R116)*60+1/2)&lt;10,":0"&amp;FIXED(INT((N116+C12-(DEGREES(ASIN(P116))+90)/15-R116)*60+1/2),0),":"&amp;FIXED(INT((N116+C12-(DEGREES(ASIN(P116))+90)/15-R116)*60+1/2),0)))</f>
        <v>:26</v>
      </c>
      <c r="T116" s="4">
        <f>IF(P116&lt;-1,"Below",IF(P116&gt;1,"Above",INT(N116+C12+(DEGREES(ASIN(P116))+90)/15+5/600)))</f>
        <v>15</v>
      </c>
      <c r="U116" s="1" t="str">
        <f>IF(OR(P116&lt;-1,P116&gt;1),IF(M13&gt;0," Min."," Horz."),IF(INT((N116+C12+(DEGREES(ASIN(P116))+90)/15-T116)*60+1/2)&lt;10,":0"&amp;FIXED(INT((N116+C12+(DEGREES(ASIN(P116))+90)/15-T116)*60+1/2),0),":"&amp;FIXED(INT((N116+C12+(DEGREES(ASIN(P116))+90)/15-T116)*60+1/2),0)))</f>
        <v>:08</v>
      </c>
      <c r="V116" s="1">
        <f>ROUND(DEGREES(ASIN(COS(RADIANS(O116))*COS(RADIANS(L9))+SIN(RADIANS(O116))*SIN(RADIANS(L9)))),0)</f>
        <v>65</v>
      </c>
      <c r="W116" s="1" t="s">
        <v>17</v>
      </c>
      <c r="X116" s="18"/>
    </row>
    <row r="117" spans="1:24" ht="10.5" customHeight="1">
      <c r="A117" s="1"/>
      <c r="B117" s="15">
        <f>IF(M14&gt;0,solrdat!B96,solrdat!I96)</f>
        <v>39902</v>
      </c>
      <c r="C117" s="1">
        <f>IF(M14&gt;0,solrdat!C96,solrdat!J96)</f>
        <v>12.07236111111111</v>
      </c>
      <c r="D117" s="1">
        <f>IF(M14&gt;0,solrdat!D96,solrdat!K96)</f>
        <v>4.043105</v>
      </c>
      <c r="E117" s="1">
        <f>(TAN(RADIANS(L9))*SIN(RADIANS(D117))-SIN(RADIANS(L13))/COS(RADIANS(L9)))/COS(RADIANS(D117))</f>
        <v>-0.8660553564926149</v>
      </c>
      <c r="F117" s="1">
        <f t="shared" si="2"/>
        <v>3.9995423325846247</v>
      </c>
      <c r="G117" s="4">
        <f>IF(E117&lt;-1,"Below",IF(E117&gt;1,"Above",INT(C117+C12-(DEGREES(ASIN(E117))+90)/15+5/600)))</f>
        <v>10</v>
      </c>
      <c r="H117" s="1" t="str">
        <f>IF(OR(E117&lt;-1,E117&gt;1),IF(M13&gt;0," Min."," Horz."),IF(INT((C117+C12-(DEGREES(ASIN(E117))+90)/15-G117)*60+1/2)&lt;10,":0"&amp;FIXED(INT((C117+C12-(DEGREES(ASIN(E117))+90)/15-G117)*60+1/2),0),":"&amp;FIXED(INT((C117+C12-(DEGREES(ASIN(E117))+90)/15-G117)*60+1/2),0)))</f>
        <v>:24</v>
      </c>
      <c r="I117" s="4">
        <f>IF(E117&lt;-1,"Below",IF(E117&gt;1,"Above",INT(C117+C12+(DEGREES(ASIN(E117))+90)/15+5/600)))</f>
        <v>14</v>
      </c>
      <c r="J117" s="1" t="str">
        <f>IF(OR(E117&lt;-1,E117&gt;1),IF(M13&gt;0," Min."," Horz."),IF(INT((C117+C12+(DEGREES(ASIN(E117))+90)/15-I117)*60+1/2)&lt;10,":0"&amp;FIXED(INT((C117+C12+(DEGREES(ASIN(E117))+90)/15-I117)*60+1/2),0),":"&amp;FIXED(INT((C117+C12+(DEGREES(ASIN(E117))+90)/15-I117)*60+1/2),0)))</f>
        <v>:24</v>
      </c>
      <c r="K117" s="1">
        <f>ROUND(DEGREES(ASIN(COS(RADIANS(D117))*COS(RADIANS(L9))+SIN(RADIANS(D117))*SIN(RADIANS(L9)))),0)</f>
        <v>54</v>
      </c>
      <c r="L117" s="1" t="s">
        <v>17</v>
      </c>
      <c r="M117" s="16">
        <f>IF(M14&gt;0,solrdat!B128,solrdat!I128)</f>
        <v>39933</v>
      </c>
      <c r="N117" s="1">
        <f>IF(M14&gt;0,solrdat!C128,solrdat!J128)</f>
        <v>11.95275</v>
      </c>
      <c r="O117" s="1">
        <f>IF(M14&gt;0,solrdat!D128,solrdat!K128)</f>
        <v>14.990776</v>
      </c>
      <c r="P117" s="1">
        <f>(TAN(RADIANS(L9))*SIN(RADIANS(O117))-SIN(RADIANS(L13))/COS(RADIANS(L9)))/COS(RADIANS(O117))</f>
        <v>-0.7308919617300027</v>
      </c>
      <c r="Q117" s="1">
        <f t="shared" si="3"/>
        <v>5.738503658953234</v>
      </c>
      <c r="R117" s="4">
        <f>IF(P117&lt;-1,"Below",IF(P117&gt;1,"Above",INT(N117+C12-(DEGREES(ASIN(P117))+90)/15+5/600)))</f>
        <v>9</v>
      </c>
      <c r="S117" s="1" t="str">
        <f>IF(OR(P117&lt;-1,P117&gt;1),IF(M13&gt;0," Min."," Horz."),IF(INT((N117+C12-(DEGREES(ASIN(P117))+90)/15-R117)*60+1/2)&lt;10,":0"&amp;FIXED(INT((N117+C12-(DEGREES(ASIN(P117))+90)/15-R117)*60+1/2),0),":"&amp;FIXED(INT((N117+C12-(DEGREES(ASIN(P117))+90)/15-R117)*60+1/2),0)))</f>
        <v>:25</v>
      </c>
      <c r="T117" s="4">
        <f>IF(P117&lt;-1,"Below",IF(P117&gt;1,"Above",INT(N117+C12+(DEGREES(ASIN(P117))+90)/15+5/600)))</f>
        <v>15</v>
      </c>
      <c r="U117" s="1" t="str">
        <f>IF(OR(P117&lt;-1,P117&gt;1),IF(M13&gt;0," Min."," Horz."),IF(INT((N117+C12+(DEGREES(ASIN(P117))+90)/15-T117)*60+1/2)&lt;10,":0"&amp;FIXED(INT((N117+C12+(DEGREES(ASIN(P117))+90)/15-T117)*60+1/2),0),":"&amp;FIXED(INT((N117+C12+(DEGREES(ASIN(P117))+90)/15-T117)*60+1/2),0)))</f>
        <v>:09</v>
      </c>
      <c r="V117" s="1">
        <f>ROUND(DEGREES(ASIN(COS(RADIANS(O117))*COS(RADIANS(L9))+SIN(RADIANS(O117))*SIN(RADIANS(L9)))),0)</f>
        <v>65</v>
      </c>
      <c r="W117" s="1" t="s">
        <v>17</v>
      </c>
      <c r="X117" s="18"/>
    </row>
    <row r="118" spans="1:24" ht="10.5" customHeight="1">
      <c r="A118" s="1"/>
      <c r="B118" s="15">
        <f>IF(M14&gt;0,solrdat!B97,solrdat!I97)</f>
        <v>39903</v>
      </c>
      <c r="C118" s="1">
        <f>IF(M14&gt;0,solrdat!C97,solrdat!J97)</f>
        <v>12.067388888888889</v>
      </c>
      <c r="D118" s="1">
        <f>IF(M14&gt;0,solrdat!D97,solrdat!K97)</f>
        <v>4.430169</v>
      </c>
      <c r="E118" s="1">
        <f>(TAN(RADIANS(L9))*SIN(RADIANS(D118))-SIN(RADIANS(L13))/COS(RADIANS(L9)))/COS(RADIANS(D118))</f>
        <v>-0.8608188621888948</v>
      </c>
      <c r="F118" s="1">
        <f t="shared" si="2"/>
        <v>4.07884674903663</v>
      </c>
      <c r="G118" s="4">
        <f>IF(E118&lt;-1,"Below",IF(E118&gt;1,"Above",INT(C118+C12-(DEGREES(ASIN(E118))+90)/15+5/600)))</f>
        <v>10</v>
      </c>
      <c r="H118" s="1" t="str">
        <f>IF(OR(E118&lt;-1,E118&gt;1),IF(M13&gt;0," Min."," Horz."),IF(INT((C118+C12-(DEGREES(ASIN(E118))+90)/15-G118)*60+1/2)&lt;10,":0"&amp;FIXED(INT((C118+C12-(DEGREES(ASIN(E118))+90)/15-G118)*60+1/2),0),":"&amp;FIXED(INT((C118+C12-(DEGREES(ASIN(E118))+90)/15-G118)*60+1/2),0)))</f>
        <v>:22</v>
      </c>
      <c r="I118" s="4">
        <f>IF(E118&lt;-1,"Below",IF(E118&gt;1,"Above",INT(C118+C12+(DEGREES(ASIN(E118))+90)/15+5/600)))</f>
        <v>14</v>
      </c>
      <c r="J118" s="1" t="str">
        <f>IF(OR(E118&lt;-1,E118&gt;1),IF(M13&gt;0," Min."," Horz."),IF(INT((C118+C12+(DEGREES(ASIN(E118))+90)/15-I118)*60+1/2)&lt;10,":0"&amp;FIXED(INT((C118+C12+(DEGREES(ASIN(E118))+90)/15-I118)*60+1/2),0),":"&amp;FIXED(INT((C118+C12+(DEGREES(ASIN(E118))+90)/15-I118)*60+1/2),0)))</f>
        <v>:26</v>
      </c>
      <c r="K118" s="1">
        <f>ROUND(DEGREES(ASIN(COS(RADIANS(D118))*COS(RADIANS(L9))+SIN(RADIANS(D118))*SIN(RADIANS(L9)))),0)</f>
        <v>54</v>
      </c>
      <c r="L118" s="1" t="s">
        <v>17</v>
      </c>
      <c r="M118" s="10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8"/>
    </row>
    <row r="119" spans="1:24" ht="10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8"/>
    </row>
    <row r="120" spans="1:24" ht="10.5" customHeight="1">
      <c r="A120" s="1"/>
      <c r="C120" s="1"/>
      <c r="D120" s="1"/>
      <c r="E120" s="1"/>
      <c r="F120" s="1">
        <f>COUNT(F88:F118)</f>
        <v>25</v>
      </c>
      <c r="G120" s="1"/>
      <c r="H120" s="1"/>
      <c r="I120" s="1"/>
      <c r="J120" s="4" t="str">
        <f>J54</f>
        <v>Average Daily Maximum Flying Time: </v>
      </c>
      <c r="K120" s="19">
        <f>IF(F120&lt;1,0,AVERAGE(F88:F118))</f>
        <v>2.721579356909661</v>
      </c>
      <c r="L120" s="1" t="s">
        <v>18</v>
      </c>
      <c r="M120" s="10"/>
      <c r="N120" s="1"/>
      <c r="O120" s="1"/>
      <c r="P120" s="1"/>
      <c r="Q120" s="1">
        <f>COUNT(Q88:Q117)</f>
        <v>30</v>
      </c>
      <c r="R120" s="1"/>
      <c r="S120" s="1"/>
      <c r="T120" s="1"/>
      <c r="U120" s="4" t="str">
        <f>U54</f>
        <v>Average Daily Maximum Flying Time: </v>
      </c>
      <c r="V120" s="19">
        <f>IF(Q120&lt;1,0,AVERAGE(Q88:Q117))</f>
        <v>5.033190373844761</v>
      </c>
      <c r="W120" s="1" t="s">
        <v>18</v>
      </c>
      <c r="X120" s="18"/>
    </row>
    <row r="121" spans="1:24" ht="10.5" customHeight="1">
      <c r="A121" s="1"/>
      <c r="C121" s="1"/>
      <c r="D121" s="1"/>
      <c r="E121" s="1"/>
      <c r="F121" s="1"/>
      <c r="G121" s="1"/>
      <c r="H121" s="1"/>
      <c r="I121" s="1"/>
      <c r="J121" s="4"/>
      <c r="K121" s="19"/>
      <c r="L121" s="1"/>
      <c r="M121" s="31"/>
      <c r="N121" s="1"/>
      <c r="O121" s="1"/>
      <c r="P121" s="1"/>
      <c r="Q121" s="1"/>
      <c r="R121" s="1"/>
      <c r="S121" s="1"/>
      <c r="T121" s="1"/>
      <c r="U121" s="4"/>
      <c r="V121" s="19"/>
      <c r="W121" s="1"/>
      <c r="X121" s="18"/>
    </row>
    <row r="122" spans="1:24" ht="10.5" customHeight="1">
      <c r="A122" s="1"/>
      <c r="B122" s="1"/>
      <c r="C122" s="1"/>
      <c r="D122" s="1"/>
      <c r="E122" s="1"/>
      <c r="F122" s="1"/>
      <c r="G122" s="1"/>
      <c r="I122" s="22"/>
      <c r="J122" s="23"/>
      <c r="K122" s="23"/>
      <c r="L122" s="23"/>
      <c r="M122" s="23"/>
      <c r="N122" s="23"/>
      <c r="O122" s="1"/>
      <c r="P122" s="1"/>
      <c r="Q122" s="1"/>
      <c r="R122" s="23"/>
      <c r="S122" s="24"/>
      <c r="U122" s="1"/>
      <c r="V122" s="1"/>
      <c r="W122" s="1"/>
      <c r="X122" s="18"/>
    </row>
    <row r="123" spans="1:24" ht="10.5" customHeight="1">
      <c r="A123" s="1"/>
      <c r="B123" s="1"/>
      <c r="C123" s="1"/>
      <c r="D123" s="1"/>
      <c r="E123" s="1"/>
      <c r="F123" s="1"/>
      <c r="G123" s="1"/>
      <c r="I123" s="25"/>
      <c r="J123" s="1"/>
      <c r="K123" s="1"/>
      <c r="L123" s="26" t="s">
        <v>19</v>
      </c>
      <c r="M123" s="1"/>
      <c r="N123" s="1"/>
      <c r="O123" s="1"/>
      <c r="P123" s="1"/>
      <c r="Q123" s="1"/>
      <c r="R123" s="1"/>
      <c r="S123" s="27"/>
      <c r="U123" s="1"/>
      <c r="V123" s="1"/>
      <c r="W123" s="1"/>
      <c r="X123" s="18"/>
    </row>
    <row r="124" spans="1:24" ht="10.5" customHeight="1">
      <c r="A124" s="1"/>
      <c r="B124" s="1"/>
      <c r="C124" s="1"/>
      <c r="D124" s="1"/>
      <c r="E124" s="1"/>
      <c r="F124" s="1"/>
      <c r="G124" s="1"/>
      <c r="I124" s="25"/>
      <c r="J124" s="8"/>
      <c r="K124" s="1"/>
      <c r="L124" s="1"/>
      <c r="M124" s="1"/>
      <c r="N124" s="1"/>
      <c r="O124" s="1"/>
      <c r="P124" s="1"/>
      <c r="Q124" s="1"/>
      <c r="R124" s="1"/>
      <c r="S124" s="27"/>
      <c r="U124" s="1"/>
      <c r="V124" s="1"/>
      <c r="W124" s="1"/>
      <c r="X124" s="18"/>
    </row>
    <row r="125" spans="1:24" ht="10.5" customHeight="1">
      <c r="A125" s="1"/>
      <c r="B125" s="1"/>
      <c r="C125" s="1"/>
      <c r="D125" s="1"/>
      <c r="E125" s="1"/>
      <c r="F125" s="1"/>
      <c r="G125" s="1"/>
      <c r="I125" s="25"/>
      <c r="J125" s="1" t="s">
        <v>20</v>
      </c>
      <c r="K125" s="1"/>
      <c r="L125" s="1"/>
      <c r="M125" s="1"/>
      <c r="N125" s="1"/>
      <c r="O125" s="1"/>
      <c r="P125" s="1"/>
      <c r="Q125" s="1"/>
      <c r="R125" s="1"/>
      <c r="S125" s="27"/>
      <c r="U125" s="1"/>
      <c r="V125" s="1"/>
      <c r="W125" s="1"/>
      <c r="X125" s="18"/>
    </row>
    <row r="126" spans="1:24" ht="10.5" customHeight="1">
      <c r="A126" s="1"/>
      <c r="B126" s="1"/>
      <c r="C126" s="1"/>
      <c r="D126" s="1"/>
      <c r="E126" s="1"/>
      <c r="F126" s="1"/>
      <c r="G126" s="1"/>
      <c r="I126" s="25"/>
      <c r="J126" s="1" t="s">
        <v>21</v>
      </c>
      <c r="K126" s="1"/>
      <c r="L126" s="1"/>
      <c r="M126" s="1"/>
      <c r="N126" s="1"/>
      <c r="O126" s="1"/>
      <c r="P126" s="1"/>
      <c r="Q126" s="1"/>
      <c r="R126" s="1"/>
      <c r="S126" s="27"/>
      <c r="U126" s="1"/>
      <c r="V126" s="1"/>
      <c r="W126" s="1"/>
      <c r="X126" s="18"/>
    </row>
    <row r="127" spans="1:24" ht="10.5" customHeight="1">
      <c r="A127" s="1"/>
      <c r="B127" s="1"/>
      <c r="C127" s="1"/>
      <c r="D127" s="1"/>
      <c r="E127" s="1"/>
      <c r="F127" s="1"/>
      <c r="G127" s="1"/>
      <c r="I127" s="25"/>
      <c r="J127" s="1"/>
      <c r="K127" s="1"/>
      <c r="L127" s="1"/>
      <c r="M127" s="1"/>
      <c r="N127" s="1"/>
      <c r="O127" s="1"/>
      <c r="P127" s="1"/>
      <c r="Q127" s="1"/>
      <c r="R127" s="1"/>
      <c r="S127" s="27"/>
      <c r="U127" s="1"/>
      <c r="V127" s="1"/>
      <c r="W127" s="1"/>
      <c r="X127" s="18"/>
    </row>
    <row r="128" spans="1:24" ht="10.5" customHeight="1">
      <c r="A128" s="1"/>
      <c r="B128" s="1"/>
      <c r="C128" s="1"/>
      <c r="D128" s="1"/>
      <c r="E128" s="1"/>
      <c r="F128" s="1"/>
      <c r="G128" s="1"/>
      <c r="I128" s="10"/>
      <c r="J128" s="1" t="s">
        <v>22</v>
      </c>
      <c r="K128" s="1"/>
      <c r="L128" s="1"/>
      <c r="M128" s="1"/>
      <c r="N128" s="1"/>
      <c r="O128" s="1"/>
      <c r="P128" s="1"/>
      <c r="Q128" s="1"/>
      <c r="R128" s="1"/>
      <c r="S128" s="27"/>
      <c r="U128" s="1"/>
      <c r="V128" s="1"/>
      <c r="W128" s="1"/>
      <c r="X128" s="18"/>
    </row>
    <row r="129" spans="1:24" ht="10.5" customHeight="1">
      <c r="A129" s="1"/>
      <c r="B129" s="1"/>
      <c r="C129" s="1"/>
      <c r="D129" s="1"/>
      <c r="E129" s="1"/>
      <c r="F129" s="1"/>
      <c r="G129" s="1"/>
      <c r="I129" s="10"/>
      <c r="J129" s="1" t="s">
        <v>23</v>
      </c>
      <c r="K129" s="1"/>
      <c r="L129" s="1"/>
      <c r="M129" s="1"/>
      <c r="N129" s="1"/>
      <c r="O129" s="1"/>
      <c r="P129" s="1"/>
      <c r="Q129" s="1"/>
      <c r="R129" s="1"/>
      <c r="S129" s="27"/>
      <c r="U129" s="1"/>
      <c r="V129" s="1"/>
      <c r="W129" s="1"/>
      <c r="X129" s="18"/>
    </row>
    <row r="130" spans="1:24" ht="10.5" customHeight="1">
      <c r="A130" s="1"/>
      <c r="B130" s="1"/>
      <c r="C130" s="1"/>
      <c r="D130" s="1"/>
      <c r="E130" s="1"/>
      <c r="F130" s="1"/>
      <c r="G130" s="1"/>
      <c r="I130" s="28" t="s">
        <v>24</v>
      </c>
      <c r="J130" s="29"/>
      <c r="K130" s="29"/>
      <c r="L130" s="29"/>
      <c r="M130" s="29"/>
      <c r="N130" s="29"/>
      <c r="O130" s="1"/>
      <c r="P130" s="1"/>
      <c r="Q130" s="1"/>
      <c r="R130" s="29"/>
      <c r="S130" s="30"/>
      <c r="U130" s="1"/>
      <c r="V130" s="1"/>
      <c r="W130" s="1"/>
      <c r="X130" s="18"/>
    </row>
    <row r="131" spans="1:24" ht="10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8"/>
    </row>
    <row r="132" spans="1:24" ht="10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8"/>
    </row>
    <row r="133" spans="1:24" ht="10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8"/>
    </row>
    <row r="134" spans="1:24" ht="10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8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44" t="str">
        <f>J69</f>
        <v> Two Month Daily Sun Angle Chart</v>
      </c>
      <c r="K135" s="45"/>
      <c r="L135" s="45"/>
      <c r="M135" s="45"/>
      <c r="N135" s="45"/>
      <c r="O135" s="45"/>
      <c r="P135" s="45"/>
      <c r="Q135" s="45"/>
      <c r="R135" s="45"/>
      <c r="S135" s="1"/>
      <c r="T135" s="1"/>
      <c r="U135" s="1"/>
      <c r="V135" s="1"/>
      <c r="W135" s="1"/>
      <c r="X135" s="18"/>
    </row>
    <row r="136" spans="1:24" ht="10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8"/>
    </row>
    <row r="137" spans="1:24" ht="12.75" customHeight="1">
      <c r="A137" s="1"/>
      <c r="B137" s="4" t="s">
        <v>0</v>
      </c>
      <c r="C137" s="1"/>
      <c r="D137" s="1"/>
      <c r="E137" s="1"/>
      <c r="F137" s="1"/>
      <c r="G137" s="44" t="str">
        <f>G71</f>
        <v>--Type Project Name Here--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" t="s">
        <v>1</v>
      </c>
      <c r="U137" s="44" t="str">
        <f>U71</f>
        <v>--US--</v>
      </c>
      <c r="V137" s="45"/>
      <c r="W137" s="45"/>
      <c r="X137" s="18"/>
    </row>
    <row r="138" spans="1:24" ht="10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8"/>
    </row>
    <row r="139" spans="1:24" ht="12.75" customHeight="1">
      <c r="A139" s="1"/>
      <c r="B139" s="4" t="s">
        <v>2</v>
      </c>
      <c r="C139" s="1"/>
      <c r="D139" s="1"/>
      <c r="E139" s="1"/>
      <c r="F139" s="1"/>
      <c r="G139" s="44" t="str">
        <f>G73</f>
        <v>--Type Solicitation Number Here, or Leave Blank--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" t="s">
        <v>3</v>
      </c>
      <c r="U139" s="46" t="str">
        <f>U73</f>
        <v>--No.--</v>
      </c>
      <c r="V139" s="45"/>
      <c r="W139" s="45"/>
      <c r="X139" s="18"/>
    </row>
    <row r="140" spans="1:24" ht="10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8"/>
    </row>
    <row r="141" spans="1:24" ht="10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 t="s">
        <v>4</v>
      </c>
      <c r="S141" s="1"/>
      <c r="T141" s="1"/>
      <c r="U141" s="1"/>
      <c r="V141" s="1"/>
      <c r="W141" s="1"/>
      <c r="X141" s="18"/>
    </row>
    <row r="142" spans="1:24" ht="10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4" t="str">
        <f>K76</f>
        <v>Latitude (Degrees North):  </v>
      </c>
      <c r="L142" s="5">
        <f>L76</f>
        <v>40</v>
      </c>
      <c r="M142" s="1"/>
      <c r="N142" s="1"/>
      <c r="O142" s="1"/>
      <c r="P142" s="1"/>
      <c r="Q142" s="1"/>
      <c r="R142" s="1" t="s">
        <v>5</v>
      </c>
      <c r="S142" s="1"/>
      <c r="T142" s="1"/>
      <c r="U142" s="1"/>
      <c r="V142" s="1"/>
      <c r="W142" s="1"/>
      <c r="X142" s="18"/>
    </row>
    <row r="143" spans="1:24" ht="10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4" t="s">
        <v>39</v>
      </c>
      <c r="L143" s="5">
        <f>L77</f>
        <v>110</v>
      </c>
      <c r="M143" s="1"/>
      <c r="N143" s="1"/>
      <c r="O143" s="1"/>
      <c r="P143" s="1"/>
      <c r="Q143" s="1"/>
      <c r="R143" s="1" t="s">
        <v>6</v>
      </c>
      <c r="S143" s="1"/>
      <c r="T143" s="1"/>
      <c r="U143" s="1"/>
      <c r="V143" s="1"/>
      <c r="W143" s="1"/>
      <c r="X143" s="18"/>
    </row>
    <row r="144" spans="1:24" ht="10.5" customHeight="1">
      <c r="A144" s="1"/>
      <c r="B144" s="1"/>
      <c r="C144" s="1">
        <f>C78</f>
        <v>0.3333333333333333</v>
      </c>
      <c r="D144" s="1"/>
      <c r="E144" s="1"/>
      <c r="F144" s="1"/>
      <c r="G144" s="1"/>
      <c r="H144" s="1"/>
      <c r="I144" s="1"/>
      <c r="J144" s="1"/>
      <c r="K144" s="4" t="s">
        <v>7</v>
      </c>
      <c r="L144" s="7">
        <f>L78</f>
        <v>4</v>
      </c>
      <c r="M144" s="1"/>
      <c r="N144" s="1"/>
      <c r="O144" s="1"/>
      <c r="P144" s="1"/>
      <c r="Q144" s="1"/>
      <c r="R144" s="1" t="s">
        <v>8</v>
      </c>
      <c r="S144" s="1"/>
      <c r="T144" s="1"/>
      <c r="U144" s="1"/>
      <c r="V144" s="1"/>
      <c r="W144" s="1"/>
      <c r="X144" s="18"/>
    </row>
    <row r="145" spans="1:24" ht="10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4" t="str">
        <f>K79</f>
        <v>Min. Sun Angle (Degrees):  </v>
      </c>
      <c r="L145" s="7">
        <f>L79</f>
        <v>45</v>
      </c>
      <c r="M145" s="1"/>
      <c r="N145" s="1"/>
      <c r="O145" s="1"/>
      <c r="P145" s="1"/>
      <c r="Q145" s="1"/>
      <c r="R145" s="1" t="s">
        <v>9</v>
      </c>
      <c r="S145" s="1"/>
      <c r="T145" s="1"/>
      <c r="U145" s="1"/>
      <c r="V145" s="1"/>
      <c r="W145" s="1"/>
      <c r="X145" s="18"/>
    </row>
    <row r="146" spans="1:24" ht="10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 t="s">
        <v>10</v>
      </c>
      <c r="S146" s="1"/>
      <c r="T146" s="1"/>
      <c r="U146" s="1"/>
      <c r="V146" s="1"/>
      <c r="W146" s="1"/>
      <c r="X146" s="18"/>
    </row>
    <row r="147" spans="1:24" ht="10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 t="s">
        <v>11</v>
      </c>
      <c r="S147" s="1"/>
      <c r="T147" s="1"/>
      <c r="U147" s="1"/>
      <c r="V147" s="1"/>
      <c r="W147" s="1"/>
      <c r="X147" s="18"/>
    </row>
    <row r="148" spans="1:24" ht="10.5" customHeight="1">
      <c r="A148" s="1"/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2"/>
      <c r="X148" s="3"/>
    </row>
    <row r="149" spans="1:24" ht="10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1"/>
      <c r="S149" s="1"/>
      <c r="T149" s="1"/>
      <c r="U149" s="1"/>
      <c r="V149" s="1"/>
      <c r="W149" s="2"/>
      <c r="X149" s="3"/>
    </row>
    <row r="150" spans="1:24" ht="10.5" customHeight="1">
      <c r="A150" s="1"/>
      <c r="B150" s="1"/>
      <c r="C150" s="1"/>
      <c r="D150" s="1"/>
      <c r="E150" s="1"/>
      <c r="F150" s="1"/>
      <c r="G150" s="1"/>
      <c r="H150" s="9" t="s">
        <v>27</v>
      </c>
      <c r="I150" s="1"/>
      <c r="J150" s="1"/>
      <c r="K150" s="1"/>
      <c r="L150" s="1"/>
      <c r="M150" s="10"/>
      <c r="N150" s="2"/>
      <c r="O150" s="2"/>
      <c r="P150" s="2"/>
      <c r="Q150" s="2"/>
      <c r="R150" s="2"/>
      <c r="S150" s="9" t="s">
        <v>28</v>
      </c>
      <c r="T150" s="1"/>
      <c r="U150" s="1"/>
      <c r="V150" s="1"/>
      <c r="W150" s="2"/>
      <c r="X150" s="3"/>
    </row>
    <row r="151" spans="1:24" ht="10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  <c r="N151" s="2"/>
      <c r="O151" s="2"/>
      <c r="P151" s="2"/>
      <c r="Q151" s="2"/>
      <c r="R151" s="1"/>
      <c r="S151" s="1"/>
      <c r="T151" s="1"/>
      <c r="U151" s="1"/>
      <c r="V151" s="1"/>
      <c r="W151" s="2"/>
      <c r="X151" s="3"/>
    </row>
    <row r="152" spans="1:24" ht="10.5" customHeight="1">
      <c r="A152" s="1"/>
      <c r="B152" s="2"/>
      <c r="C152" s="2"/>
      <c r="D152" s="2"/>
      <c r="E152" s="2"/>
      <c r="F152" s="2"/>
      <c r="G152" s="2"/>
      <c r="H152" s="11" t="str">
        <f>H86</f>
        <v>Flying Window</v>
      </c>
      <c r="I152" s="11"/>
      <c r="J152" s="11"/>
      <c r="K152" s="11" t="s">
        <v>14</v>
      </c>
      <c r="L152" s="2"/>
      <c r="M152" s="12"/>
      <c r="N152" s="2"/>
      <c r="O152" s="2"/>
      <c r="P152" s="2"/>
      <c r="Q152" s="2"/>
      <c r="R152" s="2"/>
      <c r="S152" s="11" t="str">
        <f>S86</f>
        <v>Flying Window</v>
      </c>
      <c r="T152" s="11"/>
      <c r="U152" s="11"/>
      <c r="V152" s="11" t="s">
        <v>14</v>
      </c>
      <c r="W152" s="2"/>
      <c r="X152" s="3"/>
    </row>
    <row r="153" spans="1:24" ht="10.5" customHeight="1">
      <c r="A153" s="1"/>
      <c r="B153" s="13" t="s">
        <v>15</v>
      </c>
      <c r="C153" s="11"/>
      <c r="D153" s="11"/>
      <c r="E153" s="11"/>
      <c r="F153" s="11"/>
      <c r="G153" s="11" t="str">
        <f>G87</f>
        <v>   Start Time</v>
      </c>
      <c r="H153" s="11"/>
      <c r="I153" s="11" t="str">
        <f>I87</f>
        <v>   End Time</v>
      </c>
      <c r="J153" s="11"/>
      <c r="K153" s="11" t="s">
        <v>16</v>
      </c>
      <c r="L153" s="2"/>
      <c r="M153" s="14" t="s">
        <v>15</v>
      </c>
      <c r="N153" s="11"/>
      <c r="O153" s="11"/>
      <c r="P153" s="11"/>
      <c r="Q153" s="11"/>
      <c r="R153" s="11" t="str">
        <f>R87</f>
        <v>   Start Time</v>
      </c>
      <c r="S153" s="11"/>
      <c r="T153" s="11" t="str">
        <f>T87</f>
        <v>   End Time</v>
      </c>
      <c r="U153" s="11"/>
      <c r="V153" s="11" t="s">
        <v>16</v>
      </c>
      <c r="W153" s="2"/>
      <c r="X153" s="3"/>
    </row>
    <row r="154" spans="1:24" ht="10.5" customHeight="1">
      <c r="A154" s="1"/>
      <c r="B154" s="15">
        <f>IF(M14&gt;0,solrdat!B131,solrdat!I131)</f>
        <v>39934</v>
      </c>
      <c r="C154" s="1">
        <f>IF(M14&gt;0,solrdat!C131,solrdat!J131)</f>
        <v>11.95075</v>
      </c>
      <c r="D154" s="1">
        <f>IF(M14&gt;0,solrdat!D131,solrdat!K131)</f>
        <v>15.29243</v>
      </c>
      <c r="E154" s="1">
        <f>(TAN(RADIANS(L9))*SIN(RADIANS(D154))-SIN(RADIANS(L13))/COS(RADIANS(L9)))/COS(RADIANS(D154))</f>
        <v>-0.7275130878615409</v>
      </c>
      <c r="F154" s="1">
        <f aca="true" t="shared" si="4" ref="F154:F184">IF(E154&lt;-1,"0",IF(E154&gt;1,24,(DEGREES(ASIN(E154))*2+180)/15))</f>
        <v>5.776225254775619</v>
      </c>
      <c r="G154" s="4">
        <f>IF(E154&lt;-1,"Below",IF(E154&gt;1,"Above",INT(C154+C12-(DEGREES(ASIN(E154))+90)/15+5/600)))</f>
        <v>9</v>
      </c>
      <c r="H154" s="1" t="str">
        <f>IF(OR(E154&lt;-1,E154&gt;1),IF(M13&gt;0," Min."," Horz."),IF(INT((C154+C12-(DEGREES(ASIN(E154))+90)/15-G154)*60+1/2)&lt;10,":0"&amp;FIXED(INT((C154+C12-(DEGREES(ASIN(E154))+90)/15-G154)*60+1/2),0),":"&amp;FIXED(INT((C154+C12-(DEGREES(ASIN(E154))+90)/15-G154)*60+1/2),0)))</f>
        <v>:24</v>
      </c>
      <c r="I154" s="4">
        <f>IF(E154&lt;-1,"Below",IF(E154&gt;1,"Above",INT(C154+C12+(DEGREES(ASIN(E154))+90)/15+5/600)))</f>
        <v>15</v>
      </c>
      <c r="J154" s="1" t="str">
        <f>IF(OR(E154&lt;-1,E154&gt;1),IF(M13&gt;0," Min."," Horz."),IF(INT((C154+C12+(DEGREES(ASIN(E154))+90)/15-I154)*60+1/2)&lt;10,":0"&amp;FIXED(INT((C154+C12+(DEGREES(ASIN(E154))+90)/15-I154)*60+1/2),0),":"&amp;FIXED(INT((C154+C12+(DEGREES(ASIN(E154))+90)/15-I154)*60+1/2),0)))</f>
        <v>:10</v>
      </c>
      <c r="K154" s="1">
        <f>ROUND(DEGREES(ASIN(COS(RADIANS(D154))*COS(RADIANS(L9))+SIN(RADIANS(D154))*SIN(RADIANS(L9)))),0)</f>
        <v>65</v>
      </c>
      <c r="L154" s="1" t="s">
        <v>17</v>
      </c>
      <c r="M154" s="16">
        <f>IF(M14&gt;0,solrdat!B163,solrdat!I163)</f>
        <v>39965</v>
      </c>
      <c r="N154" s="1">
        <f>IF(M14&gt;0,solrdat!C163,solrdat!J163)</f>
        <v>11.964972222222222</v>
      </c>
      <c r="O154" s="1">
        <f>IF(M14&gt;0,solrdat!D163,solrdat!K163)</f>
        <v>22.149302</v>
      </c>
      <c r="P154" s="1">
        <f>(TAN(RADIANS(L9))*SIN(RADIANS(O154))-SIN(RADIANS(L13))/COS(RADIANS(L9)))/COS(RADIANS(O154))</f>
        <v>-0.6550430343785814</v>
      </c>
      <c r="Q154" s="1">
        <f aca="true" t="shared" si="5" ref="Q154:Q183">IF(P154&lt;-1,"0",IF(P154&gt;1,24,(DEGREES(ASIN(P154))*2+180)/15))</f>
        <v>6.54361158270438</v>
      </c>
      <c r="R154" s="4">
        <f>IF(P154&lt;-1,"Below",IF(P154&gt;1,"Above",INT(N154+C12-(DEGREES(ASIN(P154))+90)/15+5/600)))</f>
        <v>9</v>
      </c>
      <c r="S154" s="1" t="str">
        <f>IF(OR(P154&lt;-1,P154&gt;1),IF(M13&gt;0," Min."," Horz."),IF(INT((N154+C12-(DEGREES(ASIN(P154))+90)/15-R154)*60+1/2)&lt;10,":0"&amp;FIXED(INT((N154+C12-(DEGREES(ASIN(P154))+90)/15-R154)*60+1/2),0),":"&amp;FIXED(INT((N154+C12-(DEGREES(ASIN(P154))+90)/15-R154)*60+1/2),0)))</f>
        <v>:02</v>
      </c>
      <c r="T154" s="4">
        <f>IF(P154&lt;-1,"Below",IF(P154&gt;1,"Above",INT(N154+C12+(DEGREES(ASIN(P154))+90)/15+5/600)))</f>
        <v>15</v>
      </c>
      <c r="U154" s="1" t="str">
        <f>IF(OR(P154&lt;-1,P154&gt;1),IF(M13&gt;0," Min."," Horz."),IF(INT((N154+C12+(DEGREES(ASIN(P154))+90)/15-T154)*60+1/2)&lt;10,":0"&amp;FIXED(INT((N154+C12+(DEGREES(ASIN(P154))+90)/15-T154)*60+1/2),0),":"&amp;FIXED(INT((N154+C12+(DEGREES(ASIN(P154))+90)/15-T154)*60+1/2),0)))</f>
        <v>:34</v>
      </c>
      <c r="V154" s="1">
        <f>ROUND(DEGREES(ASIN(COS(RADIANS(O154))*COS(RADIANS(L9))+SIN(RADIANS(O154))*SIN(RADIANS(L9)))),0)</f>
        <v>72</v>
      </c>
      <c r="W154" s="1" t="s">
        <v>17</v>
      </c>
      <c r="X154" s="18"/>
    </row>
    <row r="155" spans="1:24" ht="10.5" customHeight="1">
      <c r="A155" s="1"/>
      <c r="B155" s="15">
        <f>IF(M14&gt;0,solrdat!B132,solrdat!I132)</f>
        <v>39935</v>
      </c>
      <c r="C155" s="1">
        <f>IF(M14&gt;0,solrdat!C132,solrdat!J132)</f>
        <v>11.948916666666667</v>
      </c>
      <c r="D155" s="1">
        <f>IF(M14&gt;0,solrdat!D132,solrdat!K132)</f>
        <v>15.589837</v>
      </c>
      <c r="E155" s="1">
        <f>(TAN(RADIANS(L9))*SIN(RADIANS(D155))-SIN(RADIANS(L13))/COS(RADIANS(L9)))/COS(RADIANS(D155))</f>
        <v>-0.7241982538318396</v>
      </c>
      <c r="F155" s="1">
        <f t="shared" si="4"/>
        <v>5.813040958944192</v>
      </c>
      <c r="G155" s="4">
        <f>IF(E155&lt;-1,"Below",IF(E155&gt;1,"Above",INT(C155+C12-(DEGREES(ASIN(E155))+90)/15+5/600)))</f>
        <v>9</v>
      </c>
      <c r="H155" s="1" t="str">
        <f>IF(OR(E155&lt;-1,E155&gt;1),IF(M13&gt;0," Min."," Horz."),IF(INT((C155+C12-(DEGREES(ASIN(E155))+90)/15-G155)*60+1/2)&lt;10,":0"&amp;FIXED(INT((C155+C12-(DEGREES(ASIN(E155))+90)/15-G155)*60+1/2),0),":"&amp;FIXED(INT((C155+C12-(DEGREES(ASIN(E155))+90)/15-G155)*60+1/2),0)))</f>
        <v>:23</v>
      </c>
      <c r="I155" s="4">
        <f>IF(E155&lt;-1,"Below",IF(E155&gt;1,"Above",INT(C155+C12+(DEGREES(ASIN(E155))+90)/15+5/600)))</f>
        <v>15</v>
      </c>
      <c r="J155" s="1" t="str">
        <f>IF(OR(E155&lt;-1,E155&gt;1),IF(M13&gt;0," Min."," Horz."),IF(INT((C155+C12+(DEGREES(ASIN(E155))+90)/15-I155)*60+1/2)&lt;10,":0"&amp;FIXED(INT((C155+C12+(DEGREES(ASIN(E155))+90)/15-I155)*60+1/2),0),":"&amp;FIXED(INT((C155+C12+(DEGREES(ASIN(E155))+90)/15-I155)*60+1/2),0)))</f>
        <v>:11</v>
      </c>
      <c r="K155" s="1">
        <f>ROUND(DEGREES(ASIN(COS(RADIANS(D155))*COS(RADIANS(L9))+SIN(RADIANS(D155))*SIN(RADIANS(L9)))),0)</f>
        <v>66</v>
      </c>
      <c r="L155" s="1" t="s">
        <v>17</v>
      </c>
      <c r="M155" s="16">
        <f>IF(M14&gt;0,solrdat!B164,solrdat!I164)</f>
        <v>39966</v>
      </c>
      <c r="N155" s="1">
        <f>IF(M14&gt;0,solrdat!C164,solrdat!J164)</f>
        <v>11.967638888888889</v>
      </c>
      <c r="O155" s="1">
        <f>IF(M14&gt;0,solrdat!D164,solrdat!K164)</f>
        <v>22.277219</v>
      </c>
      <c r="P155" s="1">
        <f>(TAN(RADIANS(L9))*SIN(RADIANS(O155))-SIN(RADIANS(L13))/COS(RADIANS(L9)))/COS(RADIANS(O155))</f>
        <v>-0.6537663028389138</v>
      </c>
      <c r="Q155" s="1">
        <f t="shared" si="5"/>
        <v>6.556510590838678</v>
      </c>
      <c r="R155" s="4">
        <f>IF(P155&lt;-1,"Below",IF(P155&gt;1,"Above",INT(N155+C12-(DEGREES(ASIN(P155))+90)/15+5/600)))</f>
        <v>9</v>
      </c>
      <c r="S155" s="1" t="str">
        <f>IF(OR(P155&lt;-1,P155&gt;1),IF(M13&gt;0," Min."," Horz."),IF(INT((N155+C12-(DEGREES(ASIN(P155))+90)/15-R155)*60+1/2)&lt;10,":0"&amp;FIXED(INT((N155+C12-(DEGREES(ASIN(P155))+90)/15-R155)*60+1/2),0),":"&amp;FIXED(INT((N155+C12-(DEGREES(ASIN(P155))+90)/15-R155)*60+1/2),0)))</f>
        <v>:01</v>
      </c>
      <c r="T155" s="4">
        <f>IF(P155&lt;-1,"Below",IF(P155&gt;1,"Above",INT(N155+C12+(DEGREES(ASIN(P155))+90)/15+5/600)))</f>
        <v>15</v>
      </c>
      <c r="U155" s="1" t="str">
        <f>IF(OR(P155&lt;-1,P155&gt;1),IF(M13&gt;0," Min."," Horz."),IF(INT((N155+C12+(DEGREES(ASIN(P155))+90)/15-T155)*60+1/2)&lt;10,":0"&amp;FIXED(INT((N155+C12+(DEGREES(ASIN(P155))+90)/15-T155)*60+1/2),0),":"&amp;FIXED(INT((N155+C12+(DEGREES(ASIN(P155))+90)/15-T155)*60+1/2),0)))</f>
        <v>:35</v>
      </c>
      <c r="V155" s="1">
        <f>ROUND(DEGREES(ASIN(COS(RADIANS(O155))*COS(RADIANS(L9))+SIN(RADIANS(O155))*SIN(RADIANS(L9)))),0)</f>
        <v>72</v>
      </c>
      <c r="W155" s="1" t="s">
        <v>17</v>
      </c>
      <c r="X155" s="18"/>
    </row>
    <row r="156" spans="1:24" ht="10.5" customHeight="1">
      <c r="A156" s="1"/>
      <c r="B156" s="15">
        <f>IF(M14&gt;0,solrdat!B133,solrdat!I133)</f>
        <v>39936</v>
      </c>
      <c r="C156" s="1">
        <f>IF(M14&gt;0,solrdat!C133,solrdat!J133)</f>
        <v>11.947222222222223</v>
      </c>
      <c r="D156" s="1">
        <f>IF(M14&gt;0,solrdat!D133,solrdat!K133)</f>
        <v>15.882913</v>
      </c>
      <c r="E156" s="1">
        <f>(TAN(RADIANS(L9))*SIN(RADIANS(D156))-SIN(RADIANS(L13))/COS(RADIANS(L9)))/COS(RADIANS(D156))</f>
        <v>-0.7209475823354241</v>
      </c>
      <c r="F156" s="1">
        <f t="shared" si="4"/>
        <v>5.848963986325762</v>
      </c>
      <c r="G156" s="4">
        <f>IF(E156&lt;-1,"Below",IF(E156&gt;1,"Above",INT(C156+C12-(DEGREES(ASIN(E156))+90)/15+5/600)))</f>
        <v>9</v>
      </c>
      <c r="H156" s="1" t="str">
        <f>IF(OR(E156&lt;-1,E156&gt;1),IF(M13&gt;0," Min."," Horz."),IF(INT((C156+C12-(DEGREES(ASIN(E156))+90)/15-G156)*60+1/2)&lt;10,":0"&amp;FIXED(INT((C156+C12-(DEGREES(ASIN(E156))+90)/15-G156)*60+1/2),0),":"&amp;FIXED(INT((C156+C12-(DEGREES(ASIN(E156))+90)/15-G156)*60+1/2),0)))</f>
        <v>:21</v>
      </c>
      <c r="I156" s="4">
        <f>IF(E156&lt;-1,"Below",IF(E156&gt;1,"Above",INT(C156+C12+(DEGREES(ASIN(E156))+90)/15+5/600)))</f>
        <v>15</v>
      </c>
      <c r="J156" s="1" t="str">
        <f>IF(OR(E156&lt;-1,E156&gt;1),IF(M13&gt;0," Min."," Horz."),IF(INT((C156+C12+(DEGREES(ASIN(E156))+90)/15-I156)*60+1/2)&lt;10,":0"&amp;FIXED(INT((C156+C12+(DEGREES(ASIN(E156))+90)/15-I156)*60+1/2),0),":"&amp;FIXED(INT((C156+C12+(DEGREES(ASIN(E156))+90)/15-I156)*60+1/2),0)))</f>
        <v>:12</v>
      </c>
      <c r="K156" s="1">
        <f>ROUND(DEGREES(ASIN(COS(RADIANS(D156))*COS(RADIANS(L9))+SIN(RADIANS(D156))*SIN(RADIANS(L9)))),0)</f>
        <v>66</v>
      </c>
      <c r="L156" s="1" t="s">
        <v>17</v>
      </c>
      <c r="M156" s="16">
        <f>IF(M14&gt;0,solrdat!B165,solrdat!I165)</f>
        <v>39967</v>
      </c>
      <c r="N156" s="1">
        <f>IF(M14&gt;0,solrdat!C165,solrdat!J165)</f>
        <v>11.97038888888889</v>
      </c>
      <c r="O156" s="1">
        <f>IF(M14&gt;0,solrdat!D165,solrdat!K165)</f>
        <v>22.398649</v>
      </c>
      <c r="P156" s="1">
        <f>(TAN(RADIANS(L9))*SIN(RADIANS(O156))-SIN(RADIANS(L13))/COS(RADIANS(L9)))/COS(RADIANS(O156))</f>
        <v>-0.6525567593761803</v>
      </c>
      <c r="Q156" s="1">
        <f t="shared" si="5"/>
        <v>6.568713453437386</v>
      </c>
      <c r="R156" s="4">
        <f>IF(P156&lt;-1,"Below",IF(P156&gt;1,"Above",INT(N156+C12-(DEGREES(ASIN(P156))+90)/15+5/600)))</f>
        <v>9</v>
      </c>
      <c r="S156" s="1" t="str">
        <f>IF(OR(P156&lt;-1,P156&gt;1),IF(M13&gt;0," Min."," Horz."),IF(INT((N156+C12-(DEGREES(ASIN(P156))+90)/15-R156)*60+1/2)&lt;10,":0"&amp;FIXED(INT((N156+C12-(DEGREES(ASIN(P156))+90)/15-R156)*60+1/2),0),":"&amp;FIXED(INT((N156+C12-(DEGREES(ASIN(P156))+90)/15-R156)*60+1/2),0)))</f>
        <v>:01</v>
      </c>
      <c r="T156" s="4">
        <f>IF(P156&lt;-1,"Below",IF(P156&gt;1,"Above",INT(N156+C12+(DEGREES(ASIN(P156))+90)/15+5/600)))</f>
        <v>15</v>
      </c>
      <c r="U156" s="1" t="str">
        <f>IF(OR(P156&lt;-1,P156&gt;1),IF(M13&gt;0," Min."," Horz."),IF(INT((N156+C12+(DEGREES(ASIN(P156))+90)/15-T156)*60+1/2)&lt;10,":0"&amp;FIXED(INT((N156+C12+(DEGREES(ASIN(P156))+90)/15-T156)*60+1/2),0),":"&amp;FIXED(INT((N156+C12+(DEGREES(ASIN(P156))+90)/15-T156)*60+1/2),0)))</f>
        <v>:35</v>
      </c>
      <c r="V156" s="1">
        <f>ROUND(DEGREES(ASIN(COS(RADIANS(O156))*COS(RADIANS(L9))+SIN(RADIANS(O156))*SIN(RADIANS(L9)))),0)</f>
        <v>72</v>
      </c>
      <c r="W156" s="1" t="s">
        <v>17</v>
      </c>
      <c r="X156" s="18"/>
    </row>
    <row r="157" spans="1:24" ht="10.5" customHeight="1">
      <c r="A157" s="1"/>
      <c r="B157" s="15">
        <f>IF(M14&gt;0,solrdat!B134,solrdat!I134)</f>
        <v>39937</v>
      </c>
      <c r="C157" s="1">
        <f>IF(M14&gt;0,solrdat!C134,solrdat!J134)</f>
        <v>11.945666666666666</v>
      </c>
      <c r="D157" s="1">
        <f>IF(M14&gt;0,solrdat!D134,solrdat!K134)</f>
        <v>16.171575</v>
      </c>
      <c r="E157" s="1">
        <f>(TAN(RADIANS(L9))*SIN(RADIANS(D157))-SIN(RADIANS(L13))/COS(RADIANS(L9)))/COS(RADIANS(D157))</f>
        <v>-0.7177611882090438</v>
      </c>
      <c r="F157" s="1">
        <f t="shared" si="4"/>
        <v>5.884006934556587</v>
      </c>
      <c r="G157" s="4">
        <f>IF(E157&lt;-1,"Below",IF(E157&gt;1,"Above",INT(C157+C12-(DEGREES(ASIN(E157))+90)/15+5/600)))</f>
        <v>9</v>
      </c>
      <c r="H157" s="1" t="str">
        <f>IF(OR(E157&lt;-1,E157&gt;1),IF(M13&gt;0," Min."," Horz."),IF(INT((C157+C12-(DEGREES(ASIN(E157))+90)/15-G157)*60+1/2)&lt;10,":0"&amp;FIXED(INT((C157+C12-(DEGREES(ASIN(E157))+90)/15-G157)*60+1/2),0),":"&amp;FIXED(INT((C157+C12-(DEGREES(ASIN(E157))+90)/15-G157)*60+1/2),0)))</f>
        <v>:20</v>
      </c>
      <c r="I157" s="4">
        <f>IF(E157&lt;-1,"Below",IF(E157&gt;1,"Above",INT(C157+C12+(DEGREES(ASIN(E157))+90)/15+5/600)))</f>
        <v>15</v>
      </c>
      <c r="J157" s="1" t="str">
        <f>IF(OR(E157&lt;-1,E157&gt;1),IF(M13&gt;0," Min."," Horz."),IF(INT((C157+C12+(DEGREES(ASIN(E157))+90)/15-I157)*60+1/2)&lt;10,":0"&amp;FIXED(INT((C157+C12+(DEGREES(ASIN(E157))+90)/15-I157)*60+1/2),0),":"&amp;FIXED(INT((C157+C12+(DEGREES(ASIN(E157))+90)/15-I157)*60+1/2),0)))</f>
        <v>:13</v>
      </c>
      <c r="K157" s="1">
        <f>ROUND(DEGREES(ASIN(COS(RADIANS(D157))*COS(RADIANS(L9))+SIN(RADIANS(D157))*SIN(RADIANS(L9)))),0)</f>
        <v>66</v>
      </c>
      <c r="L157" s="1" t="s">
        <v>17</v>
      </c>
      <c r="M157" s="16">
        <f>IF(M14&gt;0,solrdat!B166,solrdat!I166)</f>
        <v>39968</v>
      </c>
      <c r="N157" s="1">
        <f>IF(M14&gt;0,solrdat!C166,solrdat!J166)</f>
        <v>11.973222222222223</v>
      </c>
      <c r="O157" s="1">
        <f>IF(M14&gt;0,solrdat!D166,solrdat!K166)</f>
        <v>22.513553</v>
      </c>
      <c r="P157" s="1">
        <f>(TAN(RADIANS(L9))*SIN(RADIANS(O157))-SIN(RADIANS(L13))/COS(RADIANS(L9)))/COS(RADIANS(O157))</f>
        <v>-0.6514144059224407</v>
      </c>
      <c r="Q157" s="1">
        <f t="shared" si="5"/>
        <v>6.580223054106598</v>
      </c>
      <c r="R157" s="4">
        <f>IF(P157&lt;-1,"Below",IF(P157&gt;1,"Above",INT(N157+C12-(DEGREES(ASIN(P157))+90)/15+5/600)))</f>
        <v>9</v>
      </c>
      <c r="S157" s="1" t="str">
        <f>IF(OR(P157&lt;-1,P157&gt;1),IF(M13&gt;0," Min."," Horz."),IF(INT((N157+C12-(DEGREES(ASIN(P157))+90)/15-R157)*60+1/2)&lt;10,":0"&amp;FIXED(INT((N157+C12-(DEGREES(ASIN(P157))+90)/15-R157)*60+1/2),0),":"&amp;FIXED(INT((N157+C12-(DEGREES(ASIN(P157))+90)/15-R157)*60+1/2),0)))</f>
        <v>:01</v>
      </c>
      <c r="T157" s="4">
        <f>IF(P157&lt;-1,"Below",IF(P157&gt;1,"Above",INT(N157+C12+(DEGREES(ASIN(P157))+90)/15+5/600)))</f>
        <v>15</v>
      </c>
      <c r="U157" s="1" t="str">
        <f>IF(OR(P157&lt;-1,P157&gt;1),IF(M13&gt;0," Min."," Horz."),IF(INT((N157+C12+(DEGREES(ASIN(P157))+90)/15-T157)*60+1/2)&lt;10,":0"&amp;FIXED(INT((N157+C12+(DEGREES(ASIN(P157))+90)/15-T157)*60+1/2),0),":"&amp;FIXED(INT((N157+C12+(DEGREES(ASIN(P157))+90)/15-T157)*60+1/2),0)))</f>
        <v>:36</v>
      </c>
      <c r="V157" s="1">
        <f>ROUND(DEGREES(ASIN(COS(RADIANS(O157))*COS(RADIANS(L9))+SIN(RADIANS(O157))*SIN(RADIANS(L9)))),0)</f>
        <v>73</v>
      </c>
      <c r="W157" s="1" t="s">
        <v>17</v>
      </c>
      <c r="X157" s="18"/>
    </row>
    <row r="158" spans="1:24" ht="10.5" customHeight="1">
      <c r="A158" s="1"/>
      <c r="B158" s="15">
        <f>IF(M14&gt;0,solrdat!B135,solrdat!I135)</f>
        <v>39938</v>
      </c>
      <c r="C158" s="1">
        <f>IF(M14&gt;0,solrdat!C135,solrdat!J135)</f>
        <v>11.944277777777778</v>
      </c>
      <c r="D158" s="1">
        <f>IF(M14&gt;0,solrdat!D135,solrdat!K135)</f>
        <v>16.455744</v>
      </c>
      <c r="E158" s="1">
        <f>(TAN(RADIANS(L9))*SIN(RADIANS(D158))-SIN(RADIANS(L13))/COS(RADIANS(L9)))/COS(RADIANS(D158))</f>
        <v>-0.7146391461628419</v>
      </c>
      <c r="F158" s="1">
        <f t="shared" si="4"/>
        <v>5.918182175516904</v>
      </c>
      <c r="G158" s="4">
        <f>IF(E158&lt;-1,"Below",IF(E158&gt;1,"Above",INT(C158+C12-(DEGREES(ASIN(E158))+90)/15+5/600)))</f>
        <v>9</v>
      </c>
      <c r="H158" s="1" t="str">
        <f>IF(OR(E158&lt;-1,E158&gt;1),IF(M13&gt;0," Min."," Horz."),IF(INT((C158+C12-(DEGREES(ASIN(E158))+90)/15-G158)*60+1/2)&lt;10,":0"&amp;FIXED(INT((C158+C12-(DEGREES(ASIN(E158))+90)/15-G158)*60+1/2),0),":"&amp;FIXED(INT((C158+C12-(DEGREES(ASIN(E158))+90)/15-G158)*60+1/2),0)))</f>
        <v>:19</v>
      </c>
      <c r="I158" s="4">
        <f>IF(E158&lt;-1,"Below",IF(E158&gt;1,"Above",INT(C158+C12+(DEGREES(ASIN(E158))+90)/15+5/600)))</f>
        <v>15</v>
      </c>
      <c r="J158" s="1" t="str">
        <f>IF(OR(E158&lt;-1,E158&gt;1),IF(M13&gt;0," Min."," Horz."),IF(INT((C158+C12+(DEGREES(ASIN(E158))+90)/15-I158)*60+1/2)&lt;10,":0"&amp;FIXED(INT((C158+C12+(DEGREES(ASIN(E158))+90)/15-I158)*60+1/2),0),":"&amp;FIXED(INT((C158+C12+(DEGREES(ASIN(E158))+90)/15-I158)*60+1/2),0)))</f>
        <v>:14</v>
      </c>
      <c r="K158" s="1">
        <f>ROUND(DEGREES(ASIN(COS(RADIANS(D158))*COS(RADIANS(L9))+SIN(RADIANS(D158))*SIN(RADIANS(L9)))),0)</f>
        <v>66</v>
      </c>
      <c r="L158" s="1" t="s">
        <v>17</v>
      </c>
      <c r="M158" s="16">
        <f>IF(M14&gt;0,solrdat!B167,solrdat!I167)</f>
        <v>39969</v>
      </c>
      <c r="N158" s="1">
        <f>IF(M14&gt;0,solrdat!C167,solrdat!J167)</f>
        <v>11.976166666666666</v>
      </c>
      <c r="O158" s="1">
        <f>IF(M14&gt;0,solrdat!D167,solrdat!K167)</f>
        <v>22.621895</v>
      </c>
      <c r="P158" s="1">
        <f>(TAN(RADIANS(L9))*SIN(RADIANS(O158))-SIN(RADIANS(L13))/COS(RADIANS(L9)))/COS(RADIANS(O158))</f>
        <v>-0.6503392337224622</v>
      </c>
      <c r="Q158" s="1">
        <f t="shared" si="5"/>
        <v>6.591042196449746</v>
      </c>
      <c r="R158" s="4">
        <f>IF(P158&lt;-1,"Below",IF(P158&gt;1,"Above",INT(N158+C12-(DEGREES(ASIN(P158))+90)/15+5/600)))</f>
        <v>9</v>
      </c>
      <c r="S158" s="1" t="str">
        <f>IF(OR(P158&lt;-1,P158&gt;1),IF(M13&gt;0," Min."," Horz."),IF(INT((N158+C12-(DEGREES(ASIN(P158))+90)/15-R158)*60+1/2)&lt;10,":0"&amp;FIXED(INT((N158+C12-(DEGREES(ASIN(P158))+90)/15-R158)*60+1/2),0),":"&amp;FIXED(INT((N158+C12-(DEGREES(ASIN(P158))+90)/15-R158)*60+1/2),0)))</f>
        <v>:01</v>
      </c>
      <c r="T158" s="4">
        <f>IF(P158&lt;-1,"Below",IF(P158&gt;1,"Above",INT(N158+C12+(DEGREES(ASIN(P158))+90)/15+5/600)))</f>
        <v>15</v>
      </c>
      <c r="U158" s="1" t="str">
        <f>IF(OR(P158&lt;-1,P158&gt;1),IF(M13&gt;0," Min."," Horz."),IF(INT((N158+C12+(DEGREES(ASIN(P158))+90)/15-T158)*60+1/2)&lt;10,":0"&amp;FIXED(INT((N158+C12+(DEGREES(ASIN(P158))+90)/15-T158)*60+1/2),0),":"&amp;FIXED(INT((N158+C12+(DEGREES(ASIN(P158))+90)/15-T158)*60+1/2),0)))</f>
        <v>:36</v>
      </c>
      <c r="V158" s="1">
        <f>ROUND(DEGREES(ASIN(COS(RADIANS(O158))*COS(RADIANS(L9))+SIN(RADIANS(O158))*SIN(RADIANS(L9)))),0)</f>
        <v>73</v>
      </c>
      <c r="W158" s="1" t="s">
        <v>17</v>
      </c>
      <c r="X158" s="18"/>
    </row>
    <row r="159" spans="1:24" ht="10.5" customHeight="1">
      <c r="A159" s="1"/>
      <c r="B159" s="15">
        <f>IF(M14&gt;0,solrdat!B136,solrdat!I136)</f>
        <v>39939</v>
      </c>
      <c r="C159" s="1">
        <f>IF(M14&gt;0,solrdat!C136,solrdat!J136)</f>
        <v>11.943027777777777</v>
      </c>
      <c r="D159" s="1">
        <f>IF(M14&gt;0,solrdat!D136,solrdat!K136)</f>
        <v>16.735344</v>
      </c>
      <c r="E159" s="1">
        <f>(TAN(RADIANS(L9))*SIN(RADIANS(D159))-SIN(RADIANS(L13))/COS(RADIANS(L9)))/COS(RADIANS(D159))</f>
        <v>-0.7115815030438706</v>
      </c>
      <c r="F159" s="1">
        <f t="shared" si="4"/>
        <v>5.951501750281094</v>
      </c>
      <c r="G159" s="4">
        <f>IF(E159&lt;-1,"Below",IF(E159&gt;1,"Above",INT(C159+C12-(DEGREES(ASIN(E159))+90)/15+5/600)))</f>
        <v>9</v>
      </c>
      <c r="H159" s="1" t="str">
        <f>IF(OR(E159&lt;-1,E159&gt;1),IF(M13&gt;0," Min."," Horz."),IF(INT((C159+C12-(DEGREES(ASIN(E159))+90)/15-G159)*60+1/2)&lt;10,":0"&amp;FIXED(INT((C159+C12-(DEGREES(ASIN(E159))+90)/15-G159)*60+1/2),0),":"&amp;FIXED(INT((C159+C12-(DEGREES(ASIN(E159))+90)/15-G159)*60+1/2),0)))</f>
        <v>:18</v>
      </c>
      <c r="I159" s="4">
        <f>IF(E159&lt;-1,"Below",IF(E159&gt;1,"Above",INT(C159+C12+(DEGREES(ASIN(E159))+90)/15+5/600)))</f>
        <v>15</v>
      </c>
      <c r="J159" s="1" t="str">
        <f>IF(OR(E159&lt;-1,E159&gt;1),IF(M13&gt;0," Min."," Horz."),IF(INT((C159+C12+(DEGREES(ASIN(E159))+90)/15-I159)*60+1/2)&lt;10,":0"&amp;FIXED(INT((C159+C12+(DEGREES(ASIN(E159))+90)/15-I159)*60+1/2),0),":"&amp;FIXED(INT((C159+C12+(DEGREES(ASIN(E159))+90)/15-I159)*60+1/2),0)))</f>
        <v>:15</v>
      </c>
      <c r="K159" s="1">
        <f>ROUND(DEGREES(ASIN(COS(RADIANS(D159))*COS(RADIANS(L9))+SIN(RADIANS(D159))*SIN(RADIANS(L9)))),0)</f>
        <v>67</v>
      </c>
      <c r="L159" s="1" t="s">
        <v>17</v>
      </c>
      <c r="M159" s="16">
        <f>IF(M14&gt;0,solrdat!B168,solrdat!I168)</f>
        <v>39970</v>
      </c>
      <c r="N159" s="1">
        <f>IF(M14&gt;0,solrdat!C168,solrdat!J168)</f>
        <v>11.979194444444444</v>
      </c>
      <c r="O159" s="1">
        <f>IF(M14&gt;0,solrdat!D168,solrdat!K168)</f>
        <v>22.723638</v>
      </c>
      <c r="P159" s="1">
        <f>(TAN(RADIANS(L9))*SIN(RADIANS(O159))-SIN(RADIANS(L13))/COS(RADIANS(L9)))/COS(RADIANS(O159))</f>
        <v>-0.6493312633860081</v>
      </c>
      <c r="Q159" s="1">
        <f t="shared" si="5"/>
        <v>6.601173205882961</v>
      </c>
      <c r="R159" s="4">
        <f>IF(P159&lt;-1,"Below",IF(P159&gt;1,"Above",INT(N159+C12-(DEGREES(ASIN(P159))+90)/15+5/600)))</f>
        <v>9</v>
      </c>
      <c r="S159" s="1" t="str">
        <f>IF(OR(P159&lt;-1,P159&gt;1),IF(M13&gt;0," Min."," Horz."),IF(INT((N159+C12-(DEGREES(ASIN(P159))+90)/15-R159)*60+1/2)&lt;10,":0"&amp;FIXED(INT((N159+C12-(DEGREES(ASIN(P159))+90)/15-R159)*60+1/2),0),":"&amp;FIXED(INT((N159+C12-(DEGREES(ASIN(P159))+90)/15-R159)*60+1/2),0)))</f>
        <v>:01</v>
      </c>
      <c r="T159" s="4">
        <f>IF(P159&lt;-1,"Below",IF(P159&gt;1,"Above",INT(N159+C12+(DEGREES(ASIN(P159))+90)/15+5/600)))</f>
        <v>15</v>
      </c>
      <c r="U159" s="1" t="str">
        <f>IF(OR(P159&lt;-1,P159&gt;1),IF(M13&gt;0," Min."," Horz."),IF(INT((N159+C12+(DEGREES(ASIN(P159))+90)/15-T159)*60+1/2)&lt;10,":0"&amp;FIXED(INT((N159+C12+(DEGREES(ASIN(P159))+90)/15-T159)*60+1/2),0),":"&amp;FIXED(INT((N159+C12+(DEGREES(ASIN(P159))+90)/15-T159)*60+1/2),0)))</f>
        <v>:37</v>
      </c>
      <c r="V159" s="1">
        <f>ROUND(DEGREES(ASIN(COS(RADIANS(O159))*COS(RADIANS(L9))+SIN(RADIANS(O159))*SIN(RADIANS(L9)))),0)</f>
        <v>73</v>
      </c>
      <c r="W159" s="1" t="s">
        <v>17</v>
      </c>
      <c r="X159" s="18"/>
    </row>
    <row r="160" spans="1:24" ht="10.5" customHeight="1">
      <c r="A160" s="1"/>
      <c r="B160" s="15">
        <f>IF(M14&gt;0,solrdat!B137,solrdat!I137)</f>
        <v>39940</v>
      </c>
      <c r="C160" s="1">
        <f>IF(M14&gt;0,solrdat!C137,solrdat!J137)</f>
        <v>11.941944444444445</v>
      </c>
      <c r="D160" s="1">
        <f>IF(M14&gt;0,solrdat!D137,solrdat!K137)</f>
        <v>17.010297</v>
      </c>
      <c r="E160" s="1">
        <f>(TAN(RADIANS(L9))*SIN(RADIANS(D160))-SIN(RADIANS(L13))/COS(RADIANS(L9)))/COS(RADIANS(D160))</f>
        <v>-0.7085883331870897</v>
      </c>
      <c r="F160" s="1">
        <f t="shared" si="4"/>
        <v>5.98397679919832</v>
      </c>
      <c r="G160" s="4">
        <f>IF(E160&lt;-1,"Below",IF(E160&gt;1,"Above",INT(C160+C12-(DEGREES(ASIN(E160))+90)/15+5/600)))</f>
        <v>9</v>
      </c>
      <c r="H160" s="1" t="str">
        <f>IF(OR(E160&lt;-1,E160&gt;1),IF(M13&gt;0," Min."," Horz."),IF(INT((C160+C12-(DEGREES(ASIN(E160))+90)/15-G160)*60+1/2)&lt;10,":0"&amp;FIXED(INT((C160+C12-(DEGREES(ASIN(E160))+90)/15-G160)*60+1/2),0),":"&amp;FIXED(INT((C160+C12-(DEGREES(ASIN(E160))+90)/15-G160)*60+1/2),0)))</f>
        <v>:17</v>
      </c>
      <c r="I160" s="4">
        <f>IF(E160&lt;-1,"Below",IF(E160&gt;1,"Above",INT(C160+C12+(DEGREES(ASIN(E160))+90)/15+5/600)))</f>
        <v>15</v>
      </c>
      <c r="J160" s="1" t="str">
        <f>IF(OR(E160&lt;-1,E160&gt;1),IF(M13&gt;0," Min."," Horz."),IF(INT((C160+C12+(DEGREES(ASIN(E160))+90)/15-I160)*60+1/2)&lt;10,":0"&amp;FIXED(INT((C160+C12+(DEGREES(ASIN(E160))+90)/15-I160)*60+1/2),0),":"&amp;FIXED(INT((C160+C12+(DEGREES(ASIN(E160))+90)/15-I160)*60+1/2),0)))</f>
        <v>:16</v>
      </c>
      <c r="K160" s="1">
        <f>ROUND(DEGREES(ASIN(COS(RADIANS(D160))*COS(RADIANS(L9))+SIN(RADIANS(D160))*SIN(RADIANS(L9)))),0)</f>
        <v>67</v>
      </c>
      <c r="L160" s="1" t="s">
        <v>17</v>
      </c>
      <c r="M160" s="16">
        <f>IF(M14&gt;0,solrdat!B169,solrdat!I169)</f>
        <v>39971</v>
      </c>
      <c r="N160" s="1">
        <f>IF(M14&gt;0,solrdat!C169,solrdat!J169)</f>
        <v>11.982277777777778</v>
      </c>
      <c r="O160" s="1">
        <f>IF(M14&gt;0,solrdat!D169,solrdat!K169)</f>
        <v>22.818749</v>
      </c>
      <c r="P160" s="1">
        <f>(TAN(RADIANS(L9))*SIN(RADIANS(O160))-SIN(RADIANS(L13))/COS(RADIANS(L9)))/COS(RADIANS(O160))</f>
        <v>-0.6483904955869462</v>
      </c>
      <c r="Q160" s="1">
        <f t="shared" si="5"/>
        <v>6.610618430388698</v>
      </c>
      <c r="R160" s="4">
        <f>IF(P160&lt;-1,"Below",IF(P160&gt;1,"Above",INT(N160+C12-(DEGREES(ASIN(P160))+90)/15+5/600)))</f>
        <v>9</v>
      </c>
      <c r="S160" s="1" t="str">
        <f>IF(OR(P160&lt;-1,P160&gt;1),IF(M13&gt;0," Min."," Horz."),IF(INT((N160+C12-(DEGREES(ASIN(P160))+90)/15-R160)*60+1/2)&lt;10,":0"&amp;FIXED(INT((N160+C12-(DEGREES(ASIN(P160))+90)/15-R160)*60+1/2),0),":"&amp;FIXED(INT((N160+C12-(DEGREES(ASIN(P160))+90)/15-R160)*60+1/2),0)))</f>
        <v>:01</v>
      </c>
      <c r="T160" s="4">
        <f>IF(P160&lt;-1,"Below",IF(P160&gt;1,"Above",INT(N160+C12+(DEGREES(ASIN(P160))+90)/15+5/600)))</f>
        <v>15</v>
      </c>
      <c r="U160" s="1" t="str">
        <f>IF(OR(P160&lt;-1,P160&gt;1),IF(M13&gt;0," Min."," Horz."),IF(INT((N160+C12+(DEGREES(ASIN(P160))+90)/15-T160)*60+1/2)&lt;10,":0"&amp;FIXED(INT((N160+C12+(DEGREES(ASIN(P160))+90)/15-T160)*60+1/2),0),":"&amp;FIXED(INT((N160+C12+(DEGREES(ASIN(P160))+90)/15-T160)*60+1/2),0)))</f>
        <v>:37</v>
      </c>
      <c r="V160" s="1">
        <f>ROUND(DEGREES(ASIN(COS(RADIANS(O160))*COS(RADIANS(L9))+SIN(RADIANS(O160))*SIN(RADIANS(L9)))),0)</f>
        <v>73</v>
      </c>
      <c r="W160" s="1" t="s">
        <v>17</v>
      </c>
      <c r="X160" s="18"/>
    </row>
    <row r="161" spans="1:24" ht="10.5" customHeight="1">
      <c r="A161" s="1"/>
      <c r="B161" s="15">
        <f>IF(M14&gt;0,solrdat!B138,solrdat!I138)</f>
        <v>39941</v>
      </c>
      <c r="C161" s="1">
        <f>IF(M14&gt;0,solrdat!C138,solrdat!J138)</f>
        <v>11.941</v>
      </c>
      <c r="D161" s="1">
        <f>IF(M14&gt;0,solrdat!D138,solrdat!K138)</f>
        <v>17.280527</v>
      </c>
      <c r="E161" s="1">
        <f>(TAN(RADIANS(L9))*SIN(RADIANS(D161))-SIN(RADIANS(L13))/COS(RADIANS(L9)))/COS(RADIANS(D161))</f>
        <v>-0.7056596949585345</v>
      </c>
      <c r="F161" s="1">
        <f t="shared" si="4"/>
        <v>6.01561807019254</v>
      </c>
      <c r="G161" s="4">
        <f>IF(E161&lt;-1,"Below",IF(E161&gt;1,"Above",INT(C161+C12-(DEGREES(ASIN(E161))+90)/15+5/600)))</f>
        <v>9</v>
      </c>
      <c r="H161" s="1" t="str">
        <f>IF(OR(E161&lt;-1,E161&gt;1),IF(M13&gt;0," Min."," Horz."),IF(INT((C161+C12-(DEGREES(ASIN(E161))+90)/15-G161)*60+1/2)&lt;10,":0"&amp;FIXED(INT((C161+C12-(DEGREES(ASIN(E161))+90)/15-G161)*60+1/2),0),":"&amp;FIXED(INT((C161+C12-(DEGREES(ASIN(E161))+90)/15-G161)*60+1/2),0)))</f>
        <v>:16</v>
      </c>
      <c r="I161" s="4">
        <f>IF(E161&lt;-1,"Below",IF(E161&gt;1,"Above",INT(C161+C12+(DEGREES(ASIN(E161))+90)/15+5/600)))</f>
        <v>15</v>
      </c>
      <c r="J161" s="1" t="str">
        <f>IF(OR(E161&lt;-1,E161&gt;1),IF(M13&gt;0," Min."," Horz."),IF(INT((C161+C12+(DEGREES(ASIN(E161))+90)/15-I161)*60+1/2)&lt;10,":0"&amp;FIXED(INT((C161+C12+(DEGREES(ASIN(E161))+90)/15-I161)*60+1/2),0),":"&amp;FIXED(INT((C161+C12+(DEGREES(ASIN(E161))+90)/15-I161)*60+1/2),0)))</f>
        <v>:17</v>
      </c>
      <c r="K161" s="1">
        <f>ROUND(DEGREES(ASIN(COS(RADIANS(D161))*COS(RADIANS(L9))+SIN(RADIANS(D161))*SIN(RADIANS(L9)))),0)</f>
        <v>67</v>
      </c>
      <c r="L161" s="1" t="s">
        <v>17</v>
      </c>
      <c r="M161" s="16">
        <f>IF(M14&gt;0,solrdat!B170,solrdat!I170)</f>
        <v>39972</v>
      </c>
      <c r="N161" s="1">
        <f>IF(M14&gt;0,solrdat!C170,solrdat!J170)</f>
        <v>11.985444444444445</v>
      </c>
      <c r="O161" s="1">
        <f>IF(M14&gt;0,solrdat!D170,solrdat!K170)</f>
        <v>22.907194</v>
      </c>
      <c r="P161" s="1">
        <f>(TAN(RADIANS(L9))*SIN(RADIANS(O161))-SIN(RADIANS(L13))/COS(RADIANS(L9)))/COS(RADIANS(O161))</f>
        <v>-0.6475169609115224</v>
      </c>
      <c r="Q161" s="1">
        <f t="shared" si="5"/>
        <v>6.619379743721073</v>
      </c>
      <c r="R161" s="4">
        <f>IF(P161&lt;-1,"Below",IF(P161&gt;1,"Above",INT(N161+C12-(DEGREES(ASIN(P161))+90)/15+5/600)))</f>
        <v>9</v>
      </c>
      <c r="S161" s="1" t="str">
        <f>IF(OR(P161&lt;-1,P161&gt;1),IF(M13&gt;0," Min."," Horz."),IF(INT((N161+C12-(DEGREES(ASIN(P161))+90)/15-R161)*60+1/2)&lt;10,":0"&amp;FIXED(INT((N161+C12-(DEGREES(ASIN(P161))+90)/15-R161)*60+1/2),0),":"&amp;FIXED(INT((N161+C12-(DEGREES(ASIN(P161))+90)/15-R161)*60+1/2),0)))</f>
        <v>:01</v>
      </c>
      <c r="T161" s="4">
        <f>IF(P161&lt;-1,"Below",IF(P161&gt;1,"Above",INT(N161+C12+(DEGREES(ASIN(P161))+90)/15+5/600)))</f>
        <v>15</v>
      </c>
      <c r="U161" s="1" t="str">
        <f>IF(OR(P161&lt;-1,P161&gt;1),IF(M13&gt;0," Min."," Horz."),IF(INT((N161+C12+(DEGREES(ASIN(P161))+90)/15-T161)*60+1/2)&lt;10,":0"&amp;FIXED(INT((N161+C12+(DEGREES(ASIN(P161))+90)/15-T161)*60+1/2),0),":"&amp;FIXED(INT((N161+C12+(DEGREES(ASIN(P161))+90)/15-T161)*60+1/2),0)))</f>
        <v>:38</v>
      </c>
      <c r="V161" s="1">
        <f>ROUND(DEGREES(ASIN(COS(RADIANS(O161))*COS(RADIANS(L9))+SIN(RADIANS(O161))*SIN(RADIANS(L9)))),0)</f>
        <v>73</v>
      </c>
      <c r="W161" s="1" t="s">
        <v>17</v>
      </c>
      <c r="X161" s="18"/>
    </row>
    <row r="162" spans="1:24" ht="10.5" customHeight="1">
      <c r="A162" s="1"/>
      <c r="B162" s="15">
        <f>IF(M14&gt;0,solrdat!B139,solrdat!I139)</f>
        <v>39942</v>
      </c>
      <c r="C162" s="1">
        <f>IF(M14&gt;0,solrdat!C139,solrdat!J139)</f>
        <v>11.940222222222221</v>
      </c>
      <c r="D162" s="1">
        <f>IF(M14&gt;0,solrdat!D139,solrdat!K139)</f>
        <v>17.545958</v>
      </c>
      <c r="E162" s="1">
        <f>(TAN(RADIANS(L9))*SIN(RADIANS(D162))-SIN(RADIANS(L13))/COS(RADIANS(L9)))/COS(RADIANS(D162))</f>
        <v>-0.7027956530625789</v>
      </c>
      <c r="F162" s="1">
        <f t="shared" si="4"/>
        <v>6.046435706413799</v>
      </c>
      <c r="G162" s="4">
        <f>IF(E162&lt;-1,"Below",IF(E162&gt;1,"Above",INT(C162+C12-(DEGREES(ASIN(E162))+90)/15+5/600)))</f>
        <v>9</v>
      </c>
      <c r="H162" s="1" t="str">
        <f>IF(OR(E162&lt;-1,E162&gt;1),IF(M13&gt;0," Min."," Horz."),IF(INT((C162+C12-(DEGREES(ASIN(E162))+90)/15-G162)*60+1/2)&lt;10,":0"&amp;FIXED(INT((C162+C12-(DEGREES(ASIN(E162))+90)/15-G162)*60+1/2),0),":"&amp;FIXED(INT((C162+C12-(DEGREES(ASIN(E162))+90)/15-G162)*60+1/2),0)))</f>
        <v>:15</v>
      </c>
      <c r="I162" s="4">
        <f>IF(E162&lt;-1,"Below",IF(E162&gt;1,"Above",INT(C162+C12+(DEGREES(ASIN(E162))+90)/15+5/600)))</f>
        <v>15</v>
      </c>
      <c r="J162" s="1" t="str">
        <f>IF(OR(E162&lt;-1,E162&gt;1),IF(M13&gt;0," Min."," Horz."),IF(INT((C162+C12+(DEGREES(ASIN(E162))+90)/15-I162)*60+1/2)&lt;10,":0"&amp;FIXED(INT((C162+C12+(DEGREES(ASIN(E162))+90)/15-I162)*60+1/2),0),":"&amp;FIXED(INT((C162+C12+(DEGREES(ASIN(E162))+90)/15-I162)*60+1/2),0)))</f>
        <v>:18</v>
      </c>
      <c r="K162" s="1">
        <f>ROUND(DEGREES(ASIN(COS(RADIANS(D162))*COS(RADIANS(L9))+SIN(RADIANS(D162))*SIN(RADIANS(L9)))),0)</f>
        <v>68</v>
      </c>
      <c r="L162" s="1" t="s">
        <v>17</v>
      </c>
      <c r="M162" s="16">
        <f>IF(M14&gt;0,solrdat!B171,solrdat!I171)</f>
        <v>39973</v>
      </c>
      <c r="N162" s="1">
        <f>IF(M14&gt;0,solrdat!C171,solrdat!J171)</f>
        <v>11.988694444444445</v>
      </c>
      <c r="O162" s="1">
        <f>IF(M14&gt;0,solrdat!D171,solrdat!K171)</f>
        <v>22.988939</v>
      </c>
      <c r="P162" s="1">
        <f>(TAN(RADIANS(L9))*SIN(RADIANS(O162))-SIN(RADIANS(L13))/COS(RADIANS(L9)))/COS(RADIANS(O162))</f>
        <v>-0.646710710124706</v>
      </c>
      <c r="Q162" s="1">
        <f t="shared" si="5"/>
        <v>6.627458647974412</v>
      </c>
      <c r="R162" s="4">
        <f>IF(P162&lt;-1,"Below",IF(P162&gt;1,"Above",INT(N162+C12-(DEGREES(ASIN(P162))+90)/15+5/600)))</f>
        <v>9</v>
      </c>
      <c r="S162" s="1" t="str">
        <f>IF(OR(P162&lt;-1,P162&gt;1),IF(M13&gt;0," Min."," Horz."),IF(INT((N162+C12-(DEGREES(ASIN(P162))+90)/15-R162)*60+1/2)&lt;10,":0"&amp;FIXED(INT((N162+C12-(DEGREES(ASIN(P162))+90)/15-R162)*60+1/2),0),":"&amp;FIXED(INT((N162+C12-(DEGREES(ASIN(P162))+90)/15-R162)*60+1/2),0)))</f>
        <v>:00</v>
      </c>
      <c r="T162" s="4">
        <f>IF(P162&lt;-1,"Below",IF(P162&gt;1,"Above",INT(N162+C12+(DEGREES(ASIN(P162))+90)/15+5/600)))</f>
        <v>15</v>
      </c>
      <c r="U162" s="1" t="str">
        <f>IF(OR(P162&lt;-1,P162&gt;1),IF(M13&gt;0," Min."," Horz."),IF(INT((N162+C12+(DEGREES(ASIN(P162))+90)/15-T162)*60+1/2)&lt;10,":0"&amp;FIXED(INT((N162+C12+(DEGREES(ASIN(P162))+90)/15-T162)*60+1/2),0),":"&amp;FIXED(INT((N162+C12+(DEGREES(ASIN(P162))+90)/15-T162)*60+1/2),0)))</f>
        <v>:38</v>
      </c>
      <c r="V162" s="1">
        <f>ROUND(DEGREES(ASIN(COS(RADIANS(O162))*COS(RADIANS(L9))+SIN(RADIANS(O162))*SIN(RADIANS(L9)))),0)</f>
        <v>73</v>
      </c>
      <c r="W162" s="1" t="s">
        <v>17</v>
      </c>
      <c r="X162" s="18"/>
    </row>
    <row r="163" spans="1:24" ht="10.5" customHeight="1">
      <c r="A163" s="1"/>
      <c r="B163" s="15">
        <f>IF(M14&gt;0,solrdat!B140,solrdat!I140)</f>
        <v>39943</v>
      </c>
      <c r="C163" s="1">
        <f>IF(M14&gt;0,solrdat!C140,solrdat!J140)</f>
        <v>11.93961111111111</v>
      </c>
      <c r="D163" s="1">
        <f>IF(M14&gt;0,solrdat!D140,solrdat!K140)</f>
        <v>17.80651</v>
      </c>
      <c r="E163" s="1">
        <f>(TAN(RADIANS(L9))*SIN(RADIANS(D163))-SIN(RADIANS(L13))/COS(RADIANS(L9)))/COS(RADIANS(D163))</f>
        <v>-0.6999963217146448</v>
      </c>
      <c r="F163" s="1">
        <f t="shared" si="4"/>
        <v>6.076438814372602</v>
      </c>
      <c r="G163" s="4">
        <f>IF(E163&lt;-1,"Below",IF(E163&gt;1,"Above",INT(C163+C12-(DEGREES(ASIN(E163))+90)/15+5/600)))</f>
        <v>9</v>
      </c>
      <c r="H163" s="1" t="str">
        <f>IF(OR(E163&lt;-1,E163&gt;1),IF(M13&gt;0," Min."," Horz."),IF(INT((C163+C12-(DEGREES(ASIN(E163))+90)/15-G163)*60+1/2)&lt;10,":0"&amp;FIXED(INT((C163+C12-(DEGREES(ASIN(E163))+90)/15-G163)*60+1/2),0),":"&amp;FIXED(INT((C163+C12-(DEGREES(ASIN(E163))+90)/15-G163)*60+1/2),0)))</f>
        <v>:14</v>
      </c>
      <c r="I163" s="4">
        <f>IF(E163&lt;-1,"Below",IF(E163&gt;1,"Above",INT(C163+C12+(DEGREES(ASIN(E163))+90)/15+5/600)))</f>
        <v>15</v>
      </c>
      <c r="J163" s="1" t="str">
        <f>IF(OR(E163&lt;-1,E163&gt;1),IF(M13&gt;0," Min."," Horz."),IF(INT((C163+C12+(DEGREES(ASIN(E163))+90)/15-I163)*60+1/2)&lt;10,":0"&amp;FIXED(INT((C163+C12+(DEGREES(ASIN(E163))+90)/15-I163)*60+1/2),0),":"&amp;FIXED(INT((C163+C12+(DEGREES(ASIN(E163))+90)/15-I163)*60+1/2),0)))</f>
        <v>:19</v>
      </c>
      <c r="K163" s="1">
        <f>ROUND(DEGREES(ASIN(COS(RADIANS(D163))*COS(RADIANS(L9))+SIN(RADIANS(D163))*SIN(RADIANS(L9)))),0)</f>
        <v>68</v>
      </c>
      <c r="L163" s="1" t="s">
        <v>17</v>
      </c>
      <c r="M163" s="16">
        <f>IF(M14&gt;0,solrdat!B172,solrdat!I172)</f>
        <v>39974</v>
      </c>
      <c r="N163" s="1">
        <f>IF(M14&gt;0,solrdat!C172,solrdat!J172)</f>
        <v>11.992027777777778</v>
      </c>
      <c r="O163" s="1">
        <f>IF(M14&gt;0,solrdat!D172,solrdat!K172)</f>
        <v>23.063955</v>
      </c>
      <c r="P163" s="1">
        <f>(TAN(RADIANS(L9))*SIN(RADIANS(O163))-SIN(RADIANS(L13))/COS(RADIANS(L9)))/COS(RADIANS(O163))</f>
        <v>-0.6459717651598289</v>
      </c>
      <c r="Q163" s="1">
        <f t="shared" si="5"/>
        <v>6.6348567680705655</v>
      </c>
      <c r="R163" s="4">
        <f>IF(P163&lt;-1,"Below",IF(P163&gt;1,"Above",INT(N163+C12-(DEGREES(ASIN(P163))+90)/15+5/600)))</f>
        <v>9</v>
      </c>
      <c r="S163" s="1" t="str">
        <f>IF(OR(P163&lt;-1,P163&gt;1),IF(M13&gt;0," Min."," Horz."),IF(INT((N163+C12-(DEGREES(ASIN(P163))+90)/15-R163)*60+1/2)&lt;10,":0"&amp;FIXED(INT((N163+C12-(DEGREES(ASIN(P163))+90)/15-R163)*60+1/2),0),":"&amp;FIXED(INT((N163+C12-(DEGREES(ASIN(P163))+90)/15-R163)*60+1/2),0)))</f>
        <v>:00</v>
      </c>
      <c r="T163" s="4">
        <f>IF(P163&lt;-1,"Below",IF(P163&gt;1,"Above",INT(N163+C12+(DEGREES(ASIN(P163))+90)/15+5/600)))</f>
        <v>15</v>
      </c>
      <c r="U163" s="1" t="str">
        <f>IF(OR(P163&lt;-1,P163&gt;1),IF(M13&gt;0," Min."," Horz."),IF(INT((N163+C12+(DEGREES(ASIN(P163))+90)/15-T163)*60+1/2)&lt;10,":0"&amp;FIXED(INT((N163+C12+(DEGREES(ASIN(P163))+90)/15-T163)*60+1/2),0),":"&amp;FIXED(INT((N163+C12+(DEGREES(ASIN(P163))+90)/15-T163)*60+1/2),0)))</f>
        <v>:39</v>
      </c>
      <c r="V163" s="1">
        <f>ROUND(DEGREES(ASIN(COS(RADIANS(O163))*COS(RADIANS(L9))+SIN(RADIANS(O163))*SIN(RADIANS(L9)))),0)</f>
        <v>73</v>
      </c>
      <c r="W163" s="1" t="s">
        <v>17</v>
      </c>
      <c r="X163" s="18"/>
    </row>
    <row r="164" spans="1:24" ht="10.5" customHeight="1">
      <c r="A164" s="1"/>
      <c r="B164" s="15">
        <f>IF(M14&gt;0,solrdat!B141,solrdat!I141)</f>
        <v>39944</v>
      </c>
      <c r="C164" s="1">
        <f>IF(M14&gt;0,solrdat!C141,solrdat!J141)</f>
        <v>11.939166666666667</v>
      </c>
      <c r="D164" s="1">
        <f>IF(M14&gt;0,solrdat!D141,solrdat!K141)</f>
        <v>18.062106</v>
      </c>
      <c r="E164" s="1">
        <f>(TAN(RADIANS(L9))*SIN(RADIANS(D164))-SIN(RADIANS(L13))/COS(RADIANS(L9)))/COS(RADIANS(D164))</f>
        <v>-0.697261789309198</v>
      </c>
      <c r="F164" s="1">
        <f t="shared" si="4"/>
        <v>6.105636303129583</v>
      </c>
      <c r="G164" s="4">
        <f>IF(E164&lt;-1,"Below",IF(E164&gt;1,"Above",INT(C164+C12-(DEGREES(ASIN(E164))+90)/15+5/600)))</f>
        <v>9</v>
      </c>
      <c r="H164" s="1" t="str">
        <f>IF(OR(E164&lt;-1,E164&gt;1),IF(M13&gt;0," Min."," Horz."),IF(INT((C164+C12-(DEGREES(ASIN(E164))+90)/15-G164)*60+1/2)&lt;10,":0"&amp;FIXED(INT((C164+C12-(DEGREES(ASIN(E164))+90)/15-G164)*60+1/2),0),":"&amp;FIXED(INT((C164+C12-(DEGREES(ASIN(E164))+90)/15-G164)*60+1/2),0)))</f>
        <v>:13</v>
      </c>
      <c r="I164" s="4">
        <f>IF(E164&lt;-1,"Below",IF(E164&gt;1,"Above",INT(C164+C12+(DEGREES(ASIN(E164))+90)/15+5/600)))</f>
        <v>15</v>
      </c>
      <c r="J164" s="1" t="str">
        <f>IF(OR(E164&lt;-1,E164&gt;1),IF(M13&gt;0," Min."," Horz."),IF(INT((C164+C12+(DEGREES(ASIN(E164))+90)/15-I164)*60+1/2)&lt;10,":0"&amp;FIXED(INT((C164+C12+(DEGREES(ASIN(E164))+90)/15-I164)*60+1/2),0),":"&amp;FIXED(INT((C164+C12+(DEGREES(ASIN(E164))+90)/15-I164)*60+1/2),0)))</f>
        <v>:20</v>
      </c>
      <c r="K164" s="1">
        <f>ROUND(DEGREES(ASIN(COS(RADIANS(D164))*COS(RADIANS(L9))+SIN(RADIANS(D164))*SIN(RADIANS(L9)))),0)</f>
        <v>68</v>
      </c>
      <c r="L164" s="1" t="s">
        <v>17</v>
      </c>
      <c r="M164" s="16">
        <f>IF(M14&gt;0,solrdat!B173,solrdat!I173)</f>
        <v>39975</v>
      </c>
      <c r="N164" s="1">
        <f>IF(M14&gt;0,solrdat!C173,solrdat!J173)</f>
        <v>11.99538888888889</v>
      </c>
      <c r="O164" s="1">
        <f>IF(M14&gt;0,solrdat!D173,solrdat!K173)</f>
        <v>23.132212</v>
      </c>
      <c r="P164" s="1">
        <f>(TAN(RADIANS(L9))*SIN(RADIANS(O164))-SIN(RADIANS(L13))/COS(RADIANS(L9)))/COS(RADIANS(O164))</f>
        <v>-0.6453001786176181</v>
      </c>
      <c r="Q164" s="1">
        <f t="shared" si="5"/>
        <v>6.6415752584090395</v>
      </c>
      <c r="R164" s="4">
        <f>IF(P164&lt;-1,"Below",IF(P164&gt;1,"Above",INT(N164+C12-(DEGREES(ASIN(P164))+90)/15+5/600)))</f>
        <v>9</v>
      </c>
      <c r="S164" s="1" t="str">
        <f>IF(OR(P164&lt;-1,P164&gt;1),IF(M13&gt;0," Min."," Horz."),IF(INT((N164+C12-(DEGREES(ASIN(P164))+90)/15-R164)*60+1/2)&lt;10,":0"&amp;FIXED(INT((N164+C12-(DEGREES(ASIN(P164))+90)/15-R164)*60+1/2),0),":"&amp;FIXED(INT((N164+C12-(DEGREES(ASIN(P164))+90)/15-R164)*60+1/2),0)))</f>
        <v>:00</v>
      </c>
      <c r="T164" s="4">
        <f>IF(P164&lt;-1,"Below",IF(P164&gt;1,"Above",INT(N164+C12+(DEGREES(ASIN(P164))+90)/15+5/600)))</f>
        <v>15</v>
      </c>
      <c r="U164" s="1" t="str">
        <f>IF(OR(P164&lt;-1,P164&gt;1),IF(M13&gt;0," Min."," Horz."),IF(INT((N164+C12+(DEGREES(ASIN(P164))+90)/15-T164)*60+1/2)&lt;10,":0"&amp;FIXED(INT((N164+C12+(DEGREES(ASIN(P164))+90)/15-T164)*60+1/2),0),":"&amp;FIXED(INT((N164+C12+(DEGREES(ASIN(P164))+90)/15-T164)*60+1/2),0)))</f>
        <v>:39</v>
      </c>
      <c r="V164" s="1">
        <f>ROUND(DEGREES(ASIN(COS(RADIANS(O164))*COS(RADIANS(L9))+SIN(RADIANS(O164))*SIN(RADIANS(L9)))),0)</f>
        <v>73</v>
      </c>
      <c r="W164" s="1" t="s">
        <v>17</v>
      </c>
      <c r="X164" s="18"/>
    </row>
    <row r="165" spans="1:24" ht="10.5" customHeight="1">
      <c r="A165" s="1"/>
      <c r="B165" s="15">
        <f>IF(M14&gt;0,solrdat!B142,solrdat!I142)</f>
        <v>39945</v>
      </c>
      <c r="C165" s="1">
        <f>IF(M14&gt;0,solrdat!C142,solrdat!J142)</f>
        <v>11.93886111111111</v>
      </c>
      <c r="D165" s="1">
        <f>IF(M14&gt;0,solrdat!D142,solrdat!K142)</f>
        <v>18.312666</v>
      </c>
      <c r="E165" s="1">
        <f>(TAN(RADIANS(L9))*SIN(RADIANS(D165))-SIN(RADIANS(L13))/COS(RADIANS(L9)))/COS(RADIANS(D165))</f>
        <v>-0.6945921832163542</v>
      </c>
      <c r="F165" s="1">
        <f t="shared" si="4"/>
        <v>6.134036215096335</v>
      </c>
      <c r="G165" s="4">
        <f>IF(E165&lt;-1,"Below",IF(E165&gt;1,"Above",INT(C165+C12-(DEGREES(ASIN(E165))+90)/15+5/600)))</f>
        <v>9</v>
      </c>
      <c r="H165" s="1" t="str">
        <f>IF(OR(E165&lt;-1,E165&gt;1),IF(M13&gt;0," Min."," Horz."),IF(INT((C165+C12-(DEGREES(ASIN(E165))+90)/15-G165)*60+1/2)&lt;10,":0"&amp;FIXED(INT((C165+C12-(DEGREES(ASIN(E165))+90)/15-G165)*60+1/2),0),":"&amp;FIXED(INT((C165+C12-(DEGREES(ASIN(E165))+90)/15-G165)*60+1/2),0)))</f>
        <v>:12</v>
      </c>
      <c r="I165" s="4">
        <f>IF(E165&lt;-1,"Below",IF(E165&gt;1,"Above",INT(C165+C12+(DEGREES(ASIN(E165))+90)/15+5/600)))</f>
        <v>15</v>
      </c>
      <c r="J165" s="1" t="str">
        <f>IF(OR(E165&lt;-1,E165&gt;1),IF(M13&gt;0," Min."," Horz."),IF(INT((C165+C12+(DEGREES(ASIN(E165))+90)/15-I165)*60+1/2)&lt;10,":0"&amp;FIXED(INT((C165+C12+(DEGREES(ASIN(E165))+90)/15-I165)*60+1/2),0),":"&amp;FIXED(INT((C165+C12+(DEGREES(ASIN(E165))+90)/15-I165)*60+1/2),0)))</f>
        <v>:20</v>
      </c>
      <c r="K165" s="1">
        <f>ROUND(DEGREES(ASIN(COS(RADIANS(D165))*COS(RADIANS(L9))+SIN(RADIANS(D165))*SIN(RADIANS(L9)))),0)</f>
        <v>68</v>
      </c>
      <c r="L165" s="1" t="s">
        <v>17</v>
      </c>
      <c r="M165" s="16">
        <f>IF(M14&gt;0,solrdat!B174,solrdat!I174)</f>
        <v>39976</v>
      </c>
      <c r="N165" s="1">
        <f>IF(M14&gt;0,solrdat!C174,solrdat!J174)</f>
        <v>11.998805555555556</v>
      </c>
      <c r="O165" s="1">
        <f>IF(M14&gt;0,solrdat!D174,solrdat!K174)</f>
        <v>23.193682</v>
      </c>
      <c r="P165" s="1">
        <f>(TAN(RADIANS(L9))*SIN(RADIANS(O165))-SIN(RADIANS(L13))/COS(RADIANS(L9)))/COS(RADIANS(O165))</f>
        <v>-0.6446960044296532</v>
      </c>
      <c r="Q165" s="1">
        <f t="shared" si="5"/>
        <v>6.6476150997224845</v>
      </c>
      <c r="R165" s="4">
        <f>IF(P165&lt;-1,"Below",IF(P165&gt;1,"Above",INT(N165+C12-(DEGREES(ASIN(P165))+90)/15+5/600)))</f>
        <v>9</v>
      </c>
      <c r="S165" s="1" t="str">
        <f>IF(OR(P165&lt;-1,P165&gt;1),IF(M13&gt;0," Min."," Horz."),IF(INT((N165+C12-(DEGREES(ASIN(P165))+90)/15-R165)*60+1/2)&lt;10,":0"&amp;FIXED(INT((N165+C12-(DEGREES(ASIN(P165))+90)/15-R165)*60+1/2),0),":"&amp;FIXED(INT((N165+C12-(DEGREES(ASIN(P165))+90)/15-R165)*60+1/2),0)))</f>
        <v>:00</v>
      </c>
      <c r="T165" s="4">
        <f>IF(P165&lt;-1,"Below",IF(P165&gt;1,"Above",INT(N165+C12+(DEGREES(ASIN(P165))+90)/15+5/600)))</f>
        <v>15</v>
      </c>
      <c r="U165" s="1" t="str">
        <f>IF(OR(P165&lt;-1,P165&gt;1),IF(M13&gt;0," Min."," Horz."),IF(INT((N165+C12+(DEGREES(ASIN(P165))+90)/15-T165)*60+1/2)&lt;10,":0"&amp;FIXED(INT((N165+C12+(DEGREES(ASIN(P165))+90)/15-T165)*60+1/2),0),":"&amp;FIXED(INT((N165+C12+(DEGREES(ASIN(P165))+90)/15-T165)*60+1/2),0)))</f>
        <v>:39</v>
      </c>
      <c r="V165" s="1">
        <f>ROUND(DEGREES(ASIN(COS(RADIANS(O165))*COS(RADIANS(L9))+SIN(RADIANS(O165))*SIN(RADIANS(L9)))),0)</f>
        <v>73</v>
      </c>
      <c r="W165" s="1" t="s">
        <v>17</v>
      </c>
      <c r="X165" s="18"/>
    </row>
    <row r="166" spans="1:24" ht="10.5" customHeight="1">
      <c r="A166" s="1"/>
      <c r="B166" s="15">
        <f>IF(M14&gt;0,solrdat!B143,solrdat!I143)</f>
        <v>39946</v>
      </c>
      <c r="C166" s="1">
        <f>IF(M14&gt;0,solrdat!C143,solrdat!J143)</f>
        <v>11.938722222222221</v>
      </c>
      <c r="D166" s="1">
        <f>IF(M14&gt;0,solrdat!D143,solrdat!K143)</f>
        <v>18.558109</v>
      </c>
      <c r="E166" s="1">
        <f>(TAN(RADIANS(L9))*SIN(RADIANS(D166))-SIN(RADIANS(L13))/COS(RADIANS(L9)))/COS(RADIANS(D166))</f>
        <v>-0.6919876482856349</v>
      </c>
      <c r="F166" s="1">
        <f t="shared" si="4"/>
        <v>6.161645983222858</v>
      </c>
      <c r="G166" s="4">
        <f>IF(E166&lt;-1,"Below",IF(E166&gt;1,"Above",INT(C166+C12-(DEGREES(ASIN(E166))+90)/15+5/600)))</f>
        <v>9</v>
      </c>
      <c r="H166" s="1" t="str">
        <f>IF(OR(E166&lt;-1,E166&gt;1),IF(M13&gt;0," Min."," Horz."),IF(INT((C166+C12-(DEGREES(ASIN(E166))+90)/15-G166)*60+1/2)&lt;10,":0"&amp;FIXED(INT((C166+C12-(DEGREES(ASIN(E166))+90)/15-G166)*60+1/2),0),":"&amp;FIXED(INT((C166+C12-(DEGREES(ASIN(E166))+90)/15-G166)*60+1/2),0)))</f>
        <v>:11</v>
      </c>
      <c r="I166" s="4">
        <f>IF(E166&lt;-1,"Below",IF(E166&gt;1,"Above",INT(C166+C12+(DEGREES(ASIN(E166))+90)/15+5/600)))</f>
        <v>15</v>
      </c>
      <c r="J166" s="1" t="str">
        <f>IF(OR(E166&lt;-1,E166&gt;1),IF(M13&gt;0," Min."," Horz."),IF(INT((C166+C12+(DEGREES(ASIN(E166))+90)/15-I166)*60+1/2)&lt;10,":0"&amp;FIXED(INT((C166+C12+(DEGREES(ASIN(E166))+90)/15-I166)*60+1/2),0),":"&amp;FIXED(INT((C166+C12+(DEGREES(ASIN(E166))+90)/15-I166)*60+1/2),0)))</f>
        <v>:21</v>
      </c>
      <c r="K166" s="1">
        <f>ROUND(DEGREES(ASIN(COS(RADIANS(D166))*COS(RADIANS(L9))+SIN(RADIANS(D166))*SIN(RADIANS(L9)))),0)</f>
        <v>69</v>
      </c>
      <c r="L166" s="1" t="s">
        <v>17</v>
      </c>
      <c r="M166" s="16">
        <f>IF(M14&gt;0,solrdat!B175,solrdat!I175)</f>
        <v>39977</v>
      </c>
      <c r="N166" s="1">
        <f>IF(M14&gt;0,solrdat!C175,solrdat!J175)</f>
        <v>12.002305555555555</v>
      </c>
      <c r="O166" s="1">
        <f>IF(M14&gt;0,solrdat!D175,solrdat!K175)</f>
        <v>23.24834</v>
      </c>
      <c r="P166" s="1">
        <f>(TAN(RADIANS(L9))*SIN(RADIANS(O166))-SIN(RADIANS(L13))/COS(RADIANS(L9)))/COS(RADIANS(O166))</f>
        <v>-0.6441592883377459</v>
      </c>
      <c r="Q166" s="1">
        <f t="shared" si="5"/>
        <v>6.6529771963446525</v>
      </c>
      <c r="R166" s="4">
        <f>IF(P166&lt;-1,"Below",IF(P166&gt;1,"Above",INT(N166+C12-(DEGREES(ASIN(P166))+90)/15+5/600)))</f>
        <v>9</v>
      </c>
      <c r="S166" s="1" t="str">
        <f>IF(OR(P166&lt;-1,P166&gt;1),IF(M13&gt;0," Min."," Horz."),IF(INT((N166+C12-(DEGREES(ASIN(P166))+90)/15-R166)*60+1/2)&lt;10,":0"&amp;FIXED(INT((N166+C12-(DEGREES(ASIN(P166))+90)/15-R166)*60+1/2),0),":"&amp;FIXED(INT((N166+C12-(DEGREES(ASIN(P166))+90)/15-R166)*60+1/2),0)))</f>
        <v>:01</v>
      </c>
      <c r="T166" s="4">
        <f>IF(P166&lt;-1,"Below",IF(P166&gt;1,"Above",INT(N166+C12+(DEGREES(ASIN(P166))+90)/15+5/600)))</f>
        <v>15</v>
      </c>
      <c r="U166" s="1" t="str">
        <f>IF(OR(P166&lt;-1,P166&gt;1),IF(M13&gt;0," Min."," Horz."),IF(INT((N166+C12+(DEGREES(ASIN(P166))+90)/15-T166)*60+1/2)&lt;10,":0"&amp;FIXED(INT((N166+C12+(DEGREES(ASIN(P166))+90)/15-T166)*60+1/2),0),":"&amp;FIXED(INT((N166+C12+(DEGREES(ASIN(P166))+90)/15-T166)*60+1/2),0)))</f>
        <v>:40</v>
      </c>
      <c r="V166" s="1">
        <f>ROUND(DEGREES(ASIN(COS(RADIANS(O166))*COS(RADIANS(L9))+SIN(RADIANS(O166))*SIN(RADIANS(L9)))),0)</f>
        <v>73</v>
      </c>
      <c r="W166" s="1" t="s">
        <v>17</v>
      </c>
      <c r="X166" s="18"/>
    </row>
    <row r="167" spans="1:24" ht="10.5" customHeight="1">
      <c r="A167" s="1"/>
      <c r="B167" s="15">
        <f>IF(M14&gt;0,solrdat!B144,solrdat!I144)</f>
        <v>39947</v>
      </c>
      <c r="C167" s="1">
        <f>IF(M14&gt;0,solrdat!C144,solrdat!J144)</f>
        <v>11.93875</v>
      </c>
      <c r="D167" s="1">
        <f>IF(M14&gt;0,solrdat!D144,solrdat!K144)</f>
        <v>18.798357</v>
      </c>
      <c r="E167" s="1">
        <f>(TAN(RADIANS(L9))*SIN(RADIANS(D167))-SIN(RADIANS(L13))/COS(RADIANS(L9)))/COS(RADIANS(D167))</f>
        <v>-0.689448304805457</v>
      </c>
      <c r="F167" s="1">
        <f t="shared" si="4"/>
        <v>6.1884728978858865</v>
      </c>
      <c r="G167" s="4">
        <f>IF(E167&lt;-1,"Below",IF(E167&gt;1,"Above",INT(C167+C12-(DEGREES(ASIN(E167))+90)/15+5/600)))</f>
        <v>9</v>
      </c>
      <c r="H167" s="1" t="str">
        <f>IF(OR(E167&lt;-1,E167&gt;1),IF(M13&gt;0," Min."," Horz."),IF(INT((C167+C12-(DEGREES(ASIN(E167))+90)/15-G167)*60+1/2)&lt;10,":0"&amp;FIXED(INT((C167+C12-(DEGREES(ASIN(E167))+90)/15-G167)*60+1/2),0),":"&amp;FIXED(INT((C167+C12-(DEGREES(ASIN(E167))+90)/15-G167)*60+1/2),0)))</f>
        <v>:11</v>
      </c>
      <c r="I167" s="4">
        <f>IF(E167&lt;-1,"Below",IF(E167&gt;1,"Above",INT(C167+C12+(DEGREES(ASIN(E167))+90)/15+5/600)))</f>
        <v>15</v>
      </c>
      <c r="J167" s="1" t="str">
        <f>IF(OR(E167&lt;-1,E167&gt;1),IF(M13&gt;0," Min."," Horz."),IF(INT((C167+C12+(DEGREES(ASIN(E167))+90)/15-I167)*60+1/2)&lt;10,":0"&amp;FIXED(INT((C167+C12+(DEGREES(ASIN(E167))+90)/15-I167)*60+1/2),0),":"&amp;FIXED(INT((C167+C12+(DEGREES(ASIN(E167))+90)/15-I167)*60+1/2),0)))</f>
        <v>:22</v>
      </c>
      <c r="K167" s="1">
        <f>ROUND(DEGREES(ASIN(COS(RADIANS(D167))*COS(RADIANS(L9))+SIN(RADIANS(D167))*SIN(RADIANS(L9)))),0)</f>
        <v>69</v>
      </c>
      <c r="L167" s="1" t="s">
        <v>17</v>
      </c>
      <c r="M167" s="16">
        <f>IF(M14&gt;0,solrdat!B176,solrdat!I176)</f>
        <v>39978</v>
      </c>
      <c r="N167" s="1">
        <f>IF(M14&gt;0,solrdat!C176,solrdat!J176)</f>
        <v>12.005833333333333</v>
      </c>
      <c r="O167" s="1">
        <f>IF(M14&gt;0,solrdat!D176,solrdat!K176)</f>
        <v>23.296162</v>
      </c>
      <c r="P167" s="1">
        <f>(TAN(RADIANS(L9))*SIN(RADIANS(O167))-SIN(RADIANS(L13))/COS(RADIANS(L9)))/COS(RADIANS(O167))</f>
        <v>-0.643690087821636</v>
      </c>
      <c r="Q167" s="1">
        <f t="shared" si="5"/>
        <v>6.657662178930212</v>
      </c>
      <c r="R167" s="4">
        <f>IF(P167&lt;-1,"Below",IF(P167&gt;1,"Above",INT(N167+C12-(DEGREES(ASIN(P167))+90)/15+5/600)))</f>
        <v>9</v>
      </c>
      <c r="S167" s="1" t="str">
        <f>IF(OR(P167&lt;-1,P167&gt;1),IF(M13&gt;0," Min."," Horz."),IF(INT((N167+C12-(DEGREES(ASIN(P167))+90)/15-R167)*60+1/2)&lt;10,":0"&amp;FIXED(INT((N167+C12-(DEGREES(ASIN(P167))+90)/15-R167)*60+1/2),0),":"&amp;FIXED(INT((N167+C12-(DEGREES(ASIN(P167))+90)/15-R167)*60+1/2),0)))</f>
        <v>:01</v>
      </c>
      <c r="T167" s="4">
        <f>IF(P167&lt;-1,"Below",IF(P167&gt;1,"Above",INT(N167+C12+(DEGREES(ASIN(P167))+90)/15+5/600)))</f>
        <v>15</v>
      </c>
      <c r="U167" s="1" t="str">
        <f>IF(OR(P167&lt;-1,P167&gt;1),IF(M13&gt;0," Min."," Horz."),IF(INT((N167+C12+(DEGREES(ASIN(P167))+90)/15-T167)*60+1/2)&lt;10,":0"&amp;FIXED(INT((N167+C12+(DEGREES(ASIN(P167))+90)/15-T167)*60+1/2),0),":"&amp;FIXED(INT((N167+C12+(DEGREES(ASIN(P167))+90)/15-T167)*60+1/2),0)))</f>
        <v>:40</v>
      </c>
      <c r="V167" s="1">
        <f>ROUND(DEGREES(ASIN(COS(RADIANS(O167))*COS(RADIANS(L9))+SIN(RADIANS(O167))*SIN(RADIANS(L9)))),0)</f>
        <v>73</v>
      </c>
      <c r="W167" s="1" t="s">
        <v>17</v>
      </c>
      <c r="X167" s="18"/>
    </row>
    <row r="168" spans="1:24" ht="10.5" customHeight="1">
      <c r="A168" s="1"/>
      <c r="B168" s="15">
        <f>IF(M14&gt;0,solrdat!B145,solrdat!I145)</f>
        <v>39948</v>
      </c>
      <c r="C168" s="1">
        <f>IF(M14&gt;0,solrdat!C145,solrdat!J145)</f>
        <v>11.938944444444445</v>
      </c>
      <c r="D168" s="1">
        <f>IF(M14&gt;0,solrdat!D145,solrdat!K145)</f>
        <v>19.03333</v>
      </c>
      <c r="E168" s="1">
        <f>(TAN(RADIANS(L9))*SIN(RADIANS(D168))-SIN(RADIANS(L13))/COS(RADIANS(L9)))/COS(RADIANS(D168))</f>
        <v>-0.686974302032633</v>
      </c>
      <c r="F168" s="1">
        <f t="shared" si="4"/>
        <v>6.214523558705282</v>
      </c>
      <c r="G168" s="4">
        <f>IF(E168&lt;-1,"Below",IF(E168&gt;1,"Above",INT(C168+C12-(DEGREES(ASIN(E168))+90)/15+5/600)))</f>
        <v>9</v>
      </c>
      <c r="H168" s="1" t="str">
        <f>IF(OR(E168&lt;-1,E168&gt;1),IF(M13&gt;0," Min."," Horz."),IF(INT((C168+C12-(DEGREES(ASIN(E168))+90)/15-G168)*60+1/2)&lt;10,":0"&amp;FIXED(INT((C168+C12-(DEGREES(ASIN(E168))+90)/15-G168)*60+1/2),0),":"&amp;FIXED(INT((C168+C12-(DEGREES(ASIN(E168))+90)/15-G168)*60+1/2),0)))</f>
        <v>:10</v>
      </c>
      <c r="I168" s="4">
        <f>IF(E168&lt;-1,"Below",IF(E168&gt;1,"Above",INT(C168+C12+(DEGREES(ASIN(E168))+90)/15+5/600)))</f>
        <v>15</v>
      </c>
      <c r="J168" s="1" t="str">
        <f>IF(OR(E168&lt;-1,E168&gt;1),IF(M13&gt;0," Min."," Horz."),IF(INT((C168+C12+(DEGREES(ASIN(E168))+90)/15-I168)*60+1/2)&lt;10,":0"&amp;FIXED(INT((C168+C12+(DEGREES(ASIN(E168))+90)/15-I168)*60+1/2),0),":"&amp;FIXED(INT((C168+C12+(DEGREES(ASIN(E168))+90)/15-I168)*60+1/2),0)))</f>
        <v>:23</v>
      </c>
      <c r="K168" s="1">
        <f>ROUND(DEGREES(ASIN(COS(RADIANS(D168))*COS(RADIANS(L9))+SIN(RADIANS(D168))*SIN(RADIANS(L9)))),0)</f>
        <v>69</v>
      </c>
      <c r="L168" s="1" t="s">
        <v>17</v>
      </c>
      <c r="M168" s="16">
        <f>IF(M14&gt;0,solrdat!B177,solrdat!I177)</f>
        <v>39979</v>
      </c>
      <c r="N168" s="1">
        <f>IF(M14&gt;0,solrdat!C177,solrdat!J177)</f>
        <v>12.00938888888889</v>
      </c>
      <c r="O168" s="1">
        <f>IF(M14&gt;0,solrdat!D177,solrdat!K177)</f>
        <v>23.337129</v>
      </c>
      <c r="P168" s="1">
        <f>(TAN(RADIANS(L9))*SIN(RADIANS(O168))-SIN(RADIANS(L13))/COS(RADIANS(L9)))/COS(RADIANS(O168))</f>
        <v>-0.643288433105486</v>
      </c>
      <c r="Q168" s="1">
        <f t="shared" si="5"/>
        <v>6.661670795446392</v>
      </c>
      <c r="R168" s="4">
        <f>IF(P168&lt;-1,"Below",IF(P168&gt;1,"Above",INT(N168+C12-(DEGREES(ASIN(P168))+90)/15+5/600)))</f>
        <v>9</v>
      </c>
      <c r="S168" s="1" t="str">
        <f>IF(OR(P168&lt;-1,P168&gt;1),IF(M13&gt;0," Min."," Horz."),IF(INT((N168+C12-(DEGREES(ASIN(P168))+90)/15-R168)*60+1/2)&lt;10,":0"&amp;FIXED(INT((N168+C12-(DEGREES(ASIN(P168))+90)/15-R168)*60+1/2),0),":"&amp;FIXED(INT((N168+C12-(DEGREES(ASIN(P168))+90)/15-R168)*60+1/2),0)))</f>
        <v>:01</v>
      </c>
      <c r="T168" s="4">
        <f>IF(P168&lt;-1,"Below",IF(P168&gt;1,"Above",INT(N168+C12+(DEGREES(ASIN(P168))+90)/15+5/600)))</f>
        <v>15</v>
      </c>
      <c r="U168" s="1" t="str">
        <f>IF(OR(P168&lt;-1,P168&gt;1),IF(M13&gt;0," Min."," Horz."),IF(INT((N168+C12+(DEGREES(ASIN(P168))+90)/15-T168)*60+1/2)&lt;10,":0"&amp;FIXED(INT((N168+C12+(DEGREES(ASIN(P168))+90)/15-T168)*60+1/2),0),":"&amp;FIXED(INT((N168+C12+(DEGREES(ASIN(P168))+90)/15-T168)*60+1/2),0)))</f>
        <v>:40</v>
      </c>
      <c r="V168" s="1">
        <f>ROUND(DEGREES(ASIN(COS(RADIANS(O168))*COS(RADIANS(L9))+SIN(RADIANS(O168))*SIN(RADIANS(L9)))),0)</f>
        <v>73</v>
      </c>
      <c r="W168" s="1" t="s">
        <v>17</v>
      </c>
      <c r="X168" s="18"/>
    </row>
    <row r="169" spans="1:24" ht="10.5" customHeight="1">
      <c r="A169" s="1"/>
      <c r="B169" s="15">
        <f>IF(M14&gt;0,solrdat!B146,solrdat!I146)</f>
        <v>39949</v>
      </c>
      <c r="C169" s="1">
        <f>IF(M14&gt;0,solrdat!C146,solrdat!J146)</f>
        <v>11.939305555555556</v>
      </c>
      <c r="D169" s="1">
        <f>IF(M14&gt;0,solrdat!D146,solrdat!K146)</f>
        <v>19.262948</v>
      </c>
      <c r="E169" s="1">
        <f>(TAN(RADIANS(L9))*SIN(RADIANS(D169))-SIN(RADIANS(L13))/COS(RADIANS(L9)))/COS(RADIANS(D169))</f>
        <v>-0.6845657972199195</v>
      </c>
      <c r="F169" s="1">
        <f t="shared" si="4"/>
        <v>6.239804116856902</v>
      </c>
      <c r="G169" s="4">
        <f>IF(E169&lt;-1,"Below",IF(E169&gt;1,"Above",INT(C169+C12-(DEGREES(ASIN(E169))+90)/15+5/600)))</f>
        <v>9</v>
      </c>
      <c r="H169" s="1" t="str">
        <f>IF(OR(E169&lt;-1,E169&gt;1),IF(M13&gt;0," Min."," Horz."),IF(INT((C169+C12-(DEGREES(ASIN(E169))+90)/15-G169)*60+1/2)&lt;10,":0"&amp;FIXED(INT((C169+C12-(DEGREES(ASIN(E169))+90)/15-G169)*60+1/2),0),":"&amp;FIXED(INT((C169+C12-(DEGREES(ASIN(E169))+90)/15-G169)*60+1/2),0)))</f>
        <v>:09</v>
      </c>
      <c r="I169" s="4">
        <f>IF(E169&lt;-1,"Below",IF(E169&gt;1,"Above",INT(C169+C12+(DEGREES(ASIN(E169))+90)/15+5/600)))</f>
        <v>15</v>
      </c>
      <c r="J169" s="1" t="str">
        <f>IF(OR(E169&lt;-1,E169&gt;1),IF(M13&gt;0," Min."," Horz."),IF(INT((C169+C12+(DEGREES(ASIN(E169))+90)/15-I169)*60+1/2)&lt;10,":0"&amp;FIXED(INT((C169+C12+(DEGREES(ASIN(E169))+90)/15-I169)*60+1/2),0),":"&amp;FIXED(INT((C169+C12+(DEGREES(ASIN(E169))+90)/15-I169)*60+1/2),0)))</f>
        <v>:24</v>
      </c>
      <c r="K169" s="1">
        <f>ROUND(DEGREES(ASIN(COS(RADIANS(D169))*COS(RADIANS(L9))+SIN(RADIANS(D169))*SIN(RADIANS(L9)))),0)</f>
        <v>69</v>
      </c>
      <c r="L169" s="1" t="s">
        <v>17</v>
      </c>
      <c r="M169" s="16">
        <f>IF(M14&gt;0,solrdat!B178,solrdat!I178)</f>
        <v>39980</v>
      </c>
      <c r="N169" s="1">
        <f>IF(M14&gt;0,solrdat!C178,solrdat!J178)</f>
        <v>12.012972222222222</v>
      </c>
      <c r="O169" s="1">
        <f>IF(M14&gt;0,solrdat!D178,solrdat!K178)</f>
        <v>23.371224</v>
      </c>
      <c r="P169" s="1">
        <f>(TAN(RADIANS(L9))*SIN(RADIANS(O169))-SIN(RADIANS(L13))/COS(RADIANS(L9)))/COS(RADIANS(O169))</f>
        <v>-0.6429543568599804</v>
      </c>
      <c r="Q169" s="1">
        <f t="shared" si="5"/>
        <v>6.665003615719324</v>
      </c>
      <c r="R169" s="4">
        <f>IF(P169&lt;-1,"Below",IF(P169&gt;1,"Above",INT(N169+C12-(DEGREES(ASIN(P169))+90)/15+5/600)))</f>
        <v>9</v>
      </c>
      <c r="S169" s="1" t="str">
        <f>IF(OR(P169&lt;-1,P169&gt;1),IF(M13&gt;0," Min."," Horz."),IF(INT((N169+C12-(DEGREES(ASIN(P169))+90)/15-R169)*60+1/2)&lt;10,":0"&amp;FIXED(INT((N169+C12-(DEGREES(ASIN(P169))+90)/15-R169)*60+1/2),0),":"&amp;FIXED(INT((N169+C12-(DEGREES(ASIN(P169))+90)/15-R169)*60+1/2),0)))</f>
        <v>:01</v>
      </c>
      <c r="T169" s="4">
        <f>IF(P169&lt;-1,"Below",IF(P169&gt;1,"Above",INT(N169+C12+(DEGREES(ASIN(P169))+90)/15+5/600)))</f>
        <v>15</v>
      </c>
      <c r="U169" s="1" t="str">
        <f>IF(OR(P169&lt;-1,P169&gt;1),IF(M13&gt;0," Min."," Horz."),IF(INT((N169+C12+(DEGREES(ASIN(P169))+90)/15-T169)*60+1/2)&lt;10,":0"&amp;FIXED(INT((N169+C12+(DEGREES(ASIN(P169))+90)/15-T169)*60+1/2),0),":"&amp;FIXED(INT((N169+C12+(DEGREES(ASIN(P169))+90)/15-T169)*60+1/2),0)))</f>
        <v>:41</v>
      </c>
      <c r="V169" s="1">
        <f>ROUND(DEGREES(ASIN(COS(RADIANS(O169))*COS(RADIANS(L9))+SIN(RADIANS(O169))*SIN(RADIANS(L9)))),0)</f>
        <v>73</v>
      </c>
      <c r="W169" s="1" t="s">
        <v>17</v>
      </c>
      <c r="X169" s="18"/>
    </row>
    <row r="170" spans="1:24" ht="10.5" customHeight="1">
      <c r="A170" s="1"/>
      <c r="B170" s="15">
        <f>IF(M14&gt;0,solrdat!B147,solrdat!I147)</f>
        <v>39950</v>
      </c>
      <c r="C170" s="1">
        <f>IF(M14&gt;0,solrdat!C147,solrdat!J147)</f>
        <v>11.939833333333333</v>
      </c>
      <c r="D170" s="1">
        <f>IF(M14&gt;0,solrdat!D147,solrdat!K147)</f>
        <v>19.487133</v>
      </c>
      <c r="E170" s="1">
        <f>(TAN(RADIANS(L9))*SIN(RADIANS(D170))-SIN(RADIANS(L13))/COS(RADIANS(L9)))/COS(RADIANS(D170))</f>
        <v>-0.682222935142976</v>
      </c>
      <c r="F170" s="1">
        <f t="shared" si="4"/>
        <v>6.2643205064383904</v>
      </c>
      <c r="G170" s="4">
        <f>IF(E170&lt;-1,"Below",IF(E170&gt;1,"Above",INT(C170+C12-(DEGREES(ASIN(E170))+90)/15+5/600)))</f>
        <v>9</v>
      </c>
      <c r="H170" s="1" t="str">
        <f>IF(OR(E170&lt;-1,E170&gt;1),IF(M13&gt;0," Min."," Horz."),IF(INT((C170+C12-(DEGREES(ASIN(E170))+90)/15-G170)*60+1/2)&lt;10,":0"&amp;FIXED(INT((C170+C12-(DEGREES(ASIN(E170))+90)/15-G170)*60+1/2),0),":"&amp;FIXED(INT((C170+C12-(DEGREES(ASIN(E170))+90)/15-G170)*60+1/2),0)))</f>
        <v>:08</v>
      </c>
      <c r="I170" s="4">
        <f>IF(E170&lt;-1,"Below",IF(E170&gt;1,"Above",INT(C170+C12+(DEGREES(ASIN(E170))+90)/15+5/600)))</f>
        <v>15</v>
      </c>
      <c r="J170" s="1" t="str">
        <f>IF(OR(E170&lt;-1,E170&gt;1),IF(M13&gt;0," Min."," Horz."),IF(INT((C170+C12+(DEGREES(ASIN(E170))+90)/15-I170)*60+1/2)&lt;10,":0"&amp;FIXED(INT((C170+C12+(DEGREES(ASIN(E170))+90)/15-I170)*60+1/2),0),":"&amp;FIXED(INT((C170+C12+(DEGREES(ASIN(E170))+90)/15-I170)*60+1/2),0)))</f>
        <v>:24</v>
      </c>
      <c r="K170" s="1">
        <f>ROUND(DEGREES(ASIN(COS(RADIANS(D170))*COS(RADIANS(L9))+SIN(RADIANS(D170))*SIN(RADIANS(L9)))),0)</f>
        <v>69</v>
      </c>
      <c r="L170" s="1" t="s">
        <v>17</v>
      </c>
      <c r="M170" s="16">
        <f>IF(M14&gt;0,solrdat!B179,solrdat!I179)</f>
        <v>39981</v>
      </c>
      <c r="N170" s="1">
        <f>IF(M14&gt;0,solrdat!C179,solrdat!J179)</f>
        <v>12.01661111111111</v>
      </c>
      <c r="O170" s="1">
        <f>IF(M14&gt;0,solrdat!D179,solrdat!K179)</f>
        <v>23.398431</v>
      </c>
      <c r="P170" s="1">
        <f>(TAN(RADIANS(L9))*SIN(RADIANS(O170))-SIN(RADIANS(L13))/COS(RADIANS(L9)))/COS(RADIANS(O170))</f>
        <v>-0.6426879041742534</v>
      </c>
      <c r="Q170" s="1">
        <f t="shared" si="5"/>
        <v>6.667660933286694</v>
      </c>
      <c r="R170" s="4">
        <f>IF(P170&lt;-1,"Below",IF(P170&gt;1,"Above",INT(N170+C12-(DEGREES(ASIN(P170))+90)/15+5/600)))</f>
        <v>9</v>
      </c>
      <c r="S170" s="1" t="str">
        <f>IF(OR(P170&lt;-1,P170&gt;1),IF(M13&gt;0," Min."," Horz."),IF(INT((N170+C12-(DEGREES(ASIN(P170))+90)/15-R170)*60+1/2)&lt;10,":0"&amp;FIXED(INT((N170+C12-(DEGREES(ASIN(P170))+90)/15-R170)*60+1/2),0),":"&amp;FIXED(INT((N170+C12-(DEGREES(ASIN(P170))+90)/15-R170)*60+1/2),0)))</f>
        <v>:01</v>
      </c>
      <c r="T170" s="4">
        <f>IF(P170&lt;-1,"Below",IF(P170&gt;1,"Above",INT(N170+C12+(DEGREES(ASIN(P170))+90)/15+5/600)))</f>
        <v>15</v>
      </c>
      <c r="U170" s="1" t="str">
        <f>IF(OR(P170&lt;-1,P170&gt;1),IF(M13&gt;0," Min."," Horz."),IF(INT((N170+C12+(DEGREES(ASIN(P170))+90)/15-T170)*60+1/2)&lt;10,":0"&amp;FIXED(INT((N170+C12+(DEGREES(ASIN(P170))+90)/15-T170)*60+1/2),0),":"&amp;FIXED(INT((N170+C12+(DEGREES(ASIN(P170))+90)/15-T170)*60+1/2),0)))</f>
        <v>:41</v>
      </c>
      <c r="V170" s="1">
        <f>ROUND(DEGREES(ASIN(COS(RADIANS(O170))*COS(RADIANS(L9))+SIN(RADIANS(O170))*SIN(RADIANS(L9)))),0)</f>
        <v>73</v>
      </c>
      <c r="W170" s="1" t="s">
        <v>17</v>
      </c>
      <c r="X170" s="18"/>
    </row>
    <row r="171" spans="1:24" ht="10.5" customHeight="1">
      <c r="A171" s="1"/>
      <c r="B171" s="15">
        <f>IF(M14&gt;0,solrdat!B148,solrdat!I148)</f>
        <v>39951</v>
      </c>
      <c r="C171" s="1">
        <f>IF(M14&gt;0,solrdat!C148,solrdat!J148)</f>
        <v>11.9405</v>
      </c>
      <c r="D171" s="1">
        <f>IF(M14&gt;0,solrdat!D148,solrdat!K148)</f>
        <v>19.705807</v>
      </c>
      <c r="E171" s="1">
        <f>(TAN(RADIANS(L9))*SIN(RADIANS(D171))-SIN(RADIANS(L13))/COS(RADIANS(L9)))/COS(RADIANS(D171))</f>
        <v>-0.6799458696597049</v>
      </c>
      <c r="F171" s="1">
        <f t="shared" si="4"/>
        <v>6.288078232966825</v>
      </c>
      <c r="G171" s="4">
        <f>IF(E171&lt;-1,"Below",IF(E171&gt;1,"Above",INT(C171+C12-(DEGREES(ASIN(E171))+90)/15+5/600)))</f>
        <v>9</v>
      </c>
      <c r="H171" s="1" t="str">
        <f>IF(OR(E171&lt;-1,E171&gt;1),IF(M13&gt;0," Min."," Horz."),IF(INT((C171+C12-(DEGREES(ASIN(E171))+90)/15-G171)*60+1/2)&lt;10,":0"&amp;FIXED(INT((C171+C12-(DEGREES(ASIN(E171))+90)/15-G171)*60+1/2),0),":"&amp;FIXED(INT((C171+C12-(DEGREES(ASIN(E171))+90)/15-G171)*60+1/2),0)))</f>
        <v>:08</v>
      </c>
      <c r="I171" s="4">
        <f>IF(E171&lt;-1,"Below",IF(E171&gt;1,"Above",INT(C171+C12+(DEGREES(ASIN(E171))+90)/15+5/600)))</f>
        <v>15</v>
      </c>
      <c r="J171" s="1" t="str">
        <f>IF(OR(E171&lt;-1,E171&gt;1),IF(M13&gt;0," Min."," Horz."),IF(INT((C171+C12+(DEGREES(ASIN(E171))+90)/15-I171)*60+1/2)&lt;10,":0"&amp;FIXED(INT((C171+C12+(DEGREES(ASIN(E171))+90)/15-I171)*60+1/2),0),":"&amp;FIXED(INT((C171+C12+(DEGREES(ASIN(E171))+90)/15-I171)*60+1/2),0)))</f>
        <v>:25</v>
      </c>
      <c r="K171" s="1">
        <f>ROUND(DEGREES(ASIN(COS(RADIANS(D171))*COS(RADIANS(L9))+SIN(RADIANS(D171))*SIN(RADIANS(L9)))),0)</f>
        <v>70</v>
      </c>
      <c r="L171" s="1" t="s">
        <v>17</v>
      </c>
      <c r="M171" s="16">
        <f>IF(M14&gt;0,solrdat!B180,solrdat!I180)</f>
        <v>39982</v>
      </c>
      <c r="N171" s="1">
        <f>IF(M14&gt;0,solrdat!C180,solrdat!J180)</f>
        <v>12.02025</v>
      </c>
      <c r="O171" s="1">
        <f>IF(M14&gt;0,solrdat!D180,solrdat!K180)</f>
        <v>23.418742</v>
      </c>
      <c r="P171" s="1">
        <f>(TAN(RADIANS(L9))*SIN(RADIANS(O171))-SIN(RADIANS(L13))/COS(RADIANS(L9)))/COS(RADIANS(O171))</f>
        <v>-0.6424890641825078</v>
      </c>
      <c r="Q171" s="1">
        <f t="shared" si="5"/>
        <v>6.669643448148524</v>
      </c>
      <c r="R171" s="4">
        <f>IF(P171&lt;-1,"Below",IF(P171&gt;1,"Above",INT(N171+C12-(DEGREES(ASIN(P171))+90)/15+5/600)))</f>
        <v>9</v>
      </c>
      <c r="S171" s="1" t="str">
        <f>IF(OR(P171&lt;-1,P171&gt;1),IF(M13&gt;0," Min."," Horz."),IF(INT((N171+C12-(DEGREES(ASIN(P171))+90)/15-R171)*60+1/2)&lt;10,":0"&amp;FIXED(INT((N171+C12-(DEGREES(ASIN(P171))+90)/15-R171)*60+1/2),0),":"&amp;FIXED(INT((N171+C12-(DEGREES(ASIN(P171))+90)/15-R171)*60+1/2),0)))</f>
        <v>:01</v>
      </c>
      <c r="T171" s="4">
        <f>IF(P171&lt;-1,"Below",IF(P171&gt;1,"Above",INT(N171+C12+(DEGREES(ASIN(P171))+90)/15+5/600)))</f>
        <v>15</v>
      </c>
      <c r="U171" s="1" t="str">
        <f>IF(OR(P171&lt;-1,P171&gt;1),IF(M13&gt;0," Min."," Horz."),IF(INT((N171+C12+(DEGREES(ASIN(P171))+90)/15-T171)*60+1/2)&lt;10,":0"&amp;FIXED(INT((N171+C12+(DEGREES(ASIN(P171))+90)/15-T171)*60+1/2),0),":"&amp;FIXED(INT((N171+C12+(DEGREES(ASIN(P171))+90)/15-T171)*60+1/2),0)))</f>
        <v>:41</v>
      </c>
      <c r="V171" s="1">
        <f>ROUND(DEGREES(ASIN(COS(RADIANS(O171))*COS(RADIANS(L9))+SIN(RADIANS(O171))*SIN(RADIANS(L9)))),0)</f>
        <v>73</v>
      </c>
      <c r="W171" s="1" t="s">
        <v>17</v>
      </c>
      <c r="X171" s="18"/>
    </row>
    <row r="172" spans="1:24" ht="10.5" customHeight="1">
      <c r="A172" s="1"/>
      <c r="B172" s="15">
        <f>IF(M14&gt;0,solrdat!B149,solrdat!I149)</f>
        <v>39952</v>
      </c>
      <c r="C172" s="1">
        <f>IF(M14&gt;0,solrdat!C149,solrdat!J149)</f>
        <v>11.941333333333333</v>
      </c>
      <c r="D172" s="1">
        <f>IF(M14&gt;0,solrdat!D149,solrdat!K149)</f>
        <v>19.918894</v>
      </c>
      <c r="E172" s="1">
        <f>(TAN(RADIANS(L9))*SIN(RADIANS(D172))-SIN(RADIANS(L13))/COS(RADIANS(L9)))/COS(RADIANS(D172))</f>
        <v>-0.6777347433824238</v>
      </c>
      <c r="F172" s="1">
        <f t="shared" si="4"/>
        <v>6.311082600022737</v>
      </c>
      <c r="G172" s="4">
        <f>IF(E172&lt;-1,"Below",IF(E172&gt;1,"Above",INT(C172+C12-(DEGREES(ASIN(E172))+90)/15+5/600)))</f>
        <v>9</v>
      </c>
      <c r="H172" s="1" t="str">
        <f>IF(OR(E172&lt;-1,E172&gt;1),IF(M13&gt;0," Min."," Horz."),IF(INT((C172+C12-(DEGREES(ASIN(E172))+90)/15-G172)*60+1/2)&lt;10,":0"&amp;FIXED(INT((C172+C12-(DEGREES(ASIN(E172))+90)/15-G172)*60+1/2),0),":"&amp;FIXED(INT((C172+C12-(DEGREES(ASIN(E172))+90)/15-G172)*60+1/2),0)))</f>
        <v>:07</v>
      </c>
      <c r="I172" s="4">
        <f>IF(E172&lt;-1,"Below",IF(E172&gt;1,"Above",INT(C172+C12+(DEGREES(ASIN(E172))+90)/15+5/600)))</f>
        <v>15</v>
      </c>
      <c r="J172" s="1" t="str">
        <f>IF(OR(E172&lt;-1,E172&gt;1),IF(M13&gt;0," Min."," Horz."),IF(INT((C172+C12+(DEGREES(ASIN(E172))+90)/15-I172)*60+1/2)&lt;10,":0"&amp;FIXED(INT((C172+C12+(DEGREES(ASIN(E172))+90)/15-I172)*60+1/2),0),":"&amp;FIXED(INT((C172+C12+(DEGREES(ASIN(E172))+90)/15-I172)*60+1/2),0)))</f>
        <v>:26</v>
      </c>
      <c r="K172" s="1">
        <f>ROUND(DEGREES(ASIN(COS(RADIANS(D172))*COS(RADIANS(L9))+SIN(RADIANS(D172))*SIN(RADIANS(L9)))),0)</f>
        <v>70</v>
      </c>
      <c r="L172" s="1" t="s">
        <v>17</v>
      </c>
      <c r="M172" s="16">
        <f>IF(M14&gt;0,solrdat!B181,solrdat!I181)</f>
        <v>39983</v>
      </c>
      <c r="N172" s="1">
        <f>IF(M14&gt;0,solrdat!C181,solrdat!J181)</f>
        <v>12.023888888888889</v>
      </c>
      <c r="O172" s="1">
        <f>IF(M14&gt;0,solrdat!D181,solrdat!K181)</f>
        <v>23.432151</v>
      </c>
      <c r="P172" s="1">
        <f>(TAN(RADIANS(L9))*SIN(RADIANS(O172))-SIN(RADIANS(L13))/COS(RADIANS(L9)))/COS(RADIANS(O172))</f>
        <v>-0.6423578289938724</v>
      </c>
      <c r="Q172" s="1">
        <f t="shared" si="5"/>
        <v>6.670951679598479</v>
      </c>
      <c r="R172" s="4">
        <f>IF(P172&lt;-1,"Below",IF(P172&gt;1,"Above",INT(N172+C12-(DEGREES(ASIN(P172))+90)/15+5/600)))</f>
        <v>9</v>
      </c>
      <c r="S172" s="1" t="str">
        <f>IF(OR(P172&lt;-1,P172&gt;1),IF(M13&gt;0," Min."," Horz."),IF(INT((N172+C12-(DEGREES(ASIN(P172))+90)/15-R172)*60+1/2)&lt;10,":0"&amp;FIXED(INT((N172+C12-(DEGREES(ASIN(P172))+90)/15-R172)*60+1/2),0),":"&amp;FIXED(INT((N172+C12-(DEGREES(ASIN(P172))+90)/15-R172)*60+1/2),0)))</f>
        <v>:01</v>
      </c>
      <c r="T172" s="4">
        <f>IF(P172&lt;-1,"Below",IF(P172&gt;1,"Above",INT(N172+C12+(DEGREES(ASIN(P172))+90)/15+5/600)))</f>
        <v>15</v>
      </c>
      <c r="U172" s="1" t="str">
        <f>IF(OR(P172&lt;-1,P172&gt;1),IF(M13&gt;0," Min."," Horz."),IF(INT((N172+C12+(DEGREES(ASIN(P172))+90)/15-T172)*60+1/2)&lt;10,":0"&amp;FIXED(INT((N172+C12+(DEGREES(ASIN(P172))+90)/15-T172)*60+1/2),0),":"&amp;FIXED(INT((N172+C12+(DEGREES(ASIN(P172))+90)/15-T172)*60+1/2),0)))</f>
        <v>:42</v>
      </c>
      <c r="V172" s="1">
        <f>ROUND(DEGREES(ASIN(COS(RADIANS(O172))*COS(RADIANS(L9))+SIN(RADIANS(O172))*SIN(RADIANS(L9)))),0)</f>
        <v>73</v>
      </c>
      <c r="W172" s="1" t="s">
        <v>17</v>
      </c>
      <c r="X172" s="18"/>
    </row>
    <row r="173" spans="1:24" ht="10.5" customHeight="1">
      <c r="A173" s="1"/>
      <c r="B173" s="15">
        <f>IF(M14&gt;0,solrdat!B150,solrdat!I150)</f>
        <v>39953</v>
      </c>
      <c r="C173" s="1">
        <f>IF(M14&gt;0,solrdat!C150,solrdat!J150)</f>
        <v>11.942305555555556</v>
      </c>
      <c r="D173" s="1">
        <f>IF(M14&gt;0,solrdat!D150,solrdat!K150)</f>
        <v>20.126319</v>
      </c>
      <c r="E173" s="1">
        <f>(TAN(RADIANS(L9))*SIN(RADIANS(D173))-SIN(RADIANS(L13))/COS(RADIANS(L9)))/COS(RADIANS(D173))</f>
        <v>-0.6755896987507518</v>
      </c>
      <c r="F173" s="1">
        <f t="shared" si="4"/>
        <v>6.333338606030759</v>
      </c>
      <c r="G173" s="4">
        <f>IF(E173&lt;-1,"Below",IF(E173&gt;1,"Above",INT(C173+C12-(DEGREES(ASIN(E173))+90)/15+5/600)))</f>
        <v>9</v>
      </c>
      <c r="H173" s="1" t="str">
        <f>IF(OR(E173&lt;-1,E173&gt;1),IF(M13&gt;0," Min."," Horz."),IF(INT((C173+C12-(DEGREES(ASIN(E173))+90)/15-G173)*60+1/2)&lt;10,":0"&amp;FIXED(INT((C173+C12-(DEGREES(ASIN(E173))+90)/15-G173)*60+1/2),0),":"&amp;FIXED(INT((C173+C12-(DEGREES(ASIN(E173))+90)/15-G173)*60+1/2),0)))</f>
        <v>:07</v>
      </c>
      <c r="I173" s="4">
        <f>IF(E173&lt;-1,"Below",IF(E173&gt;1,"Above",INT(C173+C12+(DEGREES(ASIN(E173))+90)/15+5/600)))</f>
        <v>15</v>
      </c>
      <c r="J173" s="1" t="str">
        <f>IF(OR(E173&lt;-1,E173&gt;1),IF(M13&gt;0," Min."," Horz."),IF(INT((C173+C12+(DEGREES(ASIN(E173))+90)/15-I173)*60+1/2)&lt;10,":0"&amp;FIXED(INT((C173+C12+(DEGREES(ASIN(E173))+90)/15-I173)*60+1/2),0),":"&amp;FIXED(INT((C173+C12+(DEGREES(ASIN(E173))+90)/15-I173)*60+1/2),0)))</f>
        <v>:27</v>
      </c>
      <c r="K173" s="1">
        <f>ROUND(DEGREES(ASIN(COS(RADIANS(D173))*COS(RADIANS(L9))+SIN(RADIANS(D173))*SIN(RADIANS(L9)))),0)</f>
        <v>70</v>
      </c>
      <c r="L173" s="1" t="s">
        <v>17</v>
      </c>
      <c r="M173" s="16">
        <f>IF(M14&gt;0,solrdat!B182,solrdat!I182)</f>
        <v>39984</v>
      </c>
      <c r="N173" s="1">
        <f>IF(M14&gt;0,solrdat!C182,solrdat!J182)</f>
        <v>12.027555555555555</v>
      </c>
      <c r="O173" s="1">
        <f>IF(M14&gt;0,solrdat!D182,solrdat!K182)</f>
        <v>23.438658</v>
      </c>
      <c r="P173" s="1">
        <f>(TAN(RADIANS(L9))*SIN(RADIANS(O173))-SIN(RADIANS(L13))/COS(RADIANS(L9)))/COS(RADIANS(O173))</f>
        <v>-0.6422941546156771</v>
      </c>
      <c r="Q173" s="1">
        <f t="shared" si="5"/>
        <v>6.671586356522341</v>
      </c>
      <c r="R173" s="4">
        <f>IF(P173&lt;-1,"Below",IF(P173&gt;1,"Above",INT(N173+C12-(DEGREES(ASIN(P173))+90)/15+5/600)))</f>
        <v>9</v>
      </c>
      <c r="S173" s="1" t="str">
        <f>IF(OR(P173&lt;-1,P173&gt;1),IF(M13&gt;0," Min."," Horz."),IF(INT((N173+C12-(DEGREES(ASIN(P173))+90)/15-R173)*60+1/2)&lt;10,":0"&amp;FIXED(INT((N173+C12-(DEGREES(ASIN(P173))+90)/15-R173)*60+1/2),0),":"&amp;FIXED(INT((N173+C12-(DEGREES(ASIN(P173))+90)/15-R173)*60+1/2),0)))</f>
        <v>:02</v>
      </c>
      <c r="T173" s="4">
        <f>IF(P173&lt;-1,"Below",IF(P173&gt;1,"Above",INT(N173+C12+(DEGREES(ASIN(P173))+90)/15+5/600)))</f>
        <v>15</v>
      </c>
      <c r="U173" s="1" t="str">
        <f>IF(OR(P173&lt;-1,P173&gt;1),IF(M13&gt;0," Min."," Horz."),IF(INT((N173+C12+(DEGREES(ASIN(P173))+90)/15-T173)*60+1/2)&lt;10,":0"&amp;FIXED(INT((N173+C12+(DEGREES(ASIN(P173))+90)/15-T173)*60+1/2),0),":"&amp;FIXED(INT((N173+C12+(DEGREES(ASIN(P173))+90)/15-T173)*60+1/2),0)))</f>
        <v>:42</v>
      </c>
      <c r="V173" s="1">
        <f>ROUND(DEGREES(ASIN(COS(RADIANS(O173))*COS(RADIANS(L9))+SIN(RADIANS(O173))*SIN(RADIANS(L9)))),0)</f>
        <v>73</v>
      </c>
      <c r="W173" s="1" t="s">
        <v>17</v>
      </c>
      <c r="X173" s="18"/>
    </row>
    <row r="174" spans="1:24" ht="10.5" customHeight="1">
      <c r="A174" s="1"/>
      <c r="B174" s="15">
        <f>IF(M14&gt;0,solrdat!B151,solrdat!I151)</f>
        <v>39954</v>
      </c>
      <c r="C174" s="1">
        <f>IF(M14&gt;0,solrdat!C151,solrdat!J151)</f>
        <v>11.943444444444445</v>
      </c>
      <c r="D174" s="1">
        <f>IF(M14&gt;0,solrdat!D151,solrdat!K151)</f>
        <v>20.32801</v>
      </c>
      <c r="E174" s="1">
        <f>(TAN(RADIANS(L9))*SIN(RADIANS(D174))-SIN(RADIANS(L13))/COS(RADIANS(L9)))/COS(RADIANS(D174))</f>
        <v>-0.6735108580109253</v>
      </c>
      <c r="F174" s="1">
        <f t="shared" si="4"/>
        <v>6.354851163479992</v>
      </c>
      <c r="G174" s="4">
        <f>IF(E174&lt;-1,"Below",IF(E174&gt;1,"Above",INT(C174+C12-(DEGREES(ASIN(E174))+90)/15+5/600)))</f>
        <v>9</v>
      </c>
      <c r="H174" s="1" t="str">
        <f>IF(OR(E174&lt;-1,E174&gt;1),IF(M13&gt;0," Min."," Horz."),IF(INT((C174+C12-(DEGREES(ASIN(E174))+90)/15-G174)*60+1/2)&lt;10,":0"&amp;FIXED(INT((C174+C12-(DEGREES(ASIN(E174))+90)/15-G174)*60+1/2),0),":"&amp;FIXED(INT((C174+C12-(DEGREES(ASIN(E174))+90)/15-G174)*60+1/2),0)))</f>
        <v>:06</v>
      </c>
      <c r="I174" s="4">
        <f>IF(E174&lt;-1,"Below",IF(E174&gt;1,"Above",INT(C174+C12+(DEGREES(ASIN(E174))+90)/15+5/600)))</f>
        <v>15</v>
      </c>
      <c r="J174" s="1" t="str">
        <f>IF(OR(E174&lt;-1,E174&gt;1),IF(M13&gt;0," Min."," Horz."),IF(INT((C174+C12+(DEGREES(ASIN(E174))+90)/15-I174)*60+1/2)&lt;10,":0"&amp;FIXED(INT((C174+C12+(DEGREES(ASIN(E174))+90)/15-I174)*60+1/2),0),":"&amp;FIXED(INT((C174+C12+(DEGREES(ASIN(E174))+90)/15-I174)*60+1/2),0)))</f>
        <v>:27</v>
      </c>
      <c r="K174" s="1">
        <f>ROUND(DEGREES(ASIN(COS(RADIANS(D174))*COS(RADIANS(L9))+SIN(RADIANS(D174))*SIN(RADIANS(L9)))),0)</f>
        <v>70</v>
      </c>
      <c r="L174" s="1" t="s">
        <v>17</v>
      </c>
      <c r="M174" s="16">
        <f>IF(M14&gt;0,solrdat!B183,solrdat!I183)</f>
        <v>39985</v>
      </c>
      <c r="N174" s="1">
        <f>IF(M14&gt;0,solrdat!C183,solrdat!J183)</f>
        <v>12.031194444444445</v>
      </c>
      <c r="O174" s="1">
        <f>IF(M14&gt;0,solrdat!D183,solrdat!K183)</f>
        <v>23.438265</v>
      </c>
      <c r="P174" s="1">
        <f>(TAN(RADIANS(L9))*SIN(RADIANS(O174))-SIN(RADIANS(L13))/COS(RADIANS(L9)))/COS(RADIANS(O174))</f>
        <v>-0.6422980001347158</v>
      </c>
      <c r="Q174" s="1">
        <f t="shared" si="5"/>
        <v>6.67154802741052</v>
      </c>
      <c r="R174" s="4">
        <f>IF(P174&lt;-1,"Below",IF(P174&gt;1,"Above",INT(N174+C12-(DEGREES(ASIN(P174))+90)/15+5/600)))</f>
        <v>9</v>
      </c>
      <c r="S174" s="1" t="str">
        <f>IF(OR(P174&lt;-1,P174&gt;1),IF(M13&gt;0," Min."," Horz."),IF(INT((N174+C12-(DEGREES(ASIN(P174))+90)/15-R174)*60+1/2)&lt;10,":0"&amp;FIXED(INT((N174+C12-(DEGREES(ASIN(P174))+90)/15-R174)*60+1/2),0),":"&amp;FIXED(INT((N174+C12-(DEGREES(ASIN(P174))+90)/15-R174)*60+1/2),0)))</f>
        <v>:02</v>
      </c>
      <c r="T174" s="4">
        <f>IF(P174&lt;-1,"Below",IF(P174&gt;1,"Above",INT(N174+C12+(DEGREES(ASIN(P174))+90)/15+5/600)))</f>
        <v>15</v>
      </c>
      <c r="U174" s="1" t="str">
        <f>IF(OR(P174&lt;-1,P174&gt;1),IF(M13&gt;0," Min."," Horz."),IF(INT((N174+C12+(DEGREES(ASIN(P174))+90)/15-T174)*60+1/2)&lt;10,":0"&amp;FIXED(INT((N174+C12+(DEGREES(ASIN(P174))+90)/15-T174)*60+1/2),0),":"&amp;FIXED(INT((N174+C12+(DEGREES(ASIN(P174))+90)/15-T174)*60+1/2),0)))</f>
        <v>:42</v>
      </c>
      <c r="V174" s="1">
        <f>ROUND(DEGREES(ASIN(COS(RADIANS(O174))*COS(RADIANS(L9))+SIN(RADIANS(O174))*SIN(RADIANS(L9)))),0)</f>
        <v>73</v>
      </c>
      <c r="W174" s="1" t="s">
        <v>17</v>
      </c>
      <c r="X174" s="18"/>
    </row>
    <row r="175" spans="1:24" ht="10.5" customHeight="1">
      <c r="A175" s="1"/>
      <c r="B175" s="15">
        <f>IF(M14&gt;0,solrdat!B152,solrdat!I152)</f>
        <v>39955</v>
      </c>
      <c r="C175" s="1">
        <f>IF(M14&gt;0,solrdat!C152,solrdat!J152)</f>
        <v>11.94475</v>
      </c>
      <c r="D175" s="1">
        <f>IF(M14&gt;0,solrdat!D152,solrdat!K152)</f>
        <v>20.523897</v>
      </c>
      <c r="E175" s="1">
        <f>(TAN(RADIANS(L9))*SIN(RADIANS(D175))-SIN(RADIANS(L13))/COS(RADIANS(L9)))/COS(RADIANS(D175))</f>
        <v>-0.6714983343553761</v>
      </c>
      <c r="F175" s="1">
        <f t="shared" si="4"/>
        <v>6.375624993010776</v>
      </c>
      <c r="G175" s="4">
        <f>IF(E175&lt;-1,"Below",IF(E175&gt;1,"Above",INT(C175+C12-(DEGREES(ASIN(E175))+90)/15+5/600)))</f>
        <v>9</v>
      </c>
      <c r="H175" s="1" t="str">
        <f>IF(OR(E175&lt;-1,E175&gt;1),IF(M13&gt;0," Min."," Horz."),IF(INT((C175+C12-(DEGREES(ASIN(E175))+90)/15-G175)*60+1/2)&lt;10,":0"&amp;FIXED(INT((C175+C12-(DEGREES(ASIN(E175))+90)/15-G175)*60+1/2),0),":"&amp;FIXED(INT((C175+C12-(DEGREES(ASIN(E175))+90)/15-G175)*60+1/2),0)))</f>
        <v>:05</v>
      </c>
      <c r="I175" s="4">
        <f>IF(E175&lt;-1,"Below",IF(E175&gt;1,"Above",INT(C175+C12+(DEGREES(ASIN(E175))+90)/15+5/600)))</f>
        <v>15</v>
      </c>
      <c r="J175" s="1" t="str">
        <f>IF(OR(E175&lt;-1,E175&gt;1),IF(M13&gt;0," Min."," Horz."),IF(INT((C175+C12+(DEGREES(ASIN(E175))+90)/15-I175)*60+1/2)&lt;10,":0"&amp;FIXED(INT((C175+C12+(DEGREES(ASIN(E175))+90)/15-I175)*60+1/2),0),":"&amp;FIXED(INT((C175+C12+(DEGREES(ASIN(E175))+90)/15-I175)*60+1/2),0)))</f>
        <v>:28</v>
      </c>
      <c r="K175" s="1">
        <f>ROUND(DEGREES(ASIN(COS(RADIANS(D175))*COS(RADIANS(L9))+SIN(RADIANS(D175))*SIN(RADIANS(L9)))),0)</f>
        <v>71</v>
      </c>
      <c r="L175" s="1" t="s">
        <v>17</v>
      </c>
      <c r="M175" s="16">
        <f>IF(M14&gt;0,solrdat!B184,solrdat!I184)</f>
        <v>39986</v>
      </c>
      <c r="N175" s="1">
        <f>IF(M14&gt;0,solrdat!C184,solrdat!J184)</f>
        <v>12.03486111111111</v>
      </c>
      <c r="O175" s="1">
        <f>IF(M14&gt;0,solrdat!D184,solrdat!K184)</f>
        <v>23.430978</v>
      </c>
      <c r="P175" s="1">
        <f>(TAN(RADIANS(L9))*SIN(RADIANS(O175))-SIN(RADIANS(L13))/COS(RADIANS(L9)))/COS(RADIANS(O175))</f>
        <v>-0.6423693081222344</v>
      </c>
      <c r="Q175" s="1">
        <f t="shared" si="5"/>
        <v>6.670837256223459</v>
      </c>
      <c r="R175" s="4">
        <f>IF(P175&lt;-1,"Below",IF(P175&gt;1,"Above",INT(N175+C12-(DEGREES(ASIN(P175))+90)/15+5/600)))</f>
        <v>9</v>
      </c>
      <c r="S175" s="1" t="str">
        <f>IF(OR(P175&lt;-1,P175&gt;1),IF(M13&gt;0," Min."," Horz."),IF(INT((N175+C12-(DEGREES(ASIN(P175))+90)/15-R175)*60+1/2)&lt;10,":0"&amp;FIXED(INT((N175+C12-(DEGREES(ASIN(P175))+90)/15-R175)*60+1/2),0),":"&amp;FIXED(INT((N175+C12-(DEGREES(ASIN(P175))+90)/15-R175)*60+1/2),0)))</f>
        <v>:02</v>
      </c>
      <c r="T175" s="4">
        <f>IF(P175&lt;-1,"Below",IF(P175&gt;1,"Above",INT(N175+C12+(DEGREES(ASIN(P175))+90)/15+5/600)))</f>
        <v>15</v>
      </c>
      <c r="U175" s="1" t="str">
        <f>IF(OR(P175&lt;-1,P175&gt;1),IF(M13&gt;0," Min."," Horz."),IF(INT((N175+C12+(DEGREES(ASIN(P175))+90)/15-T175)*60+1/2)&lt;10,":0"&amp;FIXED(INT((N175+C12+(DEGREES(ASIN(P175))+90)/15-T175)*60+1/2),0),":"&amp;FIXED(INT((N175+C12+(DEGREES(ASIN(P175))+90)/15-T175)*60+1/2),0)))</f>
        <v>:42</v>
      </c>
      <c r="V175" s="1">
        <f>ROUND(DEGREES(ASIN(COS(RADIANS(O175))*COS(RADIANS(L9))+SIN(RADIANS(O175))*SIN(RADIANS(L9)))),0)</f>
        <v>73</v>
      </c>
      <c r="W175" s="1" t="s">
        <v>17</v>
      </c>
      <c r="X175" s="18"/>
    </row>
    <row r="176" spans="1:24" ht="10.5" customHeight="1">
      <c r="A176" s="1"/>
      <c r="B176" s="15">
        <f>IF(M14&gt;0,solrdat!B153,solrdat!I153)</f>
        <v>39956</v>
      </c>
      <c r="C176" s="1">
        <f>IF(M14&gt;0,solrdat!C153,solrdat!J153)</f>
        <v>11.946194444444444</v>
      </c>
      <c r="D176" s="1">
        <f>IF(M14&gt;0,solrdat!D153,solrdat!K153)</f>
        <v>20.713911</v>
      </c>
      <c r="E176" s="1">
        <f>(TAN(RADIANS(L9))*SIN(RADIANS(D176))-SIN(RADIANS(L13))/COS(RADIANS(L9)))/COS(RADIANS(D176))</f>
        <v>-0.6695522428370329</v>
      </c>
      <c r="F176" s="1">
        <f t="shared" si="4"/>
        <v>6.395664521011981</v>
      </c>
      <c r="G176" s="4">
        <f>IF(E176&lt;-1,"Below",IF(E176&gt;1,"Above",INT(C176+C12-(DEGREES(ASIN(E176))+90)/15+5/600)))</f>
        <v>9</v>
      </c>
      <c r="H176" s="1" t="str">
        <f>IF(OR(E176&lt;-1,E176&gt;1),IF(M13&gt;0," Min."," Horz."),IF(INT((C176+C12-(DEGREES(ASIN(E176))+90)/15-G176)*60+1/2)&lt;10,":0"&amp;FIXED(INT((C176+C12-(DEGREES(ASIN(E176))+90)/15-G176)*60+1/2),0),":"&amp;FIXED(INT((C176+C12-(DEGREES(ASIN(E176))+90)/15-G176)*60+1/2),0)))</f>
        <v>:05</v>
      </c>
      <c r="I176" s="4">
        <f>IF(E176&lt;-1,"Below",IF(E176&gt;1,"Above",INT(C176+C12+(DEGREES(ASIN(E176))+90)/15+5/600)))</f>
        <v>15</v>
      </c>
      <c r="J176" s="1" t="str">
        <f>IF(OR(E176&lt;-1,E176&gt;1),IF(M13&gt;0," Min."," Horz."),IF(INT((C176+C12+(DEGREES(ASIN(E176))+90)/15-I176)*60+1/2)&lt;10,":0"&amp;FIXED(INT((C176+C12+(DEGREES(ASIN(E176))+90)/15-I176)*60+1/2),0),":"&amp;FIXED(INT((C176+C12+(DEGREES(ASIN(E176))+90)/15-I176)*60+1/2),0)))</f>
        <v>:29</v>
      </c>
      <c r="K176" s="1">
        <f>ROUND(DEGREES(ASIN(COS(RADIANS(D176))*COS(RADIANS(L9))+SIN(RADIANS(D176))*SIN(RADIANS(L9)))),0)</f>
        <v>71</v>
      </c>
      <c r="L176" s="1" t="s">
        <v>17</v>
      </c>
      <c r="M176" s="16">
        <f>IF(M14&gt;0,solrdat!B185,solrdat!I185)</f>
        <v>39987</v>
      </c>
      <c r="N176" s="1">
        <f>IF(M14&gt;0,solrdat!C185,solrdat!J185)</f>
        <v>12.038472222222222</v>
      </c>
      <c r="O176" s="1">
        <f>IF(M14&gt;0,solrdat!D185,solrdat!K185)</f>
        <v>23.416807</v>
      </c>
      <c r="P176" s="1">
        <f>(TAN(RADIANS(L9))*SIN(RADIANS(O176))-SIN(RADIANS(L13))/COS(RADIANS(L9)))/COS(RADIANS(O176))</f>
        <v>-0.6425080045678098</v>
      </c>
      <c r="Q176" s="1">
        <f t="shared" si="5"/>
        <v>6.669454623463051</v>
      </c>
      <c r="R176" s="4">
        <f>IF(P176&lt;-1,"Below",IF(P176&gt;1,"Above",INT(N176+C12-(DEGREES(ASIN(P176))+90)/15+5/600)))</f>
        <v>9</v>
      </c>
      <c r="S176" s="1" t="str">
        <f>IF(OR(P176&lt;-1,P176&gt;1),IF(M13&gt;0," Min."," Horz."),IF(INT((N176+C12-(DEGREES(ASIN(P176))+90)/15-R176)*60+1/2)&lt;10,":0"&amp;FIXED(INT((N176+C12-(DEGREES(ASIN(P176))+90)/15-R176)*60+1/2),0),":"&amp;FIXED(INT((N176+C12-(DEGREES(ASIN(P176))+90)/15-R176)*60+1/2),0)))</f>
        <v>:02</v>
      </c>
      <c r="T176" s="4">
        <f>IF(P176&lt;-1,"Below",IF(P176&gt;1,"Above",INT(N176+C12+(DEGREES(ASIN(P176))+90)/15+5/600)))</f>
        <v>15</v>
      </c>
      <c r="U176" s="1" t="str">
        <f>IF(OR(P176&lt;-1,P176&gt;1),IF(M13&gt;0," Min."," Horz."),IF(INT((N176+C12+(DEGREES(ASIN(P176))+90)/15-T176)*60+1/2)&lt;10,":0"&amp;FIXED(INT((N176+C12+(DEGREES(ASIN(P176))+90)/15-T176)*60+1/2),0),":"&amp;FIXED(INT((N176+C12+(DEGREES(ASIN(P176))+90)/15-T176)*60+1/2),0)))</f>
        <v>:42</v>
      </c>
      <c r="V176" s="1">
        <f>ROUND(DEGREES(ASIN(COS(RADIANS(O176))*COS(RADIANS(L9))+SIN(RADIANS(O176))*SIN(RADIANS(L9)))),0)</f>
        <v>73</v>
      </c>
      <c r="W176" s="1" t="s">
        <v>17</v>
      </c>
      <c r="X176" s="18"/>
    </row>
    <row r="177" spans="1:24" ht="10.5" customHeight="1">
      <c r="A177" s="1"/>
      <c r="B177" s="15">
        <f>IF(M14&gt;0,solrdat!B154,solrdat!I154)</f>
        <v>39957</v>
      </c>
      <c r="C177" s="1">
        <f>IF(M14&gt;0,solrdat!C154,solrdat!J154)</f>
        <v>11.947777777777778</v>
      </c>
      <c r="D177" s="1">
        <f>IF(M14&gt;0,solrdat!D154,solrdat!K154)</f>
        <v>20.897987</v>
      </c>
      <c r="E177" s="1">
        <f>(TAN(RADIANS(L9))*SIN(RADIANS(D177))-SIN(RADIANS(L13))/COS(RADIANS(L9)))/COS(RADIANS(D177))</f>
        <v>-0.667672670299014</v>
      </c>
      <c r="F177" s="1">
        <f t="shared" si="4"/>
        <v>6.414974198737328</v>
      </c>
      <c r="G177" s="4">
        <f>IF(E177&lt;-1,"Below",IF(E177&gt;1,"Above",INT(C177+C12-(DEGREES(ASIN(E177))+90)/15+5/600)))</f>
        <v>9</v>
      </c>
      <c r="H177" s="1" t="str">
        <f>IF(OR(E177&lt;-1,E177&gt;1),IF(M13&gt;0," Min."," Horz."),IF(INT((C177+C12-(DEGREES(ASIN(E177))+90)/15-G177)*60+1/2)&lt;10,":0"&amp;FIXED(INT((C177+C12-(DEGREES(ASIN(E177))+90)/15-G177)*60+1/2),0),":"&amp;FIXED(INT((C177+C12-(DEGREES(ASIN(E177))+90)/15-G177)*60+1/2),0)))</f>
        <v>:04</v>
      </c>
      <c r="I177" s="4">
        <f>IF(E177&lt;-1,"Below",IF(E177&gt;1,"Above",INT(C177+C12+(DEGREES(ASIN(E177))+90)/15+5/600)))</f>
        <v>15</v>
      </c>
      <c r="J177" s="1" t="str">
        <f>IF(OR(E177&lt;-1,E177&gt;1),IF(M13&gt;0," Min."," Horz."),IF(INT((C177+C12+(DEGREES(ASIN(E177))+90)/15-I177)*60+1/2)&lt;10,":0"&amp;FIXED(INT((C177+C12+(DEGREES(ASIN(E177))+90)/15-I177)*60+1/2),0),":"&amp;FIXED(INT((C177+C12+(DEGREES(ASIN(E177))+90)/15-I177)*60+1/2),0)))</f>
        <v>:29</v>
      </c>
      <c r="K177" s="1">
        <f>ROUND(DEGREES(ASIN(COS(RADIANS(D177))*COS(RADIANS(L9))+SIN(RADIANS(D177))*SIN(RADIANS(L9)))),0)</f>
        <v>71</v>
      </c>
      <c r="L177" s="1" t="s">
        <v>17</v>
      </c>
      <c r="M177" s="16">
        <f>IF(M14&gt;0,solrdat!B186,solrdat!I186)</f>
        <v>39988</v>
      </c>
      <c r="N177" s="1">
        <f>IF(M14&gt;0,solrdat!C186,solrdat!J186)</f>
        <v>12.042083333333334</v>
      </c>
      <c r="O177" s="1">
        <f>IF(M14&gt;0,solrdat!D186,solrdat!K186)</f>
        <v>23.39576</v>
      </c>
      <c r="P177" s="1">
        <f>(TAN(RADIANS(L9))*SIN(RADIANS(O177))-SIN(RADIANS(L13))/COS(RADIANS(L9)))/COS(RADIANS(O177))</f>
        <v>-0.6427140575102342</v>
      </c>
      <c r="Q177" s="1">
        <f t="shared" si="5"/>
        <v>6.667400141871003</v>
      </c>
      <c r="R177" s="4">
        <f>IF(P177&lt;-1,"Below",IF(P177&gt;1,"Above",INT(N177+C12-(DEGREES(ASIN(P177))+90)/15+5/600)))</f>
        <v>9</v>
      </c>
      <c r="S177" s="1" t="str">
        <f>IF(OR(P177&lt;-1,P177&gt;1),IF(M13&gt;0," Min."," Horz."),IF(INT((N177+C12-(DEGREES(ASIN(P177))+90)/15-R177)*60+1/2)&lt;10,":0"&amp;FIXED(INT((N177+C12-(DEGREES(ASIN(P177))+90)/15-R177)*60+1/2),0),":"&amp;FIXED(INT((N177+C12-(DEGREES(ASIN(P177))+90)/15-R177)*60+1/2),0)))</f>
        <v>:03</v>
      </c>
      <c r="T177" s="4">
        <f>IF(P177&lt;-1,"Below",IF(P177&gt;1,"Above",INT(N177+C12+(DEGREES(ASIN(P177))+90)/15+5/600)))</f>
        <v>15</v>
      </c>
      <c r="U177" s="1" t="str">
        <f>IF(OR(P177&lt;-1,P177&gt;1),IF(M13&gt;0," Min."," Horz."),IF(INT((N177+C12+(DEGREES(ASIN(P177))+90)/15-T177)*60+1/2)&lt;10,":0"&amp;FIXED(INT((N177+C12+(DEGREES(ASIN(P177))+90)/15-T177)*60+1/2),0),":"&amp;FIXED(INT((N177+C12+(DEGREES(ASIN(P177))+90)/15-T177)*60+1/2),0)))</f>
        <v>:43</v>
      </c>
      <c r="V177" s="1">
        <f>ROUND(DEGREES(ASIN(COS(RADIANS(O177))*COS(RADIANS(L9))+SIN(RADIANS(O177))*SIN(RADIANS(L9)))),0)</f>
        <v>73</v>
      </c>
      <c r="W177" s="1" t="s">
        <v>17</v>
      </c>
      <c r="X177" s="18"/>
    </row>
    <row r="178" spans="1:24" ht="10.5" customHeight="1">
      <c r="A178" s="1"/>
      <c r="B178" s="15">
        <f>IF(M14&gt;0,solrdat!B155,solrdat!I155)</f>
        <v>39958</v>
      </c>
      <c r="C178" s="1">
        <f>IF(M14&gt;0,solrdat!C155,solrdat!J155)</f>
        <v>11.949472222222223</v>
      </c>
      <c r="D178" s="1">
        <f>IF(M14&gt;0,solrdat!D155,solrdat!K155)</f>
        <v>21.07606</v>
      </c>
      <c r="E178" s="1">
        <f>(TAN(RADIANS(L9))*SIN(RADIANS(D178))-SIN(RADIANS(L13))/COS(RADIANS(L9)))/COS(RADIANS(D178))</f>
        <v>-0.6658597169938786</v>
      </c>
      <c r="F178" s="1">
        <f t="shared" si="4"/>
        <v>6.433558082616638</v>
      </c>
      <c r="G178" s="4">
        <f>IF(E178&lt;-1,"Below",IF(E178&gt;1,"Above",INT(C178+C12-(DEGREES(ASIN(E178))+90)/15+5/600)))</f>
        <v>9</v>
      </c>
      <c r="H178" s="1" t="str">
        <f>IF(OR(E178&lt;-1,E178&gt;1),IF(M13&gt;0," Min."," Horz."),IF(INT((C178+C12-(DEGREES(ASIN(E178))+90)/15-G178)*60+1/2)&lt;10,":0"&amp;FIXED(INT((C178+C12-(DEGREES(ASIN(E178))+90)/15-G178)*60+1/2),0),":"&amp;FIXED(INT((C178+C12-(DEGREES(ASIN(E178))+90)/15-G178)*60+1/2),0)))</f>
        <v>:04</v>
      </c>
      <c r="I178" s="4">
        <f>IF(E178&lt;-1,"Below",IF(E178&gt;1,"Above",INT(C178+C12+(DEGREES(ASIN(E178))+90)/15+5/600)))</f>
        <v>15</v>
      </c>
      <c r="J178" s="1" t="str">
        <f>IF(OR(E178&lt;-1,E178&gt;1),IF(M13&gt;0," Min."," Horz."),IF(INT((C178+C12+(DEGREES(ASIN(E178))+90)/15-I178)*60+1/2)&lt;10,":0"&amp;FIXED(INT((C178+C12+(DEGREES(ASIN(E178))+90)/15-I178)*60+1/2),0),":"&amp;FIXED(INT((C178+C12+(DEGREES(ASIN(E178))+90)/15-I178)*60+1/2),0)))</f>
        <v>:30</v>
      </c>
      <c r="K178" s="1">
        <f>ROUND(DEGREES(ASIN(COS(RADIANS(D178))*COS(RADIANS(L9))+SIN(RADIANS(D178))*SIN(RADIANS(L9)))),0)</f>
        <v>71</v>
      </c>
      <c r="L178" s="1" t="s">
        <v>17</v>
      </c>
      <c r="M178" s="16">
        <f>IF(M14&gt;0,solrdat!B187,solrdat!I187)</f>
        <v>39989</v>
      </c>
      <c r="N178" s="1">
        <f>IF(M14&gt;0,solrdat!C187,solrdat!J187)</f>
        <v>12.045638888888888</v>
      </c>
      <c r="O178" s="1">
        <f>IF(M14&gt;0,solrdat!D187,solrdat!K187)</f>
        <v>23.367848</v>
      </c>
      <c r="P178" s="1">
        <f>(TAN(RADIANS(L9))*SIN(RADIANS(O178))-SIN(RADIANS(L13))/COS(RADIANS(L9)))/COS(RADIANS(O178))</f>
        <v>-0.6429874280154732</v>
      </c>
      <c r="Q178" s="1">
        <f t="shared" si="5"/>
        <v>6.664673744829841</v>
      </c>
      <c r="R178" s="4">
        <f>IF(P178&lt;-1,"Below",IF(P178&gt;1,"Above",INT(N178+C12-(DEGREES(ASIN(P178))+90)/15+5/600)))</f>
        <v>9</v>
      </c>
      <c r="S178" s="1" t="str">
        <f>IF(OR(P178&lt;-1,P178&gt;1),IF(M13&gt;0," Min."," Horz."),IF(INT((N178+C12-(DEGREES(ASIN(P178))+90)/15-R178)*60+1/2)&lt;10,":0"&amp;FIXED(INT((N178+C12-(DEGREES(ASIN(P178))+90)/15-R178)*60+1/2),0),":"&amp;FIXED(INT((N178+C12-(DEGREES(ASIN(P178))+90)/15-R178)*60+1/2),0)))</f>
        <v>:03</v>
      </c>
      <c r="T178" s="4">
        <f>IF(P178&lt;-1,"Below",IF(P178&gt;1,"Above",INT(N178+C12+(DEGREES(ASIN(P178))+90)/15+5/600)))</f>
        <v>15</v>
      </c>
      <c r="U178" s="1" t="str">
        <f>IF(OR(P178&lt;-1,P178&gt;1),IF(M13&gt;0," Min."," Horz."),IF(INT((N178+C12+(DEGREES(ASIN(P178))+90)/15-T178)*60+1/2)&lt;10,":0"&amp;FIXED(INT((N178+C12+(DEGREES(ASIN(P178))+90)/15-T178)*60+1/2),0),":"&amp;FIXED(INT((N178+C12+(DEGREES(ASIN(P178))+90)/15-T178)*60+1/2),0)))</f>
        <v>:43</v>
      </c>
      <c r="V178" s="1">
        <f>ROUND(DEGREES(ASIN(COS(RADIANS(O178))*COS(RADIANS(L9))+SIN(RADIANS(O178))*SIN(RADIANS(L9)))),0)</f>
        <v>73</v>
      </c>
      <c r="W178" s="1" t="s">
        <v>17</v>
      </c>
      <c r="X178" s="18"/>
    </row>
    <row r="179" spans="1:24" ht="10.5" customHeight="1">
      <c r="A179" s="1"/>
      <c r="B179" s="15">
        <f>IF(M14&gt;0,solrdat!B156,solrdat!I156)</f>
        <v>39959</v>
      </c>
      <c r="C179" s="1">
        <f>IF(M14&gt;0,solrdat!C156,solrdat!J156)</f>
        <v>11.951333333333332</v>
      </c>
      <c r="D179" s="1">
        <f>IF(M14&gt;0,solrdat!D156,solrdat!K156)</f>
        <v>21.248065</v>
      </c>
      <c r="E179" s="1">
        <f>(TAN(RADIANS(L9))*SIN(RADIANS(D179))-SIN(RADIANS(L13))/COS(RADIANS(L9)))/COS(RADIANS(D179))</f>
        <v>-0.6641134969210032</v>
      </c>
      <c r="F179" s="1">
        <f t="shared" si="4"/>
        <v>6.451419841496541</v>
      </c>
      <c r="G179" s="4">
        <f>IF(E179&lt;-1,"Below",IF(E179&gt;1,"Above",INT(C179+C12-(DEGREES(ASIN(E179))+90)/15+5/600)))</f>
        <v>9</v>
      </c>
      <c r="H179" s="1" t="str">
        <f>IF(OR(E179&lt;-1,E179&gt;1),IF(M13&gt;0," Min."," Horz."),IF(INT((C179+C12-(DEGREES(ASIN(E179))+90)/15-G179)*60+1/2)&lt;10,":0"&amp;FIXED(INT((C179+C12-(DEGREES(ASIN(E179))+90)/15-G179)*60+1/2),0),":"&amp;FIXED(INT((C179+C12-(DEGREES(ASIN(E179))+90)/15-G179)*60+1/2),0)))</f>
        <v>:04</v>
      </c>
      <c r="I179" s="4">
        <f>IF(E179&lt;-1,"Below",IF(E179&gt;1,"Above",INT(C179+C12+(DEGREES(ASIN(E179))+90)/15+5/600)))</f>
        <v>15</v>
      </c>
      <c r="J179" s="1" t="str">
        <f>IF(OR(E179&lt;-1,E179&gt;1),IF(M13&gt;0," Min."," Horz."),IF(INT((C179+C12+(DEGREES(ASIN(E179))+90)/15-I179)*60+1/2)&lt;10,":0"&amp;FIXED(INT((C179+C12+(DEGREES(ASIN(E179))+90)/15-I179)*60+1/2),0),":"&amp;FIXED(INT((C179+C12+(DEGREES(ASIN(E179))+90)/15-I179)*60+1/2),0)))</f>
        <v>:31</v>
      </c>
      <c r="K179" s="1">
        <f>ROUND(DEGREES(ASIN(COS(RADIANS(D179))*COS(RADIANS(L9))+SIN(RADIANS(D179))*SIN(RADIANS(L9)))),0)</f>
        <v>71</v>
      </c>
      <c r="L179" s="1" t="s">
        <v>17</v>
      </c>
      <c r="M179" s="16">
        <f>IF(M14&gt;0,solrdat!B188,solrdat!I188)</f>
        <v>39990</v>
      </c>
      <c r="N179" s="1">
        <f>IF(M14&gt;0,solrdat!C188,solrdat!J188)</f>
        <v>12.049166666666666</v>
      </c>
      <c r="O179" s="1">
        <f>IF(M14&gt;0,solrdat!D188,solrdat!K188)</f>
        <v>23.333085</v>
      </c>
      <c r="P179" s="1">
        <f>(TAN(RADIANS(L9))*SIN(RADIANS(O179))-SIN(RADIANS(L13))/COS(RADIANS(L9)))/COS(RADIANS(O179))</f>
        <v>-0.6433280700422755</v>
      </c>
      <c r="Q179" s="1">
        <f t="shared" si="5"/>
        <v>6.661275287326657</v>
      </c>
      <c r="R179" s="4">
        <f>IF(P179&lt;-1,"Below",IF(P179&gt;1,"Above",INT(N179+C12-(DEGREES(ASIN(P179))+90)/15+5/600)))</f>
        <v>9</v>
      </c>
      <c r="S179" s="1" t="str">
        <f>IF(OR(P179&lt;-1,P179&gt;1),IF(M13&gt;0," Min."," Horz."),IF(INT((N179+C12-(DEGREES(ASIN(P179))+90)/15-R179)*60+1/2)&lt;10,":0"&amp;FIXED(INT((N179+C12-(DEGREES(ASIN(P179))+90)/15-R179)*60+1/2),0),":"&amp;FIXED(INT((N179+C12-(DEGREES(ASIN(P179))+90)/15-R179)*60+1/2),0)))</f>
        <v>:03</v>
      </c>
      <c r="T179" s="4">
        <f>IF(P179&lt;-1,"Below",IF(P179&gt;1,"Above",INT(N179+C12+(DEGREES(ASIN(P179))+90)/15+5/600)))</f>
        <v>15</v>
      </c>
      <c r="U179" s="1" t="str">
        <f>IF(OR(P179&lt;-1,P179&gt;1),IF(M13&gt;0," Min."," Horz."),IF(INT((N179+C12+(DEGREES(ASIN(P179))+90)/15-T179)*60+1/2)&lt;10,":0"&amp;FIXED(INT((N179+C12+(DEGREES(ASIN(P179))+90)/15-T179)*60+1/2),0),":"&amp;FIXED(INT((N179+C12+(DEGREES(ASIN(P179))+90)/15-T179)*60+1/2),0)))</f>
        <v>:43</v>
      </c>
      <c r="V179" s="1">
        <f>ROUND(DEGREES(ASIN(COS(RADIANS(O179))*COS(RADIANS(L9))+SIN(RADIANS(O179))*SIN(RADIANS(L9)))),0)</f>
        <v>73</v>
      </c>
      <c r="W179" s="1" t="s">
        <v>17</v>
      </c>
      <c r="X179" s="18"/>
    </row>
    <row r="180" spans="1:24" ht="10.5" customHeight="1">
      <c r="A180" s="1"/>
      <c r="B180" s="15">
        <f>IF(M14&gt;0,solrdat!B157,solrdat!I157)</f>
        <v>39960</v>
      </c>
      <c r="C180" s="1">
        <f>IF(M14&gt;0,solrdat!C157,solrdat!J157)</f>
        <v>11.953305555555556</v>
      </c>
      <c r="D180" s="1">
        <f>IF(M14&gt;0,solrdat!D157,solrdat!K157)</f>
        <v>21.413939</v>
      </c>
      <c r="E180" s="1">
        <f>(TAN(RADIANS(L9))*SIN(RADIANS(D180))-SIN(RADIANS(L13))/COS(RADIANS(L9)))/COS(RADIANS(D180))</f>
        <v>-0.6624341179562826</v>
      </c>
      <c r="F180" s="1">
        <f t="shared" si="4"/>
        <v>6.468562969181575</v>
      </c>
      <c r="G180" s="4">
        <f>IF(E180&lt;-1,"Below",IF(E180&gt;1,"Above",INT(C180+C12-(DEGREES(ASIN(E180))+90)/15+5/600)))</f>
        <v>9</v>
      </c>
      <c r="H180" s="1" t="str">
        <f>IF(OR(E180&lt;-1,E180&gt;1),IF(M13&gt;0," Min."," Horz."),IF(INT((C180+C12-(DEGREES(ASIN(E180))+90)/15-G180)*60+1/2)&lt;10,":0"&amp;FIXED(INT((C180+C12-(DEGREES(ASIN(E180))+90)/15-G180)*60+1/2),0),":"&amp;FIXED(INT((C180+C12-(DEGREES(ASIN(E180))+90)/15-G180)*60+1/2),0)))</f>
        <v>:03</v>
      </c>
      <c r="I180" s="4">
        <f>IF(E180&lt;-1,"Below",IF(E180&gt;1,"Above",INT(C180+C12+(DEGREES(ASIN(E180))+90)/15+5/600)))</f>
        <v>15</v>
      </c>
      <c r="J180" s="1" t="str">
        <f>IF(OR(E180&lt;-1,E180&gt;1),IF(M13&gt;0," Min."," Horz."),IF(INT((C180+C12+(DEGREES(ASIN(E180))+90)/15-I180)*60+1/2)&lt;10,":0"&amp;FIXED(INT((C180+C12+(DEGREES(ASIN(E180))+90)/15-I180)*60+1/2),0),":"&amp;FIXED(INT((C180+C12+(DEGREES(ASIN(E180))+90)/15-I180)*60+1/2),0)))</f>
        <v>:31</v>
      </c>
      <c r="K180" s="1">
        <f>ROUND(DEGREES(ASIN(COS(RADIANS(D180))*COS(RADIANS(L9))+SIN(RADIANS(D180))*SIN(RADIANS(L9)))),0)</f>
        <v>71</v>
      </c>
      <c r="L180" s="1" t="s">
        <v>17</v>
      </c>
      <c r="M180" s="16">
        <f>IF(M14&gt;0,solrdat!B189,solrdat!I189)</f>
        <v>39991</v>
      </c>
      <c r="N180" s="1">
        <f>IF(M14&gt;0,solrdat!C189,solrdat!J189)</f>
        <v>12.05263888888889</v>
      </c>
      <c r="O180" s="1">
        <f>IF(M14&gt;0,solrdat!D189,solrdat!K189)</f>
        <v>23.291488</v>
      </c>
      <c r="P180" s="1">
        <f>(TAN(RADIANS(L9))*SIN(RADIANS(O180))-SIN(RADIANS(L13))/COS(RADIANS(L9)))/COS(RADIANS(O180))</f>
        <v>-0.6437359302705118</v>
      </c>
      <c r="Q180" s="1">
        <f t="shared" si="5"/>
        <v>6.657204547125428</v>
      </c>
      <c r="R180" s="4">
        <f>IF(P180&lt;-1,"Below",IF(P180&gt;1,"Above",INT(N180+C12-(DEGREES(ASIN(P180))+90)/15+5/600)))</f>
        <v>9</v>
      </c>
      <c r="S180" s="1" t="str">
        <f>IF(OR(P180&lt;-1,P180&gt;1),IF(M13&gt;0," Min."," Horz."),IF(INT((N180+C12-(DEGREES(ASIN(P180))+90)/15-R180)*60+1/2)&lt;10,":0"&amp;FIXED(INT((N180+C12-(DEGREES(ASIN(P180))+90)/15-R180)*60+1/2),0),":"&amp;FIXED(INT((N180+C12-(DEGREES(ASIN(P180))+90)/15-R180)*60+1/2),0)))</f>
        <v>:03</v>
      </c>
      <c r="T180" s="4">
        <f>IF(P180&lt;-1,"Below",IF(P180&gt;1,"Above",INT(N180+C12+(DEGREES(ASIN(P180))+90)/15+5/600)))</f>
        <v>15</v>
      </c>
      <c r="U180" s="1" t="str">
        <f>IF(OR(P180&lt;-1,P180&gt;1),IF(M13&gt;0," Min."," Horz."),IF(INT((N180+C12+(DEGREES(ASIN(P180))+90)/15-T180)*60+1/2)&lt;10,":0"&amp;FIXED(INT((N180+C12+(DEGREES(ASIN(P180))+90)/15-T180)*60+1/2),0),":"&amp;FIXED(INT((N180+C12+(DEGREES(ASIN(P180))+90)/15-T180)*60+1/2),0)))</f>
        <v>:43</v>
      </c>
      <c r="V180" s="1">
        <f>ROUND(DEGREES(ASIN(COS(RADIANS(O180))*COS(RADIANS(L9))+SIN(RADIANS(O180))*SIN(RADIANS(L9)))),0)</f>
        <v>73</v>
      </c>
      <c r="W180" s="1" t="s">
        <v>17</v>
      </c>
      <c r="X180" s="18"/>
    </row>
    <row r="181" spans="1:24" ht="10.5" customHeight="1">
      <c r="A181" s="1"/>
      <c r="B181" s="15">
        <f>IF(M14&gt;0,solrdat!B158,solrdat!I158)</f>
        <v>39961</v>
      </c>
      <c r="C181" s="1">
        <f>IF(M14&gt;0,solrdat!C158,solrdat!J158)</f>
        <v>11.955416666666666</v>
      </c>
      <c r="D181" s="1">
        <f>IF(M14&gt;0,solrdat!D158,solrdat!K158)</f>
        <v>21.57362</v>
      </c>
      <c r="E181" s="1">
        <f>(TAN(RADIANS(L9))*SIN(RADIANS(D181))-SIN(RADIANS(L13))/COS(RADIANS(L9)))/COS(RADIANS(D181))</f>
        <v>-0.6608216925633922</v>
      </c>
      <c r="F181" s="1">
        <f t="shared" si="4"/>
        <v>6.484990682621038</v>
      </c>
      <c r="G181" s="4">
        <f>IF(E181&lt;-1,"Below",IF(E181&gt;1,"Above",INT(C181+C12-(DEGREES(ASIN(E181))+90)/15+5/600)))</f>
        <v>9</v>
      </c>
      <c r="H181" s="1" t="str">
        <f>IF(OR(E181&lt;-1,E181&gt;1),IF(M13&gt;0," Min."," Horz."),IF(INT((C181+C12-(DEGREES(ASIN(E181))+90)/15-G181)*60+1/2)&lt;10,":0"&amp;FIXED(INT((C181+C12-(DEGREES(ASIN(E181))+90)/15-G181)*60+1/2),0),":"&amp;FIXED(INT((C181+C12-(DEGREES(ASIN(E181))+90)/15-G181)*60+1/2),0)))</f>
        <v>:03</v>
      </c>
      <c r="I181" s="4">
        <f>IF(E181&lt;-1,"Below",IF(E181&gt;1,"Above",INT(C181+C12+(DEGREES(ASIN(E181))+90)/15+5/600)))</f>
        <v>15</v>
      </c>
      <c r="J181" s="1" t="str">
        <f>IF(OR(E181&lt;-1,E181&gt;1),IF(M13&gt;0," Min."," Horz."),IF(INT((C181+C12+(DEGREES(ASIN(E181))+90)/15-I181)*60+1/2)&lt;10,":0"&amp;FIXED(INT((C181+C12+(DEGREES(ASIN(E181))+90)/15-I181)*60+1/2),0),":"&amp;FIXED(INT((C181+C12+(DEGREES(ASIN(E181))+90)/15-I181)*60+1/2),0)))</f>
        <v>:32</v>
      </c>
      <c r="K181" s="1">
        <f>ROUND(DEGREES(ASIN(COS(RADIANS(D181))*COS(RADIANS(L9))+SIN(RADIANS(D181))*SIN(RADIANS(L9)))),0)</f>
        <v>72</v>
      </c>
      <c r="L181" s="1" t="s">
        <v>17</v>
      </c>
      <c r="M181" s="16">
        <f>IF(M14&gt;0,solrdat!B190,solrdat!I190)</f>
        <v>39992</v>
      </c>
      <c r="N181" s="1">
        <f>IF(M14&gt;0,solrdat!C190,solrdat!J190)</f>
        <v>12.056027777777778</v>
      </c>
      <c r="O181" s="1">
        <f>IF(M14&gt;0,solrdat!D190,solrdat!K190)</f>
        <v>23.243077</v>
      </c>
      <c r="P181" s="1">
        <f>(TAN(RADIANS(L9))*SIN(RADIANS(O181))-SIN(RADIANS(L13))/COS(RADIANS(L9)))/COS(RADIANS(O181))</f>
        <v>-0.6442109478923627</v>
      </c>
      <c r="Q181" s="1">
        <f t="shared" si="5"/>
        <v>6.652461226148691</v>
      </c>
      <c r="R181" s="4">
        <f>IF(P181&lt;-1,"Below",IF(P181&gt;1,"Above",INT(N181+C12-(DEGREES(ASIN(P181))+90)/15+5/600)))</f>
        <v>9</v>
      </c>
      <c r="S181" s="1" t="str">
        <f>IF(OR(P181&lt;-1,P181&gt;1),IF(M13&gt;0," Min."," Horz."),IF(INT((N181+C12-(DEGREES(ASIN(P181))+90)/15-R181)*60+1/2)&lt;10,":0"&amp;FIXED(INT((N181+C12-(DEGREES(ASIN(P181))+90)/15-R181)*60+1/2),0),":"&amp;FIXED(INT((N181+C12-(DEGREES(ASIN(P181))+90)/15-R181)*60+1/2),0)))</f>
        <v>:04</v>
      </c>
      <c r="T181" s="4">
        <f>IF(P181&lt;-1,"Below",IF(P181&gt;1,"Above",INT(N181+C12+(DEGREES(ASIN(P181))+90)/15+5/600)))</f>
        <v>15</v>
      </c>
      <c r="U181" s="1" t="str">
        <f>IF(OR(P181&lt;-1,P181&gt;1),IF(M13&gt;0," Min."," Horz."),IF(INT((N181+C12+(DEGREES(ASIN(P181))+90)/15-T181)*60+1/2)&lt;10,":0"&amp;FIXED(INT((N181+C12+(DEGREES(ASIN(P181))+90)/15-T181)*60+1/2),0),":"&amp;FIXED(INT((N181+C12+(DEGREES(ASIN(P181))+90)/15-T181)*60+1/2),0)))</f>
        <v>:43</v>
      </c>
      <c r="V181" s="1">
        <f>ROUND(DEGREES(ASIN(COS(RADIANS(O181))*COS(RADIANS(L9))+SIN(RADIANS(O181))*SIN(RADIANS(L9)))),0)</f>
        <v>73</v>
      </c>
      <c r="W181" s="1" t="s">
        <v>17</v>
      </c>
      <c r="X181" s="18"/>
    </row>
    <row r="182" spans="1:24" ht="10.5" customHeight="1">
      <c r="A182" s="1"/>
      <c r="B182" s="15">
        <f>IF(M14&gt;0,solrdat!B159,solrdat!I159)</f>
        <v>39962</v>
      </c>
      <c r="C182" s="1">
        <f>IF(M14&gt;0,solrdat!C159,solrdat!J159)</f>
        <v>11.957638888888889</v>
      </c>
      <c r="D182" s="1">
        <f>IF(M14&gt;0,solrdat!D159,solrdat!K159)</f>
        <v>21.727049</v>
      </c>
      <c r="E182" s="1">
        <f>(TAN(RADIANS(L9))*SIN(RADIANS(D182))-SIN(RADIANS(L13))/COS(RADIANS(L9)))/COS(RADIANS(D182))</f>
        <v>-0.6592763181575296</v>
      </c>
      <c r="F182" s="1">
        <f t="shared" si="4"/>
        <v>6.500706129165988</v>
      </c>
      <c r="G182" s="4">
        <f>IF(E182&lt;-1,"Below",IF(E182&gt;1,"Above",INT(C182+C12-(DEGREES(ASIN(E182))+90)/15+5/600)))</f>
        <v>9</v>
      </c>
      <c r="H182" s="1" t="str">
        <f>IF(OR(E182&lt;-1,E182&gt;1),IF(M13&gt;0," Min."," Horz."),IF(INT((C182+C12-(DEGREES(ASIN(E182))+90)/15-G182)*60+1/2)&lt;10,":0"&amp;FIXED(INT((C182+C12-(DEGREES(ASIN(E182))+90)/15-G182)*60+1/2),0),":"&amp;FIXED(INT((C182+C12-(DEGREES(ASIN(E182))+90)/15-G182)*60+1/2),0)))</f>
        <v>:02</v>
      </c>
      <c r="I182" s="4">
        <f>IF(E182&lt;-1,"Below",IF(E182&gt;1,"Above",INT(C182+C12+(DEGREES(ASIN(E182))+90)/15+5/600)))</f>
        <v>15</v>
      </c>
      <c r="J182" s="1" t="str">
        <f>IF(OR(E182&lt;-1,E182&gt;1),IF(M13&gt;0," Min."," Horz."),IF(INT((C182+C12+(DEGREES(ASIN(E182))+90)/15-I182)*60+1/2)&lt;10,":0"&amp;FIXED(INT((C182+C12+(DEGREES(ASIN(E182))+90)/15-I182)*60+1/2),0),":"&amp;FIXED(INT((C182+C12+(DEGREES(ASIN(E182))+90)/15-I182)*60+1/2),0)))</f>
        <v>:32</v>
      </c>
      <c r="K182" s="1">
        <f>ROUND(DEGREES(ASIN(COS(RADIANS(D182))*COS(RADIANS(L9))+SIN(RADIANS(D182))*SIN(RADIANS(L9)))),0)</f>
        <v>72</v>
      </c>
      <c r="L182" s="1" t="s">
        <v>17</v>
      </c>
      <c r="M182" s="16">
        <f>IF(M14&gt;0,solrdat!B191,solrdat!I191)</f>
        <v>39993</v>
      </c>
      <c r="N182" s="1">
        <f>IF(M14&gt;0,solrdat!C191,solrdat!J191)</f>
        <v>12.059388888888888</v>
      </c>
      <c r="O182" s="1">
        <f>IF(M14&gt;0,solrdat!D191,solrdat!K191)</f>
        <v>23.187878</v>
      </c>
      <c r="P182" s="1">
        <f>(TAN(RADIANS(L9))*SIN(RADIANS(O182))-SIN(RADIANS(L13))/COS(RADIANS(L9)))/COS(RADIANS(O182))</f>
        <v>-0.6447530248921114</v>
      </c>
      <c r="Q182" s="1">
        <f t="shared" si="5"/>
        <v>6.647045246640965</v>
      </c>
      <c r="R182" s="4">
        <f>IF(P182&lt;-1,"Below",IF(P182&gt;1,"Above",INT(N182+C12-(DEGREES(ASIN(P182))+90)/15+5/600)))</f>
        <v>9</v>
      </c>
      <c r="S182" s="1" t="str">
        <f>IF(OR(P182&lt;-1,P182&gt;1),IF(M13&gt;0," Min."," Horz."),IF(INT((N182+C12-(DEGREES(ASIN(P182))+90)/15-R182)*60+1/2)&lt;10,":0"&amp;FIXED(INT((N182+C12-(DEGREES(ASIN(P182))+90)/15-R182)*60+1/2),0),":"&amp;FIXED(INT((N182+C12-(DEGREES(ASIN(P182))+90)/15-R182)*60+1/2),0)))</f>
        <v>:04</v>
      </c>
      <c r="T182" s="4">
        <f>IF(P182&lt;-1,"Below",IF(P182&gt;1,"Above",INT(N182+C12+(DEGREES(ASIN(P182))+90)/15+5/600)))</f>
        <v>15</v>
      </c>
      <c r="U182" s="1" t="str">
        <f>IF(OR(P182&lt;-1,P182&gt;1),IF(M13&gt;0," Min."," Horz."),IF(INT((N182+C12+(DEGREES(ASIN(P182))+90)/15-T182)*60+1/2)&lt;10,":0"&amp;FIXED(INT((N182+C12+(DEGREES(ASIN(P182))+90)/15-T182)*60+1/2),0),":"&amp;FIXED(INT((N182+C12+(DEGREES(ASIN(P182))+90)/15-T182)*60+1/2),0)))</f>
        <v>:43</v>
      </c>
      <c r="V182" s="1">
        <f>ROUND(DEGREES(ASIN(COS(RADIANS(O182))*COS(RADIANS(L9))+SIN(RADIANS(O182))*SIN(RADIANS(L9)))),0)</f>
        <v>73</v>
      </c>
      <c r="W182" s="1" t="s">
        <v>17</v>
      </c>
      <c r="X182" s="18"/>
    </row>
    <row r="183" spans="1:24" ht="10.5" customHeight="1">
      <c r="A183" s="1"/>
      <c r="B183" s="15">
        <f>IF(M14&gt;0,solrdat!B160,solrdat!I160)</f>
        <v>39963</v>
      </c>
      <c r="C183" s="1">
        <f>IF(M14&gt;0,solrdat!C160,solrdat!J160)</f>
        <v>11.959972222222222</v>
      </c>
      <c r="D183" s="1">
        <f>IF(M14&gt;0,solrdat!D160,solrdat!K160)</f>
        <v>21.874172</v>
      </c>
      <c r="E183" s="1">
        <f>(TAN(RADIANS(L9))*SIN(RADIANS(D183))-SIN(RADIANS(L13))/COS(RADIANS(L9)))/COS(RADIANS(D183))</f>
        <v>-0.6577980577543086</v>
      </c>
      <c r="F183" s="1">
        <f t="shared" si="4"/>
        <v>6.515712588307526</v>
      </c>
      <c r="G183" s="4">
        <f>IF(E183&lt;-1,"Below",IF(E183&gt;1,"Above",INT(C183+C12-(DEGREES(ASIN(E183))+90)/15+5/600)))</f>
        <v>9</v>
      </c>
      <c r="H183" s="1" t="str">
        <f>IF(OR(E183&lt;-1,E183&gt;1),IF(M13&gt;0," Min."," Horz."),IF(INT((C183+C12-(DEGREES(ASIN(E183))+90)/15-G183)*60+1/2)&lt;10,":0"&amp;FIXED(INT((C183+C12-(DEGREES(ASIN(E183))+90)/15-G183)*60+1/2),0),":"&amp;FIXED(INT((C183+C12-(DEGREES(ASIN(E183))+90)/15-G183)*60+1/2),0)))</f>
        <v>:02</v>
      </c>
      <c r="I183" s="4">
        <f>IF(E183&lt;-1,"Below",IF(E183&gt;1,"Above",INT(C183+C12+(DEGREES(ASIN(E183))+90)/15+5/600)))</f>
        <v>15</v>
      </c>
      <c r="J183" s="1" t="str">
        <f>IF(OR(E183&lt;-1,E183&gt;1),IF(M13&gt;0," Min."," Horz."),IF(INT((C183+C12+(DEGREES(ASIN(E183))+90)/15-I183)*60+1/2)&lt;10,":0"&amp;FIXED(INT((C183+C12+(DEGREES(ASIN(E183))+90)/15-I183)*60+1/2),0),":"&amp;FIXED(INT((C183+C12+(DEGREES(ASIN(E183))+90)/15-I183)*60+1/2),0)))</f>
        <v>:33</v>
      </c>
      <c r="K183" s="1">
        <f>ROUND(DEGREES(ASIN(COS(RADIANS(D183))*COS(RADIANS(L9))+SIN(RADIANS(D183))*SIN(RADIANS(L9)))),0)</f>
        <v>72</v>
      </c>
      <c r="L183" s="1" t="s">
        <v>17</v>
      </c>
      <c r="M183" s="16">
        <f>IF(M14&gt;0,solrdat!B192,solrdat!I192)</f>
        <v>39994</v>
      </c>
      <c r="N183" s="1">
        <f>IF(M14&gt;0,solrdat!C192,solrdat!J192)</f>
        <v>12.062666666666667</v>
      </c>
      <c r="O183" s="1">
        <f>IF(M14&gt;0,solrdat!D192,solrdat!K192)</f>
        <v>23.125918</v>
      </c>
      <c r="P183" s="1">
        <f>(TAN(RADIANS(L9))*SIN(RADIANS(O183))-SIN(RADIANS(L13))/COS(RADIANS(L9)))/COS(RADIANS(O183))</f>
        <v>-0.6453620747889496</v>
      </c>
      <c r="Q183" s="1">
        <f t="shared" si="5"/>
        <v>6.6409562636658075</v>
      </c>
      <c r="R183" s="4">
        <f>IF(P183&lt;-1,"Below",IF(P183&gt;1,"Above",INT(N183+C12-(DEGREES(ASIN(P183))+90)/15+5/600)))</f>
        <v>9</v>
      </c>
      <c r="S183" s="1" t="str">
        <f>IF(OR(P183&lt;-1,P183&gt;1),IF(M13&gt;0," Min."," Horz."),IF(INT((N183+C12-(DEGREES(ASIN(P183))+90)/15-R183)*60+1/2)&lt;10,":0"&amp;FIXED(INT((N183+C12-(DEGREES(ASIN(P183))+90)/15-R183)*60+1/2),0),":"&amp;FIXED(INT((N183+C12-(DEGREES(ASIN(P183))+90)/15-R183)*60+1/2),0)))</f>
        <v>:05</v>
      </c>
      <c r="T183" s="4">
        <f>IF(P183&lt;-1,"Below",IF(P183&gt;1,"Above",INT(N183+C12+(DEGREES(ASIN(P183))+90)/15+5/600)))</f>
        <v>15</v>
      </c>
      <c r="U183" s="1" t="str">
        <f>IF(OR(P183&lt;-1,P183&gt;1),IF(M13&gt;0," Min."," Horz."),IF(INT((N183+C12+(DEGREES(ASIN(P183))+90)/15-T183)*60+1/2)&lt;10,":0"&amp;FIXED(INT((N183+C12+(DEGREES(ASIN(P183))+90)/15-T183)*60+1/2),0),":"&amp;FIXED(INT((N183+C12+(DEGREES(ASIN(P183))+90)/15-T183)*60+1/2),0)))</f>
        <v>:43</v>
      </c>
      <c r="V183" s="1">
        <f>ROUND(DEGREES(ASIN(COS(RADIANS(O183))*COS(RADIANS(L9))+SIN(RADIANS(O183))*SIN(RADIANS(L9)))),0)</f>
        <v>73</v>
      </c>
      <c r="W183" s="1" t="s">
        <v>17</v>
      </c>
      <c r="X183" s="18"/>
    </row>
    <row r="184" spans="1:24" ht="10.5" customHeight="1">
      <c r="A184" s="1"/>
      <c r="B184" s="15">
        <f>IF(M14&gt;0,solrdat!B161,solrdat!I161)</f>
        <v>39964</v>
      </c>
      <c r="C184" s="1">
        <f>IF(M14&gt;0,solrdat!C161,solrdat!J161)</f>
        <v>11.962416666666666</v>
      </c>
      <c r="D184" s="1">
        <f>IF(M14&gt;0,solrdat!D161,solrdat!K161)</f>
        <v>22.014939</v>
      </c>
      <c r="E184" s="1">
        <f>(TAN(RADIANS(L9))*SIN(RADIANS(D184))-SIN(RADIANS(L13))/COS(RADIANS(L9)))/COS(RADIANS(D184))</f>
        <v>-0.656386950897173</v>
      </c>
      <c r="F184" s="1">
        <f t="shared" si="4"/>
        <v>6.530013364618296</v>
      </c>
      <c r="G184" s="4">
        <f>IF(E184&lt;-1,"Below",IF(E184&gt;1,"Above",INT(C184+C12-(DEGREES(ASIN(E184))+90)/15+5/600)))</f>
        <v>9</v>
      </c>
      <c r="H184" s="1" t="str">
        <f>IF(OR(E184&lt;-1,E184&gt;1),IF(M13&gt;0," Min."," Horz."),IF(INT((C184+C12-(DEGREES(ASIN(E184))+90)/15-G184)*60+1/2)&lt;10,":0"&amp;FIXED(INT((C184+C12-(DEGREES(ASIN(E184))+90)/15-G184)*60+1/2),0),":"&amp;FIXED(INT((C184+C12-(DEGREES(ASIN(E184))+90)/15-G184)*60+1/2),0)))</f>
        <v>:02</v>
      </c>
      <c r="I184" s="4">
        <f>IF(E184&lt;-1,"Below",IF(E184&gt;1,"Above",INT(C184+C12+(DEGREES(ASIN(E184))+90)/15+5/600)))</f>
        <v>15</v>
      </c>
      <c r="J184" s="1" t="str">
        <f>IF(OR(E184&lt;-1,E184&gt;1),IF(M13&gt;0," Min."," Horz."),IF(INT((C184+C12+(DEGREES(ASIN(E184))+90)/15-I184)*60+1/2)&lt;10,":0"&amp;FIXED(INT((C184+C12+(DEGREES(ASIN(E184))+90)/15-I184)*60+1/2),0),":"&amp;FIXED(INT((C184+C12+(DEGREES(ASIN(E184))+90)/15-I184)*60+1/2),0)))</f>
        <v>:34</v>
      </c>
      <c r="K184" s="1">
        <f>ROUND(DEGREES(ASIN(COS(RADIANS(D184))*COS(RADIANS(L9))+SIN(RADIANS(D184))*SIN(RADIANS(L9)))),0)</f>
        <v>72</v>
      </c>
      <c r="L184" s="1" t="s">
        <v>17</v>
      </c>
      <c r="M184" s="1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8"/>
    </row>
    <row r="185" spans="1:24" ht="10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8"/>
    </row>
    <row r="186" spans="1:24" ht="10.5" customHeight="1">
      <c r="A186" s="1"/>
      <c r="C186" s="1"/>
      <c r="D186" s="1"/>
      <c r="E186" s="1"/>
      <c r="F186" s="1">
        <f>COUNT(F154:F184)</f>
        <v>31</v>
      </c>
      <c r="G186" s="1"/>
      <c r="H186" s="1"/>
      <c r="I186" s="1"/>
      <c r="J186" s="4" t="str">
        <f>J120</f>
        <v>Average Daily Maximum Flying Time: </v>
      </c>
      <c r="K186" s="19">
        <f>IF(F186&lt;1,0,AVERAGE(F154:F184))</f>
        <v>6.209077677586472</v>
      </c>
      <c r="L186" s="1" t="s">
        <v>18</v>
      </c>
      <c r="M186" s="10"/>
      <c r="N186" s="1"/>
      <c r="O186" s="1"/>
      <c r="P186" s="1"/>
      <c r="Q186" s="1">
        <f>COUNT(Q154:Q183)</f>
        <v>30</v>
      </c>
      <c r="R186" s="1"/>
      <c r="S186" s="1"/>
      <c r="T186" s="1"/>
      <c r="U186" s="4" t="str">
        <f>U120</f>
        <v>Average Daily Maximum Flying Time: </v>
      </c>
      <c r="V186" s="19">
        <f>IF(Q186&lt;1,0,AVERAGE(Q154:Q183))</f>
        <v>6.638093020013602</v>
      </c>
      <c r="W186" s="1" t="s">
        <v>18</v>
      </c>
      <c r="X186" s="18"/>
    </row>
    <row r="187" spans="1:24" ht="10.5" customHeight="1">
      <c r="A187" s="1"/>
      <c r="C187" s="1"/>
      <c r="D187" s="1"/>
      <c r="E187" s="1"/>
      <c r="F187" s="1"/>
      <c r="G187" s="1"/>
      <c r="H187" s="1"/>
      <c r="I187" s="1"/>
      <c r="J187" s="4"/>
      <c r="K187" s="19"/>
      <c r="L187" s="1"/>
      <c r="M187" s="31"/>
      <c r="N187" s="1"/>
      <c r="O187" s="1"/>
      <c r="P187" s="1"/>
      <c r="Q187" s="1"/>
      <c r="R187" s="1"/>
      <c r="S187" s="1"/>
      <c r="T187" s="1"/>
      <c r="U187" s="4"/>
      <c r="V187" s="19"/>
      <c r="W187" s="1"/>
      <c r="X187" s="18"/>
    </row>
    <row r="188" spans="1:24" ht="10.5" customHeight="1">
      <c r="A188" s="1"/>
      <c r="B188" s="1"/>
      <c r="C188" s="1"/>
      <c r="D188" s="1"/>
      <c r="E188" s="1"/>
      <c r="F188" s="1"/>
      <c r="G188" s="1"/>
      <c r="I188" s="22"/>
      <c r="J188" s="23"/>
      <c r="K188" s="23"/>
      <c r="L188" s="23"/>
      <c r="M188" s="23"/>
      <c r="N188" s="23"/>
      <c r="O188" s="1"/>
      <c r="P188" s="1"/>
      <c r="Q188" s="1"/>
      <c r="R188" s="23"/>
      <c r="S188" s="24"/>
      <c r="U188" s="1"/>
      <c r="V188" s="1"/>
      <c r="W188" s="1"/>
      <c r="X188" s="18"/>
    </row>
    <row r="189" spans="1:24" ht="10.5" customHeight="1">
      <c r="A189" s="1"/>
      <c r="B189" s="1"/>
      <c r="C189" s="1"/>
      <c r="D189" s="1"/>
      <c r="E189" s="1"/>
      <c r="F189" s="1"/>
      <c r="G189" s="1"/>
      <c r="I189" s="25"/>
      <c r="J189" s="1"/>
      <c r="K189" s="1"/>
      <c r="L189" s="26" t="s">
        <v>19</v>
      </c>
      <c r="M189" s="1"/>
      <c r="N189" s="1"/>
      <c r="O189" s="1"/>
      <c r="P189" s="1"/>
      <c r="Q189" s="1"/>
      <c r="R189" s="1"/>
      <c r="S189" s="27"/>
      <c r="U189" s="1"/>
      <c r="V189" s="1"/>
      <c r="W189" s="1"/>
      <c r="X189" s="18"/>
    </row>
    <row r="190" spans="1:24" ht="10.5" customHeight="1">
      <c r="A190" s="1"/>
      <c r="B190" s="1"/>
      <c r="C190" s="1"/>
      <c r="D190" s="1"/>
      <c r="E190" s="1"/>
      <c r="F190" s="1"/>
      <c r="G190" s="1"/>
      <c r="I190" s="25"/>
      <c r="J190" s="8"/>
      <c r="K190" s="1"/>
      <c r="L190" s="1"/>
      <c r="M190" s="1"/>
      <c r="N190" s="1"/>
      <c r="O190" s="1"/>
      <c r="P190" s="1"/>
      <c r="Q190" s="1"/>
      <c r="R190" s="1"/>
      <c r="S190" s="27"/>
      <c r="U190" s="1"/>
      <c r="V190" s="1"/>
      <c r="W190" s="1"/>
      <c r="X190" s="18"/>
    </row>
    <row r="191" spans="1:24" ht="10.5" customHeight="1">
      <c r="A191" s="1"/>
      <c r="B191" s="1"/>
      <c r="C191" s="1"/>
      <c r="D191" s="1"/>
      <c r="E191" s="1"/>
      <c r="F191" s="1"/>
      <c r="G191" s="1"/>
      <c r="I191" s="25"/>
      <c r="J191" s="1" t="s">
        <v>20</v>
      </c>
      <c r="K191" s="1"/>
      <c r="L191" s="1"/>
      <c r="M191" s="1"/>
      <c r="N191" s="1"/>
      <c r="O191" s="1"/>
      <c r="P191" s="1"/>
      <c r="Q191" s="1"/>
      <c r="R191" s="1"/>
      <c r="S191" s="27"/>
      <c r="U191" s="1"/>
      <c r="V191" s="1"/>
      <c r="W191" s="1"/>
      <c r="X191" s="18"/>
    </row>
    <row r="192" spans="1:24" ht="10.5" customHeight="1">
      <c r="A192" s="1"/>
      <c r="B192" s="1"/>
      <c r="C192" s="1"/>
      <c r="D192" s="1"/>
      <c r="E192" s="1"/>
      <c r="F192" s="1"/>
      <c r="G192" s="1"/>
      <c r="I192" s="25"/>
      <c r="J192" s="1" t="s">
        <v>21</v>
      </c>
      <c r="K192" s="1"/>
      <c r="L192" s="1"/>
      <c r="M192" s="1"/>
      <c r="N192" s="1"/>
      <c r="O192" s="1"/>
      <c r="P192" s="1"/>
      <c r="Q192" s="1"/>
      <c r="R192" s="1"/>
      <c r="S192" s="27"/>
      <c r="U192" s="1"/>
      <c r="V192" s="1"/>
      <c r="W192" s="1"/>
      <c r="X192" s="18"/>
    </row>
    <row r="193" spans="1:24" ht="10.5" customHeight="1">
      <c r="A193" s="1"/>
      <c r="B193" s="1"/>
      <c r="C193" s="1"/>
      <c r="D193" s="1"/>
      <c r="E193" s="1"/>
      <c r="F193" s="1"/>
      <c r="G193" s="1"/>
      <c r="I193" s="25"/>
      <c r="J193" s="1"/>
      <c r="K193" s="1"/>
      <c r="L193" s="1"/>
      <c r="M193" s="1"/>
      <c r="N193" s="1"/>
      <c r="O193" s="1"/>
      <c r="P193" s="1"/>
      <c r="Q193" s="1"/>
      <c r="R193" s="1"/>
      <c r="S193" s="27"/>
      <c r="U193" s="1"/>
      <c r="V193" s="1"/>
      <c r="W193" s="1"/>
      <c r="X193" s="18"/>
    </row>
    <row r="194" spans="1:24" ht="10.5" customHeight="1">
      <c r="A194" s="1"/>
      <c r="B194" s="1"/>
      <c r="C194" s="1"/>
      <c r="D194" s="1"/>
      <c r="E194" s="1"/>
      <c r="F194" s="1"/>
      <c r="G194" s="1"/>
      <c r="I194" s="10"/>
      <c r="J194" s="1" t="s">
        <v>22</v>
      </c>
      <c r="K194" s="1"/>
      <c r="L194" s="1"/>
      <c r="M194" s="1"/>
      <c r="N194" s="1"/>
      <c r="O194" s="1"/>
      <c r="P194" s="1"/>
      <c r="Q194" s="1"/>
      <c r="R194" s="1"/>
      <c r="S194" s="27"/>
      <c r="U194" s="1"/>
      <c r="V194" s="1"/>
      <c r="W194" s="1"/>
      <c r="X194" s="18"/>
    </row>
    <row r="195" spans="1:24" ht="10.5" customHeight="1">
      <c r="A195" s="1"/>
      <c r="B195" s="1"/>
      <c r="C195" s="1"/>
      <c r="D195" s="1"/>
      <c r="E195" s="1"/>
      <c r="F195" s="1"/>
      <c r="G195" s="1"/>
      <c r="I195" s="10"/>
      <c r="J195" s="1" t="s">
        <v>23</v>
      </c>
      <c r="K195" s="1"/>
      <c r="L195" s="1"/>
      <c r="M195" s="1"/>
      <c r="N195" s="1"/>
      <c r="O195" s="1"/>
      <c r="P195" s="1"/>
      <c r="Q195" s="1"/>
      <c r="R195" s="1"/>
      <c r="S195" s="27"/>
      <c r="U195" s="1"/>
      <c r="V195" s="1"/>
      <c r="W195" s="1"/>
      <c r="X195" s="18"/>
    </row>
    <row r="196" spans="1:24" ht="10.5" customHeight="1">
      <c r="A196" s="1"/>
      <c r="B196" s="1"/>
      <c r="C196" s="1"/>
      <c r="D196" s="1"/>
      <c r="E196" s="1"/>
      <c r="F196" s="1"/>
      <c r="G196" s="1"/>
      <c r="I196" s="28" t="s">
        <v>24</v>
      </c>
      <c r="J196" s="29"/>
      <c r="K196" s="29"/>
      <c r="L196" s="29"/>
      <c r="M196" s="29"/>
      <c r="N196" s="29"/>
      <c r="O196" s="1"/>
      <c r="P196" s="1"/>
      <c r="Q196" s="1"/>
      <c r="R196" s="29"/>
      <c r="S196" s="30"/>
      <c r="U196" s="1"/>
      <c r="V196" s="1"/>
      <c r="W196" s="1"/>
      <c r="X196" s="18"/>
    </row>
    <row r="197" spans="1:24" ht="10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8"/>
    </row>
    <row r="198" spans="1:24" ht="10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8"/>
    </row>
    <row r="199" spans="1:24" ht="10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8"/>
    </row>
    <row r="200" spans="1:24" ht="10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8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44" t="str">
        <f>J135</f>
        <v> Two Month Daily Sun Angle Chart</v>
      </c>
      <c r="K201" s="45"/>
      <c r="L201" s="45"/>
      <c r="M201" s="45"/>
      <c r="N201" s="45"/>
      <c r="O201" s="45"/>
      <c r="P201" s="45"/>
      <c r="Q201" s="45"/>
      <c r="R201" s="45"/>
      <c r="S201" s="1"/>
      <c r="T201" s="1"/>
      <c r="U201" s="1"/>
      <c r="V201" s="1"/>
      <c r="W201" s="1"/>
      <c r="X201" s="18"/>
    </row>
    <row r="202" spans="1:24" ht="10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8"/>
    </row>
    <row r="203" spans="1:24" ht="12.75" customHeight="1">
      <c r="A203" s="1"/>
      <c r="B203" s="4" t="s">
        <v>0</v>
      </c>
      <c r="C203" s="1"/>
      <c r="D203" s="1"/>
      <c r="E203" s="1"/>
      <c r="F203" s="1"/>
      <c r="G203" s="44" t="str">
        <f>G137</f>
        <v>--Type Project Name Here--</v>
      </c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" t="s">
        <v>1</v>
      </c>
      <c r="U203" s="44" t="str">
        <f>U137</f>
        <v>--US--</v>
      </c>
      <c r="V203" s="45"/>
      <c r="W203" s="45"/>
      <c r="X203" s="18"/>
    </row>
    <row r="204" spans="1:24" ht="1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8"/>
    </row>
    <row r="205" spans="1:24" ht="12.75" customHeight="1">
      <c r="A205" s="1"/>
      <c r="B205" s="4" t="s">
        <v>2</v>
      </c>
      <c r="C205" s="1"/>
      <c r="D205" s="1"/>
      <c r="E205" s="1"/>
      <c r="F205" s="1"/>
      <c r="G205" s="44" t="str">
        <f>G139</f>
        <v>--Type Solicitation Number Here, or Leave Blank--</v>
      </c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" t="s">
        <v>3</v>
      </c>
      <c r="U205" s="46" t="str">
        <f>U139</f>
        <v>--No.--</v>
      </c>
      <c r="V205" s="45"/>
      <c r="W205" s="45"/>
      <c r="X205" s="18"/>
    </row>
    <row r="206" spans="1:24" ht="10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8"/>
    </row>
    <row r="207" spans="1:24" ht="10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 t="s">
        <v>4</v>
      </c>
      <c r="S207" s="1"/>
      <c r="T207" s="1"/>
      <c r="U207" s="1"/>
      <c r="V207" s="1"/>
      <c r="W207" s="1"/>
      <c r="X207" s="18"/>
    </row>
    <row r="208" spans="1:24" ht="10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4" t="str">
        <f>K142</f>
        <v>Latitude (Degrees North):  </v>
      </c>
      <c r="L208" s="5">
        <f>L142</f>
        <v>40</v>
      </c>
      <c r="M208" s="1"/>
      <c r="N208" s="1"/>
      <c r="O208" s="1"/>
      <c r="P208" s="1"/>
      <c r="Q208" s="1"/>
      <c r="R208" s="1" t="s">
        <v>5</v>
      </c>
      <c r="S208" s="1"/>
      <c r="T208" s="1"/>
      <c r="U208" s="1"/>
      <c r="V208" s="1"/>
      <c r="W208" s="1"/>
      <c r="X208" s="18"/>
    </row>
    <row r="209" spans="1:24" ht="10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4" t="s">
        <v>39</v>
      </c>
      <c r="L209" s="5">
        <f>L143</f>
        <v>110</v>
      </c>
      <c r="M209" s="1"/>
      <c r="N209" s="1"/>
      <c r="O209" s="1"/>
      <c r="P209" s="1"/>
      <c r="Q209" s="1"/>
      <c r="R209" s="1" t="s">
        <v>6</v>
      </c>
      <c r="S209" s="1"/>
      <c r="T209" s="1"/>
      <c r="U209" s="1"/>
      <c r="V209" s="1"/>
      <c r="W209" s="1"/>
      <c r="X209" s="18"/>
    </row>
    <row r="210" spans="1:24" ht="10.5" customHeight="1">
      <c r="A210" s="1"/>
      <c r="B210" s="1"/>
      <c r="C210" s="1">
        <f>C144</f>
        <v>0.3333333333333333</v>
      </c>
      <c r="D210" s="1"/>
      <c r="E210" s="1"/>
      <c r="F210" s="1"/>
      <c r="G210" s="1"/>
      <c r="H210" s="1"/>
      <c r="I210" s="1"/>
      <c r="J210" s="1"/>
      <c r="K210" s="4" t="s">
        <v>7</v>
      </c>
      <c r="L210" s="7">
        <f>L144</f>
        <v>4</v>
      </c>
      <c r="M210" s="1"/>
      <c r="N210" s="1"/>
      <c r="O210" s="1"/>
      <c r="P210" s="1"/>
      <c r="Q210" s="1"/>
      <c r="R210" s="1" t="s">
        <v>8</v>
      </c>
      <c r="S210" s="1"/>
      <c r="T210" s="1"/>
      <c r="U210" s="1"/>
      <c r="V210" s="1"/>
      <c r="W210" s="1"/>
      <c r="X210" s="18"/>
    </row>
    <row r="211" spans="1:24" ht="10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4" t="str">
        <f>K145</f>
        <v>Min. Sun Angle (Degrees):  </v>
      </c>
      <c r="L211" s="7">
        <f>L145</f>
        <v>45</v>
      </c>
      <c r="M211" s="1"/>
      <c r="N211" s="1"/>
      <c r="O211" s="1"/>
      <c r="P211" s="1"/>
      <c r="Q211" s="1"/>
      <c r="R211" s="1" t="s">
        <v>9</v>
      </c>
      <c r="S211" s="1"/>
      <c r="T211" s="1"/>
      <c r="U211" s="1"/>
      <c r="V211" s="1"/>
      <c r="W211" s="1"/>
      <c r="X211" s="18"/>
    </row>
    <row r="212" spans="1:24" ht="10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 t="s">
        <v>10</v>
      </c>
      <c r="S212" s="1"/>
      <c r="T212" s="1"/>
      <c r="U212" s="1"/>
      <c r="V212" s="1"/>
      <c r="W212" s="1"/>
      <c r="X212" s="18"/>
    </row>
    <row r="213" spans="1:24" ht="10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 t="s">
        <v>11</v>
      </c>
      <c r="S213" s="1"/>
      <c r="T213" s="1"/>
      <c r="U213" s="1"/>
      <c r="V213" s="1"/>
      <c r="W213" s="1"/>
      <c r="X213" s="18"/>
    </row>
    <row r="214" spans="1:24" ht="10.5" customHeight="1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2"/>
      <c r="M214" s="2"/>
      <c r="N214" s="2"/>
      <c r="O214" s="2"/>
      <c r="P214" s="2"/>
      <c r="Q214" s="2"/>
      <c r="R214" s="1"/>
      <c r="S214" s="1"/>
      <c r="T214" s="1"/>
      <c r="U214" s="1"/>
      <c r="V214" s="1"/>
      <c r="W214" s="2"/>
      <c r="X214" s="3"/>
    </row>
    <row r="215" spans="1:24" ht="10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1"/>
      <c r="S215" s="1"/>
      <c r="T215" s="1"/>
      <c r="U215" s="1"/>
      <c r="V215" s="1"/>
      <c r="W215" s="2"/>
      <c r="X215" s="3"/>
    </row>
    <row r="216" spans="1:24" ht="10.5" customHeight="1">
      <c r="A216" s="1"/>
      <c r="B216" s="1"/>
      <c r="C216" s="1"/>
      <c r="D216" s="1"/>
      <c r="E216" s="1"/>
      <c r="F216" s="1"/>
      <c r="G216" s="1"/>
      <c r="H216" s="9" t="s">
        <v>29</v>
      </c>
      <c r="I216" s="1"/>
      <c r="J216" s="1"/>
      <c r="K216" s="1"/>
      <c r="L216" s="1"/>
      <c r="M216" s="10"/>
      <c r="N216" s="2"/>
      <c r="O216" s="2"/>
      <c r="P216" s="2"/>
      <c r="Q216" s="2"/>
      <c r="R216" s="2"/>
      <c r="S216" s="9" t="s">
        <v>30</v>
      </c>
      <c r="T216" s="1"/>
      <c r="U216" s="1"/>
      <c r="V216" s="1"/>
      <c r="W216" s="2"/>
      <c r="X216" s="3"/>
    </row>
    <row r="217" spans="1:24" ht="10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0"/>
      <c r="N217" s="2"/>
      <c r="O217" s="2"/>
      <c r="P217" s="2"/>
      <c r="Q217" s="2"/>
      <c r="R217" s="1"/>
      <c r="S217" s="1"/>
      <c r="T217" s="1"/>
      <c r="U217" s="1"/>
      <c r="V217" s="1"/>
      <c r="W217" s="2"/>
      <c r="X217" s="3"/>
    </row>
    <row r="218" spans="1:24" ht="10.5" customHeight="1">
      <c r="A218" s="1"/>
      <c r="B218" s="2"/>
      <c r="C218" s="2"/>
      <c r="D218" s="2"/>
      <c r="E218" s="2"/>
      <c r="F218" s="2"/>
      <c r="G218" s="2"/>
      <c r="H218" s="11" t="str">
        <f>H152</f>
        <v>Flying Window</v>
      </c>
      <c r="I218" s="11"/>
      <c r="J218" s="11"/>
      <c r="K218" s="11" t="s">
        <v>14</v>
      </c>
      <c r="L218" s="2"/>
      <c r="M218" s="12"/>
      <c r="N218" s="2"/>
      <c r="O218" s="2"/>
      <c r="P218" s="2"/>
      <c r="Q218" s="2"/>
      <c r="R218" s="2"/>
      <c r="S218" s="11" t="str">
        <f>S152</f>
        <v>Flying Window</v>
      </c>
      <c r="T218" s="11"/>
      <c r="U218" s="11"/>
      <c r="V218" s="11" t="s">
        <v>14</v>
      </c>
      <c r="W218" s="2"/>
      <c r="X218" s="3"/>
    </row>
    <row r="219" spans="1:24" ht="10.5" customHeight="1">
      <c r="A219" s="1"/>
      <c r="B219" s="13" t="s">
        <v>15</v>
      </c>
      <c r="C219" s="11"/>
      <c r="D219" s="11"/>
      <c r="E219" s="11"/>
      <c r="F219" s="11"/>
      <c r="G219" s="11" t="str">
        <f>G153</f>
        <v>   Start Time</v>
      </c>
      <c r="H219" s="11"/>
      <c r="I219" s="11" t="str">
        <f>I153</f>
        <v>   End Time</v>
      </c>
      <c r="J219" s="11"/>
      <c r="K219" s="11" t="s">
        <v>16</v>
      </c>
      <c r="L219" s="2"/>
      <c r="M219" s="14" t="s">
        <v>15</v>
      </c>
      <c r="N219" s="11"/>
      <c r="O219" s="11"/>
      <c r="P219" s="11"/>
      <c r="Q219" s="11"/>
      <c r="R219" s="11" t="str">
        <f>R153</f>
        <v>   Start Time</v>
      </c>
      <c r="S219" s="11"/>
      <c r="T219" s="11" t="str">
        <f>T153</f>
        <v>   End Time</v>
      </c>
      <c r="U219" s="11"/>
      <c r="V219" s="11" t="s">
        <v>16</v>
      </c>
      <c r="W219" s="2"/>
      <c r="X219" s="3"/>
    </row>
    <row r="220" spans="1:24" ht="10.5" customHeight="1">
      <c r="A220" s="1"/>
      <c r="B220" s="15">
        <f>IF(M14&gt;0,solrdat!B195,solrdat!I195)</f>
        <v>39995</v>
      </c>
      <c r="C220" s="1">
        <f>IF(M14&gt;0,solrdat!C195,solrdat!J195)</f>
        <v>12.065861111111111</v>
      </c>
      <c r="D220" s="1">
        <f>IF(M14&gt;0,solrdat!D195,solrdat!K195)</f>
        <v>23.057228</v>
      </c>
      <c r="E220" s="1">
        <f>(TAN(RADIANS(L9))*SIN(RADIANS(D220))-SIN(RADIANS(L13))/COS(RADIANS(L9)))/COS(RADIANS(D220))</f>
        <v>-0.6460379928578525</v>
      </c>
      <c r="F220" s="1">
        <f aca="true" t="shared" si="6" ref="F220:F250">IF(E220&lt;-1,"0",IF(E220&gt;1,24,(DEGREES(ASIN(E220))*2+180)/15))</f>
        <v>6.634193961458744</v>
      </c>
      <c r="G220" s="4">
        <f>IF(E220&lt;-1,"Below",IF(E220&gt;1,"Above",INT(C220+C12-(DEGREES(ASIN(E220))+90)/15+5/600)))</f>
        <v>9</v>
      </c>
      <c r="H220" s="1" t="str">
        <f>IF(OR(E220&lt;-1,E220&gt;1),IF(M13&gt;0," Min."," Horz."),IF(INT((C220+C12-(DEGREES(ASIN(E220))+90)/15-G220)*60+1/2)&lt;10,":0"&amp;FIXED(INT((C220+C12-(DEGREES(ASIN(E220))+90)/15-G220)*60+1/2),0),":"&amp;FIXED(INT((C220+C12-(DEGREES(ASIN(E220))+90)/15-G220)*60+1/2),0)))</f>
        <v>:05</v>
      </c>
      <c r="I220" s="4">
        <f>IF(E220&lt;-1,"Below",IF(E220&gt;1,"Above",INT(C220+C12+(DEGREES(ASIN(E220))+90)/15+5/600)))</f>
        <v>15</v>
      </c>
      <c r="J220" s="1" t="str">
        <f>IF(OR(E220&lt;-1,E220&gt;1),IF(M13&gt;0," Min."," Horz."),IF(INT((C220+C12+(DEGREES(ASIN(E220))+90)/15-I220)*60+1/2)&lt;10,":0"&amp;FIXED(INT((C220+C12+(DEGREES(ASIN(E220))+90)/15-I220)*60+1/2),0),":"&amp;FIXED(INT((C220+C12+(DEGREES(ASIN(E220))+90)/15-I220)*60+1/2),0)))</f>
        <v>:43</v>
      </c>
      <c r="K220" s="1">
        <f>ROUND(DEGREES(ASIN(COS(RADIANS(D220))*COS(RADIANS(L9))+SIN(RADIANS(D220))*SIN(RADIANS(L9)))),0)</f>
        <v>73</v>
      </c>
      <c r="L220" s="1" t="s">
        <v>17</v>
      </c>
      <c r="M220" s="16">
        <f>IF(M14&gt;0,solrdat!B227,solrdat!I227)</f>
        <v>40026</v>
      </c>
      <c r="N220" s="1">
        <f>IF(M14&gt;0,solrdat!C227,solrdat!J227)</f>
        <v>12.105166666666667</v>
      </c>
      <c r="O220" s="1">
        <f>IF(M14&gt;0,solrdat!D227,solrdat!K227)</f>
        <v>17.833341</v>
      </c>
      <c r="P220" s="1">
        <f>(TAN(RADIANS(L9))*SIN(RADIANS(O220))-SIN(RADIANS(L13))/COS(RADIANS(L9)))/COS(RADIANS(O220))</f>
        <v>-0.6997087297720057</v>
      </c>
      <c r="Q220" s="1">
        <f aca="true" t="shared" si="7" ref="Q220:Q250">IF(P220&lt;-1,"0",IF(P220&gt;1,24,(DEGREES(ASIN(P220))*2+180)/15))</f>
        <v>6.079514664184219</v>
      </c>
      <c r="R220" s="4">
        <f>IF(P220&lt;-1,"Below",IF(P220&gt;1,"Above",INT(N220+C12-(DEGREES(ASIN(P220))+90)/15+5/600)))</f>
        <v>9</v>
      </c>
      <c r="S220" s="1" t="str">
        <f>IF(OR(P220&lt;-1,P220&gt;1),IF(M13&gt;0," Min."," Horz."),IF(INT((N220+C12-(DEGREES(ASIN(P220))+90)/15-R220)*60+1/2)&lt;10,":0"&amp;FIXED(INT((N220+C12-(DEGREES(ASIN(P220))+90)/15-R220)*60+1/2),0),":"&amp;FIXED(INT((N220+C12-(DEGREES(ASIN(P220))+90)/15-R220)*60+1/2),0)))</f>
        <v>:24</v>
      </c>
      <c r="T220" s="4">
        <f>IF(P220&lt;-1,"Below",IF(P220&gt;1,"Above",INT(N220+C12+(DEGREES(ASIN(P220))+90)/15+5/600)))</f>
        <v>15</v>
      </c>
      <c r="U220" s="1" t="str">
        <f>IF(OR(P220&lt;-1,P220&gt;1),IF(M13&gt;0," Min."," Horz."),IF(INT((N220+C12+(DEGREES(ASIN(P220))+90)/15-T220)*60+1/2)&lt;10,":0"&amp;FIXED(INT((N220+C12+(DEGREES(ASIN(P220))+90)/15-T220)*60+1/2),0),":"&amp;FIXED(INT((N220+C12+(DEGREES(ASIN(P220))+90)/15-T220)*60+1/2),0)))</f>
        <v>:29</v>
      </c>
      <c r="V220" s="1">
        <f>ROUND(DEGREES(ASIN(COS(RADIANS(O220))*COS(RADIANS(L9))+SIN(RADIANS(O220))*SIN(RADIANS(L9)))),0)</f>
        <v>68</v>
      </c>
      <c r="W220" s="1" t="s">
        <v>17</v>
      </c>
      <c r="X220" s="18"/>
    </row>
    <row r="221" spans="1:24" ht="10.5" customHeight="1">
      <c r="A221" s="1"/>
      <c r="B221" s="15">
        <f>IF(M14&gt;0,solrdat!B196,solrdat!I196)</f>
        <v>39996</v>
      </c>
      <c r="C221" s="1">
        <f>IF(M14&gt;0,solrdat!C196,solrdat!J196)</f>
        <v>12.069</v>
      </c>
      <c r="D221" s="1">
        <f>IF(M14&gt;0,solrdat!D196,solrdat!K196)</f>
        <v>22.98184</v>
      </c>
      <c r="E221" s="1">
        <f>(TAN(RADIANS(L9))*SIN(RADIANS(D221))-SIN(RADIANS(L13))/COS(RADIANS(L9)))/COS(RADIANS(D221))</f>
        <v>-0.6467806852758857</v>
      </c>
      <c r="F221" s="1">
        <f t="shared" si="6"/>
        <v>6.626757760633138</v>
      </c>
      <c r="G221" s="4">
        <f>IF(E221&lt;-1,"Below",IF(E221&gt;1,"Above",INT(C221+C12-(DEGREES(ASIN(E221))+90)/15+5/600)))</f>
        <v>9</v>
      </c>
      <c r="H221" s="1" t="str">
        <f>IF(OR(E221&lt;-1,E221&gt;1),IF(M13&gt;0," Min."," Horz."),IF(INT((C221+C12-(DEGREES(ASIN(E221))+90)/15-G221)*60+1/2)&lt;10,":0"&amp;FIXED(INT((C221+C12-(DEGREES(ASIN(E221))+90)/15-G221)*60+1/2),0),":"&amp;FIXED(INT((C221+C12-(DEGREES(ASIN(E221))+90)/15-G221)*60+1/2),0)))</f>
        <v>:05</v>
      </c>
      <c r="I221" s="4">
        <f>IF(E221&lt;-1,"Below",IF(E221&gt;1,"Above",INT(C221+C12+(DEGREES(ASIN(E221))+90)/15+5/600)))</f>
        <v>15</v>
      </c>
      <c r="J221" s="1" t="str">
        <f>IF(OR(E221&lt;-1,E221&gt;1),IF(M13&gt;0," Min."," Horz."),IF(INT((C221+C12+(DEGREES(ASIN(E221))+90)/15-I221)*60+1/2)&lt;10,":0"&amp;FIXED(INT((C221+C12+(DEGREES(ASIN(E221))+90)/15-I221)*60+1/2),0),":"&amp;FIXED(INT((C221+C12+(DEGREES(ASIN(E221))+90)/15-I221)*60+1/2),0)))</f>
        <v>:43</v>
      </c>
      <c r="K221" s="1">
        <f>ROUND(DEGREES(ASIN(COS(RADIANS(D221))*COS(RADIANS(L9))+SIN(RADIANS(D221))*SIN(RADIANS(L9)))),0)</f>
        <v>73</v>
      </c>
      <c r="L221" s="1" t="s">
        <v>17</v>
      </c>
      <c r="M221" s="16">
        <f>IF(M14&gt;0,solrdat!B228,solrdat!I228)</f>
        <v>40027</v>
      </c>
      <c r="N221" s="1">
        <f>IF(M14&gt;0,solrdat!C228,solrdat!J228)</f>
        <v>12.103944444444444</v>
      </c>
      <c r="O221" s="1">
        <f>IF(M14&gt;0,solrdat!D228,solrdat!K228)</f>
        <v>17.575881</v>
      </c>
      <c r="P221" s="1">
        <f>(TAN(RADIANS(L9))*SIN(RADIANS(O221))-SIN(RADIANS(L13))/COS(RADIANS(L9)))/COS(RADIANS(O221))</f>
        <v>-0.7024735585397092</v>
      </c>
      <c r="Q221" s="1">
        <f t="shared" si="7"/>
        <v>6.049893816242266</v>
      </c>
      <c r="R221" s="4">
        <f>IF(P221&lt;-1,"Below",IF(P221&gt;1,"Above",INT(N221+C12-(DEGREES(ASIN(P221))+90)/15+5/600)))</f>
        <v>9</v>
      </c>
      <c r="S221" s="1" t="str">
        <f>IF(OR(P221&lt;-1,P221&gt;1),IF(M13&gt;0," Min."," Horz."),IF(INT((N221+C12-(DEGREES(ASIN(P221))+90)/15-R221)*60+1/2)&lt;10,":0"&amp;FIXED(INT((N221+C12-(DEGREES(ASIN(P221))+90)/15-R221)*60+1/2),0),":"&amp;FIXED(INT((N221+C12-(DEGREES(ASIN(P221))+90)/15-R221)*60+1/2),0)))</f>
        <v>:25</v>
      </c>
      <c r="T221" s="4">
        <f>IF(P221&lt;-1,"Below",IF(P221&gt;1,"Above",INT(N221+C12+(DEGREES(ASIN(P221))+90)/15+5/600)))</f>
        <v>15</v>
      </c>
      <c r="U221" s="1" t="str">
        <f>IF(OR(P221&lt;-1,P221&gt;1),IF(M13&gt;0," Min."," Horz."),IF(INT((N221+C12+(DEGREES(ASIN(P221))+90)/15-T221)*60+1/2)&lt;10,":0"&amp;FIXED(INT((N221+C12+(DEGREES(ASIN(P221))+90)/15-T221)*60+1/2),0),":"&amp;FIXED(INT((N221+C12+(DEGREES(ASIN(P221))+90)/15-T221)*60+1/2),0)))</f>
        <v>:28</v>
      </c>
      <c r="V221" s="1">
        <f>ROUND(DEGREES(ASIN(COS(RADIANS(O221))*COS(RADIANS(L9))+SIN(RADIANS(O221))*SIN(RADIANS(L9)))),0)</f>
        <v>68</v>
      </c>
      <c r="W221" s="1" t="s">
        <v>17</v>
      </c>
      <c r="X221" s="18"/>
    </row>
    <row r="222" spans="1:24" ht="10.5" customHeight="1">
      <c r="A222" s="1"/>
      <c r="B222" s="15">
        <f>IF(M14&gt;0,solrdat!B197,solrdat!I197)</f>
        <v>39997</v>
      </c>
      <c r="C222" s="1">
        <f>IF(M14&gt;0,solrdat!C197,solrdat!J197)</f>
        <v>12.072027777777778</v>
      </c>
      <c r="D222" s="1">
        <f>IF(M14&gt;0,solrdat!D197,solrdat!K197)</f>
        <v>22.899786</v>
      </c>
      <c r="E222" s="1">
        <f>(TAN(RADIANS(L9))*SIN(RADIANS(D222))-SIN(RADIANS(L13))/COS(RADIANS(L9)))/COS(RADIANS(D222))</f>
        <v>-0.6475900787104891</v>
      </c>
      <c r="F222" s="1">
        <f t="shared" si="6"/>
        <v>6.618646719838483</v>
      </c>
      <c r="G222" s="4">
        <f>IF(E222&lt;-1,"Below",IF(E222&gt;1,"Above",INT(C222+C12-(DEGREES(ASIN(E222))+90)/15+5/600)))</f>
        <v>9</v>
      </c>
      <c r="H222" s="1" t="str">
        <f>IF(OR(E222&lt;-1,E222&gt;1),IF(M13&gt;0," Min."," Horz."),IF(INT((C222+C12-(DEGREES(ASIN(E222))+90)/15-G222)*60+1/2)&lt;10,":0"&amp;FIXED(INT((C222+C12-(DEGREES(ASIN(E222))+90)/15-G222)*60+1/2),0),":"&amp;FIXED(INT((C222+C12-(DEGREES(ASIN(E222))+90)/15-G222)*60+1/2),0)))</f>
        <v>:06</v>
      </c>
      <c r="I222" s="4">
        <f>IF(E222&lt;-1,"Below",IF(E222&gt;1,"Above",INT(C222+C12+(DEGREES(ASIN(E222))+90)/15+5/600)))</f>
        <v>15</v>
      </c>
      <c r="J222" s="1" t="str">
        <f>IF(OR(E222&lt;-1,E222&gt;1),IF(M13&gt;0," Min."," Horz."),IF(INT((C222+C12+(DEGREES(ASIN(E222))+90)/15-I222)*60+1/2)&lt;10,":0"&amp;FIXED(INT((C222+C12+(DEGREES(ASIN(E222))+90)/15-I222)*60+1/2),0),":"&amp;FIXED(INT((C222+C12+(DEGREES(ASIN(E222))+90)/15-I222)*60+1/2),0)))</f>
        <v>:43</v>
      </c>
      <c r="K222" s="1">
        <f>ROUND(DEGREES(ASIN(COS(RADIANS(D222))*COS(RADIANS(L9))+SIN(RADIANS(D222))*SIN(RADIANS(L9)))),0)</f>
        <v>73</v>
      </c>
      <c r="L222" s="1" t="s">
        <v>17</v>
      </c>
      <c r="M222" s="16">
        <f>IF(M14&gt;0,solrdat!B229,solrdat!I229)</f>
        <v>40028</v>
      </c>
      <c r="N222" s="1">
        <f>IF(M14&gt;0,solrdat!C229,solrdat!J229)</f>
        <v>12.102527777777778</v>
      </c>
      <c r="O222" s="1">
        <f>IF(M14&gt;0,solrdat!D229,solrdat!K229)</f>
        <v>17.313683</v>
      </c>
      <c r="P222" s="1">
        <f>(TAN(RADIANS(L9))*SIN(RADIANS(O222))-SIN(RADIANS(L13))/COS(RADIANS(L9)))/COS(RADIANS(O222))</f>
        <v>-0.7053012562173757</v>
      </c>
      <c r="Q222" s="1">
        <f t="shared" si="7"/>
        <v>6.019481703573135</v>
      </c>
      <c r="R222" s="4">
        <f>IF(P222&lt;-1,"Below",IF(P222&gt;1,"Above",INT(N222+C12-(DEGREES(ASIN(P222))+90)/15+5/600)))</f>
        <v>9</v>
      </c>
      <c r="S222" s="1" t="str">
        <f>IF(OR(P222&lt;-1,P222&gt;1),IF(M13&gt;0," Min."," Horz."),IF(INT((N222+C12-(DEGREES(ASIN(P222))+90)/15-R222)*60+1/2)&lt;10,":0"&amp;FIXED(INT((N222+C12-(DEGREES(ASIN(P222))+90)/15-R222)*60+1/2),0),":"&amp;FIXED(INT((N222+C12-(DEGREES(ASIN(P222))+90)/15-R222)*60+1/2),0)))</f>
        <v>:26</v>
      </c>
      <c r="T222" s="4">
        <f>IF(P222&lt;-1,"Below",IF(P222&gt;1,"Above",INT(N222+C12+(DEGREES(ASIN(P222))+90)/15+5/600)))</f>
        <v>15</v>
      </c>
      <c r="U222" s="1" t="str">
        <f>IF(OR(P222&lt;-1,P222&gt;1),IF(M13&gt;0," Min."," Horz."),IF(INT((N222+C12+(DEGREES(ASIN(P222))+90)/15-T222)*60+1/2)&lt;10,":0"&amp;FIXED(INT((N222+C12+(DEGREES(ASIN(P222))+90)/15-T222)*60+1/2),0),":"&amp;FIXED(INT((N222+C12+(DEGREES(ASIN(P222))+90)/15-T222)*60+1/2),0)))</f>
        <v>:27</v>
      </c>
      <c r="V222" s="1">
        <f>ROUND(DEGREES(ASIN(COS(RADIANS(O222))*COS(RADIANS(L9))+SIN(RADIANS(O222))*SIN(RADIANS(L9)))),0)</f>
        <v>67</v>
      </c>
      <c r="W222" s="1" t="s">
        <v>17</v>
      </c>
      <c r="X222" s="18"/>
    </row>
    <row r="223" spans="1:24" ht="10.5" customHeight="1">
      <c r="A223" s="1"/>
      <c r="B223" s="15">
        <f>IF(M14&gt;0,solrdat!B198,solrdat!I198)</f>
        <v>39998</v>
      </c>
      <c r="C223" s="1">
        <f>IF(M14&gt;0,solrdat!C198,solrdat!J198)</f>
        <v>12.074972222222222</v>
      </c>
      <c r="D223" s="1">
        <f>IF(M14&gt;0,solrdat!D198,solrdat!K198)</f>
        <v>22.811104</v>
      </c>
      <c r="E223" s="1">
        <f>(TAN(RADIANS(L9))*SIN(RADIANS(D223))-SIN(RADIANS(L13))/COS(RADIANS(L9)))/COS(RADIANS(D223))</f>
        <v>-0.6484660607950669</v>
      </c>
      <c r="F223" s="1">
        <f t="shared" si="6"/>
        <v>6.609860130038773</v>
      </c>
      <c r="G223" s="4">
        <f>IF(E223&lt;-1,"Below",IF(E223&gt;1,"Above",INT(C223+C12-(DEGREES(ASIN(E223))+90)/15+5/600)))</f>
        <v>9</v>
      </c>
      <c r="H223" s="1" t="str">
        <f>IF(OR(E223&lt;-1,E223&gt;1),IF(M13&gt;0," Min."," Horz."),IF(INT((C223+C12-(DEGREES(ASIN(E223))+90)/15-G223)*60+1/2)&lt;10,":0"&amp;FIXED(INT((C223+C12-(DEGREES(ASIN(E223))+90)/15-G223)*60+1/2),0),":"&amp;FIXED(INT((C223+C12-(DEGREES(ASIN(E223))+90)/15-G223)*60+1/2),0)))</f>
        <v>:06</v>
      </c>
      <c r="I223" s="4">
        <f>IF(E223&lt;-1,"Below",IF(E223&gt;1,"Above",INT(C223+C12+(DEGREES(ASIN(E223))+90)/15+5/600)))</f>
        <v>15</v>
      </c>
      <c r="J223" s="1" t="str">
        <f>IF(OR(E223&lt;-1,E223&gt;1),IF(M13&gt;0," Min."," Horz."),IF(INT((C223+C12+(DEGREES(ASIN(E223))+90)/15-I223)*60+1/2)&lt;10,":0"&amp;FIXED(INT((C223+C12+(DEGREES(ASIN(E223))+90)/15-I223)*60+1/2),0),":"&amp;FIXED(INT((C223+C12+(DEGREES(ASIN(E223))+90)/15-I223)*60+1/2),0)))</f>
        <v>:43</v>
      </c>
      <c r="K223" s="1">
        <f>ROUND(DEGREES(ASIN(COS(RADIANS(D223))*COS(RADIANS(L9))+SIN(RADIANS(D223))*SIN(RADIANS(L9)))),0)</f>
        <v>73</v>
      </c>
      <c r="L223" s="1" t="s">
        <v>17</v>
      </c>
      <c r="M223" s="16">
        <f>IF(M14&gt;0,solrdat!B230,solrdat!I230)</f>
        <v>40029</v>
      </c>
      <c r="N223" s="1">
        <f>IF(M14&gt;0,solrdat!C230,solrdat!J230)</f>
        <v>12.100972222222222</v>
      </c>
      <c r="O223" s="1">
        <f>IF(M14&gt;0,solrdat!D230,solrdat!K230)</f>
        <v>17.046825</v>
      </c>
      <c r="P223" s="1">
        <f>(TAN(RADIANS(L9))*SIN(RADIANS(O223))-SIN(RADIANS(L13))/COS(RADIANS(L9)))/COS(RADIANS(O223))</f>
        <v>-0.7081916998398403</v>
      </c>
      <c r="Q223" s="1">
        <f t="shared" si="7"/>
        <v>5.988269749991054</v>
      </c>
      <c r="R223" s="4">
        <f>IF(P223&lt;-1,"Below",IF(P223&gt;1,"Above",INT(N223+C12-(DEGREES(ASIN(P223))+90)/15+5/600)))</f>
        <v>9</v>
      </c>
      <c r="S223" s="1" t="str">
        <f>IF(OR(P223&lt;-1,P223&gt;1),IF(M13&gt;0," Min."," Horz."),IF(INT((N223+C12-(DEGREES(ASIN(P223))+90)/15-R223)*60+1/2)&lt;10,":0"&amp;FIXED(INT((N223+C12-(DEGREES(ASIN(P223))+90)/15-R223)*60+1/2),0),":"&amp;FIXED(INT((N223+C12-(DEGREES(ASIN(P223))+90)/15-R223)*60+1/2),0)))</f>
        <v>:26</v>
      </c>
      <c r="T223" s="4">
        <f>IF(P223&lt;-1,"Below",IF(P223&gt;1,"Above",INT(N223+C12+(DEGREES(ASIN(P223))+90)/15+5/600)))</f>
        <v>15</v>
      </c>
      <c r="U223" s="1" t="str">
        <f>IF(OR(P223&lt;-1,P223&gt;1),IF(M13&gt;0," Min."," Horz."),IF(INT((N223+C12+(DEGREES(ASIN(P223))+90)/15-T223)*60+1/2)&lt;10,":0"&amp;FIXED(INT((N223+C12+(DEGREES(ASIN(P223))+90)/15-T223)*60+1/2),0),":"&amp;FIXED(INT((N223+C12+(DEGREES(ASIN(P223))+90)/15-T223)*60+1/2),0)))</f>
        <v>:26</v>
      </c>
      <c r="V223" s="1">
        <f>ROUND(DEGREES(ASIN(COS(RADIANS(O223))*COS(RADIANS(L9))+SIN(RADIANS(O223))*SIN(RADIANS(L9)))),0)</f>
        <v>67</v>
      </c>
      <c r="W223" s="1" t="s">
        <v>17</v>
      </c>
      <c r="X223" s="18"/>
    </row>
    <row r="224" spans="1:24" ht="10.5" customHeight="1">
      <c r="A224" s="1"/>
      <c r="B224" s="15">
        <f>IF(M14&gt;0,solrdat!B199,solrdat!I199)</f>
        <v>39999</v>
      </c>
      <c r="C224" s="1">
        <f>IF(M14&gt;0,solrdat!C199,solrdat!J199)</f>
        <v>12.077833333333333</v>
      </c>
      <c r="D224" s="1">
        <f>IF(M14&gt;0,solrdat!D199,solrdat!K199)</f>
        <v>22.715828</v>
      </c>
      <c r="E224" s="1">
        <f>(TAN(RADIANS(L9))*SIN(RADIANS(D224))-SIN(RADIANS(L13))/COS(RADIANS(L9)))/COS(RADIANS(D224))</f>
        <v>-0.649408578470336</v>
      </c>
      <c r="F224" s="1">
        <f t="shared" si="6"/>
        <v>6.600396526130367</v>
      </c>
      <c r="G224" s="4">
        <f>IF(E224&lt;-1,"Below",IF(E224&gt;1,"Above",INT(C224+C12-(DEGREES(ASIN(E224))+90)/15+5/600)))</f>
        <v>9</v>
      </c>
      <c r="H224" s="1" t="str">
        <f>IF(OR(E224&lt;-1,E224&gt;1),IF(M13&gt;0," Min."," Horz."),IF(INT((C224+C12-(DEGREES(ASIN(E224))+90)/15-G224)*60+1/2)&lt;10,":0"&amp;FIXED(INT((C224+C12-(DEGREES(ASIN(E224))+90)/15-G224)*60+1/2),0),":"&amp;FIXED(INT((C224+C12-(DEGREES(ASIN(E224))+90)/15-G224)*60+1/2),0)))</f>
        <v>:07</v>
      </c>
      <c r="I224" s="4">
        <f>IF(E224&lt;-1,"Below",IF(E224&gt;1,"Above",INT(C224+C12+(DEGREES(ASIN(E224))+90)/15+5/600)))</f>
        <v>15</v>
      </c>
      <c r="J224" s="1" t="str">
        <f>IF(OR(E224&lt;-1,E224&gt;1),IF(M13&gt;0," Min."," Horz."),IF(INT((C224+C12+(DEGREES(ASIN(E224))+90)/15-I224)*60+1/2)&lt;10,":0"&amp;FIXED(INT((C224+C12+(DEGREES(ASIN(E224))+90)/15-I224)*60+1/2),0),":"&amp;FIXED(INT((C224+C12+(DEGREES(ASIN(E224))+90)/15-I224)*60+1/2),0)))</f>
        <v>:43</v>
      </c>
      <c r="K224" s="1">
        <f>ROUND(DEGREES(ASIN(COS(RADIANS(D224))*COS(RADIANS(L9))+SIN(RADIANS(D224))*SIN(RADIANS(L9)))),0)</f>
        <v>73</v>
      </c>
      <c r="L224" s="1" t="s">
        <v>17</v>
      </c>
      <c r="M224" s="16">
        <f>IF(M14&gt;0,solrdat!B231,solrdat!I231)</f>
        <v>40030</v>
      </c>
      <c r="N224" s="1">
        <f>IF(M14&gt;0,solrdat!C231,solrdat!J231)</f>
        <v>12.09925</v>
      </c>
      <c r="O224" s="1">
        <f>IF(M14&gt;0,solrdat!D231,solrdat!K231)</f>
        <v>16.775385</v>
      </c>
      <c r="P224" s="1">
        <f>(TAN(RADIANS(L9))*SIN(RADIANS(O224))-SIN(RADIANS(L13))/COS(RADIANS(L9)))/COS(RADIANS(O224))</f>
        <v>-0.7111447717006725</v>
      </c>
      <c r="Q224" s="1">
        <f t="shared" si="7"/>
        <v>5.9562488545900285</v>
      </c>
      <c r="R224" s="4">
        <f>IF(P224&lt;-1,"Below",IF(P224&gt;1,"Above",INT(N224+C12-(DEGREES(ASIN(P224))+90)/15+5/600)))</f>
        <v>9</v>
      </c>
      <c r="S224" s="1" t="str">
        <f>IF(OR(P224&lt;-1,P224&gt;1),IF(M13&gt;0," Min."," Horz."),IF(INT((N224+C12-(DEGREES(ASIN(P224))+90)/15-R224)*60+1/2)&lt;10,":0"&amp;FIXED(INT((N224+C12-(DEGREES(ASIN(P224))+90)/15-R224)*60+1/2),0),":"&amp;FIXED(INT((N224+C12-(DEGREES(ASIN(P224))+90)/15-R224)*60+1/2),0)))</f>
        <v>:27</v>
      </c>
      <c r="T224" s="4">
        <f>IF(P224&lt;-1,"Below",IF(P224&gt;1,"Above",INT(N224+C12+(DEGREES(ASIN(P224))+90)/15+5/600)))</f>
        <v>15</v>
      </c>
      <c r="U224" s="1" t="str">
        <f>IF(OR(P224&lt;-1,P224&gt;1),IF(M13&gt;0," Min."," Horz."),IF(INT((N224+C12+(DEGREES(ASIN(P224))+90)/15-T224)*60+1/2)&lt;10,":0"&amp;FIXED(INT((N224+C12+(DEGREES(ASIN(P224))+90)/15-T224)*60+1/2),0),":"&amp;FIXED(INT((N224+C12+(DEGREES(ASIN(P224))+90)/15-T224)*60+1/2),0)))</f>
        <v>:25</v>
      </c>
      <c r="V224" s="1">
        <f>ROUND(DEGREES(ASIN(COS(RADIANS(O224))*COS(RADIANS(L9))+SIN(RADIANS(O224))*SIN(RADIANS(L9)))),0)</f>
        <v>67</v>
      </c>
      <c r="W224" s="1" t="s">
        <v>17</v>
      </c>
      <c r="X224" s="18"/>
    </row>
    <row r="225" spans="1:24" ht="10.5" customHeight="1">
      <c r="A225" s="1"/>
      <c r="B225" s="15">
        <f>IF(M14&gt;0,solrdat!B200,solrdat!I200)</f>
        <v>40000</v>
      </c>
      <c r="C225" s="1">
        <f>IF(M14&gt;0,solrdat!C200,solrdat!J200)</f>
        <v>12.080583333333333</v>
      </c>
      <c r="D225" s="1">
        <f>IF(M14&gt;0,solrdat!D200,solrdat!K200)</f>
        <v>22.613996</v>
      </c>
      <c r="E225" s="1">
        <f>(TAN(RADIANS(L9))*SIN(RADIANS(D225))-SIN(RADIANS(L13))/COS(RADIANS(L9)))/COS(RADIANS(D225))</f>
        <v>-0.650417558725039</v>
      </c>
      <c r="F225" s="1">
        <f t="shared" si="6"/>
        <v>6.590254478227419</v>
      </c>
      <c r="G225" s="4">
        <f>IF(E225&lt;-1,"Below",IF(E225&gt;1,"Above",INT(C225+C12-(DEGREES(ASIN(E225))+90)/15+5/600)))</f>
        <v>9</v>
      </c>
      <c r="H225" s="1" t="str">
        <f>IF(OR(E225&lt;-1,E225&gt;1),IF(M13&gt;0," Min."," Horz."),IF(INT((C225+C12-(DEGREES(ASIN(E225))+90)/15-G225)*60+1/2)&lt;10,":0"&amp;FIXED(INT((C225+C12-(DEGREES(ASIN(E225))+90)/15-G225)*60+1/2),0),":"&amp;FIXED(INT((C225+C12-(DEGREES(ASIN(E225))+90)/15-G225)*60+1/2),0)))</f>
        <v>:07</v>
      </c>
      <c r="I225" s="4">
        <f>IF(E225&lt;-1,"Below",IF(E225&gt;1,"Above",INT(C225+C12+(DEGREES(ASIN(E225))+90)/15+5/600)))</f>
        <v>15</v>
      </c>
      <c r="J225" s="1" t="str">
        <f>IF(OR(E225&lt;-1,E225&gt;1),IF(M13&gt;0," Min."," Horz."),IF(INT((C225+C12+(DEGREES(ASIN(E225))+90)/15-I225)*60+1/2)&lt;10,":0"&amp;FIXED(INT((C225+C12+(DEGREES(ASIN(E225))+90)/15-I225)*60+1/2),0),":"&amp;FIXED(INT((C225+C12+(DEGREES(ASIN(E225))+90)/15-I225)*60+1/2),0)))</f>
        <v>:43</v>
      </c>
      <c r="K225" s="1">
        <f>ROUND(DEGREES(ASIN(COS(RADIANS(D225))*COS(RADIANS(L9))+SIN(RADIANS(D225))*SIN(RADIANS(L9)))),0)</f>
        <v>73</v>
      </c>
      <c r="L225" s="1" t="s">
        <v>17</v>
      </c>
      <c r="M225" s="16">
        <f>IF(M14&gt;0,solrdat!B232,solrdat!I232)</f>
        <v>40031</v>
      </c>
      <c r="N225" s="1">
        <f>IF(M14&gt;0,solrdat!C232,solrdat!J232)</f>
        <v>12.097333333333333</v>
      </c>
      <c r="O225" s="1">
        <f>IF(M14&gt;0,solrdat!D232,solrdat!K232)</f>
        <v>16.499439</v>
      </c>
      <c r="P225" s="1">
        <f>(TAN(RADIANS(L9))*SIN(RADIANS(O225))-SIN(RADIANS(L13))/COS(RADIANS(L9)))/COS(RADIANS(O225))</f>
        <v>-0.7141603809337779</v>
      </c>
      <c r="Q225" s="1">
        <f t="shared" si="7"/>
        <v>5.923409129482946</v>
      </c>
      <c r="R225" s="4">
        <f>IF(P225&lt;-1,"Below",IF(P225&gt;1,"Above",INT(N225+C12-(DEGREES(ASIN(P225))+90)/15+5/600)))</f>
        <v>9</v>
      </c>
      <c r="S225" s="1" t="str">
        <f>IF(OR(P225&lt;-1,P225&gt;1),IF(M13&gt;0," Min."," Horz."),IF(INT((N225+C12-(DEGREES(ASIN(P225))+90)/15-R225)*60+1/2)&lt;10,":0"&amp;FIXED(INT((N225+C12-(DEGREES(ASIN(P225))+90)/15-R225)*60+1/2),0),":"&amp;FIXED(INT((N225+C12-(DEGREES(ASIN(P225))+90)/15-R225)*60+1/2),0)))</f>
        <v>:28</v>
      </c>
      <c r="T225" s="4">
        <f>IF(P225&lt;-1,"Below",IF(P225&gt;1,"Above",INT(N225+C12+(DEGREES(ASIN(P225))+90)/15+5/600)))</f>
        <v>15</v>
      </c>
      <c r="U225" s="1" t="str">
        <f>IF(OR(P225&lt;-1,P225&gt;1),IF(M13&gt;0," Min."," Horz."),IF(INT((N225+C12+(DEGREES(ASIN(P225))+90)/15-T225)*60+1/2)&lt;10,":0"&amp;FIXED(INT((N225+C12+(DEGREES(ASIN(P225))+90)/15-T225)*60+1/2),0),":"&amp;FIXED(INT((N225+C12+(DEGREES(ASIN(P225))+90)/15-T225)*60+1/2),0)))</f>
        <v>:24</v>
      </c>
      <c r="V225" s="1">
        <f>ROUND(DEGREES(ASIN(COS(RADIANS(O225))*COS(RADIANS(L9))+SIN(RADIANS(O225))*SIN(RADIANS(L9)))),0)</f>
        <v>66</v>
      </c>
      <c r="W225" s="1" t="s">
        <v>17</v>
      </c>
      <c r="X225" s="18"/>
    </row>
    <row r="226" spans="1:24" ht="10.5" customHeight="1">
      <c r="A226" s="1"/>
      <c r="B226" s="15">
        <f>IF(M14&gt;0,solrdat!B201,solrdat!I201)</f>
        <v>40001</v>
      </c>
      <c r="C226" s="1">
        <f>IF(M14&gt;0,solrdat!C201,solrdat!J201)</f>
        <v>12.083222222222222</v>
      </c>
      <c r="D226" s="1">
        <f>IF(M14&gt;0,solrdat!D201,solrdat!K201)</f>
        <v>22.505647</v>
      </c>
      <c r="E226" s="1">
        <f>(TAN(RADIANS(L9))*SIN(RADIANS(D226))-SIN(RADIANS(L13))/COS(RADIANS(L9)))/COS(RADIANS(D226))</f>
        <v>-0.6514929378513624</v>
      </c>
      <c r="F226" s="1">
        <f t="shared" si="6"/>
        <v>6.5794322950382504</v>
      </c>
      <c r="G226" s="4">
        <f>IF(E226&lt;-1,"Below",IF(E226&gt;1,"Above",INT(C226+C12-(DEGREES(ASIN(E226))+90)/15+5/600)))</f>
        <v>9</v>
      </c>
      <c r="H226" s="1" t="str">
        <f>IF(OR(E226&lt;-1,E226&gt;1),IF(M13&gt;0," Min."," Horz."),IF(INT((C226+C12-(DEGREES(ASIN(E226))+90)/15-G226)*60+1/2)&lt;10,":0"&amp;FIXED(INT((C226+C12-(DEGREES(ASIN(E226))+90)/15-G226)*60+1/2),0),":"&amp;FIXED(INT((C226+C12-(DEGREES(ASIN(E226))+90)/15-G226)*60+1/2),0)))</f>
        <v>:08</v>
      </c>
      <c r="I226" s="4">
        <f>IF(E226&lt;-1,"Below",IF(E226&gt;1,"Above",INT(C226+C12+(DEGREES(ASIN(E226))+90)/15+5/600)))</f>
        <v>15</v>
      </c>
      <c r="J226" s="1" t="str">
        <f>IF(OR(E226&lt;-1,E226&gt;1),IF(M13&gt;0," Min."," Horz."),IF(INT((C226+C12+(DEGREES(ASIN(E226))+90)/15-I226)*60+1/2)&lt;10,":0"&amp;FIXED(INT((C226+C12+(DEGREES(ASIN(E226))+90)/15-I226)*60+1/2),0),":"&amp;FIXED(INT((C226+C12+(DEGREES(ASIN(E226))+90)/15-I226)*60+1/2),0)))</f>
        <v>:42</v>
      </c>
      <c r="K226" s="1">
        <f>ROUND(DEGREES(ASIN(COS(RADIANS(D226))*COS(RADIANS(L9))+SIN(RADIANS(D226))*SIN(RADIANS(L9)))),0)</f>
        <v>73</v>
      </c>
      <c r="L226" s="1" t="s">
        <v>17</v>
      </c>
      <c r="M226" s="16">
        <f>IF(M14&gt;0,solrdat!B233,solrdat!I233)</f>
        <v>40032</v>
      </c>
      <c r="N226" s="1">
        <f>IF(M14&gt;0,solrdat!C233,solrdat!J233)</f>
        <v>12.095277777777778</v>
      </c>
      <c r="O226" s="1">
        <f>IF(M14&gt;0,solrdat!D233,solrdat!K233)</f>
        <v>16.219065</v>
      </c>
      <c r="P226" s="1">
        <f>(TAN(RADIANS(L9))*SIN(RADIANS(O226))-SIN(RADIANS(L13))/COS(RADIANS(L9)))/COS(RADIANS(O226))</f>
        <v>-0.7172384196854448</v>
      </c>
      <c r="Q226" s="1">
        <f t="shared" si="7"/>
        <v>5.889740346109449</v>
      </c>
      <c r="R226" s="4">
        <f>IF(P226&lt;-1,"Below",IF(P226&gt;1,"Above",INT(N226+C12-(DEGREES(ASIN(P226))+90)/15+5/600)))</f>
        <v>9</v>
      </c>
      <c r="S226" s="1" t="str">
        <f>IF(OR(P226&lt;-1,P226&gt;1),IF(M13&gt;0," Min."," Horz."),IF(INT((N226+C12-(DEGREES(ASIN(P226))+90)/15-R226)*60+1/2)&lt;10,":0"&amp;FIXED(INT((N226+C12-(DEGREES(ASIN(P226))+90)/15-R226)*60+1/2),0),":"&amp;FIXED(INT((N226+C12-(DEGREES(ASIN(P226))+90)/15-R226)*60+1/2),0)))</f>
        <v>:29</v>
      </c>
      <c r="T226" s="4">
        <f>IF(P226&lt;-1,"Below",IF(P226&gt;1,"Above",INT(N226+C12+(DEGREES(ASIN(P226))+90)/15+5/600)))</f>
        <v>15</v>
      </c>
      <c r="U226" s="1" t="str">
        <f>IF(OR(P226&lt;-1,P226&gt;1),IF(M13&gt;0," Min."," Horz."),IF(INT((N226+C12+(DEGREES(ASIN(P226))+90)/15-T226)*60+1/2)&lt;10,":0"&amp;FIXED(INT((N226+C12+(DEGREES(ASIN(P226))+90)/15-T226)*60+1/2),0),":"&amp;FIXED(INT((N226+C12+(DEGREES(ASIN(P226))+90)/15-T226)*60+1/2),0)))</f>
        <v>:22</v>
      </c>
      <c r="V226" s="1">
        <f>ROUND(DEGREES(ASIN(COS(RADIANS(O226))*COS(RADIANS(L9))+SIN(RADIANS(O226))*SIN(RADIANS(L9)))),0)</f>
        <v>66</v>
      </c>
      <c r="W226" s="1" t="s">
        <v>17</v>
      </c>
      <c r="X226" s="18"/>
    </row>
    <row r="227" spans="1:24" ht="10.5" customHeight="1">
      <c r="A227" s="1"/>
      <c r="B227" s="15">
        <f>IF(M14&gt;0,solrdat!B202,solrdat!I202)</f>
        <v>40002</v>
      </c>
      <c r="C227" s="1">
        <f>IF(M14&gt;0,solrdat!C202,solrdat!J202)</f>
        <v>12.085777777777778</v>
      </c>
      <c r="D227" s="1">
        <f>IF(M14&gt;0,solrdat!D202,solrdat!K202)</f>
        <v>22.39082</v>
      </c>
      <c r="E227" s="1">
        <f>(TAN(RADIANS(L9))*SIN(RADIANS(D227))-SIN(RADIANS(L13))/COS(RADIANS(L9)))/COS(RADIANS(D227))</f>
        <v>-0.6526346710768482</v>
      </c>
      <c r="F227" s="1">
        <f t="shared" si="6"/>
        <v>6.5679279227469936</v>
      </c>
      <c r="G227" s="4">
        <f>IF(E227&lt;-1,"Below",IF(E227&gt;1,"Above",INT(C227+C12-(DEGREES(ASIN(E227))+90)/15+5/600)))</f>
        <v>9</v>
      </c>
      <c r="H227" s="1" t="str">
        <f>IF(OR(E227&lt;-1,E227&gt;1),IF(M13&gt;0," Min."," Horz."),IF(INT((C227+C12-(DEGREES(ASIN(E227))+90)/15-G227)*60+1/2)&lt;10,":0"&amp;FIXED(INT((C227+C12-(DEGREES(ASIN(E227))+90)/15-G227)*60+1/2),0),":"&amp;FIXED(INT((C227+C12-(DEGREES(ASIN(E227))+90)/15-G227)*60+1/2),0)))</f>
        <v>:08</v>
      </c>
      <c r="I227" s="4">
        <f>IF(E227&lt;-1,"Below",IF(E227&gt;1,"Above",INT(C227+C12+(DEGREES(ASIN(E227))+90)/15+5/600)))</f>
        <v>15</v>
      </c>
      <c r="J227" s="1" t="str">
        <f>IF(OR(E227&lt;-1,E227&gt;1),IF(M13&gt;0," Min."," Horz."),IF(INT((C227+C12+(DEGREES(ASIN(E227))+90)/15-I227)*60+1/2)&lt;10,":0"&amp;FIXED(INT((C227+C12+(DEGREES(ASIN(E227))+90)/15-I227)*60+1/2),0),":"&amp;FIXED(INT((C227+C12+(DEGREES(ASIN(E227))+90)/15-I227)*60+1/2),0)))</f>
        <v>:42</v>
      </c>
      <c r="K227" s="1">
        <f>ROUND(DEGREES(ASIN(COS(RADIANS(D227))*COS(RADIANS(L9))+SIN(RADIANS(D227))*SIN(RADIANS(L9)))),0)</f>
        <v>72</v>
      </c>
      <c r="L227" s="1" t="s">
        <v>17</v>
      </c>
      <c r="M227" s="16">
        <f>IF(M14&gt;0,solrdat!B234,solrdat!I234)</f>
        <v>40033</v>
      </c>
      <c r="N227" s="1">
        <f>IF(M14&gt;0,solrdat!C234,solrdat!J234)</f>
        <v>12.093055555555555</v>
      </c>
      <c r="O227" s="1">
        <f>IF(M14&gt;0,solrdat!D234,solrdat!K234)</f>
        <v>15.934338</v>
      </c>
      <c r="P227" s="1">
        <f>(TAN(RADIANS(L9))*SIN(RADIANS(O227))-SIN(RADIANS(L13))/COS(RADIANS(L9)))/COS(RADIANS(O227))</f>
        <v>-0.7203788175809859</v>
      </c>
      <c r="Q227" s="1">
        <f t="shared" si="7"/>
        <v>5.855231309425384</v>
      </c>
      <c r="R227" s="4">
        <f>IF(P227&lt;-1,"Below",IF(P227&gt;1,"Above",INT(N227+C12-(DEGREES(ASIN(P227))+90)/15+5/600)))</f>
        <v>9</v>
      </c>
      <c r="S227" s="1" t="str">
        <f>IF(OR(P227&lt;-1,P227&gt;1),IF(M13&gt;0," Min."," Horz."),IF(INT((N227+C12-(DEGREES(ASIN(P227))+90)/15-R227)*60+1/2)&lt;10,":0"&amp;FIXED(INT((N227+C12-(DEGREES(ASIN(P227))+90)/15-R227)*60+1/2),0),":"&amp;FIXED(INT((N227+C12-(DEGREES(ASIN(P227))+90)/15-R227)*60+1/2),0)))</f>
        <v>:30</v>
      </c>
      <c r="T227" s="4">
        <f>IF(P227&lt;-1,"Below",IF(P227&gt;1,"Above",INT(N227+C12+(DEGREES(ASIN(P227))+90)/15+5/600)))</f>
        <v>15</v>
      </c>
      <c r="U227" s="1" t="str">
        <f>IF(OR(P227&lt;-1,P227&gt;1),IF(M13&gt;0," Min."," Horz."),IF(INT((N227+C12+(DEGREES(ASIN(P227))+90)/15-T227)*60+1/2)&lt;10,":0"&amp;FIXED(INT((N227+C12+(DEGREES(ASIN(P227))+90)/15-T227)*60+1/2),0),":"&amp;FIXED(INT((N227+C12+(DEGREES(ASIN(P227))+90)/15-T227)*60+1/2),0)))</f>
        <v>:21</v>
      </c>
      <c r="V227" s="1">
        <f>ROUND(DEGREES(ASIN(COS(RADIANS(O227))*COS(RADIANS(L9))+SIN(RADIANS(O227))*SIN(RADIANS(L9)))),0)</f>
        <v>66</v>
      </c>
      <c r="W227" s="1" t="s">
        <v>17</v>
      </c>
      <c r="X227" s="18"/>
    </row>
    <row r="228" spans="1:24" ht="10.5" customHeight="1">
      <c r="A228" s="1"/>
      <c r="B228" s="15">
        <f>IF(M14&gt;0,solrdat!B203,solrdat!I203)</f>
        <v>40003</v>
      </c>
      <c r="C228" s="1">
        <f>IF(M14&gt;0,solrdat!C203,solrdat!J203)</f>
        <v>12.088194444444444</v>
      </c>
      <c r="D228" s="1">
        <f>IF(M14&gt;0,solrdat!D203,solrdat!K203)</f>
        <v>22.269557</v>
      </c>
      <c r="E228" s="1">
        <f>(TAN(RADIANS(L9))*SIN(RADIANS(D228))-SIN(RADIANS(L13))/COS(RADIANS(L9)))/COS(RADIANS(D228))</f>
        <v>-0.653842702423307</v>
      </c>
      <c r="F228" s="1">
        <f t="shared" si="6"/>
        <v>6.555739244232346</v>
      </c>
      <c r="G228" s="4">
        <f>IF(E228&lt;-1,"Below",IF(E228&gt;1,"Above",INT(C228+C12-(DEGREES(ASIN(E228))+90)/15+5/600)))</f>
        <v>9</v>
      </c>
      <c r="H228" s="1" t="str">
        <f>IF(OR(E228&lt;-1,E228&gt;1),IF(M13&gt;0," Min."," Horz."),IF(INT((C228+C12-(DEGREES(ASIN(E228))+90)/15-G228)*60+1/2)&lt;10,":0"&amp;FIXED(INT((C228+C12-(DEGREES(ASIN(E228))+90)/15-G228)*60+1/2),0),":"&amp;FIXED(INT((C228+C12-(DEGREES(ASIN(E228))+90)/15-G228)*60+1/2),0)))</f>
        <v>:09</v>
      </c>
      <c r="I228" s="4">
        <f>IF(E228&lt;-1,"Below",IF(E228&gt;1,"Above",INT(C228+C12+(DEGREES(ASIN(E228))+90)/15+5/600)))</f>
        <v>15</v>
      </c>
      <c r="J228" s="1" t="str">
        <f>IF(OR(E228&lt;-1,E228&gt;1),IF(M13&gt;0," Min."," Horz."),IF(INT((C228+C12+(DEGREES(ASIN(E228))+90)/15-I228)*60+1/2)&lt;10,":0"&amp;FIXED(INT((C228+C12+(DEGREES(ASIN(E228))+90)/15-I228)*60+1/2),0),":"&amp;FIXED(INT((C228+C12+(DEGREES(ASIN(E228))+90)/15-I228)*60+1/2),0)))</f>
        <v>:42</v>
      </c>
      <c r="K228" s="1">
        <f>ROUND(DEGREES(ASIN(COS(RADIANS(D228))*COS(RADIANS(L9))+SIN(RADIANS(D228))*SIN(RADIANS(L9)))),0)</f>
        <v>72</v>
      </c>
      <c r="L228" s="1" t="s">
        <v>17</v>
      </c>
      <c r="M228" s="16">
        <f>IF(M14&gt;0,solrdat!B235,solrdat!I235)</f>
        <v>40034</v>
      </c>
      <c r="N228" s="1">
        <f>IF(M14&gt;0,solrdat!C235,solrdat!J235)</f>
        <v>12.090666666666667</v>
      </c>
      <c r="O228" s="1">
        <f>IF(M14&gt;0,solrdat!D235,solrdat!K235)</f>
        <v>15.645336</v>
      </c>
      <c r="P228" s="1">
        <f>(TAN(RADIANS(L9))*SIN(RADIANS(O228))-SIN(RADIANS(L13))/COS(RADIANS(L9)))/COS(RADIANS(O228))</f>
        <v>-0.7235814755566334</v>
      </c>
      <c r="Q228" s="1">
        <f t="shared" si="7"/>
        <v>5.819870547911519</v>
      </c>
      <c r="R228" s="4">
        <f>IF(P228&lt;-1,"Below",IF(P228&gt;1,"Above",INT(N228+C12-(DEGREES(ASIN(P228))+90)/15+5/600)))</f>
        <v>9</v>
      </c>
      <c r="S228" s="1" t="str">
        <f>IF(OR(P228&lt;-1,P228&gt;1),IF(M13&gt;0," Min."," Horz."),IF(INT((N228+C12-(DEGREES(ASIN(P228))+90)/15-R228)*60+1/2)&lt;10,":0"&amp;FIXED(INT((N228+C12-(DEGREES(ASIN(P228))+90)/15-R228)*60+1/2),0),":"&amp;FIXED(INT((N228+C12-(DEGREES(ASIN(P228))+90)/15-R228)*60+1/2),0)))</f>
        <v>:31</v>
      </c>
      <c r="T228" s="4">
        <f>IF(P228&lt;-1,"Below",IF(P228&gt;1,"Above",INT(N228+C12+(DEGREES(ASIN(P228))+90)/15+5/600)))</f>
        <v>15</v>
      </c>
      <c r="U228" s="1" t="str">
        <f>IF(OR(P228&lt;-1,P228&gt;1),IF(M13&gt;0," Min."," Horz."),IF(INT((N228+C12+(DEGREES(ASIN(P228))+90)/15-T228)*60+1/2)&lt;10,":0"&amp;FIXED(INT((N228+C12+(DEGREES(ASIN(P228))+90)/15-T228)*60+1/2),0),":"&amp;FIXED(INT((N228+C12+(DEGREES(ASIN(P228))+90)/15-T228)*60+1/2),0)))</f>
        <v>:20</v>
      </c>
      <c r="V228" s="1">
        <f>ROUND(DEGREES(ASIN(COS(RADIANS(O228))*COS(RADIANS(L9))+SIN(RADIANS(O228))*SIN(RADIANS(L9)))),0)</f>
        <v>66</v>
      </c>
      <c r="W228" s="1" t="s">
        <v>17</v>
      </c>
      <c r="X228" s="18"/>
    </row>
    <row r="229" spans="1:24" ht="10.5" customHeight="1">
      <c r="A229" s="1"/>
      <c r="B229" s="15">
        <f>IF(M14&gt;0,solrdat!B204,solrdat!I204)</f>
        <v>40004</v>
      </c>
      <c r="C229" s="1">
        <f>IF(M14&gt;0,solrdat!C204,solrdat!J204)</f>
        <v>12.090527777777778</v>
      </c>
      <c r="D229" s="1">
        <f>IF(M14&gt;0,solrdat!D204,solrdat!K204)</f>
        <v>22.141901</v>
      </c>
      <c r="E229" s="1">
        <f>(TAN(RADIANS(L9))*SIN(RADIANS(D229))-SIN(RADIANS(L13))/COS(RADIANS(L9)))/COS(RADIANS(D229))</f>
        <v>-0.6551169841703889</v>
      </c>
      <c r="F229" s="1">
        <f t="shared" si="6"/>
        <v>6.542863878804585</v>
      </c>
      <c r="G229" s="4">
        <f>IF(E229&lt;-1,"Below",IF(E229&gt;1,"Above",INT(C229+C12-(DEGREES(ASIN(E229))+90)/15+5/600)))</f>
        <v>9</v>
      </c>
      <c r="H229" s="1" t="str">
        <f>IF(OR(E229&lt;-1,E229&gt;1),IF(M13&gt;0," Min."," Horz."),IF(INT((C229+C12-(DEGREES(ASIN(E229))+90)/15-G229)*60+1/2)&lt;10,":0"&amp;FIXED(INT((C229+C12-(DEGREES(ASIN(E229))+90)/15-G229)*60+1/2),0),":"&amp;FIXED(INT((C229+C12-(DEGREES(ASIN(E229))+90)/15-G229)*60+1/2),0)))</f>
        <v>:09</v>
      </c>
      <c r="I229" s="4">
        <f>IF(E229&lt;-1,"Below",IF(E229&gt;1,"Above",INT(C229+C12+(DEGREES(ASIN(E229))+90)/15+5/600)))</f>
        <v>15</v>
      </c>
      <c r="J229" s="1" t="str">
        <f>IF(OR(E229&lt;-1,E229&gt;1),IF(M13&gt;0," Min."," Horz."),IF(INT((C229+C12+(DEGREES(ASIN(E229))+90)/15-I229)*60+1/2)&lt;10,":0"&amp;FIXED(INT((C229+C12+(DEGREES(ASIN(E229))+90)/15-I229)*60+1/2),0),":"&amp;FIXED(INT((C229+C12+(DEGREES(ASIN(E229))+90)/15-I229)*60+1/2),0)))</f>
        <v>:42</v>
      </c>
      <c r="K229" s="1">
        <f>ROUND(DEGREES(ASIN(COS(RADIANS(D229))*COS(RADIANS(L9))+SIN(RADIANS(D229))*SIN(RADIANS(L9)))),0)</f>
        <v>72</v>
      </c>
      <c r="L229" s="1" t="s">
        <v>17</v>
      </c>
      <c r="M229" s="16">
        <f>IF(M14&gt;0,solrdat!B236,solrdat!I236)</f>
        <v>40035</v>
      </c>
      <c r="N229" s="1">
        <f>IF(M14&gt;0,solrdat!C236,solrdat!J236)</f>
        <v>12.088111111111111</v>
      </c>
      <c r="O229" s="1">
        <f>IF(M14&gt;0,solrdat!D236,solrdat!K236)</f>
        <v>15.352137</v>
      </c>
      <c r="P229" s="1">
        <f>(TAN(RADIANS(L9))*SIN(RADIANS(O229))-SIN(RADIANS(L13))/COS(RADIANS(L9)))/COS(RADIANS(O229))</f>
        <v>-0.7268462982621855</v>
      </c>
      <c r="Q229" s="1">
        <f t="shared" si="7"/>
        <v>5.783645925350147</v>
      </c>
      <c r="R229" s="4">
        <f>IF(P229&lt;-1,"Below",IF(P229&gt;1,"Above",INT(N229+C12-(DEGREES(ASIN(P229))+90)/15+5/600)))</f>
        <v>9</v>
      </c>
      <c r="S229" s="1" t="str">
        <f>IF(OR(P229&lt;-1,P229&gt;1),IF(M13&gt;0," Min."," Horz."),IF(INT((N229+C12-(DEGREES(ASIN(P229))+90)/15-R229)*60+1/2)&lt;10,":0"&amp;FIXED(INT((N229+C12-(DEGREES(ASIN(P229))+90)/15-R229)*60+1/2),0),":"&amp;FIXED(INT((N229+C12-(DEGREES(ASIN(P229))+90)/15-R229)*60+1/2),0)))</f>
        <v>:32</v>
      </c>
      <c r="T229" s="4">
        <f>IF(P229&lt;-1,"Below",IF(P229&gt;1,"Above",INT(N229+C12+(DEGREES(ASIN(P229))+90)/15+5/600)))</f>
        <v>15</v>
      </c>
      <c r="U229" s="1" t="str">
        <f>IF(OR(P229&lt;-1,P229&gt;1),IF(M13&gt;0," Min."," Horz."),IF(INT((N229+C12+(DEGREES(ASIN(P229))+90)/15-T229)*60+1/2)&lt;10,":0"&amp;FIXED(INT((N229+C12+(DEGREES(ASIN(P229))+90)/15-T229)*60+1/2),0),":"&amp;FIXED(INT((N229+C12+(DEGREES(ASIN(P229))+90)/15-T229)*60+1/2),0)))</f>
        <v>:19</v>
      </c>
      <c r="V229" s="1">
        <f>ROUND(DEGREES(ASIN(COS(RADIANS(O229))*COS(RADIANS(L9))+SIN(RADIANS(O229))*SIN(RADIANS(L9)))),0)</f>
        <v>65</v>
      </c>
      <c r="W229" s="1" t="s">
        <v>17</v>
      </c>
      <c r="X229" s="18"/>
    </row>
    <row r="230" spans="1:24" ht="10.5" customHeight="1">
      <c r="A230" s="1"/>
      <c r="B230" s="15">
        <f>IF(M14&gt;0,solrdat!B205,solrdat!I205)</f>
        <v>40005</v>
      </c>
      <c r="C230" s="1">
        <f>IF(M14&gt;0,solrdat!C205,solrdat!J205)</f>
        <v>12.092722222222223</v>
      </c>
      <c r="D230" s="1">
        <f>IF(M14&gt;0,solrdat!D205,solrdat!K205)</f>
        <v>22.007894</v>
      </c>
      <c r="E230" s="1">
        <f>(TAN(RADIANS(L9))*SIN(RADIANS(D230))-SIN(RADIANS(L13))/COS(RADIANS(L9)))/COS(RADIANS(D230))</f>
        <v>-0.6564574965446343</v>
      </c>
      <c r="F230" s="1">
        <f t="shared" si="6"/>
        <v>6.52929897762854</v>
      </c>
      <c r="G230" s="4">
        <f>IF(E230&lt;-1,"Below",IF(E230&gt;1,"Above",INT(C230+C12-(DEGREES(ASIN(E230))+90)/15+5/600)))</f>
        <v>9</v>
      </c>
      <c r="H230" s="1" t="str">
        <f>IF(OR(E230&lt;-1,E230&gt;1),IF(M13&gt;0," Min."," Horz."),IF(INT((C230+C12-(DEGREES(ASIN(E230))+90)/15-G230)*60+1/2)&lt;10,":0"&amp;FIXED(INT((C230+C12-(DEGREES(ASIN(E230))+90)/15-G230)*60+1/2),0),":"&amp;FIXED(INT((C230+C12-(DEGREES(ASIN(E230))+90)/15-G230)*60+1/2),0)))</f>
        <v>:10</v>
      </c>
      <c r="I230" s="4">
        <f>IF(E230&lt;-1,"Below",IF(E230&gt;1,"Above",INT(C230+C12+(DEGREES(ASIN(E230))+90)/15+5/600)))</f>
        <v>15</v>
      </c>
      <c r="J230" s="1" t="str">
        <f>IF(OR(E230&lt;-1,E230&gt;1),IF(M13&gt;0," Min."," Horz."),IF(INT((C230+C12+(DEGREES(ASIN(E230))+90)/15-I230)*60+1/2)&lt;10,":0"&amp;FIXED(INT((C230+C12+(DEGREES(ASIN(E230))+90)/15-I230)*60+1/2),0),":"&amp;FIXED(INT((C230+C12+(DEGREES(ASIN(E230))+90)/15-I230)*60+1/2),0)))</f>
        <v>:41</v>
      </c>
      <c r="K230" s="1">
        <f>ROUND(DEGREES(ASIN(COS(RADIANS(D230))*COS(RADIANS(L9))+SIN(RADIANS(D230))*SIN(RADIANS(L9)))),0)</f>
        <v>72</v>
      </c>
      <c r="L230" s="1" t="s">
        <v>17</v>
      </c>
      <c r="M230" s="16">
        <f>IF(M14&gt;0,solrdat!B237,solrdat!I237)</f>
        <v>40036</v>
      </c>
      <c r="N230" s="1">
        <f>IF(M14&gt;0,solrdat!C237,solrdat!J237)</f>
        <v>12.085416666666667</v>
      </c>
      <c r="O230" s="1">
        <f>IF(M14&gt;0,solrdat!D237,solrdat!K237)</f>
        <v>15.05482</v>
      </c>
      <c r="P230" s="1">
        <f>(TAN(RADIANS(L9))*SIN(RADIANS(O230))-SIN(RADIANS(L13))/COS(RADIANS(L9)))/COS(RADIANS(O230))</f>
        <v>-0.7301731825383868</v>
      </c>
      <c r="Q230" s="1">
        <f t="shared" si="7"/>
        <v>5.746544730500838</v>
      </c>
      <c r="R230" s="4">
        <f>IF(P230&lt;-1,"Below",IF(P230&gt;1,"Above",INT(N230+C12-(DEGREES(ASIN(P230))+90)/15+5/600)))</f>
        <v>9</v>
      </c>
      <c r="S230" s="1" t="str">
        <f>IF(OR(P230&lt;-1,P230&gt;1),IF(M13&gt;0," Min."," Horz."),IF(INT((N230+C12-(DEGREES(ASIN(P230))+90)/15-R230)*60+1/2)&lt;10,":0"&amp;FIXED(INT((N230+C12-(DEGREES(ASIN(P230))+90)/15-R230)*60+1/2),0),":"&amp;FIXED(INT((N230+C12-(DEGREES(ASIN(P230))+90)/15-R230)*60+1/2),0)))</f>
        <v>:33</v>
      </c>
      <c r="T230" s="4">
        <f>IF(P230&lt;-1,"Below",IF(P230&gt;1,"Above",INT(N230+C12+(DEGREES(ASIN(P230))+90)/15+5/600)))</f>
        <v>15</v>
      </c>
      <c r="U230" s="1" t="str">
        <f>IF(OR(P230&lt;-1,P230&gt;1),IF(M13&gt;0," Min."," Horz."),IF(INT((N230+C12+(DEGREES(ASIN(P230))+90)/15-T230)*60+1/2)&lt;10,":0"&amp;FIXED(INT((N230+C12+(DEGREES(ASIN(P230))+90)/15-T230)*60+1/2),0),":"&amp;FIXED(INT((N230+C12+(DEGREES(ASIN(P230))+90)/15-T230)*60+1/2),0)))</f>
        <v>:18</v>
      </c>
      <c r="V230" s="1">
        <f>ROUND(DEGREES(ASIN(COS(RADIANS(O230))*COS(RADIANS(L9))+SIN(RADIANS(O230))*SIN(RADIANS(L9)))),0)</f>
        <v>65</v>
      </c>
      <c r="W230" s="1" t="s">
        <v>17</v>
      </c>
      <c r="X230" s="18"/>
    </row>
    <row r="231" spans="1:24" ht="10.5" customHeight="1">
      <c r="A231" s="1"/>
      <c r="B231" s="15">
        <f>IF(M14&gt;0,solrdat!B206,solrdat!I206)</f>
        <v>40006</v>
      </c>
      <c r="C231" s="1">
        <f>IF(M14&gt;0,solrdat!C206,solrdat!J206)</f>
        <v>12.094777777777777</v>
      </c>
      <c r="D231" s="1">
        <f>IF(M14&gt;0,solrdat!D206,solrdat!K206)</f>
        <v>21.867584</v>
      </c>
      <c r="E231" s="1">
        <f>(TAN(RADIANS(L9))*SIN(RADIANS(D231))-SIN(RADIANS(L13))/COS(RADIANS(L9)))/COS(RADIANS(D231))</f>
        <v>-0.6578641773470129</v>
      </c>
      <c r="F231" s="1">
        <f t="shared" si="6"/>
        <v>6.5150419302605265</v>
      </c>
      <c r="G231" s="4">
        <f>IF(E231&lt;-1,"Below",IF(E231&gt;1,"Above",INT(C231+C12-(DEGREES(ASIN(E231))+90)/15+5/600)))</f>
        <v>9</v>
      </c>
      <c r="H231" s="1" t="str">
        <f>IF(OR(E231&lt;-1,E231&gt;1),IF(M13&gt;0," Min."," Horz."),IF(INT((C231+C12-(DEGREES(ASIN(E231))+90)/15-G231)*60+1/2)&lt;10,":0"&amp;FIXED(INT((C231+C12-(DEGREES(ASIN(E231))+90)/15-G231)*60+1/2),0),":"&amp;FIXED(INT((C231+C12-(DEGREES(ASIN(E231))+90)/15-G231)*60+1/2),0)))</f>
        <v>:10</v>
      </c>
      <c r="I231" s="4">
        <f>IF(E231&lt;-1,"Below",IF(E231&gt;1,"Above",INT(C231+C12+(DEGREES(ASIN(E231))+90)/15+5/600)))</f>
        <v>15</v>
      </c>
      <c r="J231" s="1" t="str">
        <f>IF(OR(E231&lt;-1,E231&gt;1),IF(M13&gt;0," Min."," Horz."),IF(INT((C231+C12+(DEGREES(ASIN(E231))+90)/15-I231)*60+1/2)&lt;10,":0"&amp;FIXED(INT((C231+C12+(DEGREES(ASIN(E231))+90)/15-I231)*60+1/2),0),":"&amp;FIXED(INT((C231+C12+(DEGREES(ASIN(E231))+90)/15-I231)*60+1/2),0)))</f>
        <v>:41</v>
      </c>
      <c r="K231" s="1">
        <f>ROUND(DEGREES(ASIN(COS(RADIANS(D231))*COS(RADIANS(L9))+SIN(RADIANS(D231))*SIN(RADIANS(L9)))),0)</f>
        <v>72</v>
      </c>
      <c r="L231" s="1" t="s">
        <v>17</v>
      </c>
      <c r="M231" s="16">
        <f>IF(M14&gt;0,solrdat!B238,solrdat!I238)</f>
        <v>40037</v>
      </c>
      <c r="N231" s="1">
        <f>IF(M14&gt;0,solrdat!C238,solrdat!J238)</f>
        <v>12.082555555555556</v>
      </c>
      <c r="O231" s="1">
        <f>IF(M14&gt;0,solrdat!D238,solrdat!K238)</f>
        <v>14.753466</v>
      </c>
      <c r="P231" s="1">
        <f>(TAN(RADIANS(L9))*SIN(RADIANS(O231))-SIN(RADIANS(L13))/COS(RADIANS(L9)))/COS(RADIANS(O231))</f>
        <v>-0.7335620055590216</v>
      </c>
      <c r="Q231" s="1">
        <f t="shared" si="7"/>
        <v>5.708553771351779</v>
      </c>
      <c r="R231" s="4">
        <f>IF(P231&lt;-1,"Below",IF(P231&gt;1,"Above",INT(N231+C12-(DEGREES(ASIN(P231))+90)/15+5/600)))</f>
        <v>9</v>
      </c>
      <c r="S231" s="1" t="str">
        <f>IF(OR(P231&lt;-1,P231&gt;1),IF(M13&gt;0," Min."," Horz."),IF(INT((N231+C12-(DEGREES(ASIN(P231))+90)/15-R231)*60+1/2)&lt;10,":0"&amp;FIXED(INT((N231+C12-(DEGREES(ASIN(P231))+90)/15-R231)*60+1/2),0),":"&amp;FIXED(INT((N231+C12-(DEGREES(ASIN(P231))+90)/15-R231)*60+1/2),0)))</f>
        <v>:34</v>
      </c>
      <c r="T231" s="4">
        <f>IF(P231&lt;-1,"Below",IF(P231&gt;1,"Above",INT(N231+C12+(DEGREES(ASIN(P231))+90)/15+5/600)))</f>
        <v>15</v>
      </c>
      <c r="U231" s="1" t="str">
        <f>IF(OR(P231&lt;-1,P231&gt;1),IF(M13&gt;0," Min."," Horz."),IF(INT((N231+C12+(DEGREES(ASIN(P231))+90)/15-T231)*60+1/2)&lt;10,":0"&amp;FIXED(INT((N231+C12+(DEGREES(ASIN(P231))+90)/15-T231)*60+1/2),0),":"&amp;FIXED(INT((N231+C12+(DEGREES(ASIN(P231))+90)/15-T231)*60+1/2),0)))</f>
        <v>:16</v>
      </c>
      <c r="V231" s="1">
        <f>ROUND(DEGREES(ASIN(COS(RADIANS(O231))*COS(RADIANS(L9))+SIN(RADIANS(O231))*SIN(RADIANS(L9)))),0)</f>
        <v>65</v>
      </c>
      <c r="W231" s="1" t="s">
        <v>17</v>
      </c>
      <c r="X231" s="18"/>
    </row>
    <row r="232" spans="1:24" ht="10.5" customHeight="1">
      <c r="A232" s="1"/>
      <c r="B232" s="15">
        <f>IF(M14&gt;0,solrdat!B207,solrdat!I207)</f>
        <v>40007</v>
      </c>
      <c r="C232" s="1">
        <f>IF(M14&gt;0,solrdat!C207,solrdat!J207)</f>
        <v>12.096722222222223</v>
      </c>
      <c r="D232" s="1">
        <f>IF(M14&gt;0,solrdat!D207,solrdat!K207)</f>
        <v>21.721019</v>
      </c>
      <c r="E232" s="1">
        <f>(TAN(RADIANS(L9))*SIN(RADIANS(D232))-SIN(RADIANS(L13))/COS(RADIANS(L9)))/COS(RADIANS(D232))</f>
        <v>-0.6593369813990093</v>
      </c>
      <c r="F232" s="1">
        <f t="shared" si="6"/>
        <v>6.500089758691606</v>
      </c>
      <c r="G232" s="4">
        <f>IF(E232&lt;-1,"Below",IF(E232&gt;1,"Above",INT(C232+C12-(DEGREES(ASIN(E232))+90)/15+5/600)))</f>
        <v>9</v>
      </c>
      <c r="H232" s="1" t="str">
        <f>IF(OR(E232&lt;-1,E232&gt;1),IF(M13&gt;0," Min."," Horz."),IF(INT((C232+C12-(DEGREES(ASIN(E232))+90)/15-G232)*60+1/2)&lt;10,":0"&amp;FIXED(INT((C232+C12-(DEGREES(ASIN(E232))+90)/15-G232)*60+1/2),0),":"&amp;FIXED(INT((C232+C12-(DEGREES(ASIN(E232))+90)/15-G232)*60+1/2),0)))</f>
        <v>:11</v>
      </c>
      <c r="I232" s="4">
        <f>IF(E232&lt;-1,"Below",IF(E232&gt;1,"Above",INT(C232+C12+(DEGREES(ASIN(E232))+90)/15+5/600)))</f>
        <v>15</v>
      </c>
      <c r="J232" s="1" t="str">
        <f>IF(OR(E232&lt;-1,E232&gt;1),IF(M13&gt;0," Min."," Horz."),IF(INT((C232+C12+(DEGREES(ASIN(E232))+90)/15-I232)*60+1/2)&lt;10,":0"&amp;FIXED(INT((C232+C12+(DEGREES(ASIN(E232))+90)/15-I232)*60+1/2),0),":"&amp;FIXED(INT((C232+C12+(DEGREES(ASIN(E232))+90)/15-I232)*60+1/2),0)))</f>
        <v>:41</v>
      </c>
      <c r="K232" s="1">
        <f>ROUND(DEGREES(ASIN(COS(RADIANS(D232))*COS(RADIANS(L9))+SIN(RADIANS(D232))*SIN(RADIANS(L9)))),0)</f>
        <v>72</v>
      </c>
      <c r="L232" s="1" t="s">
        <v>17</v>
      </c>
      <c r="M232" s="16">
        <f>IF(M14&gt;0,solrdat!B239,solrdat!I239)</f>
        <v>40038</v>
      </c>
      <c r="N232" s="1">
        <f>IF(M14&gt;0,solrdat!C239,solrdat!J239)</f>
        <v>12.079583333333334</v>
      </c>
      <c r="O232" s="1">
        <f>IF(M14&gt;0,solrdat!D239,solrdat!K239)</f>
        <v>14.448156</v>
      </c>
      <c r="P232" s="1">
        <f>(TAN(RADIANS(L9))*SIN(RADIANS(O232))-SIN(RADIANS(L13))/COS(RADIANS(L9)))/COS(RADIANS(O232))</f>
        <v>-0.7370126466056208</v>
      </c>
      <c r="Q232" s="1">
        <f t="shared" si="7"/>
        <v>5.669659090387964</v>
      </c>
      <c r="R232" s="4">
        <f>IF(P232&lt;-1,"Below",IF(P232&gt;1,"Above",INT(N232+C12-(DEGREES(ASIN(P232))+90)/15+5/600)))</f>
        <v>9</v>
      </c>
      <c r="S232" s="1" t="str">
        <f>IF(OR(P232&lt;-1,P232&gt;1),IF(M13&gt;0," Min."," Horz."),IF(INT((N232+C12-(DEGREES(ASIN(P232))+90)/15-R232)*60+1/2)&lt;10,":0"&amp;FIXED(INT((N232+C12-(DEGREES(ASIN(P232))+90)/15-R232)*60+1/2),0),":"&amp;FIXED(INT((N232+C12-(DEGREES(ASIN(P232))+90)/15-R232)*60+1/2),0)))</f>
        <v>:35</v>
      </c>
      <c r="T232" s="4">
        <f>IF(P232&lt;-1,"Below",IF(P232&gt;1,"Above",INT(N232+C12+(DEGREES(ASIN(P232))+90)/15+5/600)))</f>
        <v>15</v>
      </c>
      <c r="U232" s="1" t="str">
        <f>IF(OR(P232&lt;-1,P232&gt;1),IF(M13&gt;0," Min."," Horz."),IF(INT((N232+C12+(DEGREES(ASIN(P232))+90)/15-T232)*60+1/2)&lt;10,":0"&amp;FIXED(INT((N232+C12+(DEGREES(ASIN(P232))+90)/15-T232)*60+1/2),0),":"&amp;FIXED(INT((N232+C12+(DEGREES(ASIN(P232))+90)/15-T232)*60+1/2),0)))</f>
        <v>:15</v>
      </c>
      <c r="V232" s="1">
        <f>ROUND(DEGREES(ASIN(COS(RADIANS(O232))*COS(RADIANS(L9))+SIN(RADIANS(O232))*SIN(RADIANS(L9)))),0)</f>
        <v>64</v>
      </c>
      <c r="W232" s="1" t="s">
        <v>17</v>
      </c>
      <c r="X232" s="18"/>
    </row>
    <row r="233" spans="1:24" ht="10.5" customHeight="1">
      <c r="A233" s="1"/>
      <c r="B233" s="15">
        <f>IF(M14&gt;0,solrdat!B208,solrdat!I208)</f>
        <v>40008</v>
      </c>
      <c r="C233" s="1">
        <f>IF(M14&gt;0,solrdat!C208,solrdat!J208)</f>
        <v>12.098527777777777</v>
      </c>
      <c r="D233" s="1">
        <f>IF(M14&gt;0,solrdat!D208,solrdat!K208)</f>
        <v>21.56825</v>
      </c>
      <c r="E233" s="1">
        <f>(TAN(RADIANS(L9))*SIN(RADIANS(D233))-SIN(RADIANS(L13))/COS(RADIANS(L9)))/COS(RADIANS(D233))</f>
        <v>-0.6608758500317727</v>
      </c>
      <c r="F233" s="1">
        <f t="shared" si="6"/>
        <v>6.484439420715492</v>
      </c>
      <c r="G233" s="4">
        <f>IF(E233&lt;-1,"Below",IF(E233&gt;1,"Above",INT(C233+C12-(DEGREES(ASIN(E233))+90)/15+5/600)))</f>
        <v>9</v>
      </c>
      <c r="H233" s="1" t="str">
        <f>IF(OR(E233&lt;-1,E233&gt;1),IF(M13&gt;0," Min."," Horz."),IF(INT((C233+C12-(DEGREES(ASIN(E233))+90)/15-G233)*60+1/2)&lt;10,":0"&amp;FIXED(INT((C233+C12-(DEGREES(ASIN(E233))+90)/15-G233)*60+1/2),0),":"&amp;FIXED(INT((C233+C12-(DEGREES(ASIN(E233))+90)/15-G233)*60+1/2),0)))</f>
        <v>:11</v>
      </c>
      <c r="I233" s="4">
        <f>IF(E233&lt;-1,"Below",IF(E233&gt;1,"Above",INT(C233+C12+(DEGREES(ASIN(E233))+90)/15+5/600)))</f>
        <v>15</v>
      </c>
      <c r="J233" s="1" t="str">
        <f>IF(OR(E233&lt;-1,E233&gt;1),IF(M13&gt;0," Min."," Horz."),IF(INT((C233+C12+(DEGREES(ASIN(E233))+90)/15-I233)*60+1/2)&lt;10,":0"&amp;FIXED(INT((C233+C12+(DEGREES(ASIN(E233))+90)/15-I233)*60+1/2),0),":"&amp;FIXED(INT((C233+C12+(DEGREES(ASIN(E233))+90)/15-I233)*60+1/2),0)))</f>
        <v>:40</v>
      </c>
      <c r="K233" s="1">
        <f>ROUND(DEGREES(ASIN(COS(RADIANS(D233))*COS(RADIANS(L9))+SIN(RADIANS(D233))*SIN(RADIANS(L9)))),0)</f>
        <v>72</v>
      </c>
      <c r="L233" s="1" t="s">
        <v>17</v>
      </c>
      <c r="M233" s="16">
        <f>IF(M14&gt;0,solrdat!B240,solrdat!I240)</f>
        <v>40039</v>
      </c>
      <c r="N233" s="1">
        <f>IF(M14&gt;0,solrdat!C240,solrdat!J240)</f>
        <v>12.076416666666667</v>
      </c>
      <c r="O233" s="1">
        <f>IF(M14&gt;0,solrdat!D240,solrdat!K240)</f>
        <v>14.138979</v>
      </c>
      <c r="P233" s="1">
        <f>(TAN(RADIANS(L9))*SIN(RADIANS(O233))-SIN(RADIANS(L13))/COS(RADIANS(L9)))/COS(RADIANS(O233))</f>
        <v>-0.7405248956174502</v>
      </c>
      <c r="Q233" s="1">
        <f t="shared" si="7"/>
        <v>5.629846955343898</v>
      </c>
      <c r="R233" s="4">
        <f>IF(P233&lt;-1,"Below",IF(P233&gt;1,"Above",INT(N233+C12-(DEGREES(ASIN(P233))+90)/15+5/600)))</f>
        <v>9</v>
      </c>
      <c r="S233" s="1" t="str">
        <f>IF(OR(P233&lt;-1,P233&gt;1),IF(M13&gt;0," Min."," Horz."),IF(INT((N233+C12-(DEGREES(ASIN(P233))+90)/15-R233)*60+1/2)&lt;10,":0"&amp;FIXED(INT((N233+C12-(DEGREES(ASIN(P233))+90)/15-R233)*60+1/2),0),":"&amp;FIXED(INT((N233+C12-(DEGREES(ASIN(P233))+90)/15-R233)*60+1/2),0)))</f>
        <v>:36</v>
      </c>
      <c r="T233" s="4">
        <f>IF(P233&lt;-1,"Below",IF(P233&gt;1,"Above",INT(N233+C12+(DEGREES(ASIN(P233))+90)/15+5/600)))</f>
        <v>15</v>
      </c>
      <c r="U233" s="1" t="str">
        <f>IF(OR(P233&lt;-1,P233&gt;1),IF(M13&gt;0," Min."," Horz."),IF(INT((N233+C12+(DEGREES(ASIN(P233))+90)/15-T233)*60+1/2)&lt;10,":0"&amp;FIXED(INT((N233+C12+(DEGREES(ASIN(P233))+90)/15-T233)*60+1/2),0),":"&amp;FIXED(INT((N233+C12+(DEGREES(ASIN(P233))+90)/15-T233)*60+1/2),0)))</f>
        <v>:13</v>
      </c>
      <c r="V233" s="1">
        <f>ROUND(DEGREES(ASIN(COS(RADIANS(O233))*COS(RADIANS(L9))+SIN(RADIANS(O233))*SIN(RADIANS(L9)))),0)</f>
        <v>64</v>
      </c>
      <c r="W233" s="1" t="s">
        <v>17</v>
      </c>
      <c r="X233" s="18"/>
    </row>
    <row r="234" spans="1:24" ht="10.5" customHeight="1">
      <c r="A234" s="1"/>
      <c r="B234" s="15">
        <f>IF(M14&gt;0,solrdat!B209,solrdat!I209)</f>
        <v>40009</v>
      </c>
      <c r="C234" s="1">
        <f>IF(M14&gt;0,solrdat!C209,solrdat!J209)</f>
        <v>12.100222222222222</v>
      </c>
      <c r="D234" s="1">
        <f>IF(M14&gt;0,solrdat!D209,solrdat!K209)</f>
        <v>21.409332</v>
      </c>
      <c r="E234" s="1">
        <f>(TAN(RADIANS(L9))*SIN(RADIANS(D234))-SIN(RADIANS(L13))/COS(RADIANS(L9)))/COS(RADIANS(D234))</f>
        <v>-0.6624807003448735</v>
      </c>
      <c r="F234" s="1">
        <f t="shared" si="6"/>
        <v>6.468087914535906</v>
      </c>
      <c r="G234" s="4">
        <f>IF(E234&lt;-1,"Below",IF(E234&gt;1,"Above",INT(C234+C12-(DEGREES(ASIN(E234))+90)/15+5/600)))</f>
        <v>9</v>
      </c>
      <c r="H234" s="1" t="str">
        <f>IF(OR(E234&lt;-1,E234&gt;1),IF(M13&gt;0," Min."," Horz."),IF(INT((C234+C12-(DEGREES(ASIN(E234))+90)/15-G234)*60+1/2)&lt;10,":0"&amp;FIXED(INT((C234+C12-(DEGREES(ASIN(E234))+90)/15-G234)*60+1/2),0),":"&amp;FIXED(INT((C234+C12-(DEGREES(ASIN(E234))+90)/15-G234)*60+1/2),0)))</f>
        <v>:12</v>
      </c>
      <c r="I234" s="4">
        <f>IF(E234&lt;-1,"Below",IF(E234&gt;1,"Above",INT(C234+C12+(DEGREES(ASIN(E234))+90)/15+5/600)))</f>
        <v>15</v>
      </c>
      <c r="J234" s="1" t="str">
        <f>IF(OR(E234&lt;-1,E234&gt;1),IF(M13&gt;0," Min."," Horz."),IF(INT((C234+C12+(DEGREES(ASIN(E234))+90)/15-I234)*60+1/2)&lt;10,":0"&amp;FIXED(INT((C234+C12+(DEGREES(ASIN(E234))+90)/15-I234)*60+1/2),0),":"&amp;FIXED(INT((C234+C12+(DEGREES(ASIN(E234))+90)/15-I234)*60+1/2),0)))</f>
        <v>:40</v>
      </c>
      <c r="K234" s="1">
        <f>ROUND(DEGREES(ASIN(COS(RADIANS(D234))*COS(RADIANS(L9))+SIN(RADIANS(D234))*SIN(RADIANS(L9)))),0)</f>
        <v>71</v>
      </c>
      <c r="L234" s="1" t="s">
        <v>17</v>
      </c>
      <c r="M234" s="16">
        <f>IF(M14&gt;0,solrdat!B241,solrdat!I241)</f>
        <v>40040</v>
      </c>
      <c r="N234" s="1">
        <f>IF(M14&gt;0,solrdat!C241,solrdat!J241)</f>
        <v>12.07313888888889</v>
      </c>
      <c r="O234" s="1">
        <f>IF(M14&gt;0,solrdat!D241,solrdat!K241)</f>
        <v>13.826022</v>
      </c>
      <c r="P234" s="1">
        <f>(TAN(RADIANS(L9))*SIN(RADIANS(O234))-SIN(RADIANS(L13))/COS(RADIANS(L9)))/COS(RADIANS(O234))</f>
        <v>-0.7440985649591247</v>
      </c>
      <c r="Q234" s="1">
        <f t="shared" si="7"/>
        <v>5.589102558758066</v>
      </c>
      <c r="R234" s="4">
        <f>IF(P234&lt;-1,"Below",IF(P234&gt;1,"Above",INT(N234+C12-(DEGREES(ASIN(P234))+90)/15+5/600)))</f>
        <v>9</v>
      </c>
      <c r="S234" s="1" t="str">
        <f>IF(OR(P234&lt;-1,P234&gt;1),IF(M13&gt;0," Min."," Horz."),IF(INT((N234+C12-(DEGREES(ASIN(P234))+90)/15-R234)*60+1/2)&lt;10,":0"&amp;FIXED(INT((N234+C12-(DEGREES(ASIN(P234))+90)/15-R234)*60+1/2),0),":"&amp;FIXED(INT((N234+C12-(DEGREES(ASIN(P234))+90)/15-R234)*60+1/2),0)))</f>
        <v>:37</v>
      </c>
      <c r="T234" s="4">
        <f>IF(P234&lt;-1,"Below",IF(P234&gt;1,"Above",INT(N234+C12+(DEGREES(ASIN(P234))+90)/15+5/600)))</f>
        <v>15</v>
      </c>
      <c r="U234" s="1" t="str">
        <f>IF(OR(P234&lt;-1,P234&gt;1),IF(M13&gt;0," Min."," Horz."),IF(INT((N234+C12+(DEGREES(ASIN(P234))+90)/15-T234)*60+1/2)&lt;10,":0"&amp;FIXED(INT((N234+C12+(DEGREES(ASIN(P234))+90)/15-T234)*60+1/2),0),":"&amp;FIXED(INT((N234+C12+(DEGREES(ASIN(P234))+90)/15-T234)*60+1/2),0)))</f>
        <v>:12</v>
      </c>
      <c r="V234" s="1">
        <f>ROUND(DEGREES(ASIN(COS(RADIANS(O234))*COS(RADIANS(L9))+SIN(RADIANS(O234))*SIN(RADIANS(L9)))),0)</f>
        <v>64</v>
      </c>
      <c r="W234" s="1" t="s">
        <v>17</v>
      </c>
      <c r="X234" s="18"/>
    </row>
    <row r="235" spans="1:24" ht="10.5" customHeight="1">
      <c r="A235" s="1"/>
      <c r="B235" s="15">
        <f>IF(M14&gt;0,solrdat!B210,solrdat!I210)</f>
        <v>40010</v>
      </c>
      <c r="C235" s="1">
        <f>IF(M14&gt;0,solrdat!C210,solrdat!J210)</f>
        <v>12.101777777777778</v>
      </c>
      <c r="D235" s="1">
        <f>IF(M14&gt;0,solrdat!D210,solrdat!K210)</f>
        <v>21.244321</v>
      </c>
      <c r="E235" s="1">
        <f>(TAN(RADIANS(L9))*SIN(RADIANS(D235))-SIN(RADIANS(L13))/COS(RADIANS(L9)))/COS(RADIANS(D235))</f>
        <v>-0.6641514548230457</v>
      </c>
      <c r="F235" s="1">
        <f t="shared" si="6"/>
        <v>6.451031972009853</v>
      </c>
      <c r="G235" s="4">
        <f>IF(E235&lt;-1,"Below",IF(E235&gt;1,"Above",INT(C235+C12-(DEGREES(ASIN(E235))+90)/15+5/600)))</f>
        <v>9</v>
      </c>
      <c r="H235" s="1" t="str">
        <f>IF(OR(E235&lt;-1,E235&gt;1),IF(M13&gt;0," Min."," Horz."),IF(INT((C235+C12-(DEGREES(ASIN(E235))+90)/15-G235)*60+1/2)&lt;10,":0"&amp;FIXED(INT((C235+C12-(DEGREES(ASIN(E235))+90)/15-G235)*60+1/2),0),":"&amp;FIXED(INT((C235+C12-(DEGREES(ASIN(E235))+90)/15-G235)*60+1/2),0)))</f>
        <v>:13</v>
      </c>
      <c r="I235" s="4">
        <f>IF(E235&lt;-1,"Below",IF(E235&gt;1,"Above",INT(C235+C12+(DEGREES(ASIN(E235))+90)/15+5/600)))</f>
        <v>15</v>
      </c>
      <c r="J235" s="1" t="str">
        <f>IF(OR(E235&lt;-1,E235&gt;1),IF(M13&gt;0," Min."," Horz."),IF(INT((C235+C12+(DEGREES(ASIN(E235))+90)/15-I235)*60+1/2)&lt;10,":0"&amp;FIXED(INT((C235+C12+(DEGREES(ASIN(E235))+90)/15-I235)*60+1/2),0),":"&amp;FIXED(INT((C235+C12+(DEGREES(ASIN(E235))+90)/15-I235)*60+1/2),0)))</f>
        <v>:40</v>
      </c>
      <c r="K235" s="1">
        <f>ROUND(DEGREES(ASIN(COS(RADIANS(D235))*COS(RADIANS(L9))+SIN(RADIANS(D235))*SIN(RADIANS(L9)))),0)</f>
        <v>71</v>
      </c>
      <c r="L235" s="1" t="s">
        <v>17</v>
      </c>
      <c r="M235" s="16">
        <f>IF(M14&gt;0,solrdat!B242,solrdat!I242)</f>
        <v>40041</v>
      </c>
      <c r="N235" s="1">
        <f>IF(M14&gt;0,solrdat!C242,solrdat!J242)</f>
        <v>12.069722222222222</v>
      </c>
      <c r="O235" s="1">
        <f>IF(M14&gt;0,solrdat!D242,solrdat!K242)</f>
        <v>13.509377</v>
      </c>
      <c r="P235" s="1">
        <f>(TAN(RADIANS(L9))*SIN(RADIANS(O235))-SIN(RADIANS(L13))/COS(RADIANS(L9)))/COS(RADIANS(O235))</f>
        <v>-0.7477334090308653</v>
      </c>
      <c r="Q235" s="1">
        <f t="shared" si="7"/>
        <v>5.547410880253378</v>
      </c>
      <c r="R235" s="4">
        <f>IF(P235&lt;-1,"Below",IF(P235&gt;1,"Above",INT(N235+C12-(DEGREES(ASIN(P235))+90)/15+5/600)))</f>
        <v>9</v>
      </c>
      <c r="S235" s="1" t="str">
        <f>IF(OR(P235&lt;-1,P235&gt;1),IF(M13&gt;0," Min."," Horz."),IF(INT((N235+C12-(DEGREES(ASIN(P235))+90)/15-R235)*60+1/2)&lt;10,":0"&amp;FIXED(INT((N235+C12-(DEGREES(ASIN(P235))+90)/15-R235)*60+1/2),0),":"&amp;FIXED(INT((N235+C12-(DEGREES(ASIN(P235))+90)/15-R235)*60+1/2),0)))</f>
        <v>:38</v>
      </c>
      <c r="T235" s="4">
        <f>IF(P235&lt;-1,"Below",IF(P235&gt;1,"Above",INT(N235+C12+(DEGREES(ASIN(P235))+90)/15+5/600)))</f>
        <v>15</v>
      </c>
      <c r="U235" s="1" t="str">
        <f>IF(OR(P235&lt;-1,P235&gt;1),IF(M13&gt;0," Min."," Horz."),IF(INT((N235+C12+(DEGREES(ASIN(P235))+90)/15-T235)*60+1/2)&lt;10,":0"&amp;FIXED(INT((N235+C12+(DEGREES(ASIN(P235))+90)/15-T235)*60+1/2),0),":"&amp;FIXED(INT((N235+C12+(DEGREES(ASIN(P235))+90)/15-T235)*60+1/2),0)))</f>
        <v>:11</v>
      </c>
      <c r="V235" s="1">
        <f>ROUND(DEGREES(ASIN(COS(RADIANS(O235))*COS(RADIANS(L9))+SIN(RADIANS(O235))*SIN(RADIANS(L9)))),0)</f>
        <v>64</v>
      </c>
      <c r="W235" s="1" t="s">
        <v>17</v>
      </c>
      <c r="X235" s="18"/>
    </row>
    <row r="236" spans="1:24" ht="10.5" customHeight="1">
      <c r="A236" s="1"/>
      <c r="B236" s="15">
        <f>IF(M14&gt;0,solrdat!B211,solrdat!I211)</f>
        <v>40011</v>
      </c>
      <c r="C236" s="1">
        <f>IF(M14&gt;0,solrdat!C211,solrdat!J211)</f>
        <v>12.103166666666667</v>
      </c>
      <c r="D236" s="1">
        <f>IF(M14&gt;0,solrdat!D211,solrdat!K211)</f>
        <v>21.073279</v>
      </c>
      <c r="E236" s="1">
        <f>(TAN(RADIANS(L9))*SIN(RADIANS(D236))-SIN(RADIANS(L13))/COS(RADIANS(L9)))/COS(RADIANS(D236))</f>
        <v>-0.6658879900745588</v>
      </c>
      <c r="F236" s="1">
        <f t="shared" si="6"/>
        <v>6.433268576186128</v>
      </c>
      <c r="G236" s="4">
        <f>IF(E236&lt;-1,"Below",IF(E236&gt;1,"Above",INT(C236+C12-(DEGREES(ASIN(E236))+90)/15+5/600)))</f>
        <v>9</v>
      </c>
      <c r="H236" s="1" t="str">
        <f>IF(OR(E236&lt;-1,E236&gt;1),IF(M13&gt;0," Min."," Horz."),IF(INT((C236+C12-(DEGREES(ASIN(E236))+90)/15-G236)*60+1/2)&lt;10,":0"&amp;FIXED(INT((C236+C12-(DEGREES(ASIN(E236))+90)/15-G236)*60+1/2),0),":"&amp;FIXED(INT((C236+C12-(DEGREES(ASIN(E236))+90)/15-G236)*60+1/2),0)))</f>
        <v>:13</v>
      </c>
      <c r="I236" s="4">
        <f>IF(E236&lt;-1,"Below",IF(E236&gt;1,"Above",INT(C236+C12+(DEGREES(ASIN(E236))+90)/15+5/600)))</f>
        <v>15</v>
      </c>
      <c r="J236" s="1" t="str">
        <f>IF(OR(E236&lt;-1,E236&gt;1),IF(M13&gt;0," Min."," Horz."),IF(INT((C236+C12+(DEGREES(ASIN(E236))+90)/15-I236)*60+1/2)&lt;10,":0"&amp;FIXED(INT((C236+C12+(DEGREES(ASIN(E236))+90)/15-I236)*60+1/2),0),":"&amp;FIXED(INT((C236+C12+(DEGREES(ASIN(E236))+90)/15-I236)*60+1/2),0)))</f>
        <v>:39</v>
      </c>
      <c r="K236" s="1">
        <f>ROUND(DEGREES(ASIN(COS(RADIANS(D236))*COS(RADIANS(L9))+SIN(RADIANS(D236))*SIN(RADIANS(L9)))),0)</f>
        <v>71</v>
      </c>
      <c r="L236" s="1" t="s">
        <v>17</v>
      </c>
      <c r="M236" s="16">
        <f>IF(M14&gt;0,solrdat!B243,solrdat!I243)</f>
        <v>40042</v>
      </c>
      <c r="N236" s="1">
        <f>IF(M14&gt;0,solrdat!C243,solrdat!J243)</f>
        <v>12.066138888888888</v>
      </c>
      <c r="O236" s="1">
        <f>IF(M14&gt;0,solrdat!D243,solrdat!K243)</f>
        <v>13.189139</v>
      </c>
      <c r="P236" s="1">
        <f>(TAN(RADIANS(L9))*SIN(RADIANS(O236))-SIN(RADIANS(L13))/COS(RADIANS(L9)))/COS(RADIANS(O236))</f>
        <v>-0.7514291454537183</v>
      </c>
      <c r="Q236" s="1">
        <f t="shared" si="7"/>
        <v>5.504756401975331</v>
      </c>
      <c r="R236" s="4">
        <f>IF(P236&lt;-1,"Below",IF(P236&gt;1,"Above",INT(N236+C12-(DEGREES(ASIN(P236))+90)/15+5/600)))</f>
        <v>9</v>
      </c>
      <c r="S236" s="1" t="str">
        <f>IF(OR(P236&lt;-1,P236&gt;1),IF(M13&gt;0," Min."," Horz."),IF(INT((N236+C12-(DEGREES(ASIN(P236))+90)/15-R236)*60+1/2)&lt;10,":0"&amp;FIXED(INT((N236+C12-(DEGREES(ASIN(P236))+90)/15-R236)*60+1/2),0),":"&amp;FIXED(INT((N236+C12-(DEGREES(ASIN(P236))+90)/15-R236)*60+1/2),0)))</f>
        <v>:39</v>
      </c>
      <c r="T236" s="4">
        <f>IF(P236&lt;-1,"Below",IF(P236&gt;1,"Above",INT(N236+C12+(DEGREES(ASIN(P236))+90)/15+5/600)))</f>
        <v>15</v>
      </c>
      <c r="U236" s="1" t="str">
        <f>IF(OR(P236&lt;-1,P236&gt;1),IF(M13&gt;0," Min."," Horz."),IF(INT((N236+C12+(DEGREES(ASIN(P236))+90)/15-T236)*60+1/2)&lt;10,":0"&amp;FIXED(INT((N236+C12+(DEGREES(ASIN(P236))+90)/15-T236)*60+1/2),0),":"&amp;FIXED(INT((N236+C12+(DEGREES(ASIN(P236))+90)/15-T236)*60+1/2),0)))</f>
        <v>:09</v>
      </c>
      <c r="V236" s="1">
        <f>ROUND(DEGREES(ASIN(COS(RADIANS(O236))*COS(RADIANS(L9))+SIN(RADIANS(O236))*SIN(RADIANS(L9)))),0)</f>
        <v>63</v>
      </c>
      <c r="W236" s="1" t="s">
        <v>17</v>
      </c>
      <c r="X236" s="18"/>
    </row>
    <row r="237" spans="1:24" ht="10.5" customHeight="1">
      <c r="A237" s="1"/>
      <c r="B237" s="15">
        <f>IF(M14&gt;0,solrdat!B212,solrdat!I212)</f>
        <v>40012</v>
      </c>
      <c r="C237" s="1">
        <f>IF(M14&gt;0,solrdat!C212,solrdat!J212)</f>
        <v>12.104416666666667</v>
      </c>
      <c r="D237" s="1">
        <f>IF(M14&gt;0,solrdat!D212,solrdat!K212)</f>
        <v>20.896271</v>
      </c>
      <c r="E237" s="1">
        <f>(TAN(RADIANS(L9))*SIN(RADIANS(D237))-SIN(RADIANS(L13))/COS(RADIANS(L9)))/COS(RADIANS(D237))</f>
        <v>-0.6676901662593443</v>
      </c>
      <c r="F237" s="1">
        <f t="shared" si="6"/>
        <v>6.414794657052361</v>
      </c>
      <c r="G237" s="4">
        <f>IF(E237&lt;-1,"Below",IF(E237&gt;1,"Above",INT(C237+C12-(DEGREES(ASIN(E237))+90)/15+5/600)))</f>
        <v>9</v>
      </c>
      <c r="H237" s="1" t="str">
        <f>IF(OR(E237&lt;-1,E237&gt;1),IF(M13&gt;0," Min."," Horz."),IF(INT((C237+C12-(DEGREES(ASIN(E237))+90)/15-G237)*60+1/2)&lt;10,":0"&amp;FIXED(INT((C237+C12-(DEGREES(ASIN(E237))+90)/15-G237)*60+1/2),0),":"&amp;FIXED(INT((C237+C12-(DEGREES(ASIN(E237))+90)/15-G237)*60+1/2),0)))</f>
        <v>:14</v>
      </c>
      <c r="I237" s="4">
        <f>IF(E237&lt;-1,"Below",IF(E237&gt;1,"Above",INT(C237+C12+(DEGREES(ASIN(E237))+90)/15+5/600)))</f>
        <v>15</v>
      </c>
      <c r="J237" s="1" t="str">
        <f>IF(OR(E237&lt;-1,E237&gt;1),IF(M13&gt;0," Min."," Horz."),IF(INT((C237+C12+(DEGREES(ASIN(E237))+90)/15-I237)*60+1/2)&lt;10,":0"&amp;FIXED(INT((C237+C12+(DEGREES(ASIN(E237))+90)/15-I237)*60+1/2),0),":"&amp;FIXED(INT((C237+C12+(DEGREES(ASIN(E237))+90)/15-I237)*60+1/2),0)))</f>
        <v>:39</v>
      </c>
      <c r="K237" s="1">
        <f>ROUND(DEGREES(ASIN(COS(RADIANS(D237))*COS(RADIANS(L9))+SIN(RADIANS(D237))*SIN(RADIANS(L9)))),0)</f>
        <v>71</v>
      </c>
      <c r="L237" s="1" t="s">
        <v>17</v>
      </c>
      <c r="M237" s="16">
        <f>IF(M14&gt;0,solrdat!B244,solrdat!I244)</f>
        <v>40043</v>
      </c>
      <c r="N237" s="1">
        <f>IF(M14&gt;0,solrdat!C244,solrdat!J244)</f>
        <v>12.062444444444445</v>
      </c>
      <c r="O237" s="1">
        <f>IF(M14&gt;0,solrdat!D244,solrdat!K244)</f>
        <v>12.865405</v>
      </c>
      <c r="P237" s="1">
        <f>(TAN(RADIANS(L9))*SIN(RADIANS(O237))-SIN(RADIANS(L13))/COS(RADIANS(L9)))/COS(RADIANS(O237))</f>
        <v>-0.7551854652864445</v>
      </c>
      <c r="Q237" s="1">
        <f t="shared" si="7"/>
        <v>5.461122939165179</v>
      </c>
      <c r="R237" s="4">
        <f>IF(P237&lt;-1,"Below",IF(P237&gt;1,"Above",INT(N237+C12-(DEGREES(ASIN(P237))+90)/15+5/600)))</f>
        <v>9</v>
      </c>
      <c r="S237" s="1" t="str">
        <f>IF(OR(P237&lt;-1,P237&gt;1),IF(M13&gt;0," Min."," Horz."),IF(INT((N237+C12-(DEGREES(ASIN(P237))+90)/15-R237)*60+1/2)&lt;10,":0"&amp;FIXED(INT((N237+C12-(DEGREES(ASIN(P237))+90)/15-R237)*60+1/2),0),":"&amp;FIXED(INT((N237+C12-(DEGREES(ASIN(P237))+90)/15-R237)*60+1/2),0)))</f>
        <v>:40</v>
      </c>
      <c r="T237" s="4">
        <f>IF(P237&lt;-1,"Below",IF(P237&gt;1,"Above",INT(N237+C12+(DEGREES(ASIN(P237))+90)/15+5/600)))</f>
        <v>15</v>
      </c>
      <c r="U237" s="1" t="str">
        <f>IF(OR(P237&lt;-1,P237&gt;1),IF(M13&gt;0," Min."," Horz."),IF(INT((N237+C12+(DEGREES(ASIN(P237))+90)/15-T237)*60+1/2)&lt;10,":0"&amp;FIXED(INT((N237+C12+(DEGREES(ASIN(P237))+90)/15-T237)*60+1/2),0),":"&amp;FIXED(INT((N237+C12+(DEGREES(ASIN(P237))+90)/15-T237)*60+1/2),0)))</f>
        <v>:08</v>
      </c>
      <c r="V237" s="1">
        <f>ROUND(DEGREES(ASIN(COS(RADIANS(O237))*COS(RADIANS(L9))+SIN(RADIANS(O237))*SIN(RADIANS(L9)))),0)</f>
        <v>63</v>
      </c>
      <c r="W237" s="1" t="s">
        <v>17</v>
      </c>
      <c r="X237" s="18"/>
    </row>
    <row r="238" spans="1:24" ht="10.5" customHeight="1">
      <c r="A238" s="1"/>
      <c r="B238" s="15">
        <f>IF(M14&gt;0,solrdat!B213,solrdat!I213)</f>
        <v>40013</v>
      </c>
      <c r="C238" s="1">
        <f>IF(M14&gt;0,solrdat!C213,solrdat!J213)</f>
        <v>12.105527777777779</v>
      </c>
      <c r="D238" s="1">
        <f>IF(M14&gt;0,solrdat!D213,solrdat!K213)</f>
        <v>20.713369</v>
      </c>
      <c r="E238" s="1">
        <f>(TAN(RADIANS(L9))*SIN(RADIANS(D238))-SIN(RADIANS(L13))/COS(RADIANS(L9)))/COS(RADIANS(D238))</f>
        <v>-0.6695577853958297</v>
      </c>
      <c r="F238" s="1">
        <f t="shared" si="6"/>
        <v>6.395607514859827</v>
      </c>
      <c r="G238" s="4">
        <f>IF(E238&lt;-1,"Below",IF(E238&gt;1,"Above",INT(C238+C12-(DEGREES(ASIN(E238))+90)/15+5/600)))</f>
        <v>9</v>
      </c>
      <c r="H238" s="1" t="str">
        <f>IF(OR(E238&lt;-1,E238&gt;1),IF(M13&gt;0," Min."," Horz."),IF(INT((C238+C12-(DEGREES(ASIN(E238))+90)/15-G238)*60+1/2)&lt;10,":0"&amp;FIXED(INT((C238+C12-(DEGREES(ASIN(E238))+90)/15-G238)*60+1/2),0),":"&amp;FIXED(INT((C238+C12-(DEGREES(ASIN(E238))+90)/15-G238)*60+1/2),0)))</f>
        <v>:14</v>
      </c>
      <c r="I238" s="4">
        <f>IF(E238&lt;-1,"Below",IF(E238&gt;1,"Above",INT(C238+C12+(DEGREES(ASIN(E238))+90)/15+5/600)))</f>
        <v>15</v>
      </c>
      <c r="J238" s="1" t="str">
        <f>IF(OR(E238&lt;-1,E238&gt;1),IF(M13&gt;0," Min."," Horz."),IF(INT((C238+C12+(DEGREES(ASIN(E238))+90)/15-I238)*60+1/2)&lt;10,":0"&amp;FIXED(INT((C238+C12+(DEGREES(ASIN(E238))+90)/15-I238)*60+1/2),0),":"&amp;FIXED(INT((C238+C12+(DEGREES(ASIN(E238))+90)/15-I238)*60+1/2),0)))</f>
        <v>:38</v>
      </c>
      <c r="K238" s="1">
        <f>ROUND(DEGREES(ASIN(COS(RADIANS(D238))*COS(RADIANS(L9))+SIN(RADIANS(D238))*SIN(RADIANS(L9)))),0)</f>
        <v>71</v>
      </c>
      <c r="L238" s="1" t="s">
        <v>17</v>
      </c>
      <c r="M238" s="16">
        <f>IF(M14&gt;0,solrdat!B245,solrdat!I245)</f>
        <v>40044</v>
      </c>
      <c r="N238" s="1">
        <f>IF(M14&gt;0,solrdat!C245,solrdat!J245)</f>
        <v>12.05861111111111</v>
      </c>
      <c r="O238" s="1">
        <f>IF(M14&gt;0,solrdat!D245,solrdat!K245)</f>
        <v>12.53827</v>
      </c>
      <c r="P238" s="1">
        <f>(TAN(RADIANS(L9))*SIN(RADIANS(O238))-SIN(RADIANS(L13))/COS(RADIANS(L9)))/COS(RADIANS(O238))</f>
        <v>-0.759002078667385</v>
      </c>
      <c r="Q238" s="1">
        <f t="shared" si="7"/>
        <v>5.416493045848434</v>
      </c>
      <c r="R238" s="4">
        <f>IF(P238&lt;-1,"Below",IF(P238&gt;1,"Above",INT(N238+C12-(DEGREES(ASIN(P238))+90)/15+5/600)))</f>
        <v>9</v>
      </c>
      <c r="S238" s="1" t="str">
        <f>IF(OR(P238&lt;-1,P238&gt;1),IF(M13&gt;0," Min."," Horz."),IF(INT((N238+C12-(DEGREES(ASIN(P238))+90)/15-R238)*60+1/2)&lt;10,":0"&amp;FIXED(INT((N238+C12-(DEGREES(ASIN(P238))+90)/15-R238)*60+1/2),0),":"&amp;FIXED(INT((N238+C12-(DEGREES(ASIN(P238))+90)/15-R238)*60+1/2),0)))</f>
        <v>:41</v>
      </c>
      <c r="T238" s="4">
        <f>IF(P238&lt;-1,"Below",IF(P238&gt;1,"Above",INT(N238+C12+(DEGREES(ASIN(P238))+90)/15+5/600)))</f>
        <v>15</v>
      </c>
      <c r="U238" s="1" t="str">
        <f>IF(OR(P238&lt;-1,P238&gt;1),IF(M13&gt;0," Min."," Horz."),IF(INT((N238+C12+(DEGREES(ASIN(P238))+90)/15-T238)*60+1/2)&lt;10,":0"&amp;FIXED(INT((N238+C12+(DEGREES(ASIN(P238))+90)/15-T238)*60+1/2),0),":"&amp;FIXED(INT((N238+C12+(DEGREES(ASIN(P238))+90)/15-T238)*60+1/2),0)))</f>
        <v>:06</v>
      </c>
      <c r="V238" s="1">
        <f>ROUND(DEGREES(ASIN(COS(RADIANS(O238))*COS(RADIANS(L9))+SIN(RADIANS(O238))*SIN(RADIANS(L9)))),0)</f>
        <v>63</v>
      </c>
      <c r="W238" s="1" t="s">
        <v>17</v>
      </c>
      <c r="X238" s="18"/>
    </row>
    <row r="239" spans="1:24" ht="10.5" customHeight="1">
      <c r="A239" s="1"/>
      <c r="B239" s="15">
        <f>IF(M14&gt;0,solrdat!B214,solrdat!I214)</f>
        <v>40014</v>
      </c>
      <c r="C239" s="1">
        <f>IF(M14&gt;0,solrdat!C214,solrdat!J214)</f>
        <v>12.1065</v>
      </c>
      <c r="D239" s="1">
        <f>IF(M14&gt;0,solrdat!D214,solrdat!K214)</f>
        <v>20.524644</v>
      </c>
      <c r="E239" s="1">
        <f>(TAN(RADIANS(L9))*SIN(RADIANS(D239))-SIN(RADIANS(L13))/COS(RADIANS(L9)))/COS(RADIANS(D239))</f>
        <v>-0.6714906719714987</v>
      </c>
      <c r="F239" s="1">
        <f t="shared" si="6"/>
        <v>6.375703988351762</v>
      </c>
      <c r="G239" s="4">
        <f>IF(E239&lt;-1,"Below",IF(E239&gt;1,"Above",INT(C239+C12-(DEGREES(ASIN(E239))+90)/15+5/600)))</f>
        <v>9</v>
      </c>
      <c r="H239" s="1" t="str">
        <f>IF(OR(E239&lt;-1,E239&gt;1),IF(M13&gt;0," Min."," Horz."),IF(INT((C239+C12-(DEGREES(ASIN(E239))+90)/15-G239)*60+1/2)&lt;10,":0"&amp;FIXED(INT((C239+C12-(DEGREES(ASIN(E239))+90)/15-G239)*60+1/2),0),":"&amp;FIXED(INT((C239+C12-(DEGREES(ASIN(E239))+90)/15-G239)*60+1/2),0)))</f>
        <v>:15</v>
      </c>
      <c r="I239" s="4">
        <f>IF(E239&lt;-1,"Below",IF(E239&gt;1,"Above",INT(C239+C12+(DEGREES(ASIN(E239))+90)/15+5/600)))</f>
        <v>15</v>
      </c>
      <c r="J239" s="1" t="str">
        <f>IF(OR(E239&lt;-1,E239&gt;1),IF(M13&gt;0," Min."," Horz."),IF(INT((C239+C12+(DEGREES(ASIN(E239))+90)/15-I239)*60+1/2)&lt;10,":0"&amp;FIXED(INT((C239+C12+(DEGREES(ASIN(E239))+90)/15-I239)*60+1/2),0),":"&amp;FIXED(INT((C239+C12+(DEGREES(ASIN(E239))+90)/15-I239)*60+1/2),0)))</f>
        <v>:38</v>
      </c>
      <c r="K239" s="1">
        <f>ROUND(DEGREES(ASIN(COS(RADIANS(D239))*COS(RADIANS(L9))+SIN(RADIANS(D239))*SIN(RADIANS(L9)))),0)</f>
        <v>71</v>
      </c>
      <c r="L239" s="1" t="s">
        <v>17</v>
      </c>
      <c r="M239" s="16">
        <f>IF(M14&gt;0,solrdat!B246,solrdat!I246)</f>
        <v>40045</v>
      </c>
      <c r="N239" s="1">
        <f>IF(M14&gt;0,solrdat!C246,solrdat!J246)</f>
        <v>12.054638888888888</v>
      </c>
      <c r="O239" s="1">
        <f>IF(M14&gt;0,solrdat!D246,solrdat!K246)</f>
        <v>12.20783</v>
      </c>
      <c r="P239" s="1">
        <f>(TAN(RADIANS(L9))*SIN(RADIANS(O239))-SIN(RADIANS(L13))/COS(RADIANS(L9)))/COS(RADIANS(O239))</f>
        <v>-0.762878679634813</v>
      </c>
      <c r="Q239" s="1">
        <f t="shared" si="7"/>
        <v>5.370848347506601</v>
      </c>
      <c r="R239" s="4">
        <f>IF(P239&lt;-1,"Below",IF(P239&gt;1,"Above",INT(N239+C12-(DEGREES(ASIN(P239))+90)/15+5/600)))</f>
        <v>9</v>
      </c>
      <c r="S239" s="1" t="str">
        <f>IF(OR(P239&lt;-1,P239&gt;1),IF(M13&gt;0," Min."," Horz."),IF(INT((N239+C12-(DEGREES(ASIN(P239))+90)/15-R239)*60+1/2)&lt;10,":0"&amp;FIXED(INT((N239+C12-(DEGREES(ASIN(P239))+90)/15-R239)*60+1/2),0),":"&amp;FIXED(INT((N239+C12-(DEGREES(ASIN(P239))+90)/15-R239)*60+1/2),0)))</f>
        <v>:42</v>
      </c>
      <c r="T239" s="4">
        <f>IF(P239&lt;-1,"Below",IF(P239&gt;1,"Above",INT(N239+C12+(DEGREES(ASIN(P239))+90)/15+5/600)))</f>
        <v>15</v>
      </c>
      <c r="U239" s="1" t="str">
        <f>IF(OR(P239&lt;-1,P239&gt;1),IF(M13&gt;0," Min."," Horz."),IF(INT((N239+C12+(DEGREES(ASIN(P239))+90)/15-T239)*60+1/2)&lt;10,":0"&amp;FIXED(INT((N239+C12+(DEGREES(ASIN(P239))+90)/15-T239)*60+1/2),0),":"&amp;FIXED(INT((N239+C12+(DEGREES(ASIN(P239))+90)/15-T239)*60+1/2),0)))</f>
        <v>:04</v>
      </c>
      <c r="V239" s="1">
        <f>ROUND(DEGREES(ASIN(COS(RADIANS(O239))*COS(RADIANS(L9))+SIN(RADIANS(O239))*SIN(RADIANS(L9)))),0)</f>
        <v>62</v>
      </c>
      <c r="W239" s="1" t="s">
        <v>17</v>
      </c>
      <c r="X239" s="18"/>
    </row>
    <row r="240" spans="1:24" ht="10.5" customHeight="1">
      <c r="A240" s="1"/>
      <c r="B240" s="15">
        <f>IF(M14&gt;0,solrdat!B215,solrdat!I215)</f>
        <v>40015</v>
      </c>
      <c r="C240" s="1">
        <f>IF(M14&gt;0,solrdat!C215,solrdat!J215)</f>
        <v>12.107305555555556</v>
      </c>
      <c r="D240" s="1">
        <f>IF(M14&gt;0,solrdat!D215,solrdat!K215)</f>
        <v>20.33017</v>
      </c>
      <c r="E240" s="1">
        <f>(TAN(RADIANS(L9))*SIN(RADIANS(D240))-SIN(RADIANS(L13))/COS(RADIANS(L9)))/COS(RADIANS(D240))</f>
        <v>-0.6734886315306406</v>
      </c>
      <c r="F240" s="1">
        <f t="shared" si="6"/>
        <v>6.355080872196881</v>
      </c>
      <c r="G240" s="4">
        <f>IF(E240&lt;-1,"Below",IF(E240&gt;1,"Above",INT(C240+C12-(DEGREES(ASIN(E240))+90)/15+5/600)))</f>
        <v>9</v>
      </c>
      <c r="H240" s="1" t="str">
        <f>IF(OR(E240&lt;-1,E240&gt;1),IF(M13&gt;0," Min."," Horz."),IF(INT((C240+C12-(DEGREES(ASIN(E240))+90)/15-G240)*60+1/2)&lt;10,":0"&amp;FIXED(INT((C240+C12-(DEGREES(ASIN(E240))+90)/15-G240)*60+1/2),0),":"&amp;FIXED(INT((C240+C12-(DEGREES(ASIN(E240))+90)/15-G240)*60+1/2),0)))</f>
        <v>:16</v>
      </c>
      <c r="I240" s="4">
        <f>IF(E240&lt;-1,"Below",IF(E240&gt;1,"Above",INT(C240+C12+(DEGREES(ASIN(E240))+90)/15+5/600)))</f>
        <v>15</v>
      </c>
      <c r="J240" s="1" t="str">
        <f>IF(OR(E240&lt;-1,E240&gt;1),IF(M13&gt;0," Min."," Horz."),IF(INT((C240+C12+(DEGREES(ASIN(E240))+90)/15-I240)*60+1/2)&lt;10,":0"&amp;FIXED(INT((C240+C12+(DEGREES(ASIN(E240))+90)/15-I240)*60+1/2),0),":"&amp;FIXED(INT((C240+C12+(DEGREES(ASIN(E240))+90)/15-I240)*60+1/2),0)))</f>
        <v>:37</v>
      </c>
      <c r="K240" s="1">
        <f>ROUND(DEGREES(ASIN(COS(RADIANS(D240))*COS(RADIANS(L9))+SIN(RADIANS(D240))*SIN(RADIANS(L9)))),0)</f>
        <v>70</v>
      </c>
      <c r="L240" s="1" t="s">
        <v>17</v>
      </c>
      <c r="M240" s="16">
        <f>IF(M14&gt;0,solrdat!B247,solrdat!I247)</f>
        <v>40046</v>
      </c>
      <c r="N240" s="1">
        <f>IF(M14&gt;0,solrdat!C247,solrdat!J247)</f>
        <v>12.050555555555556</v>
      </c>
      <c r="O240" s="1">
        <f>IF(M14&gt;0,solrdat!D247,solrdat!K247)</f>
        <v>11.87418</v>
      </c>
      <c r="P240" s="1">
        <f>(TAN(RADIANS(L9))*SIN(RADIANS(O240))-SIN(RADIANS(L13))/COS(RADIANS(L9)))/COS(RADIANS(O240))</f>
        <v>-0.7668149689315797</v>
      </c>
      <c r="Q240" s="1">
        <f t="shared" si="7"/>
        <v>5.324169193339994</v>
      </c>
      <c r="R240" s="4">
        <f>IF(P240&lt;-1,"Below",IF(P240&gt;1,"Above",INT(N240+C12-(DEGREES(ASIN(P240))+90)/15+5/600)))</f>
        <v>9</v>
      </c>
      <c r="S240" s="1" t="str">
        <f>IF(OR(P240&lt;-1,P240&gt;1),IF(M13&gt;0," Min."," Horz."),IF(INT((N240+C12-(DEGREES(ASIN(P240))+90)/15-R240)*60+1/2)&lt;10,":0"&amp;FIXED(INT((N240+C12-(DEGREES(ASIN(P240))+90)/15-R240)*60+1/2),0),":"&amp;FIXED(INT((N240+C12-(DEGREES(ASIN(P240))+90)/15-R240)*60+1/2),0)))</f>
        <v>:43</v>
      </c>
      <c r="T240" s="4">
        <f>IF(P240&lt;-1,"Below",IF(P240&gt;1,"Above",INT(N240+C12+(DEGREES(ASIN(P240))+90)/15+5/600)))</f>
        <v>15</v>
      </c>
      <c r="U240" s="1" t="str">
        <f>IF(OR(P240&lt;-1,P240&gt;1),IF(M13&gt;0," Min."," Horz."),IF(INT((N240+C12+(DEGREES(ASIN(P240))+90)/15-T240)*60+1/2)&lt;10,":0"&amp;FIXED(INT((N240+C12+(DEGREES(ASIN(P240))+90)/15-T240)*60+1/2),0),":"&amp;FIXED(INT((N240+C12+(DEGREES(ASIN(P240))+90)/15-T240)*60+1/2),0)))</f>
        <v>:03</v>
      </c>
      <c r="V240" s="1">
        <f>ROUND(DEGREES(ASIN(COS(RADIANS(O240))*COS(RADIANS(L9))+SIN(RADIANS(O240))*SIN(RADIANS(L9)))),0)</f>
        <v>62</v>
      </c>
      <c r="W240" s="1" t="s">
        <v>17</v>
      </c>
      <c r="X240" s="18"/>
    </row>
    <row r="241" spans="1:24" ht="10.5" customHeight="1">
      <c r="A241" s="1"/>
      <c r="B241" s="15">
        <f>IF(M14&gt;0,solrdat!B216,solrdat!I216)</f>
        <v>40016</v>
      </c>
      <c r="C241" s="1">
        <f>IF(M14&gt;0,solrdat!C216,solrdat!J216)</f>
        <v>12.107972222222223</v>
      </c>
      <c r="D241" s="1">
        <f>IF(M14&gt;0,solrdat!D216,solrdat!K216)</f>
        <v>20.130024</v>
      </c>
      <c r="E241" s="1">
        <f>(TAN(RADIANS(L9))*SIN(RADIANS(D241))-SIN(RADIANS(L13))/COS(RADIANS(L9)))/COS(RADIANS(D241))</f>
        <v>-0.675551449781731</v>
      </c>
      <c r="F241" s="1">
        <f t="shared" si="6"/>
        <v>6.3337349202197135</v>
      </c>
      <c r="G241" s="4">
        <f>IF(E241&lt;-1,"Below",IF(E241&gt;1,"Above",INT(C241+C12-(DEGREES(ASIN(E241))+90)/15+5/600)))</f>
        <v>9</v>
      </c>
      <c r="H241" s="1" t="str">
        <f>IF(OR(E241&lt;-1,E241&gt;1),IF(M13&gt;0," Min."," Horz."),IF(INT((C241+C12-(DEGREES(ASIN(E241))+90)/15-G241)*60+1/2)&lt;10,":0"&amp;FIXED(INT((C241+C12-(DEGREES(ASIN(E241))+90)/15-G241)*60+1/2),0),":"&amp;FIXED(INT((C241+C12-(DEGREES(ASIN(E241))+90)/15-G241)*60+1/2),0)))</f>
        <v>:16</v>
      </c>
      <c r="I241" s="4">
        <f>IF(E241&lt;-1,"Below",IF(E241&gt;1,"Above",INT(C241+C12+(DEGREES(ASIN(E241))+90)/15+5/600)))</f>
        <v>15</v>
      </c>
      <c r="J241" s="1" t="str">
        <f>IF(OR(E241&lt;-1,E241&gt;1),IF(M13&gt;0," Min."," Horz."),IF(INT((C241+C12+(DEGREES(ASIN(E241))+90)/15-I241)*60+1/2)&lt;10,":0"&amp;FIXED(INT((C241+C12+(DEGREES(ASIN(E241))+90)/15-I241)*60+1/2),0),":"&amp;FIXED(INT((C241+C12+(DEGREES(ASIN(E241))+90)/15-I241)*60+1/2),0)))</f>
        <v>:36</v>
      </c>
      <c r="K241" s="1">
        <f>ROUND(DEGREES(ASIN(COS(RADIANS(D241))*COS(RADIANS(L9))+SIN(RADIANS(D241))*SIN(RADIANS(L9)))),0)</f>
        <v>70</v>
      </c>
      <c r="L241" s="1" t="s">
        <v>17</v>
      </c>
      <c r="M241" s="16">
        <f>IF(M14&gt;0,solrdat!B248,solrdat!I248)</f>
        <v>40047</v>
      </c>
      <c r="N241" s="1">
        <f>IF(M14&gt;0,solrdat!C248,solrdat!J248)</f>
        <v>12.046305555555556</v>
      </c>
      <c r="O241" s="1">
        <f>IF(M14&gt;0,solrdat!D248,solrdat!K248)</f>
        <v>11.537414</v>
      </c>
      <c r="P241" s="1">
        <f>(TAN(RADIANS(L9))*SIN(RADIANS(O241))-SIN(RADIANS(L13))/COS(RADIANS(L9)))/COS(RADIANS(O241))</f>
        <v>-0.7708106538003836</v>
      </c>
      <c r="Q241" s="1">
        <f t="shared" si="7"/>
        <v>5.276434564643312</v>
      </c>
      <c r="R241" s="4">
        <f>IF(P241&lt;-1,"Below",IF(P241&gt;1,"Above",INT(N241+C12-(DEGREES(ASIN(P241))+90)/15+5/600)))</f>
        <v>9</v>
      </c>
      <c r="S241" s="1" t="str">
        <f>IF(OR(P241&lt;-1,P241&gt;1),IF(M13&gt;0," Min."," Horz."),IF(INT((N241+C12-(DEGREES(ASIN(P241))+90)/15-R241)*60+1/2)&lt;10,":0"&amp;FIXED(INT((N241+C12-(DEGREES(ASIN(P241))+90)/15-R241)*60+1/2),0),":"&amp;FIXED(INT((N241+C12-(DEGREES(ASIN(P241))+90)/15-R241)*60+1/2),0)))</f>
        <v>:44</v>
      </c>
      <c r="T241" s="4">
        <f>IF(P241&lt;-1,"Below",IF(P241&gt;1,"Above",INT(N241+C12+(DEGREES(ASIN(P241))+90)/15+5/600)))</f>
        <v>15</v>
      </c>
      <c r="U241" s="1" t="str">
        <f>IF(OR(P241&lt;-1,P241&gt;1),IF(M13&gt;0," Min."," Horz."),IF(INT((N241+C12+(DEGREES(ASIN(P241))+90)/15-T241)*60+1/2)&lt;10,":0"&amp;FIXED(INT((N241+C12+(DEGREES(ASIN(P241))+90)/15-T241)*60+1/2),0),":"&amp;FIXED(INT((N241+C12+(DEGREES(ASIN(P241))+90)/15-T241)*60+1/2),0)))</f>
        <v>:01</v>
      </c>
      <c r="V241" s="1">
        <f>ROUND(DEGREES(ASIN(COS(RADIANS(O241))*COS(RADIANS(L9))+SIN(RADIANS(O241))*SIN(RADIANS(L9)))),0)</f>
        <v>62</v>
      </c>
      <c r="W241" s="1" t="s">
        <v>17</v>
      </c>
      <c r="X241" s="18"/>
    </row>
    <row r="242" spans="1:24" ht="10.5" customHeight="1">
      <c r="A242" s="1"/>
      <c r="B242" s="15">
        <f>IF(M14&gt;0,solrdat!B217,solrdat!I217)</f>
        <v>40017</v>
      </c>
      <c r="C242" s="1">
        <f>IF(M14&gt;0,solrdat!C217,solrdat!J217)</f>
        <v>12.108444444444444</v>
      </c>
      <c r="D242" s="1">
        <f>IF(M14&gt;0,solrdat!D217,solrdat!K217)</f>
        <v>19.924278</v>
      </c>
      <c r="E242" s="1">
        <f>(TAN(RADIANS(L9))*SIN(RADIANS(D242))-SIN(RADIANS(L13))/COS(RADIANS(L9)))/COS(RADIANS(D242))</f>
        <v>-0.6776789745320674</v>
      </c>
      <c r="F242" s="1">
        <f t="shared" si="6"/>
        <v>6.311661988014203</v>
      </c>
      <c r="G242" s="4">
        <f>IF(E242&lt;-1,"Below",IF(E242&gt;1,"Above",INT(C242+C12-(DEGREES(ASIN(E242))+90)/15+5/600)))</f>
        <v>9</v>
      </c>
      <c r="H242" s="1" t="str">
        <f>IF(OR(E242&lt;-1,E242&gt;1),IF(M13&gt;0," Min."," Horz."),IF(INT((C242+C12-(DEGREES(ASIN(E242))+90)/15-G242)*60+1/2)&lt;10,":0"&amp;FIXED(INT((C242+C12-(DEGREES(ASIN(E242))+90)/15-G242)*60+1/2),0),":"&amp;FIXED(INT((C242+C12-(DEGREES(ASIN(E242))+90)/15-G242)*60+1/2),0)))</f>
        <v>:17</v>
      </c>
      <c r="I242" s="4">
        <f>IF(E242&lt;-1,"Below",IF(E242&gt;1,"Above",INT(C242+C12+(DEGREES(ASIN(E242))+90)/15+5/600)))</f>
        <v>15</v>
      </c>
      <c r="J242" s="1" t="str">
        <f>IF(OR(E242&lt;-1,E242&gt;1),IF(M13&gt;0," Min."," Horz."),IF(INT((C242+C12+(DEGREES(ASIN(E242))+90)/15-I242)*60+1/2)&lt;10,":0"&amp;FIXED(INT((C242+C12+(DEGREES(ASIN(E242))+90)/15-I242)*60+1/2),0),":"&amp;FIXED(INT((C242+C12+(DEGREES(ASIN(E242))+90)/15-I242)*60+1/2),0)))</f>
        <v>:36</v>
      </c>
      <c r="K242" s="1">
        <f>ROUND(DEGREES(ASIN(COS(RADIANS(D242))*COS(RADIANS(L9))+SIN(RADIANS(D242))*SIN(RADIANS(L9)))),0)</f>
        <v>70</v>
      </c>
      <c r="L242" s="1" t="s">
        <v>17</v>
      </c>
      <c r="M242" s="16">
        <f>IF(M14&gt;0,solrdat!B249,solrdat!I249)</f>
        <v>40048</v>
      </c>
      <c r="N242" s="1">
        <f>IF(M14&gt;0,solrdat!C249,solrdat!J249)</f>
        <v>12.041972222222222</v>
      </c>
      <c r="O242" s="1">
        <f>IF(M14&gt;0,solrdat!D249,solrdat!K249)</f>
        <v>11.197624</v>
      </c>
      <c r="P242" s="1">
        <f>(TAN(RADIANS(L9))*SIN(RADIANS(O242))-SIN(RADIANS(L13))/COS(RADIANS(L9)))/COS(RADIANS(O242))</f>
        <v>-0.7748654597562671</v>
      </c>
      <c r="Q242" s="1">
        <f t="shared" si="7"/>
        <v>5.227621828738085</v>
      </c>
      <c r="R242" s="4">
        <f>IF(P242&lt;-1,"Below",IF(P242&gt;1,"Above",INT(N242+C12-(DEGREES(ASIN(P242))+90)/15+5/600)))</f>
        <v>9</v>
      </c>
      <c r="S242" s="1" t="str">
        <f>IF(OR(P242&lt;-1,P242&gt;1),IF(M13&gt;0," Min."," Horz."),IF(INT((N242+C12-(DEGREES(ASIN(P242))+90)/15-R242)*60+1/2)&lt;10,":0"&amp;FIXED(INT((N242+C12-(DEGREES(ASIN(P242))+90)/15-R242)*60+1/2),0),":"&amp;FIXED(INT((N242+C12-(DEGREES(ASIN(P242))+90)/15-R242)*60+1/2),0)))</f>
        <v>:46</v>
      </c>
      <c r="T242" s="4">
        <f>IF(P242&lt;-1,"Below",IF(P242&gt;1,"Above",INT(N242+C12+(DEGREES(ASIN(P242))+90)/15+5/600)))</f>
        <v>14</v>
      </c>
      <c r="U242" s="1" t="str">
        <f>IF(OR(P242&lt;-1,P242&gt;1),IF(M13&gt;0," Min."," Horz."),IF(INT((N242+C12+(DEGREES(ASIN(P242))+90)/15-T242)*60+1/2)&lt;10,":0"&amp;FIXED(INT((N242+C12+(DEGREES(ASIN(P242))+90)/15-T242)*60+1/2),0),":"&amp;FIXED(INT((N242+C12+(DEGREES(ASIN(P242))+90)/15-T242)*60+1/2),0)))</f>
        <v>:59</v>
      </c>
      <c r="V242" s="1">
        <f>ROUND(DEGREES(ASIN(COS(RADIANS(O242))*COS(RADIANS(L9))+SIN(RADIANS(O242))*SIN(RADIANS(L9)))),0)</f>
        <v>61</v>
      </c>
      <c r="W242" s="1" t="s">
        <v>17</v>
      </c>
      <c r="X242" s="18"/>
    </row>
    <row r="243" spans="1:24" ht="10.5" customHeight="1">
      <c r="A243" s="1"/>
      <c r="B243" s="15">
        <f>IF(M14&gt;0,solrdat!B218,solrdat!I218)</f>
        <v>40018</v>
      </c>
      <c r="C243" s="1">
        <f>IF(M14&gt;0,solrdat!C218,solrdat!J218)</f>
        <v>12.108777777777778</v>
      </c>
      <c r="D243" s="1">
        <f>IF(M14&gt;0,solrdat!D218,solrdat!K218)</f>
        <v>19.71301</v>
      </c>
      <c r="E243" s="1">
        <f>(TAN(RADIANS(L9))*SIN(RADIANS(D243))-SIN(RADIANS(L13))/COS(RADIANS(L9)))/COS(RADIANS(D243))</f>
        <v>-0.6798710018201386</v>
      </c>
      <c r="F243" s="1">
        <f t="shared" si="6"/>
        <v>6.288858200905275</v>
      </c>
      <c r="G243" s="4">
        <f>IF(E243&lt;-1,"Below",IF(E243&gt;1,"Above",INT(C243+C12-(DEGREES(ASIN(E243))+90)/15+5/600)))</f>
        <v>9</v>
      </c>
      <c r="H243" s="1" t="str">
        <f>IF(OR(E243&lt;-1,E243&gt;1),IF(M13&gt;0," Min."," Horz."),IF(INT((C243+C12-(DEGREES(ASIN(E243))+90)/15-G243)*60+1/2)&lt;10,":0"&amp;FIXED(INT((C243+C12-(DEGREES(ASIN(E243))+90)/15-G243)*60+1/2),0),":"&amp;FIXED(INT((C243+C12-(DEGREES(ASIN(E243))+90)/15-G243)*60+1/2),0)))</f>
        <v>:18</v>
      </c>
      <c r="I243" s="4">
        <f>IF(E243&lt;-1,"Below",IF(E243&gt;1,"Above",INT(C243+C12+(DEGREES(ASIN(E243))+90)/15+5/600)))</f>
        <v>15</v>
      </c>
      <c r="J243" s="1" t="str">
        <f>IF(OR(E243&lt;-1,E243&gt;1),IF(M13&gt;0," Min."," Horz."),IF(INT((C243+C12+(DEGREES(ASIN(E243))+90)/15-I243)*60+1/2)&lt;10,":0"&amp;FIXED(INT((C243+C12+(DEGREES(ASIN(E243))+90)/15-I243)*60+1/2),0),":"&amp;FIXED(INT((C243+C12+(DEGREES(ASIN(E243))+90)/15-I243)*60+1/2),0)))</f>
        <v>:35</v>
      </c>
      <c r="K243" s="1">
        <f>ROUND(DEGREES(ASIN(COS(RADIANS(D243))*COS(RADIANS(L9))+SIN(RADIANS(D243))*SIN(RADIANS(L9)))),0)</f>
        <v>70</v>
      </c>
      <c r="L243" s="1" t="s">
        <v>17</v>
      </c>
      <c r="M243" s="16">
        <f>IF(M14&gt;0,solrdat!B250,solrdat!I250)</f>
        <v>40049</v>
      </c>
      <c r="N243" s="1">
        <f>IF(M14&gt;0,solrdat!C250,solrdat!J250)</f>
        <v>12.037472222222222</v>
      </c>
      <c r="O243" s="1">
        <f>IF(M14&gt;0,solrdat!D250,solrdat!K250)</f>
        <v>10.854905</v>
      </c>
      <c r="P243" s="1">
        <f>(TAN(RADIANS(L9))*SIN(RADIANS(O243))-SIN(RADIANS(L13))/COS(RADIANS(L9)))/COS(RADIANS(O243))</f>
        <v>-0.7789790705610877</v>
      </c>
      <c r="Q243" s="1">
        <f t="shared" si="7"/>
        <v>5.177707349659443</v>
      </c>
      <c r="R243" s="4">
        <f>IF(P243&lt;-1,"Below",IF(P243&gt;1,"Above",INT(N243+C12-(DEGREES(ASIN(P243))+90)/15+5/600)))</f>
        <v>9</v>
      </c>
      <c r="S243" s="1" t="str">
        <f>IF(OR(P243&lt;-1,P243&gt;1),IF(M13&gt;0," Min."," Horz."),IF(INT((N243+C12-(DEGREES(ASIN(P243))+90)/15-R243)*60+1/2)&lt;10,":0"&amp;FIXED(INT((N243+C12-(DEGREES(ASIN(P243))+90)/15-R243)*60+1/2),0),":"&amp;FIXED(INT((N243+C12-(DEGREES(ASIN(P243))+90)/15-R243)*60+1/2),0)))</f>
        <v>:47</v>
      </c>
      <c r="T243" s="4">
        <f>IF(P243&lt;-1,"Below",IF(P243&gt;1,"Above",INT(N243+C12+(DEGREES(ASIN(P243))+90)/15+5/600)))</f>
        <v>14</v>
      </c>
      <c r="U243" s="1" t="str">
        <f>IF(OR(P243&lt;-1,P243&gt;1),IF(M13&gt;0," Min."," Horz."),IF(INT((N243+C12+(DEGREES(ASIN(P243))+90)/15-T243)*60+1/2)&lt;10,":0"&amp;FIXED(INT((N243+C12+(DEGREES(ASIN(P243))+90)/15-T243)*60+1/2),0),":"&amp;FIXED(INT((N243+C12+(DEGREES(ASIN(P243))+90)/15-T243)*60+1/2),0)))</f>
        <v>:58</v>
      </c>
      <c r="V243" s="1">
        <f>ROUND(DEGREES(ASIN(COS(RADIANS(O243))*COS(RADIANS(L9))+SIN(RADIANS(O243))*SIN(RADIANS(L9)))),0)</f>
        <v>61</v>
      </c>
      <c r="W243" s="1" t="s">
        <v>17</v>
      </c>
      <c r="X243" s="18"/>
    </row>
    <row r="244" spans="1:24" ht="10.5" customHeight="1">
      <c r="A244" s="1"/>
      <c r="B244" s="15">
        <f>IF(M14&gt;0,solrdat!B219,solrdat!I219)</f>
        <v>40019</v>
      </c>
      <c r="C244" s="1">
        <f>IF(M14&gt;0,solrdat!C219,solrdat!J219)</f>
        <v>12.108916666666667</v>
      </c>
      <c r="D244" s="1">
        <f>IF(M14&gt;0,solrdat!D219,solrdat!K219)</f>
        <v>19.496294</v>
      </c>
      <c r="E244" s="1">
        <f>(TAN(RADIANS(L9))*SIN(RADIANS(D244))-SIN(RADIANS(L13))/COS(RADIANS(L9)))/COS(RADIANS(D244))</f>
        <v>-0.6821273787520876</v>
      </c>
      <c r="F244" s="1">
        <f t="shared" si="6"/>
        <v>6.265318876571742</v>
      </c>
      <c r="G244" s="4">
        <f>IF(E244&lt;-1,"Below",IF(E244&gt;1,"Above",INT(C244+C12-(DEGREES(ASIN(E244))+90)/15+5/600)))</f>
        <v>9</v>
      </c>
      <c r="H244" s="1" t="str">
        <f>IF(OR(E244&lt;-1,E244&gt;1),IF(M13&gt;0," Min."," Horz."),IF(INT((C244+C12-(DEGREES(ASIN(E244))+90)/15-G244)*60+1/2)&lt;10,":0"&amp;FIXED(INT((C244+C12-(DEGREES(ASIN(E244))+90)/15-G244)*60+1/2),0),":"&amp;FIXED(INT((C244+C12-(DEGREES(ASIN(E244))+90)/15-G244)*60+1/2),0)))</f>
        <v>:19</v>
      </c>
      <c r="I244" s="4">
        <f>IF(E244&lt;-1,"Below",IF(E244&gt;1,"Above",INT(C244+C12+(DEGREES(ASIN(E244))+90)/15+5/600)))</f>
        <v>15</v>
      </c>
      <c r="J244" s="1" t="str">
        <f>IF(OR(E244&lt;-1,E244&gt;1),IF(M13&gt;0," Min."," Horz."),IF(INT((C244+C12+(DEGREES(ASIN(E244))+90)/15-I244)*60+1/2)&lt;10,":0"&amp;FIXED(INT((C244+C12+(DEGREES(ASIN(E244))+90)/15-I244)*60+1/2),0),":"&amp;FIXED(INT((C244+C12+(DEGREES(ASIN(E244))+90)/15-I244)*60+1/2),0)))</f>
        <v>:34</v>
      </c>
      <c r="K244" s="1">
        <f>ROUND(DEGREES(ASIN(COS(RADIANS(D244))*COS(RADIANS(L9))+SIN(RADIANS(D244))*SIN(RADIANS(L9)))),0)</f>
        <v>69</v>
      </c>
      <c r="L244" s="1" t="s">
        <v>17</v>
      </c>
      <c r="M244" s="16">
        <f>IF(M14&gt;0,solrdat!B251,solrdat!I251)</f>
        <v>40050</v>
      </c>
      <c r="N244" s="1">
        <f>IF(M14&gt;0,solrdat!C251,solrdat!J251)</f>
        <v>12.03288888888889</v>
      </c>
      <c r="O244" s="1">
        <f>IF(M14&gt;0,solrdat!D251,solrdat!K251)</f>
        <v>10.50935</v>
      </c>
      <c r="P244" s="1">
        <f>(TAN(RADIANS(L9))*SIN(RADIANS(O244))-SIN(RADIANS(L13))/COS(RADIANS(L9)))/COS(RADIANS(O244))</f>
        <v>-0.7831511871765544</v>
      </c>
      <c r="Q244" s="1">
        <f t="shared" si="7"/>
        <v>5.126665660670525</v>
      </c>
      <c r="R244" s="4">
        <f>IF(P244&lt;-1,"Below",IF(P244&gt;1,"Above",INT(N244+C12-(DEGREES(ASIN(P244))+90)/15+5/600)))</f>
        <v>9</v>
      </c>
      <c r="S244" s="1" t="str">
        <f>IF(OR(P244&lt;-1,P244&gt;1),IF(M13&gt;0," Min."," Horz."),IF(INT((N244+C12-(DEGREES(ASIN(P244))+90)/15-R244)*60+1/2)&lt;10,":0"&amp;FIXED(INT((N244+C12-(DEGREES(ASIN(P244))+90)/15-R244)*60+1/2),0),":"&amp;FIXED(INT((N244+C12-(DEGREES(ASIN(P244))+90)/15-R244)*60+1/2),0)))</f>
        <v>:48</v>
      </c>
      <c r="T244" s="4">
        <f>IF(P244&lt;-1,"Below",IF(P244&gt;1,"Above",INT(N244+C12+(DEGREES(ASIN(P244))+90)/15+5/600)))</f>
        <v>14</v>
      </c>
      <c r="U244" s="1" t="str">
        <f>IF(OR(P244&lt;-1,P244&gt;1),IF(M13&gt;0," Min."," Horz."),IF(INT((N244+C12+(DEGREES(ASIN(P244))+90)/15-T244)*60+1/2)&lt;10,":0"&amp;FIXED(INT((N244+C12+(DEGREES(ASIN(P244))+90)/15-T244)*60+1/2),0),":"&amp;FIXED(INT((N244+C12+(DEGREES(ASIN(P244))+90)/15-T244)*60+1/2),0)))</f>
        <v>:56</v>
      </c>
      <c r="V244" s="1">
        <f>ROUND(DEGREES(ASIN(COS(RADIANS(O244))*COS(RADIANS(L9))+SIN(RADIANS(O244))*SIN(RADIANS(L9)))),0)</f>
        <v>61</v>
      </c>
      <c r="W244" s="1" t="s">
        <v>17</v>
      </c>
      <c r="X244" s="18"/>
    </row>
    <row r="245" spans="1:24" ht="10.5" customHeight="1">
      <c r="A245" s="1"/>
      <c r="B245" s="15">
        <f>IF(M14&gt;0,solrdat!B220,solrdat!I220)</f>
        <v>40020</v>
      </c>
      <c r="C245" s="1">
        <f>IF(M14&gt;0,solrdat!C220,solrdat!J220)</f>
        <v>12.108888888888888</v>
      </c>
      <c r="D245" s="1">
        <f>IF(M14&gt;0,solrdat!D220,solrdat!K220)</f>
        <v>19.274207</v>
      </c>
      <c r="E245" s="1">
        <f>(TAN(RADIANS(L9))*SIN(RADIANS(D245))-SIN(RADIANS(L13))/COS(RADIANS(L9)))/COS(RADIANS(D245))</f>
        <v>-0.6844479305648308</v>
      </c>
      <c r="F245" s="1">
        <f t="shared" si="6"/>
        <v>6.2410392704885975</v>
      </c>
      <c r="G245" s="4">
        <f>IF(E245&lt;-1,"Below",IF(E245&gt;1,"Above",INT(C245+C12-(DEGREES(ASIN(E245))+90)/15+5/600)))</f>
        <v>9</v>
      </c>
      <c r="H245" s="1" t="str">
        <f>IF(OR(E245&lt;-1,E245&gt;1),IF(M13&gt;0," Min."," Horz."),IF(INT((C245+C12-(DEGREES(ASIN(E245))+90)/15-G245)*60+1/2)&lt;10,":0"&amp;FIXED(INT((C245+C12-(DEGREES(ASIN(E245))+90)/15-G245)*60+1/2),0),":"&amp;FIXED(INT((C245+C12-(DEGREES(ASIN(E245))+90)/15-G245)*60+1/2),0)))</f>
        <v>:19</v>
      </c>
      <c r="I245" s="4">
        <f>IF(E245&lt;-1,"Below",IF(E245&gt;1,"Above",INT(C245+C12+(DEGREES(ASIN(E245))+90)/15+5/600)))</f>
        <v>15</v>
      </c>
      <c r="J245" s="1" t="str">
        <f>IF(OR(E245&lt;-1,E245&gt;1),IF(M13&gt;0," Min."," Horz."),IF(INT((C245+C12+(DEGREES(ASIN(E245))+90)/15-I245)*60+1/2)&lt;10,":0"&amp;FIXED(INT((C245+C12+(DEGREES(ASIN(E245))+90)/15-I245)*60+1/2),0),":"&amp;FIXED(INT((C245+C12+(DEGREES(ASIN(E245))+90)/15-I245)*60+1/2),0)))</f>
        <v>:34</v>
      </c>
      <c r="K245" s="1">
        <f>ROUND(DEGREES(ASIN(COS(RADIANS(D245))*COS(RADIANS(L9))+SIN(RADIANS(D245))*SIN(RADIANS(L9)))),0)</f>
        <v>69</v>
      </c>
      <c r="L245" s="1" t="s">
        <v>17</v>
      </c>
      <c r="M245" s="16">
        <f>IF(M14&gt;0,solrdat!B252,solrdat!I252)</f>
        <v>40051</v>
      </c>
      <c r="N245" s="1">
        <f>IF(M14&gt;0,solrdat!C252,solrdat!J252)</f>
        <v>12.028166666666667</v>
      </c>
      <c r="O245" s="1">
        <f>IF(M14&gt;0,solrdat!D252,solrdat!K252)</f>
        <v>10.16105</v>
      </c>
      <c r="P245" s="1">
        <f>(TAN(RADIANS(L9))*SIN(RADIANS(O245))-SIN(RADIANS(L13))/COS(RADIANS(L9)))/COS(RADIANS(O245))</f>
        <v>-0.7873815279208748</v>
      </c>
      <c r="Q245" s="1">
        <f t="shared" si="7"/>
        <v>5.074469316687925</v>
      </c>
      <c r="R245" s="4">
        <f>IF(P245&lt;-1,"Below",IF(P245&gt;1,"Above",INT(N245+C12-(DEGREES(ASIN(P245))+90)/15+5/600)))</f>
        <v>9</v>
      </c>
      <c r="S245" s="1" t="str">
        <f>IF(OR(P245&lt;-1,P245&gt;1),IF(M13&gt;0," Min."," Horz."),IF(INT((N245+C12-(DEGREES(ASIN(P245))+90)/15-R245)*60+1/2)&lt;10,":0"&amp;FIXED(INT((N245+C12-(DEGREES(ASIN(P245))+90)/15-R245)*60+1/2),0),":"&amp;FIXED(INT((N245+C12-(DEGREES(ASIN(P245))+90)/15-R245)*60+1/2),0)))</f>
        <v>:49</v>
      </c>
      <c r="T245" s="4">
        <f>IF(P245&lt;-1,"Below",IF(P245&gt;1,"Above",INT(N245+C12+(DEGREES(ASIN(P245))+90)/15+5/600)))</f>
        <v>14</v>
      </c>
      <c r="U245" s="1" t="str">
        <f>IF(OR(P245&lt;-1,P245&gt;1),IF(M13&gt;0," Min."," Horz."),IF(INT((N245+C12+(DEGREES(ASIN(P245))+90)/15-T245)*60+1/2)&lt;10,":0"&amp;FIXED(INT((N245+C12+(DEGREES(ASIN(P245))+90)/15-T245)*60+1/2),0),":"&amp;FIXED(INT((N245+C12+(DEGREES(ASIN(P245))+90)/15-T245)*60+1/2),0)))</f>
        <v>:54</v>
      </c>
      <c r="V245" s="1">
        <f>ROUND(DEGREES(ASIN(COS(RADIANS(O245))*COS(RADIANS(L9))+SIN(RADIANS(O245))*SIN(RADIANS(L9)))),0)</f>
        <v>60</v>
      </c>
      <c r="W245" s="1" t="s">
        <v>17</v>
      </c>
      <c r="X245" s="18"/>
    </row>
    <row r="246" spans="1:24" ht="10.5" customHeight="1">
      <c r="A246" s="1"/>
      <c r="B246" s="15">
        <f>IF(M14&gt;0,solrdat!B221,solrdat!I221)</f>
        <v>40021</v>
      </c>
      <c r="C246" s="1">
        <f>IF(M14&gt;0,solrdat!C221,solrdat!J221)</f>
        <v>12.108722222222223</v>
      </c>
      <c r="D246" s="1">
        <f>IF(M14&gt;0,solrdat!D221,solrdat!K221)</f>
        <v>19.046828</v>
      </c>
      <c r="E246" s="1">
        <f>(TAN(RADIANS(L9))*SIN(RADIANS(D246))-SIN(RADIANS(L13))/COS(RADIANS(L9)))/COS(RADIANS(D246))</f>
        <v>-0.6868324701878437</v>
      </c>
      <c r="F246" s="1">
        <f t="shared" si="6"/>
        <v>6.216014466663399</v>
      </c>
      <c r="G246" s="4">
        <f>IF(E246&lt;-1,"Below",IF(E246&gt;1,"Above",INT(C246+C12-(DEGREES(ASIN(E246))+90)/15+5/600)))</f>
        <v>9</v>
      </c>
      <c r="H246" s="1" t="str">
        <f>IF(OR(E246&lt;-1,E246&gt;1),IF(M13&gt;0," Min."," Horz."),IF(INT((C246+C12-(DEGREES(ASIN(E246))+90)/15-G246)*60+1/2)&lt;10,":0"&amp;FIXED(INT((C246+C12-(DEGREES(ASIN(E246))+90)/15-G246)*60+1/2),0),":"&amp;FIXED(INT((C246+C12-(DEGREES(ASIN(E246))+90)/15-G246)*60+1/2),0)))</f>
        <v>:20</v>
      </c>
      <c r="I246" s="4">
        <f>IF(E246&lt;-1,"Below",IF(E246&gt;1,"Above",INT(C246+C12+(DEGREES(ASIN(E246))+90)/15+5/600)))</f>
        <v>15</v>
      </c>
      <c r="J246" s="1" t="str">
        <f>IF(OR(E246&lt;-1,E246&gt;1),IF(M13&gt;0," Min."," Horz."),IF(INT((C246+C12+(DEGREES(ASIN(E246))+90)/15-I246)*60+1/2)&lt;10,":0"&amp;FIXED(INT((C246+C12+(DEGREES(ASIN(E246))+90)/15-I246)*60+1/2),0),":"&amp;FIXED(INT((C246+C12+(DEGREES(ASIN(E246))+90)/15-I246)*60+1/2),0)))</f>
        <v>:33</v>
      </c>
      <c r="K246" s="1">
        <f>ROUND(DEGREES(ASIN(COS(RADIANS(D246))*COS(RADIANS(L9))+SIN(RADIANS(D246))*SIN(RADIANS(L9)))),0)</f>
        <v>69</v>
      </c>
      <c r="L246" s="1" t="s">
        <v>17</v>
      </c>
      <c r="M246" s="16">
        <f>IF(M14&gt;0,solrdat!B253,solrdat!I253)</f>
        <v>40052</v>
      </c>
      <c r="N246" s="1">
        <f>IF(M14&gt;0,solrdat!C253,solrdat!J253)</f>
        <v>12.023361111111111</v>
      </c>
      <c r="O246" s="1">
        <f>IF(M14&gt;0,solrdat!D253,solrdat!K253)</f>
        <v>9.810096</v>
      </c>
      <c r="P246" s="1">
        <f>(TAN(RADIANS(L9))*SIN(RADIANS(O246))-SIN(RADIANS(L13))/COS(RADIANS(L9)))/COS(RADIANS(O246))</f>
        <v>-0.7916698041390212</v>
      </c>
      <c r="Q246" s="1">
        <f t="shared" si="7"/>
        <v>5.021089036010638</v>
      </c>
      <c r="R246" s="4">
        <f>IF(P246&lt;-1,"Below",IF(P246&gt;1,"Above",INT(N246+C12-(DEGREES(ASIN(P246))+90)/15+5/600)))</f>
        <v>9</v>
      </c>
      <c r="S246" s="1" t="str">
        <f>IF(OR(P246&lt;-1,P246&gt;1),IF(M13&gt;0," Min."," Horz."),IF(INT((N246+C12-(DEGREES(ASIN(P246))+90)/15-R246)*60+1/2)&lt;10,":0"&amp;FIXED(INT((N246+C12-(DEGREES(ASIN(P246))+90)/15-R246)*60+1/2),0),":"&amp;FIXED(INT((N246+C12-(DEGREES(ASIN(P246))+90)/15-R246)*60+1/2),0)))</f>
        <v>:51</v>
      </c>
      <c r="T246" s="4">
        <f>IF(P246&lt;-1,"Below",IF(P246&gt;1,"Above",INT(N246+C12+(DEGREES(ASIN(P246))+90)/15+5/600)))</f>
        <v>14</v>
      </c>
      <c r="U246" s="1" t="str">
        <f>IF(OR(P246&lt;-1,P246&gt;1),IF(M13&gt;0," Min."," Horz."),IF(INT((N246+C12+(DEGREES(ASIN(P246))+90)/15-T246)*60+1/2)&lt;10,":0"&amp;FIXED(INT((N246+C12+(DEGREES(ASIN(P246))+90)/15-T246)*60+1/2),0),":"&amp;FIXED(INT((N246+C12+(DEGREES(ASIN(P246))+90)/15-T246)*60+1/2),0)))</f>
        <v>:52</v>
      </c>
      <c r="V246" s="1">
        <f>ROUND(DEGREES(ASIN(COS(RADIANS(O246))*COS(RADIANS(L9))+SIN(RADIANS(O246))*SIN(RADIANS(L9)))),0)</f>
        <v>60</v>
      </c>
      <c r="W246" s="1" t="s">
        <v>17</v>
      </c>
      <c r="X246" s="18"/>
    </row>
    <row r="247" spans="1:24" ht="10.5" customHeight="1">
      <c r="A247" s="1"/>
      <c r="B247" s="15">
        <f>IF(M14&gt;0,solrdat!B222,solrdat!I222)</f>
        <v>40022</v>
      </c>
      <c r="C247" s="1">
        <f>IF(M14&gt;0,solrdat!C222,solrdat!J222)</f>
        <v>12.108361111111112</v>
      </c>
      <c r="D247" s="1">
        <f>IF(M14&gt;0,solrdat!D222,solrdat!K222)</f>
        <v>18.814237</v>
      </c>
      <c r="E247" s="1">
        <f>(TAN(RADIANS(L9))*SIN(RADIANS(D247))-SIN(RADIANS(L13))/COS(RADIANS(L9)))/COS(RADIANS(D247))</f>
        <v>-0.6892808080065989</v>
      </c>
      <c r="F247" s="1">
        <f t="shared" si="6"/>
        <v>6.1902392638638775</v>
      </c>
      <c r="G247" s="4">
        <f>IF(E247&lt;-1,"Below",IF(E247&gt;1,"Above",INT(C247+C12-(DEGREES(ASIN(E247))+90)/15+5/600)))</f>
        <v>9</v>
      </c>
      <c r="H247" s="1" t="str">
        <f>IF(OR(E247&lt;-1,E247&gt;1),IF(M13&gt;0," Min."," Horz."),IF(INT((C247+C12-(DEGREES(ASIN(E247))+90)/15-G247)*60+1/2)&lt;10,":0"&amp;FIXED(INT((C247+C12-(DEGREES(ASIN(E247))+90)/15-G247)*60+1/2),0),":"&amp;FIXED(INT((C247+C12-(DEGREES(ASIN(E247))+90)/15-G247)*60+1/2),0)))</f>
        <v>:21</v>
      </c>
      <c r="I247" s="4">
        <f>IF(E247&lt;-1,"Below",IF(E247&gt;1,"Above",INT(C247+C12+(DEGREES(ASIN(E247))+90)/15+5/600)))</f>
        <v>15</v>
      </c>
      <c r="J247" s="1" t="str">
        <f>IF(OR(E247&lt;-1,E247&gt;1),IF(M13&gt;0," Min."," Horz."),IF(INT((C247+C12+(DEGREES(ASIN(E247))+90)/15-I247)*60+1/2)&lt;10,":0"&amp;FIXED(INT((C247+C12+(DEGREES(ASIN(E247))+90)/15-I247)*60+1/2),0),":"&amp;FIXED(INT((C247+C12+(DEGREES(ASIN(E247))+90)/15-I247)*60+1/2),0)))</f>
        <v>:32</v>
      </c>
      <c r="K247" s="1">
        <f>ROUND(DEGREES(ASIN(COS(RADIANS(D247))*COS(RADIANS(L9))+SIN(RADIANS(D247))*SIN(RADIANS(L9)))),0)</f>
        <v>69</v>
      </c>
      <c r="L247" s="1" t="s">
        <v>17</v>
      </c>
      <c r="M247" s="16">
        <f>IF(M14&gt;0,solrdat!B254,solrdat!I254)</f>
        <v>40053</v>
      </c>
      <c r="N247" s="1">
        <f>IF(M14&gt;0,solrdat!C254,solrdat!J254)</f>
        <v>12.018444444444444</v>
      </c>
      <c r="O247" s="1">
        <f>IF(M14&gt;0,solrdat!D254,solrdat!K254)</f>
        <v>9.456579</v>
      </c>
      <c r="P247" s="1">
        <f>(TAN(RADIANS(L9))*SIN(RADIANS(O247))-SIN(RADIANS(L13))/COS(RADIANS(L9)))/COS(RADIANS(O247))</f>
        <v>-0.7960157196592843</v>
      </c>
      <c r="Q247" s="1">
        <f t="shared" si="7"/>
        <v>4.9664935397614345</v>
      </c>
      <c r="R247" s="4">
        <f>IF(P247&lt;-1,"Below",IF(P247&gt;1,"Above",INT(N247+C12-(DEGREES(ASIN(P247))+90)/15+5/600)))</f>
        <v>9</v>
      </c>
      <c r="S247" s="1" t="str">
        <f>IF(OR(P247&lt;-1,P247&gt;1),IF(M13&gt;0," Min."," Horz."),IF(INT((N247+C12-(DEGREES(ASIN(P247))+90)/15-R247)*60+1/2)&lt;10,":0"&amp;FIXED(INT((N247+C12-(DEGREES(ASIN(P247))+90)/15-R247)*60+1/2),0),":"&amp;FIXED(INT((N247+C12-(DEGREES(ASIN(P247))+90)/15-R247)*60+1/2),0)))</f>
        <v>:52</v>
      </c>
      <c r="T247" s="4">
        <f>IF(P247&lt;-1,"Below",IF(P247&gt;1,"Above",INT(N247+C12+(DEGREES(ASIN(P247))+90)/15+5/600)))</f>
        <v>14</v>
      </c>
      <c r="U247" s="1" t="str">
        <f>IF(OR(P247&lt;-1,P247&gt;1),IF(M13&gt;0," Min."," Horz."),IF(INT((N247+C12+(DEGREES(ASIN(P247))+90)/15-T247)*60+1/2)&lt;10,":0"&amp;FIXED(INT((N247+C12+(DEGREES(ASIN(P247))+90)/15-T247)*60+1/2),0),":"&amp;FIXED(INT((N247+C12+(DEGREES(ASIN(P247))+90)/15-T247)*60+1/2),0)))</f>
        <v>:50</v>
      </c>
      <c r="V247" s="1">
        <f>ROUND(DEGREES(ASIN(COS(RADIANS(O247))*COS(RADIANS(L9))+SIN(RADIANS(O247))*SIN(RADIANS(L9)))),0)</f>
        <v>59</v>
      </c>
      <c r="W247" s="1" t="s">
        <v>17</v>
      </c>
      <c r="X247" s="18"/>
    </row>
    <row r="248" spans="1:24" ht="10.5" customHeight="1">
      <c r="A248" s="1"/>
      <c r="B248" s="15">
        <f>IF(M14&gt;0,solrdat!B223,solrdat!I223)</f>
        <v>40023</v>
      </c>
      <c r="C248" s="1">
        <f>IF(M14&gt;0,solrdat!C223,solrdat!J223)</f>
        <v>12.107805555555556</v>
      </c>
      <c r="D248" s="1">
        <f>IF(M14&gt;0,solrdat!D223,solrdat!K223)</f>
        <v>18.576513</v>
      </c>
      <c r="E248" s="1">
        <f>(TAN(RADIANS(L9))*SIN(RADIANS(D248))-SIN(RADIANS(L13))/COS(RADIANS(L9)))/COS(RADIANS(D248))</f>
        <v>-0.691792772436666</v>
      </c>
      <c r="F248" s="1">
        <f t="shared" si="6"/>
        <v>6.163707944744655</v>
      </c>
      <c r="G248" s="4">
        <f>IF(E248&lt;-1,"Below",IF(E248&gt;1,"Above",INT(C248+C12-(DEGREES(ASIN(E248))+90)/15+5/600)))</f>
        <v>9</v>
      </c>
      <c r="H248" s="1" t="str">
        <f>IF(OR(E248&lt;-1,E248&gt;1),IF(M13&gt;0," Min."," Horz."),IF(INT((C248+C12-(DEGREES(ASIN(E248))+90)/15-G248)*60+1/2)&lt;10,":0"&amp;FIXED(INT((C248+C12-(DEGREES(ASIN(E248))+90)/15-G248)*60+1/2),0),":"&amp;FIXED(INT((C248+C12-(DEGREES(ASIN(E248))+90)/15-G248)*60+1/2),0)))</f>
        <v>:22</v>
      </c>
      <c r="I248" s="4">
        <f>IF(E248&lt;-1,"Below",IF(E248&gt;1,"Above",INT(C248+C12+(DEGREES(ASIN(E248))+90)/15+5/600)))</f>
        <v>15</v>
      </c>
      <c r="J248" s="1" t="str">
        <f>IF(OR(E248&lt;-1,E248&gt;1),IF(M13&gt;0," Min."," Horz."),IF(INT((C248+C12+(DEGREES(ASIN(E248))+90)/15-I248)*60+1/2)&lt;10,":0"&amp;FIXED(INT((C248+C12+(DEGREES(ASIN(E248))+90)/15-I248)*60+1/2),0),":"&amp;FIXED(INT((C248+C12+(DEGREES(ASIN(E248))+90)/15-I248)*60+1/2),0)))</f>
        <v>:31</v>
      </c>
      <c r="K248" s="1">
        <f>ROUND(DEGREES(ASIN(COS(RADIANS(D248))*COS(RADIANS(L9))+SIN(RADIANS(D248))*SIN(RADIANS(L9)))),0)</f>
        <v>69</v>
      </c>
      <c r="L248" s="1" t="s">
        <v>17</v>
      </c>
      <c r="M248" s="16">
        <f>IF(M14&gt;0,solrdat!B255,solrdat!I255)</f>
        <v>40054</v>
      </c>
      <c r="N248" s="1">
        <f>IF(M14&gt;0,solrdat!C255,solrdat!J255)</f>
        <v>12.013388888888889</v>
      </c>
      <c r="O248" s="1">
        <f>IF(M14&gt;0,solrdat!D255,solrdat!K255)</f>
        <v>9.100588</v>
      </c>
      <c r="P248" s="1">
        <f>(TAN(RADIANS(L9))*SIN(RADIANS(O248))-SIN(RADIANS(L13))/COS(RADIANS(L9)))/COS(RADIANS(O248))</f>
        <v>-0.8004189950523815</v>
      </c>
      <c r="Q248" s="1">
        <f t="shared" si="7"/>
        <v>4.910649055710668</v>
      </c>
      <c r="R248" s="4">
        <f>IF(P248&lt;-1,"Below",IF(P248&gt;1,"Above",INT(N248+C12-(DEGREES(ASIN(P248))+90)/15+5/600)))</f>
        <v>9</v>
      </c>
      <c r="S248" s="1" t="str">
        <f>IF(OR(P248&lt;-1,P248&gt;1),IF(M13&gt;0," Min."," Horz."),IF(INT((N248+C12-(DEGREES(ASIN(P248))+90)/15-R248)*60+1/2)&lt;10,":0"&amp;FIXED(INT((N248+C12-(DEGREES(ASIN(P248))+90)/15-R248)*60+1/2),0),":"&amp;FIXED(INT((N248+C12-(DEGREES(ASIN(P248))+90)/15-R248)*60+1/2),0)))</f>
        <v>:53</v>
      </c>
      <c r="T248" s="4">
        <f>IF(P248&lt;-1,"Below",IF(P248&gt;1,"Above",INT(N248+C12+(DEGREES(ASIN(P248))+90)/15+5/600)))</f>
        <v>14</v>
      </c>
      <c r="U248" s="1" t="str">
        <f>IF(OR(P248&lt;-1,P248&gt;1),IF(M13&gt;0," Min."," Horz."),IF(INT((N248+C12+(DEGREES(ASIN(P248))+90)/15-T248)*60+1/2)&lt;10,":0"&amp;FIXED(INT((N248+C12+(DEGREES(ASIN(P248))+90)/15-T248)*60+1/2),0),":"&amp;FIXED(INT((N248+C12+(DEGREES(ASIN(P248))+90)/15-T248)*60+1/2),0)))</f>
        <v>:48</v>
      </c>
      <c r="V248" s="1">
        <f>ROUND(DEGREES(ASIN(COS(RADIANS(O248))*COS(RADIANS(L9))+SIN(RADIANS(O248))*SIN(RADIANS(L9)))),0)</f>
        <v>59</v>
      </c>
      <c r="W248" s="1" t="s">
        <v>17</v>
      </c>
      <c r="X248" s="18"/>
    </row>
    <row r="249" spans="1:24" ht="10.5" customHeight="1">
      <c r="A249" s="1"/>
      <c r="B249" s="15">
        <f>IF(M14&gt;0,solrdat!B224,solrdat!I224)</f>
        <v>40024</v>
      </c>
      <c r="C249" s="1">
        <f>IF(M14&gt;0,solrdat!C224,solrdat!J224)</f>
        <v>12.107111111111111</v>
      </c>
      <c r="D249" s="1">
        <f>IF(M14&gt;0,solrdat!D224,solrdat!K224)</f>
        <v>18.333736</v>
      </c>
      <c r="E249" s="1">
        <f>(TAN(RADIANS(L9))*SIN(RADIANS(D249))-SIN(RADIANS(L13))/COS(RADIANS(L9)))/COS(RADIANS(D249))</f>
        <v>-0.694368188478276</v>
      </c>
      <c r="F249" s="1">
        <f t="shared" si="6"/>
        <v>6.136414485624013</v>
      </c>
      <c r="G249" s="4">
        <f>IF(E249&lt;-1,"Below",IF(E249&gt;1,"Above",INT(C249+C12-(DEGREES(ASIN(E249))+90)/15+5/600)))</f>
        <v>9</v>
      </c>
      <c r="H249" s="1" t="str">
        <f>IF(OR(E249&lt;-1,E249&gt;1),IF(M13&gt;0," Min."," Horz."),IF(INT((C249+C12-(DEGREES(ASIN(E249))+90)/15-G249)*60+1/2)&lt;10,":0"&amp;FIXED(INT((C249+C12-(DEGREES(ASIN(E249))+90)/15-G249)*60+1/2),0),":"&amp;FIXED(INT((C249+C12-(DEGREES(ASIN(E249))+90)/15-G249)*60+1/2),0)))</f>
        <v>:22</v>
      </c>
      <c r="I249" s="4">
        <f>IF(E249&lt;-1,"Below",IF(E249&gt;1,"Above",INT(C249+C12+(DEGREES(ASIN(E249))+90)/15+5/600)))</f>
        <v>15</v>
      </c>
      <c r="J249" s="1" t="str">
        <f>IF(OR(E249&lt;-1,E249&gt;1),IF(M13&gt;0," Min."," Horz."),IF(INT((C249+C12+(DEGREES(ASIN(E249))+90)/15-I249)*60+1/2)&lt;10,":0"&amp;FIXED(INT((C249+C12+(DEGREES(ASIN(E249))+90)/15-I249)*60+1/2),0),":"&amp;FIXED(INT((C249+C12+(DEGREES(ASIN(E249))+90)/15-I249)*60+1/2),0)))</f>
        <v>:31</v>
      </c>
      <c r="K249" s="1">
        <f>ROUND(DEGREES(ASIN(COS(RADIANS(D249))*COS(RADIANS(L9))+SIN(RADIANS(D249))*SIN(RADIANS(L9)))),0)</f>
        <v>68</v>
      </c>
      <c r="L249" s="1" t="s">
        <v>17</v>
      </c>
      <c r="M249" s="16">
        <f>IF(M14&gt;0,solrdat!B256,solrdat!I256)</f>
        <v>40055</v>
      </c>
      <c r="N249" s="1">
        <f>IF(M14&gt;0,solrdat!C256,solrdat!J256)</f>
        <v>12.008277777777778</v>
      </c>
      <c r="O249" s="1">
        <f>IF(M14&gt;0,solrdat!D256,solrdat!K256)</f>
        <v>8.742209</v>
      </c>
      <c r="P249" s="1">
        <f>(TAN(RADIANS(L9))*SIN(RADIANS(O249))-SIN(RADIANS(L13))/COS(RADIANS(L9)))/COS(RADIANS(O249))</f>
        <v>-0.8048793803238155</v>
      </c>
      <c r="Q249" s="1">
        <f t="shared" si="7"/>
        <v>4.853518929377201</v>
      </c>
      <c r="R249" s="4">
        <f>IF(P249&lt;-1,"Below",IF(P249&gt;1,"Above",INT(N249+C12-(DEGREES(ASIN(P249))+90)/15+5/600)))</f>
        <v>9</v>
      </c>
      <c r="S249" s="1" t="str">
        <f>IF(OR(P249&lt;-1,P249&gt;1),IF(M13&gt;0," Min."," Horz."),IF(INT((N249+C12-(DEGREES(ASIN(P249))+90)/15-R249)*60+1/2)&lt;10,":0"&amp;FIXED(INT((N249+C12-(DEGREES(ASIN(P249))+90)/15-R249)*60+1/2),0),":"&amp;FIXED(INT((N249+C12-(DEGREES(ASIN(P249))+90)/15-R249)*60+1/2),0)))</f>
        <v>:55</v>
      </c>
      <c r="T249" s="4">
        <f>IF(P249&lt;-1,"Below",IF(P249&gt;1,"Above",INT(N249+C12+(DEGREES(ASIN(P249))+90)/15+5/600)))</f>
        <v>14</v>
      </c>
      <c r="U249" s="1" t="str">
        <f>IF(OR(P249&lt;-1,P249&gt;1),IF(M13&gt;0," Min."," Horz."),IF(INT((N249+C12+(DEGREES(ASIN(P249))+90)/15-T249)*60+1/2)&lt;10,":0"&amp;FIXED(INT((N249+C12+(DEGREES(ASIN(P249))+90)/15-T249)*60+1/2),0),":"&amp;FIXED(INT((N249+C12+(DEGREES(ASIN(P249))+90)/15-T249)*60+1/2),0)))</f>
        <v>:46</v>
      </c>
      <c r="V249" s="1">
        <f>ROUND(DEGREES(ASIN(COS(RADIANS(O249))*COS(RADIANS(L9))+SIN(RADIANS(O249))*SIN(RADIANS(L9)))),0)</f>
        <v>59</v>
      </c>
      <c r="W249" s="1" t="s">
        <v>17</v>
      </c>
      <c r="X249" s="18"/>
    </row>
    <row r="250" spans="1:24" ht="10.5" customHeight="1">
      <c r="A250" s="1"/>
      <c r="B250" s="15">
        <f>IF(M14&gt;0,solrdat!B225,solrdat!I225)</f>
        <v>40025</v>
      </c>
      <c r="C250" s="1">
        <f>IF(M14&gt;0,solrdat!C225,solrdat!J225)</f>
        <v>12.106222222222222</v>
      </c>
      <c r="D250" s="1">
        <f>IF(M14&gt;0,solrdat!D225,solrdat!K225)</f>
        <v>18.085986</v>
      </c>
      <c r="E250" s="1">
        <f>(TAN(RADIANS(L9))*SIN(RADIANS(D250))-SIN(RADIANS(L13))/COS(RADIANS(L9)))/COS(RADIANS(D250))</f>
        <v>-0.6970068877960492</v>
      </c>
      <c r="F250" s="1">
        <f t="shared" si="6"/>
        <v>6.108352433820027</v>
      </c>
      <c r="G250" s="4">
        <f>IF(E250&lt;-1,"Below",IF(E250&gt;1,"Above",INT(C250+C12-(DEGREES(ASIN(E250))+90)/15+5/600)))</f>
        <v>9</v>
      </c>
      <c r="H250" s="1" t="str">
        <f>IF(OR(E250&lt;-1,E250&gt;1),IF(M13&gt;0," Min."," Horz."),IF(INT((C250+C12-(DEGREES(ASIN(E250))+90)/15-G250)*60+1/2)&lt;10,":0"&amp;FIXED(INT((C250+C12-(DEGREES(ASIN(E250))+90)/15-G250)*60+1/2),0),":"&amp;FIXED(INT((C250+C12-(DEGREES(ASIN(E250))+90)/15-G250)*60+1/2),0)))</f>
        <v>:23</v>
      </c>
      <c r="I250" s="4">
        <f>IF(E250&lt;-1,"Below",IF(E250&gt;1,"Above",INT(C250+C12+(DEGREES(ASIN(E250))+90)/15+5/600)))</f>
        <v>15</v>
      </c>
      <c r="J250" s="1" t="str">
        <f>IF(OR(E250&lt;-1,E250&gt;1),IF(M13&gt;0," Min."," Horz."),IF(INT((C250+C12+(DEGREES(ASIN(E250))+90)/15-I250)*60+1/2)&lt;10,":0"&amp;FIXED(INT((C250+C12+(DEGREES(ASIN(E250))+90)/15-I250)*60+1/2),0),":"&amp;FIXED(INT((C250+C12+(DEGREES(ASIN(E250))+90)/15-I250)*60+1/2),0)))</f>
        <v>:30</v>
      </c>
      <c r="K250" s="1">
        <f>ROUND(DEGREES(ASIN(COS(RADIANS(D250))*COS(RADIANS(L9))+SIN(RADIANS(D250))*SIN(RADIANS(L9)))),0)</f>
        <v>68</v>
      </c>
      <c r="L250" s="1" t="s">
        <v>17</v>
      </c>
      <c r="M250" s="16">
        <f>IF(M14&gt;0,solrdat!B257,solrdat!I257)</f>
        <v>40056</v>
      </c>
      <c r="N250" s="1">
        <f>IF(M14&gt;0,solrdat!C257,solrdat!J257)</f>
        <v>12.003055555555555</v>
      </c>
      <c r="O250" s="1">
        <f>IF(M14&gt;0,solrdat!D257,solrdat!K257)</f>
        <v>8.38153</v>
      </c>
      <c r="P250" s="1">
        <f>(TAN(RADIANS(L9))*SIN(RADIANS(O250))-SIN(RADIANS(L13))/COS(RADIANS(L9)))/COS(RADIANS(O250))</f>
        <v>-0.809396592721586</v>
      </c>
      <c r="Q250" s="1">
        <f t="shared" si="7"/>
        <v>4.795064170226001</v>
      </c>
      <c r="R250" s="4">
        <f>IF(P250&lt;-1,"Below",IF(P250&gt;1,"Above",INT(N250+C12-(DEGREES(ASIN(P250))+90)/15+5/600)))</f>
        <v>9</v>
      </c>
      <c r="S250" s="1" t="str">
        <f>IF(OR(P250&lt;-1,P250&gt;1),IF(M13&gt;0," Min."," Horz."),IF(INT((N250+C12-(DEGREES(ASIN(P250))+90)/15-R250)*60+1/2)&lt;10,":0"&amp;FIXED(INT((N250+C12-(DEGREES(ASIN(P250))+90)/15-R250)*60+1/2),0),":"&amp;FIXED(INT((N250+C12-(DEGREES(ASIN(P250))+90)/15-R250)*60+1/2),0)))</f>
        <v>:56</v>
      </c>
      <c r="T250" s="4">
        <f>IF(P250&lt;-1,"Below",IF(P250&gt;1,"Above",INT(N250+C12+(DEGREES(ASIN(P250))+90)/15+5/600)))</f>
        <v>14</v>
      </c>
      <c r="U250" s="1" t="str">
        <f>IF(OR(P250&lt;-1,P250&gt;1),IF(M13&gt;0," Min."," Horz."),IF(INT((N250+C12+(DEGREES(ASIN(P250))+90)/15-T250)*60+1/2)&lt;10,":0"&amp;FIXED(INT((N250+C12+(DEGREES(ASIN(P250))+90)/15-T250)*60+1/2),0),":"&amp;FIXED(INT((N250+C12+(DEGREES(ASIN(P250))+90)/15-T250)*60+1/2),0)))</f>
        <v>:44</v>
      </c>
      <c r="V250" s="1">
        <f>ROUND(DEGREES(ASIN(COS(RADIANS(O250))*COS(RADIANS(L9))+SIN(RADIANS(O250))*SIN(RADIANS(L9)))),0)</f>
        <v>58</v>
      </c>
      <c r="W250" s="1" t="s">
        <v>17</v>
      </c>
      <c r="X250" s="18"/>
    </row>
    <row r="251" spans="1:24" ht="10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0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8"/>
    </row>
    <row r="252" spans="1:24" ht="10.5" customHeight="1">
      <c r="A252" s="1"/>
      <c r="C252" s="1"/>
      <c r="D252" s="1"/>
      <c r="E252" s="1"/>
      <c r="F252" s="1">
        <f>COUNT(F220:F250)</f>
        <v>31</v>
      </c>
      <c r="G252" s="1"/>
      <c r="H252" s="1"/>
      <c r="I252" s="1"/>
      <c r="J252" s="4" t="str">
        <f>J186</f>
        <v>Average Daily Maximum Flying Time: </v>
      </c>
      <c r="K252" s="19">
        <f>IF(F252&lt;1,0,AVERAGE(F220:F250))</f>
        <v>6.4227051725985</v>
      </c>
      <c r="L252" s="1" t="s">
        <v>18</v>
      </c>
      <c r="M252" s="10"/>
      <c r="N252" s="1"/>
      <c r="O252" s="1"/>
      <c r="P252" s="1"/>
      <c r="Q252" s="1">
        <f>COUNT(Q220:Q250)</f>
        <v>31</v>
      </c>
      <c r="R252" s="1"/>
      <c r="S252" s="1"/>
      <c r="T252" s="1"/>
      <c r="U252" s="4" t="str">
        <f>U186</f>
        <v>Average Daily Maximum Flying Time: </v>
      </c>
      <c r="V252" s="19">
        <f>IF(Q252&lt;1,0,AVERAGE(Q220:Q250))</f>
        <v>5.508500884283125</v>
      </c>
      <c r="W252" s="1" t="s">
        <v>18</v>
      </c>
      <c r="X252" s="18"/>
    </row>
    <row r="253" spans="1:24" ht="10.5" customHeight="1">
      <c r="A253" s="1"/>
      <c r="C253" s="1"/>
      <c r="D253" s="1"/>
      <c r="E253" s="1"/>
      <c r="F253" s="1"/>
      <c r="G253" s="1"/>
      <c r="H253" s="1"/>
      <c r="I253" s="1"/>
      <c r="J253" s="4"/>
      <c r="K253" s="19"/>
      <c r="L253" s="1"/>
      <c r="M253" s="31"/>
      <c r="N253" s="1"/>
      <c r="O253" s="1"/>
      <c r="P253" s="1"/>
      <c r="Q253" s="1"/>
      <c r="R253" s="1"/>
      <c r="S253" s="1"/>
      <c r="T253" s="1"/>
      <c r="U253" s="4"/>
      <c r="V253" s="19"/>
      <c r="W253" s="1"/>
      <c r="X253" s="18"/>
    </row>
    <row r="254" spans="1:24" ht="10.5" customHeight="1">
      <c r="A254" s="1"/>
      <c r="B254" s="1"/>
      <c r="C254" s="1"/>
      <c r="D254" s="1"/>
      <c r="E254" s="1"/>
      <c r="F254" s="1"/>
      <c r="G254" s="1"/>
      <c r="I254" s="22"/>
      <c r="J254" s="23"/>
      <c r="K254" s="23"/>
      <c r="L254" s="23"/>
      <c r="M254" s="23"/>
      <c r="N254" s="23"/>
      <c r="O254" s="1"/>
      <c r="P254" s="1"/>
      <c r="Q254" s="1"/>
      <c r="R254" s="23"/>
      <c r="S254" s="24"/>
      <c r="U254" s="1"/>
      <c r="V254" s="1"/>
      <c r="W254" s="1"/>
      <c r="X254" s="18"/>
    </row>
    <row r="255" spans="1:24" ht="10.5" customHeight="1">
      <c r="A255" s="1"/>
      <c r="B255" s="1"/>
      <c r="C255" s="1"/>
      <c r="D255" s="1"/>
      <c r="E255" s="1"/>
      <c r="F255" s="1"/>
      <c r="G255" s="1"/>
      <c r="I255" s="25"/>
      <c r="J255" s="1"/>
      <c r="K255" s="1"/>
      <c r="L255" s="26" t="s">
        <v>19</v>
      </c>
      <c r="M255" s="1"/>
      <c r="N255" s="1"/>
      <c r="O255" s="1"/>
      <c r="P255" s="1"/>
      <c r="Q255" s="1"/>
      <c r="R255" s="1"/>
      <c r="S255" s="27"/>
      <c r="U255" s="1"/>
      <c r="V255" s="1"/>
      <c r="W255" s="1"/>
      <c r="X255" s="18"/>
    </row>
    <row r="256" spans="1:24" ht="10.5" customHeight="1">
      <c r="A256" s="1"/>
      <c r="B256" s="1"/>
      <c r="C256" s="1"/>
      <c r="D256" s="1"/>
      <c r="E256" s="1"/>
      <c r="F256" s="1"/>
      <c r="G256" s="1"/>
      <c r="I256" s="25"/>
      <c r="J256" s="8"/>
      <c r="K256" s="1"/>
      <c r="L256" s="1"/>
      <c r="M256" s="1"/>
      <c r="N256" s="1"/>
      <c r="O256" s="1"/>
      <c r="P256" s="1"/>
      <c r="Q256" s="1"/>
      <c r="R256" s="1"/>
      <c r="S256" s="27"/>
      <c r="U256" s="1"/>
      <c r="V256" s="1"/>
      <c r="W256" s="1"/>
      <c r="X256" s="18"/>
    </row>
    <row r="257" spans="1:24" ht="10.5" customHeight="1">
      <c r="A257" s="1"/>
      <c r="B257" s="1"/>
      <c r="C257" s="1"/>
      <c r="D257" s="1"/>
      <c r="E257" s="1"/>
      <c r="F257" s="1"/>
      <c r="G257" s="1"/>
      <c r="I257" s="25"/>
      <c r="J257" s="1" t="s">
        <v>20</v>
      </c>
      <c r="K257" s="1"/>
      <c r="L257" s="1"/>
      <c r="M257" s="1"/>
      <c r="N257" s="1"/>
      <c r="O257" s="1"/>
      <c r="P257" s="1"/>
      <c r="Q257" s="1"/>
      <c r="R257" s="1"/>
      <c r="S257" s="27"/>
      <c r="U257" s="1"/>
      <c r="V257" s="1"/>
      <c r="W257" s="1"/>
      <c r="X257" s="18"/>
    </row>
    <row r="258" spans="1:24" ht="10.5" customHeight="1">
      <c r="A258" s="1"/>
      <c r="B258" s="1"/>
      <c r="C258" s="1"/>
      <c r="D258" s="1"/>
      <c r="E258" s="1"/>
      <c r="F258" s="1"/>
      <c r="G258" s="1"/>
      <c r="I258" s="25"/>
      <c r="J258" s="1" t="s">
        <v>21</v>
      </c>
      <c r="K258" s="1"/>
      <c r="L258" s="1"/>
      <c r="M258" s="1"/>
      <c r="N258" s="1"/>
      <c r="O258" s="1"/>
      <c r="P258" s="1"/>
      <c r="Q258" s="1"/>
      <c r="R258" s="1"/>
      <c r="S258" s="27"/>
      <c r="U258" s="1"/>
      <c r="V258" s="1"/>
      <c r="W258" s="1"/>
      <c r="X258" s="18"/>
    </row>
    <row r="259" spans="1:24" ht="10.5" customHeight="1">
      <c r="A259" s="1"/>
      <c r="B259" s="1"/>
      <c r="C259" s="1"/>
      <c r="D259" s="1"/>
      <c r="E259" s="1"/>
      <c r="F259" s="1"/>
      <c r="G259" s="1"/>
      <c r="I259" s="25"/>
      <c r="J259" s="1"/>
      <c r="K259" s="1"/>
      <c r="L259" s="1"/>
      <c r="M259" s="1"/>
      <c r="N259" s="1"/>
      <c r="O259" s="1"/>
      <c r="P259" s="1"/>
      <c r="Q259" s="1"/>
      <c r="R259" s="1"/>
      <c r="S259" s="27"/>
      <c r="U259" s="1"/>
      <c r="V259" s="1"/>
      <c r="W259" s="1"/>
      <c r="X259" s="18"/>
    </row>
    <row r="260" spans="1:24" ht="10.5" customHeight="1">
      <c r="A260" s="1"/>
      <c r="B260" s="1"/>
      <c r="C260" s="1"/>
      <c r="D260" s="1"/>
      <c r="E260" s="1"/>
      <c r="F260" s="1"/>
      <c r="G260" s="1"/>
      <c r="I260" s="10"/>
      <c r="J260" s="1" t="s">
        <v>22</v>
      </c>
      <c r="K260" s="1"/>
      <c r="L260" s="1"/>
      <c r="M260" s="1"/>
      <c r="N260" s="1"/>
      <c r="O260" s="1"/>
      <c r="P260" s="1"/>
      <c r="Q260" s="1"/>
      <c r="R260" s="1"/>
      <c r="S260" s="27"/>
      <c r="U260" s="1"/>
      <c r="V260" s="1"/>
      <c r="W260" s="1"/>
      <c r="X260" s="18"/>
    </row>
    <row r="261" spans="1:24" ht="10.5" customHeight="1">
      <c r="A261" s="1"/>
      <c r="B261" s="1"/>
      <c r="C261" s="1"/>
      <c r="D261" s="1"/>
      <c r="E261" s="1"/>
      <c r="F261" s="1"/>
      <c r="G261" s="1"/>
      <c r="I261" s="10"/>
      <c r="J261" s="1" t="s">
        <v>23</v>
      </c>
      <c r="K261" s="1"/>
      <c r="L261" s="1"/>
      <c r="M261" s="1"/>
      <c r="N261" s="1"/>
      <c r="O261" s="1"/>
      <c r="P261" s="1"/>
      <c r="Q261" s="1"/>
      <c r="R261" s="1"/>
      <c r="S261" s="27"/>
      <c r="U261" s="1"/>
      <c r="V261" s="1"/>
      <c r="W261" s="1"/>
      <c r="X261" s="18"/>
    </row>
    <row r="262" spans="1:24" ht="10.5" customHeight="1">
      <c r="A262" s="1"/>
      <c r="B262" s="1"/>
      <c r="C262" s="1"/>
      <c r="D262" s="1"/>
      <c r="E262" s="1"/>
      <c r="F262" s="1"/>
      <c r="G262" s="1"/>
      <c r="I262" s="28" t="s">
        <v>24</v>
      </c>
      <c r="J262" s="29"/>
      <c r="K262" s="29"/>
      <c r="L262" s="29"/>
      <c r="M262" s="29"/>
      <c r="N262" s="29"/>
      <c r="O262" s="1"/>
      <c r="P262" s="1"/>
      <c r="Q262" s="1"/>
      <c r="R262" s="29"/>
      <c r="S262" s="30"/>
      <c r="U262" s="1"/>
      <c r="V262" s="1"/>
      <c r="W262" s="1"/>
      <c r="X262" s="18"/>
    </row>
    <row r="263" spans="1:24" ht="10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8"/>
    </row>
    <row r="264" spans="1:24" ht="10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8"/>
    </row>
    <row r="265" spans="1:24" ht="10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8"/>
    </row>
    <row r="266" spans="1:24" ht="10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8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44" t="str">
        <f>J201</f>
        <v> Two Month Daily Sun Angle Chart</v>
      </c>
      <c r="K267" s="45"/>
      <c r="L267" s="45"/>
      <c r="M267" s="45"/>
      <c r="N267" s="45"/>
      <c r="O267" s="45"/>
      <c r="P267" s="45"/>
      <c r="Q267" s="45"/>
      <c r="R267" s="45"/>
      <c r="S267" s="1"/>
      <c r="T267" s="1"/>
      <c r="U267" s="1"/>
      <c r="V267" s="1"/>
      <c r="W267" s="1"/>
      <c r="X267" s="18"/>
    </row>
    <row r="268" spans="1:24" ht="10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8"/>
    </row>
    <row r="269" spans="1:24" ht="12.75" customHeight="1">
      <c r="A269" s="1"/>
      <c r="B269" s="4" t="s">
        <v>0</v>
      </c>
      <c r="C269" s="1"/>
      <c r="D269" s="1"/>
      <c r="E269" s="1"/>
      <c r="F269" s="1"/>
      <c r="G269" s="44" t="str">
        <f>G203</f>
        <v>--Type Project Name Here--</v>
      </c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" t="s">
        <v>1</v>
      </c>
      <c r="U269" s="44" t="str">
        <f>U203</f>
        <v>--US--</v>
      </c>
      <c r="V269" s="45"/>
      <c r="W269" s="45"/>
      <c r="X269" s="18"/>
    </row>
    <row r="270" spans="1:24" ht="10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8"/>
    </row>
    <row r="271" spans="1:24" ht="12.75" customHeight="1">
      <c r="A271" s="1"/>
      <c r="B271" s="4" t="s">
        <v>2</v>
      </c>
      <c r="C271" s="1"/>
      <c r="D271" s="1"/>
      <c r="E271" s="1"/>
      <c r="F271" s="1"/>
      <c r="G271" s="44" t="str">
        <f>G205</f>
        <v>--Type Solicitation Number Here, or Leave Blank--</v>
      </c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" t="s">
        <v>3</v>
      </c>
      <c r="U271" s="46" t="str">
        <f>U205</f>
        <v>--No.--</v>
      </c>
      <c r="V271" s="45"/>
      <c r="W271" s="45"/>
      <c r="X271" s="18"/>
    </row>
    <row r="272" spans="1:24" ht="10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8"/>
    </row>
    <row r="273" spans="1:24" ht="10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 t="s">
        <v>4</v>
      </c>
      <c r="S273" s="1"/>
      <c r="T273" s="1"/>
      <c r="U273" s="1"/>
      <c r="V273" s="1"/>
      <c r="W273" s="1"/>
      <c r="X273" s="18"/>
    </row>
    <row r="274" spans="1:24" ht="10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4" t="str">
        <f>K208</f>
        <v>Latitude (Degrees North):  </v>
      </c>
      <c r="L274" s="5">
        <f>L208</f>
        <v>40</v>
      </c>
      <c r="M274" s="1"/>
      <c r="N274" s="1"/>
      <c r="O274" s="1"/>
      <c r="P274" s="1"/>
      <c r="Q274" s="1"/>
      <c r="R274" s="1" t="s">
        <v>5</v>
      </c>
      <c r="S274" s="1"/>
      <c r="T274" s="1"/>
      <c r="U274" s="1"/>
      <c r="V274" s="1"/>
      <c r="W274" s="1"/>
      <c r="X274" s="18"/>
    </row>
    <row r="275" spans="1:24" ht="10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4" t="s">
        <v>39</v>
      </c>
      <c r="L275" s="5">
        <f>L209</f>
        <v>110</v>
      </c>
      <c r="M275" s="1"/>
      <c r="N275" s="1"/>
      <c r="O275" s="1"/>
      <c r="P275" s="1"/>
      <c r="Q275" s="1"/>
      <c r="R275" s="1" t="s">
        <v>6</v>
      </c>
      <c r="S275" s="1"/>
      <c r="T275" s="1"/>
      <c r="U275" s="1"/>
      <c r="V275" s="1"/>
      <c r="W275" s="1"/>
      <c r="X275" s="18"/>
    </row>
    <row r="276" spans="1:24" ht="10.5" customHeight="1">
      <c r="A276" s="1"/>
      <c r="B276" s="1"/>
      <c r="C276" s="1">
        <f>C210</f>
        <v>0.3333333333333333</v>
      </c>
      <c r="D276" s="1"/>
      <c r="E276" s="1"/>
      <c r="F276" s="1"/>
      <c r="G276" s="1"/>
      <c r="H276" s="1"/>
      <c r="I276" s="1"/>
      <c r="J276" s="1"/>
      <c r="K276" s="4" t="s">
        <v>7</v>
      </c>
      <c r="L276" s="7">
        <f>L210</f>
        <v>4</v>
      </c>
      <c r="M276" s="1"/>
      <c r="N276" s="1"/>
      <c r="O276" s="1"/>
      <c r="P276" s="1"/>
      <c r="Q276" s="1"/>
      <c r="R276" s="1" t="s">
        <v>8</v>
      </c>
      <c r="S276" s="1"/>
      <c r="T276" s="1"/>
      <c r="U276" s="1"/>
      <c r="V276" s="1"/>
      <c r="W276" s="1"/>
      <c r="X276" s="18"/>
    </row>
    <row r="277" spans="1:24" ht="10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4" t="str">
        <f>K211</f>
        <v>Min. Sun Angle (Degrees):  </v>
      </c>
      <c r="L277" s="7">
        <f>L211</f>
        <v>45</v>
      </c>
      <c r="M277" s="1"/>
      <c r="N277" s="1"/>
      <c r="O277" s="1"/>
      <c r="P277" s="1"/>
      <c r="Q277" s="1"/>
      <c r="R277" s="1" t="s">
        <v>9</v>
      </c>
      <c r="S277" s="1"/>
      <c r="T277" s="1"/>
      <c r="U277" s="1"/>
      <c r="V277" s="1"/>
      <c r="W277" s="1"/>
      <c r="X277" s="18"/>
    </row>
    <row r="278" spans="1:24" ht="10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 t="s">
        <v>10</v>
      </c>
      <c r="S278" s="1"/>
      <c r="T278" s="1"/>
      <c r="U278" s="1"/>
      <c r="V278" s="1"/>
      <c r="W278" s="1"/>
      <c r="X278" s="18"/>
    </row>
    <row r="279" spans="1:24" ht="10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 t="s">
        <v>11</v>
      </c>
      <c r="S279" s="1"/>
      <c r="T279" s="1"/>
      <c r="U279" s="1"/>
      <c r="V279" s="1"/>
      <c r="W279" s="1"/>
      <c r="X279" s="18"/>
    </row>
    <row r="280" spans="1:24" ht="10.5" customHeight="1">
      <c r="A280" s="1"/>
      <c r="B280" s="1"/>
      <c r="C280" s="1"/>
      <c r="D280" s="1"/>
      <c r="E280" s="1"/>
      <c r="F280" s="1"/>
      <c r="G280" s="1"/>
      <c r="H280" s="2"/>
      <c r="I280" s="1"/>
      <c r="J280" s="1"/>
      <c r="K280" s="1"/>
      <c r="L280" s="2"/>
      <c r="M280" s="2"/>
      <c r="N280" s="2"/>
      <c r="O280" s="2"/>
      <c r="P280" s="2"/>
      <c r="Q280" s="2"/>
      <c r="R280" s="1"/>
      <c r="S280" s="1"/>
      <c r="T280" s="1"/>
      <c r="U280" s="1"/>
      <c r="V280" s="1"/>
      <c r="W280" s="2"/>
      <c r="X280" s="3"/>
    </row>
    <row r="281" spans="1:24" ht="10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1"/>
      <c r="S281" s="1"/>
      <c r="T281" s="1"/>
      <c r="U281" s="1"/>
      <c r="V281" s="1"/>
      <c r="W281" s="2"/>
      <c r="X281" s="3"/>
    </row>
    <row r="282" spans="1:24" ht="10.5" customHeight="1">
      <c r="A282" s="1"/>
      <c r="B282" s="1"/>
      <c r="C282" s="1"/>
      <c r="D282" s="1"/>
      <c r="E282" s="1"/>
      <c r="F282" s="1"/>
      <c r="G282" s="1"/>
      <c r="H282" s="9" t="s">
        <v>31</v>
      </c>
      <c r="I282" s="1"/>
      <c r="J282" s="1"/>
      <c r="K282" s="1"/>
      <c r="L282" s="1"/>
      <c r="M282" s="10"/>
      <c r="N282" s="2"/>
      <c r="O282" s="2"/>
      <c r="P282" s="2"/>
      <c r="Q282" s="2"/>
      <c r="R282" s="2"/>
      <c r="S282" s="9" t="s">
        <v>32</v>
      </c>
      <c r="T282" s="1"/>
      <c r="U282" s="1"/>
      <c r="V282" s="1"/>
      <c r="W282" s="2"/>
      <c r="X282" s="3"/>
    </row>
    <row r="283" spans="1:24" ht="10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0"/>
      <c r="N283" s="2"/>
      <c r="O283" s="2"/>
      <c r="P283" s="2"/>
      <c r="Q283" s="2"/>
      <c r="R283" s="1"/>
      <c r="S283" s="1"/>
      <c r="T283" s="1"/>
      <c r="U283" s="1"/>
      <c r="V283" s="1"/>
      <c r="W283" s="2"/>
      <c r="X283" s="3"/>
    </row>
    <row r="284" spans="1:24" ht="10.5" customHeight="1">
      <c r="A284" s="1"/>
      <c r="B284" s="2"/>
      <c r="C284" s="2"/>
      <c r="D284" s="2"/>
      <c r="E284" s="2"/>
      <c r="F284" s="2"/>
      <c r="G284" s="2"/>
      <c r="H284" s="11" t="str">
        <f>H218</f>
        <v>Flying Window</v>
      </c>
      <c r="I284" s="11"/>
      <c r="J284" s="11"/>
      <c r="K284" s="11" t="s">
        <v>14</v>
      </c>
      <c r="L284" s="2"/>
      <c r="M284" s="12"/>
      <c r="N284" s="2"/>
      <c r="O284" s="2"/>
      <c r="P284" s="2"/>
      <c r="Q284" s="2"/>
      <c r="R284" s="2"/>
      <c r="S284" s="11" t="str">
        <f>S218</f>
        <v>Flying Window</v>
      </c>
      <c r="T284" s="11"/>
      <c r="U284" s="11"/>
      <c r="V284" s="11" t="s">
        <v>14</v>
      </c>
      <c r="W284" s="2"/>
      <c r="X284" s="3"/>
    </row>
    <row r="285" spans="1:24" ht="10.5" customHeight="1">
      <c r="A285" s="1"/>
      <c r="B285" s="13" t="s">
        <v>15</v>
      </c>
      <c r="C285" s="11"/>
      <c r="D285" s="11"/>
      <c r="E285" s="11"/>
      <c r="F285" s="11"/>
      <c r="G285" s="11" t="str">
        <f>G219</f>
        <v>   Start Time</v>
      </c>
      <c r="H285" s="11"/>
      <c r="I285" s="11" t="str">
        <f>I219</f>
        <v>   End Time</v>
      </c>
      <c r="J285" s="11"/>
      <c r="K285" s="11" t="s">
        <v>16</v>
      </c>
      <c r="L285" s="2"/>
      <c r="M285" s="14" t="s">
        <v>15</v>
      </c>
      <c r="N285" s="11"/>
      <c r="O285" s="11"/>
      <c r="P285" s="11"/>
      <c r="Q285" s="11"/>
      <c r="R285" s="11" t="str">
        <f>R219</f>
        <v>   Start Time</v>
      </c>
      <c r="S285" s="11"/>
      <c r="T285" s="11" t="str">
        <f>T219</f>
        <v>   End Time</v>
      </c>
      <c r="U285" s="11"/>
      <c r="V285" s="11" t="s">
        <v>16</v>
      </c>
      <c r="W285" s="2"/>
      <c r="X285" s="3"/>
    </row>
    <row r="286" spans="1:24" ht="10.5" customHeight="1">
      <c r="A286" s="1"/>
      <c r="B286" s="15">
        <f>IF(M14&gt;0,solrdat!B259,solrdat!I259)</f>
        <v>40057</v>
      </c>
      <c r="C286" s="1">
        <f>IF(M14&gt;0,solrdat!C259,solrdat!J259)</f>
        <v>11.99775</v>
      </c>
      <c r="D286" s="1">
        <f>IF(M14&gt;0,solrdat!D259,solrdat!K259)</f>
        <v>8.018635</v>
      </c>
      <c r="E286" s="1">
        <f>(TAN(RADIANS(L9))*SIN(RADIANS(D286))-SIN(RADIANS(L13))/COS(RADIANS(L9)))/COS(RADIANS(D286))</f>
        <v>-0.8139703912659952</v>
      </c>
      <c r="F286" s="1">
        <f aca="true" t="shared" si="8" ref="F286:F315">IF(E286&lt;-1,"0",IF(E286&gt;1,24,(DEGREES(ASIN(E286))*2+180)/15))</f>
        <v>4.735242218324533</v>
      </c>
      <c r="G286" s="4">
        <f>IF(E286&lt;-1,"Below",IF(E286&gt;1,"Above",INT(C286+C12-(DEGREES(ASIN(E286))+90)/15+5/600)))</f>
        <v>9</v>
      </c>
      <c r="H286" s="1" t="str">
        <f>IF(OR(E286&lt;-1,E286&gt;1),IF(M13&gt;0," Min."," Horz."),IF(INT((C286+C12-(DEGREES(ASIN(E286))+90)/15-G286)*60+1/2)&lt;10,":0"&amp;FIXED(INT((C286+C12-(DEGREES(ASIN(E286))+90)/15-G286)*60+1/2),0),":"&amp;FIXED(INT((C286+C12-(DEGREES(ASIN(E286))+90)/15-G286)*60+1/2),0)))</f>
        <v>:58</v>
      </c>
      <c r="I286" s="4">
        <f>IF(E286&lt;-1,"Below",IF(E286&gt;1,"Above",INT(C286+C12+(DEGREES(ASIN(E286))+90)/15+5/600)))</f>
        <v>14</v>
      </c>
      <c r="J286" s="1" t="str">
        <f>IF(OR(E286&lt;-1,E286&gt;1),IF(M13&gt;0," Min."," Horz."),IF(INT((C286+C12+(DEGREES(ASIN(E286))+90)/15-I286)*60+1/2)&lt;10,":0"&amp;FIXED(INT((C286+C12+(DEGREES(ASIN(E286))+90)/15-I286)*60+1/2),0),":"&amp;FIXED(INT((C286+C12+(DEGREES(ASIN(E286))+90)/15-I286)*60+1/2),0)))</f>
        <v>:42</v>
      </c>
      <c r="K286" s="1">
        <f>ROUND(DEGREES(ASIN(COS(RADIANS(D286))*COS(RADIANS(L9))+SIN(RADIANS(D286))*SIN(RADIANS(L9)))),0)</f>
        <v>58</v>
      </c>
      <c r="L286" s="1" t="s">
        <v>17</v>
      </c>
      <c r="M286" s="16">
        <f>IF(M14&gt;0,solrdat!B291,solrdat!I291)</f>
        <v>40087</v>
      </c>
      <c r="N286" s="1">
        <f>IF(M14&gt;0,solrdat!C291,solrdat!J291)</f>
        <v>11.825444444444445</v>
      </c>
      <c r="O286" s="1">
        <f>IF(M14&gt;0,solrdat!D291,solrdat!K291)</f>
        <v>-3.462925</v>
      </c>
      <c r="P286" s="1">
        <f>(TAN(RADIANS(L9))*SIN(RADIANS(O286))-SIN(RADIANS(L13))/COS(RADIANS(L9)))/COS(RADIANS(O286))</f>
        <v>-0.975527412815112</v>
      </c>
      <c r="Q286" s="1">
        <f aca="true" t="shared" si="9" ref="Q286:Q316">IF(P286&lt;-1,"0",IF(P286&gt;1,24,(DEGREES(ASIN(P286))*2+180)/15))</f>
        <v>1.693581115213889</v>
      </c>
      <c r="R286" s="4">
        <f>IF(P286&lt;-1,"Below",IF(P286&gt;1,"Above",INT(N286+C12-(DEGREES(ASIN(P286))+90)/15+5/600)))</f>
        <v>11</v>
      </c>
      <c r="S286" s="1" t="str">
        <f>IF(OR(P286&lt;-1,P286&gt;1),IF(M13&gt;0," Min."," Horz."),IF(INT((N286+C12-(DEGREES(ASIN(P286))+90)/15-R286)*60+1/2)&lt;10,":0"&amp;FIXED(INT((N286+C12-(DEGREES(ASIN(P286))+90)/15-R286)*60+1/2),0),":"&amp;FIXED(INT((N286+C12-(DEGREES(ASIN(P286))+90)/15-R286)*60+1/2),0)))</f>
        <v>:19</v>
      </c>
      <c r="T286" s="4">
        <f>IF(P286&lt;-1,"Below",IF(P286&gt;1,"Above",INT(N286+C12+(DEGREES(ASIN(P286))+90)/15+5/600)))</f>
        <v>13</v>
      </c>
      <c r="U286" s="1" t="str">
        <f>IF(OR(P286&lt;-1,P286&gt;1),IF(M13&gt;0," Min."," Horz."),IF(INT((N286+C12+(DEGREES(ASIN(P286))+90)/15-T286)*60+1/2)&lt;10,":0"&amp;FIXED(INT((N286+C12+(DEGREES(ASIN(P286))+90)/15-T286)*60+1/2),0),":"&amp;FIXED(INT((N286+C12+(DEGREES(ASIN(P286))+90)/15-T286)*60+1/2),0)))</f>
        <v>:00</v>
      </c>
      <c r="V286" s="1">
        <f>ROUND(DEGREES(ASIN(COS(RADIANS(O286))*COS(RADIANS(L9))+SIN(RADIANS(O286))*SIN(RADIANS(L9)))),0)</f>
        <v>47</v>
      </c>
      <c r="W286" s="1" t="s">
        <v>17</v>
      </c>
      <c r="X286" s="18"/>
    </row>
    <row r="287" spans="1:24" ht="10.5" customHeight="1">
      <c r="A287" s="1"/>
      <c r="B287" s="15">
        <f>IF(M14&gt;0,solrdat!B260,solrdat!I260)</f>
        <v>40058</v>
      </c>
      <c r="C287" s="1">
        <f>IF(M14&gt;0,solrdat!C260,solrdat!J260)</f>
        <v>11.99236111111111</v>
      </c>
      <c r="D287" s="1">
        <f>IF(M14&gt;0,solrdat!D260,solrdat!K260)</f>
        <v>7.653609</v>
      </c>
      <c r="E287" s="1">
        <f>(TAN(RADIANS(L9))*SIN(RADIANS(D287))-SIN(RADIANS(L13))/COS(RADIANS(L9)))/COS(RADIANS(D287))</f>
        <v>-0.8186005141803946</v>
      </c>
      <c r="F287" s="1">
        <f t="shared" si="8"/>
        <v>4.674007434157655</v>
      </c>
      <c r="G287" s="4">
        <f>IF(E287&lt;-1,"Below",IF(E287&gt;1,"Above",INT(C287+C12-(DEGREES(ASIN(E287))+90)/15+5/600)))</f>
        <v>9</v>
      </c>
      <c r="H287" s="1" t="str">
        <f>IF(OR(E287&lt;-1,E287&gt;1),IF(M13&gt;0," Min."," Horz."),IF(INT((C287+C12-(DEGREES(ASIN(E287))+90)/15-G287)*60+1/2)&lt;10,":0"&amp;FIXED(INT((C287+C12-(DEGREES(ASIN(E287))+90)/15-G287)*60+1/2),0),":"&amp;FIXED(INT((C287+C12-(DEGREES(ASIN(E287))+90)/15-G287)*60+1/2),0)))</f>
        <v>:59</v>
      </c>
      <c r="I287" s="4">
        <f>IF(E287&lt;-1,"Below",IF(E287&gt;1,"Above",INT(C287+C12+(DEGREES(ASIN(E287))+90)/15+5/600)))</f>
        <v>14</v>
      </c>
      <c r="J287" s="1" t="str">
        <f>IF(OR(E287&lt;-1,E287&gt;1),IF(M13&gt;0," Min."," Horz."),IF(INT((C287+C12+(DEGREES(ASIN(E287))+90)/15-I287)*60+1/2)&lt;10,":0"&amp;FIXED(INT((C287+C12+(DEGREES(ASIN(E287))+90)/15-I287)*60+1/2),0),":"&amp;FIXED(INT((C287+C12+(DEGREES(ASIN(E287))+90)/15-I287)*60+1/2),0)))</f>
        <v>:40</v>
      </c>
      <c r="K287" s="1">
        <f>ROUND(DEGREES(ASIN(COS(RADIANS(D287))*COS(RADIANS(L9))+SIN(RADIANS(D287))*SIN(RADIANS(L9)))),0)</f>
        <v>58</v>
      </c>
      <c r="L287" s="1" t="s">
        <v>17</v>
      </c>
      <c r="M287" s="16">
        <f>IF(M14&gt;0,solrdat!B292,solrdat!I292)</f>
        <v>40088</v>
      </c>
      <c r="N287" s="1">
        <f>IF(M14&gt;0,solrdat!C292,solrdat!J292)</f>
        <v>11.82013888888889</v>
      </c>
      <c r="O287" s="1">
        <f>IF(M14&gt;0,solrdat!D292,solrdat!K292)</f>
        <v>-3.849815</v>
      </c>
      <c r="P287" s="1">
        <f>(TAN(RADIANS(L9))*SIN(RADIANS(O287))-SIN(RADIANS(L13))/COS(RADIANS(L9)))/COS(RADIANS(O287))</f>
        <v>-0.9816157151197801</v>
      </c>
      <c r="Q287" s="1">
        <f t="shared" si="9"/>
        <v>1.4671257541979665</v>
      </c>
      <c r="R287" s="4">
        <f>IF(P287&lt;-1,"Below",IF(P287&gt;1,"Above",INT(N287+C12-(DEGREES(ASIN(P287))+90)/15+5/600)))</f>
        <v>11</v>
      </c>
      <c r="S287" s="1" t="str">
        <f>IF(OR(P287&lt;-1,P287&gt;1),IF(M13&gt;0," Min."," Horz."),IF(INT((N287+C12-(DEGREES(ASIN(P287))+90)/15-R287)*60+1/2)&lt;10,":0"&amp;FIXED(INT((N287+C12-(DEGREES(ASIN(P287))+90)/15-R287)*60+1/2),0),":"&amp;FIXED(INT((N287+C12-(DEGREES(ASIN(P287))+90)/15-R287)*60+1/2),0)))</f>
        <v>:25</v>
      </c>
      <c r="T287" s="4">
        <f>IF(P287&lt;-1,"Below",IF(P287&gt;1,"Above",INT(N287+C12+(DEGREES(ASIN(P287))+90)/15+5/600)))</f>
        <v>12</v>
      </c>
      <c r="U287" s="1" t="str">
        <f>IF(OR(P287&lt;-1,P287&gt;1),IF(M13&gt;0," Min."," Horz."),IF(INT((N287+C12+(DEGREES(ASIN(P287))+90)/15-T287)*60+1/2)&lt;10,":0"&amp;FIXED(INT((N287+C12+(DEGREES(ASIN(P287))+90)/15-T287)*60+1/2),0),":"&amp;FIXED(INT((N287+C12+(DEGREES(ASIN(P287))+90)/15-T287)*60+1/2),0)))</f>
        <v>:53</v>
      </c>
      <c r="V287" s="1">
        <f>ROUND(DEGREES(ASIN(COS(RADIANS(O287))*COS(RADIANS(L9))+SIN(RADIANS(O287))*SIN(RADIANS(L9)))),0)</f>
        <v>46</v>
      </c>
      <c r="W287" s="1" t="s">
        <v>17</v>
      </c>
      <c r="X287" s="18"/>
    </row>
    <row r="288" spans="1:24" ht="10.5" customHeight="1">
      <c r="A288" s="1"/>
      <c r="B288" s="15">
        <f>IF(M14&gt;0,solrdat!B261,solrdat!I261)</f>
        <v>40059</v>
      </c>
      <c r="C288" s="1">
        <f>IF(M14&gt;0,solrdat!C261,solrdat!J261)</f>
        <v>11.986888888888888</v>
      </c>
      <c r="D288" s="1">
        <f>IF(M14&gt;0,solrdat!D261,solrdat!K261)</f>
        <v>7.286536</v>
      </c>
      <c r="E288" s="1">
        <f>(TAN(RADIANS(L9))*SIN(RADIANS(D288))-SIN(RADIANS(L13))/COS(RADIANS(L9)))/COS(RADIANS(D288))</f>
        <v>-0.8232867035594149</v>
      </c>
      <c r="F288" s="1">
        <f t="shared" si="8"/>
        <v>4.611310425663134</v>
      </c>
      <c r="G288" s="4">
        <f>IF(E288&lt;-1,"Below",IF(E288&gt;1,"Above",INT(C288+C12-(DEGREES(ASIN(E288))+90)/15+5/600)))</f>
        <v>10</v>
      </c>
      <c r="H288" s="1" t="str">
        <f>IF(OR(E288&lt;-1,E288&gt;1),IF(M13&gt;0," Min."," Horz."),IF(INT((C288+C12-(DEGREES(ASIN(E288))+90)/15-G288)*60+1/2)&lt;10,":0"&amp;FIXED(INT((C288+C12-(DEGREES(ASIN(E288))+90)/15-G288)*60+1/2),0),":"&amp;FIXED(INT((C288+C12-(DEGREES(ASIN(E288))+90)/15-G288)*60+1/2),0)))</f>
        <v>:01</v>
      </c>
      <c r="I288" s="4">
        <f>IF(E288&lt;-1,"Below",IF(E288&gt;1,"Above",INT(C288+C12+(DEGREES(ASIN(E288))+90)/15+5/600)))</f>
        <v>14</v>
      </c>
      <c r="J288" s="1" t="str">
        <f>IF(OR(E288&lt;-1,E288&gt;1),IF(M13&gt;0," Min."," Horz."),IF(INT((C288+C12+(DEGREES(ASIN(E288))+90)/15-I288)*60+1/2)&lt;10,":0"&amp;FIXED(INT((C288+C12+(DEGREES(ASIN(E288))+90)/15-I288)*60+1/2),0),":"&amp;FIXED(INT((C288+C12+(DEGREES(ASIN(E288))+90)/15-I288)*60+1/2),0)))</f>
        <v>:38</v>
      </c>
      <c r="K288" s="1">
        <f>ROUND(DEGREES(ASIN(COS(RADIANS(D288))*COS(RADIANS(L9))+SIN(RADIANS(D288))*SIN(RADIANS(L9)))),0)</f>
        <v>57</v>
      </c>
      <c r="L288" s="1" t="s">
        <v>17</v>
      </c>
      <c r="M288" s="16">
        <f>IF(M14&gt;0,solrdat!B293,solrdat!I293)</f>
        <v>40089</v>
      </c>
      <c r="N288" s="1">
        <f>IF(M14&gt;0,solrdat!C293,solrdat!J293)</f>
        <v>11.814916666666667</v>
      </c>
      <c r="O288" s="1">
        <f>IF(M14&gt;0,solrdat!D293,solrdat!K293)</f>
        <v>-4.23596</v>
      </c>
      <c r="P288" s="1">
        <f>(TAN(RADIANS(L9))*SIN(RADIANS(O288))-SIN(RADIANS(L13))/COS(RADIANS(L9)))/COS(RADIANS(O288))</f>
        <v>-0.9877398945470437</v>
      </c>
      <c r="Q288" s="1">
        <f t="shared" si="9"/>
        <v>1.1974797511198005</v>
      </c>
      <c r="R288" s="4">
        <f>IF(P288&lt;-1,"Below",IF(P288&gt;1,"Above",INT(N288+C12-(DEGREES(ASIN(P288))+90)/15+5/600)))</f>
        <v>11</v>
      </c>
      <c r="S288" s="1" t="str">
        <f>IF(OR(P288&lt;-1,P288&gt;1),IF(M13&gt;0," Min."," Horz."),IF(INT((N288+C12-(DEGREES(ASIN(P288))+90)/15-R288)*60+1/2)&lt;10,":0"&amp;FIXED(INT((N288+C12-(DEGREES(ASIN(P288))+90)/15-R288)*60+1/2),0),":"&amp;FIXED(INT((N288+C12-(DEGREES(ASIN(P288))+90)/15-R288)*60+1/2),0)))</f>
        <v>:33</v>
      </c>
      <c r="T288" s="4">
        <f>IF(P288&lt;-1,"Below",IF(P288&gt;1,"Above",INT(N288+C12+(DEGREES(ASIN(P288))+90)/15+5/600)))</f>
        <v>12</v>
      </c>
      <c r="U288" s="1" t="str">
        <f>IF(OR(P288&lt;-1,P288&gt;1),IF(M13&gt;0," Min."," Horz."),IF(INT((N288+C12+(DEGREES(ASIN(P288))+90)/15-T288)*60+1/2)&lt;10,":0"&amp;FIXED(INT((N288+C12+(DEGREES(ASIN(P288))+90)/15-T288)*60+1/2),0),":"&amp;FIXED(INT((N288+C12+(DEGREES(ASIN(P288))+90)/15-T288)*60+1/2),0)))</f>
        <v>:45</v>
      </c>
      <c r="V288" s="1">
        <f>ROUND(DEGREES(ASIN(COS(RADIANS(O288))*COS(RADIANS(L9))+SIN(RADIANS(O288))*SIN(RADIANS(L9)))),0)</f>
        <v>46</v>
      </c>
      <c r="W288" s="1" t="s">
        <v>17</v>
      </c>
      <c r="X288" s="18"/>
    </row>
    <row r="289" spans="1:24" ht="10.5" customHeight="1">
      <c r="A289" s="1"/>
      <c r="B289" s="15">
        <f>IF(M14&gt;0,solrdat!B262,solrdat!I262)</f>
        <v>40060</v>
      </c>
      <c r="C289" s="1">
        <f>IF(M14&gt;0,solrdat!C262,solrdat!J262)</f>
        <v>11.981361111111111</v>
      </c>
      <c r="D289" s="1">
        <f>IF(M14&gt;0,solrdat!D262,solrdat!K262)</f>
        <v>6.917497</v>
      </c>
      <c r="E289" s="1">
        <f>(TAN(RADIANS(L9))*SIN(RADIANS(D289))-SIN(RADIANS(L13))/COS(RADIANS(L9)))/COS(RADIANS(D289))</f>
        <v>-0.8280287310107834</v>
      </c>
      <c r="F289" s="1">
        <f t="shared" si="8"/>
        <v>4.547097289155714</v>
      </c>
      <c r="G289" s="4">
        <f>IF(E289&lt;-1,"Below",IF(E289&gt;1,"Above",INT(C289+C12-(DEGREES(ASIN(E289))+90)/15+5/600)))</f>
        <v>10</v>
      </c>
      <c r="H289" s="1" t="str">
        <f>IF(OR(E289&lt;-1,E289&gt;1),IF(M13&gt;0," Min."," Horz."),IF(INT((C289+C12-(DEGREES(ASIN(E289))+90)/15-G289)*60+1/2)&lt;10,":0"&amp;FIXED(INT((C289+C12-(DEGREES(ASIN(E289))+90)/15-G289)*60+1/2),0),":"&amp;FIXED(INT((C289+C12-(DEGREES(ASIN(E289))+90)/15-G289)*60+1/2),0)))</f>
        <v>:02</v>
      </c>
      <c r="I289" s="4">
        <f>IF(E289&lt;-1,"Below",IF(E289&gt;1,"Above",INT(C289+C12+(DEGREES(ASIN(E289))+90)/15+5/600)))</f>
        <v>14</v>
      </c>
      <c r="J289" s="1" t="str">
        <f>IF(OR(E289&lt;-1,E289&gt;1),IF(M13&gt;0," Min."," Horz."),IF(INT((C289+C12+(DEGREES(ASIN(E289))+90)/15-I289)*60+1/2)&lt;10,":0"&amp;FIXED(INT((C289+C12+(DEGREES(ASIN(E289))+90)/15-I289)*60+1/2),0),":"&amp;FIXED(INT((C289+C12+(DEGREES(ASIN(E289))+90)/15-I289)*60+1/2),0)))</f>
        <v>:35</v>
      </c>
      <c r="K289" s="1">
        <f>ROUND(DEGREES(ASIN(COS(RADIANS(D289))*COS(RADIANS(L9))+SIN(RADIANS(D289))*SIN(RADIANS(L9)))),0)</f>
        <v>57</v>
      </c>
      <c r="L289" s="1" t="s">
        <v>17</v>
      </c>
      <c r="M289" s="16">
        <f>IF(M14&gt;0,solrdat!B294,solrdat!I294)</f>
        <v>40090</v>
      </c>
      <c r="N289" s="1">
        <f>IF(M14&gt;0,solrdat!C294,solrdat!J294)</f>
        <v>11.809777777777779</v>
      </c>
      <c r="O289" s="1">
        <f>IF(M14&gt;0,solrdat!D294,solrdat!K294)</f>
        <v>-4.62127</v>
      </c>
      <c r="P289" s="1">
        <f>(TAN(RADIANS(L9))*SIN(RADIANS(O289))-SIN(RADIANS(L13))/COS(RADIANS(L9)))/COS(RADIANS(O289))</f>
        <v>-0.9938988545409271</v>
      </c>
      <c r="Q289" s="1">
        <f t="shared" si="9"/>
        <v>0.8443122913274465</v>
      </c>
      <c r="R289" s="4">
        <f>IF(P289&lt;-1,"Below",IF(P289&gt;1,"Above",INT(N289+C12-(DEGREES(ASIN(P289))+90)/15+5/600)))</f>
        <v>11</v>
      </c>
      <c r="S289" s="1" t="str">
        <f>IF(OR(P289&lt;-1,P289&gt;1),IF(M13&gt;0," Min."," Horz."),IF(INT((N289+C12-(DEGREES(ASIN(P289))+90)/15-R289)*60+1/2)&lt;10,":0"&amp;FIXED(INT((N289+C12-(DEGREES(ASIN(P289))+90)/15-R289)*60+1/2),0),":"&amp;FIXED(INT((N289+C12-(DEGREES(ASIN(P289))+90)/15-R289)*60+1/2),0)))</f>
        <v>:43</v>
      </c>
      <c r="T289" s="4">
        <f>IF(P289&lt;-1,"Below",IF(P289&gt;1,"Above",INT(N289+C12+(DEGREES(ASIN(P289))+90)/15+5/600)))</f>
        <v>12</v>
      </c>
      <c r="U289" s="1" t="str">
        <f>IF(OR(P289&lt;-1,P289&gt;1),IF(M13&gt;0," Min."," Horz."),IF(INT((N289+C12+(DEGREES(ASIN(P289))+90)/15-T289)*60+1/2)&lt;10,":0"&amp;FIXED(INT((N289+C12+(DEGREES(ASIN(P289))+90)/15-T289)*60+1/2),0),":"&amp;FIXED(INT((N289+C12+(DEGREES(ASIN(P289))+90)/15-T289)*60+1/2),0)))</f>
        <v>:34</v>
      </c>
      <c r="V289" s="1">
        <f>ROUND(DEGREES(ASIN(COS(RADIANS(O289))*COS(RADIANS(L9))+SIN(RADIANS(O289))*SIN(RADIANS(L9)))),0)</f>
        <v>45</v>
      </c>
      <c r="W289" s="1" t="s">
        <v>17</v>
      </c>
      <c r="X289" s="18"/>
    </row>
    <row r="290" spans="1:24" ht="10.5" customHeight="1">
      <c r="A290" s="1"/>
      <c r="B290" s="15">
        <f>IF(M14&gt;0,solrdat!B263,solrdat!I263)</f>
        <v>40061</v>
      </c>
      <c r="C290" s="1">
        <f>IF(M14&gt;0,solrdat!C263,solrdat!J263)</f>
        <v>11.97575</v>
      </c>
      <c r="D290" s="1">
        <f>IF(M14&gt;0,solrdat!D263,solrdat!K263)</f>
        <v>6.546574</v>
      </c>
      <c r="E290" s="1">
        <f>(TAN(RADIANS(L9))*SIN(RADIANS(D290))-SIN(RADIANS(L13))/COS(RADIANS(L9)))/COS(RADIANS(D290))</f>
        <v>-0.8328263464629375</v>
      </c>
      <c r="F290" s="1">
        <f t="shared" si="8"/>
        <v>4.481309823262862</v>
      </c>
      <c r="G290" s="4">
        <f>IF(E290&lt;-1,"Below",IF(E290&gt;1,"Above",INT(C290+C12-(DEGREES(ASIN(E290))+90)/15+5/600)))</f>
        <v>10</v>
      </c>
      <c r="H290" s="1" t="str">
        <f>IF(OR(E290&lt;-1,E290&gt;1),IF(M13&gt;0," Min."," Horz."),IF(INT((C290+C12-(DEGREES(ASIN(E290))+90)/15-G290)*60+1/2)&lt;10,":0"&amp;FIXED(INT((C290+C12-(DEGREES(ASIN(E290))+90)/15-G290)*60+1/2),0),":"&amp;FIXED(INT((C290+C12-(DEGREES(ASIN(E290))+90)/15-G290)*60+1/2),0)))</f>
        <v>:04</v>
      </c>
      <c r="I290" s="4">
        <f>IF(E290&lt;-1,"Below",IF(E290&gt;1,"Above",INT(C290+C12+(DEGREES(ASIN(E290))+90)/15+5/600)))</f>
        <v>14</v>
      </c>
      <c r="J290" s="1" t="str">
        <f>IF(OR(E290&lt;-1,E290&gt;1),IF(M13&gt;0," Min."," Horz."),IF(INT((C290+C12+(DEGREES(ASIN(E290))+90)/15-I290)*60+1/2)&lt;10,":0"&amp;FIXED(INT((C290+C12+(DEGREES(ASIN(E290))+90)/15-I290)*60+1/2),0),":"&amp;FIXED(INT((C290+C12+(DEGREES(ASIN(E290))+90)/15-I290)*60+1/2),0)))</f>
        <v>:33</v>
      </c>
      <c r="K290" s="1">
        <f>ROUND(DEGREES(ASIN(COS(RADIANS(D290))*COS(RADIANS(L9))+SIN(RADIANS(D290))*SIN(RADIANS(L9)))),0)</f>
        <v>57</v>
      </c>
      <c r="L290" s="1" t="s">
        <v>17</v>
      </c>
      <c r="M290" s="16">
        <f>IF(M14&gt;0,solrdat!B295,solrdat!I295)</f>
        <v>40091</v>
      </c>
      <c r="N290" s="1">
        <f>IF(M14&gt;0,solrdat!C295,solrdat!J295)</f>
        <v>11.80475</v>
      </c>
      <c r="O290" s="1">
        <f>IF(M14&gt;0,solrdat!D295,solrdat!K295)</f>
        <v>-5.005654</v>
      </c>
      <c r="P290" s="1">
        <f>(TAN(RADIANS(L9))*SIN(RADIANS(O290))-SIN(RADIANS(L13))/COS(RADIANS(L9)))/COS(RADIANS(O290))</f>
        <v>-1.0000914418828704</v>
      </c>
      <c r="Q290" s="1" t="str">
        <f t="shared" si="9"/>
        <v>0</v>
      </c>
      <c r="R290" s="4" t="str">
        <f>IF(P290&lt;-1,"Below",IF(P290&gt;1,"Above",INT(N290+C12-(DEGREES(ASIN(P290))+90)/15+5/600)))</f>
        <v>Below</v>
      </c>
      <c r="S290" s="1" t="str">
        <f>IF(OR(P290&lt;-1,P290&gt;1),IF(M13&gt;0," Min."," Horz."),IF(INT((N290+C12-(DEGREES(ASIN(P290))+90)/15-R290)*60+1/2)&lt;10,":0"&amp;FIXED(INT((N290+C12-(DEGREES(ASIN(P290))+90)/15-R290)*60+1/2),0),":"&amp;FIXED(INT((N290+C12-(DEGREES(ASIN(P290))+90)/15-R290)*60+1/2),0)))</f>
        <v> Min.</v>
      </c>
      <c r="T290" s="4" t="str">
        <f>IF(P290&lt;-1,"Below",IF(P290&gt;1,"Above",INT(N290+C12+(DEGREES(ASIN(P290))+90)/15+5/600)))</f>
        <v>Below</v>
      </c>
      <c r="U290" s="1" t="str">
        <f>IF(OR(P290&lt;-1,P290&gt;1),IF(M13&gt;0," Min."," Horz."),IF(INT((N290+C12+(DEGREES(ASIN(P290))+90)/15-T290)*60+1/2)&lt;10,":0"&amp;FIXED(INT((N290+C12+(DEGREES(ASIN(P290))+90)/15-T290)*60+1/2),0),":"&amp;FIXED(INT((N290+C12+(DEGREES(ASIN(P290))+90)/15-T290)*60+1/2),0)))</f>
        <v> Min.</v>
      </c>
      <c r="V290" s="1">
        <f>ROUND(DEGREES(ASIN(COS(RADIANS(O290))*COS(RADIANS(L9))+SIN(RADIANS(O290))*SIN(RADIANS(L9)))),0)</f>
        <v>45</v>
      </c>
      <c r="W290" s="1" t="s">
        <v>17</v>
      </c>
      <c r="X290" s="18"/>
    </row>
    <row r="291" spans="1:24" ht="10.5" customHeight="1">
      <c r="A291" s="1"/>
      <c r="B291" s="15">
        <f>IF(M14&gt;0,solrdat!B264,solrdat!I264)</f>
        <v>40062</v>
      </c>
      <c r="C291" s="1">
        <f>IF(M14&gt;0,solrdat!C264,solrdat!J264)</f>
        <v>11.970083333333333</v>
      </c>
      <c r="D291" s="1">
        <f>IF(M14&gt;0,solrdat!D264,solrdat!K264)</f>
        <v>6.173849</v>
      </c>
      <c r="E291" s="1">
        <f>(TAN(RADIANS(L9))*SIN(RADIANS(D291))-SIN(RADIANS(L13))/COS(RADIANS(L9)))/COS(RADIANS(D291))</f>
        <v>-0.8376792902565142</v>
      </c>
      <c r="F291" s="1">
        <f t="shared" si="8"/>
        <v>4.41388483942393</v>
      </c>
      <c r="G291" s="4">
        <f>IF(E291&lt;-1,"Below",IF(E291&gt;1,"Above",INT(C291+C12-(DEGREES(ASIN(E291))+90)/15+5/600)))</f>
        <v>10</v>
      </c>
      <c r="H291" s="1" t="str">
        <f>IF(OR(E291&lt;-1,E291&gt;1),IF(M13&gt;0," Min."," Horz."),IF(INT((C291+C12-(DEGREES(ASIN(E291))+90)/15-G291)*60+1/2)&lt;10,":0"&amp;FIXED(INT((C291+C12-(DEGREES(ASIN(E291))+90)/15-G291)*60+1/2),0),":"&amp;FIXED(INT((C291+C12-(DEGREES(ASIN(E291))+90)/15-G291)*60+1/2),0)))</f>
        <v>:06</v>
      </c>
      <c r="I291" s="4">
        <f>IF(E291&lt;-1,"Below",IF(E291&gt;1,"Above",INT(C291+C12+(DEGREES(ASIN(E291))+90)/15+5/600)))</f>
        <v>14</v>
      </c>
      <c r="J291" s="1" t="str">
        <f>IF(OR(E291&lt;-1,E291&gt;1),IF(M13&gt;0," Min."," Horz."),IF(INT((C291+C12+(DEGREES(ASIN(E291))+90)/15-I291)*60+1/2)&lt;10,":0"&amp;FIXED(INT((C291+C12+(DEGREES(ASIN(E291))+90)/15-I291)*60+1/2),0),":"&amp;FIXED(INT((C291+C12+(DEGREES(ASIN(E291))+90)/15-I291)*60+1/2),0)))</f>
        <v>:31</v>
      </c>
      <c r="K291" s="1">
        <f>ROUND(DEGREES(ASIN(COS(RADIANS(D291))*COS(RADIANS(L9))+SIN(RADIANS(D291))*SIN(RADIANS(L9)))),0)</f>
        <v>56</v>
      </c>
      <c r="L291" s="1" t="s">
        <v>17</v>
      </c>
      <c r="M291" s="16">
        <f>IF(M14&gt;0,solrdat!B296,solrdat!I296)</f>
        <v>40092</v>
      </c>
      <c r="N291" s="1">
        <f>IF(M14&gt;0,solrdat!C296,solrdat!J296)</f>
        <v>11.799833333333334</v>
      </c>
      <c r="O291" s="1">
        <f>IF(M14&gt;0,solrdat!D296,solrdat!K296)</f>
        <v>-5.389022</v>
      </c>
      <c r="P291" s="1">
        <f>(TAN(RADIANS(L9))*SIN(RADIANS(O291))-SIN(RADIANS(L13))/COS(RADIANS(L9)))/COS(RADIANS(O291))</f>
        <v>-1.0063164774680105</v>
      </c>
      <c r="Q291" s="1" t="str">
        <f t="shared" si="9"/>
        <v>0</v>
      </c>
      <c r="R291" s="4" t="str">
        <f>IF(P291&lt;-1,"Below",IF(P291&gt;1,"Above",INT(N291+C12-(DEGREES(ASIN(P291))+90)/15+5/600)))</f>
        <v>Below</v>
      </c>
      <c r="S291" s="1" t="str">
        <f>IF(OR(P291&lt;-1,P291&gt;1),IF(M13&gt;0," Min."," Horz."),IF(INT((N291+C12-(DEGREES(ASIN(P291))+90)/15-R291)*60+1/2)&lt;10,":0"&amp;FIXED(INT((N291+C12-(DEGREES(ASIN(P291))+90)/15-R291)*60+1/2),0),":"&amp;FIXED(INT((N291+C12-(DEGREES(ASIN(P291))+90)/15-R291)*60+1/2),0)))</f>
        <v> Min.</v>
      </c>
      <c r="T291" s="4" t="str">
        <f>IF(P291&lt;-1,"Below",IF(P291&gt;1,"Above",INT(N291+C12+(DEGREES(ASIN(P291))+90)/15+5/600)))</f>
        <v>Below</v>
      </c>
      <c r="U291" s="1" t="str">
        <f>IF(OR(P291&lt;-1,P291&gt;1),IF(M13&gt;0," Min."," Horz."),IF(INT((N291+C12+(DEGREES(ASIN(P291))+90)/15-T291)*60+1/2)&lt;10,":0"&amp;FIXED(INT((N291+C12+(DEGREES(ASIN(P291))+90)/15-T291)*60+1/2),0),":"&amp;FIXED(INT((N291+C12+(DEGREES(ASIN(P291))+90)/15-T291)*60+1/2),0)))</f>
        <v> Min.</v>
      </c>
      <c r="V291" s="1">
        <f>ROUND(DEGREES(ASIN(COS(RADIANS(O291))*COS(RADIANS(L9))+SIN(RADIANS(O291))*SIN(RADIANS(L9)))),0)</f>
        <v>45</v>
      </c>
      <c r="W291" s="1" t="s">
        <v>17</v>
      </c>
      <c r="X291" s="18"/>
    </row>
    <row r="292" spans="1:24" ht="10.5" customHeight="1">
      <c r="A292" s="1"/>
      <c r="B292" s="15">
        <f>IF(M14&gt;0,solrdat!B265,solrdat!I265)</f>
        <v>40063</v>
      </c>
      <c r="C292" s="1">
        <f>IF(M14&gt;0,solrdat!C265,solrdat!J265)</f>
        <v>11.96438888888889</v>
      </c>
      <c r="D292" s="1">
        <f>IF(M14&gt;0,solrdat!D265,solrdat!K265)</f>
        <v>5.799402</v>
      </c>
      <c r="E292" s="1">
        <f>(TAN(RADIANS(L9))*SIN(RADIANS(D292))-SIN(RADIANS(L13))/COS(RADIANS(L9)))/COS(RADIANS(D292))</f>
        <v>-0.8425873188794853</v>
      </c>
      <c r="F292" s="1">
        <f t="shared" si="8"/>
        <v>4.344753183040465</v>
      </c>
      <c r="G292" s="4">
        <f>IF(E292&lt;-1,"Below",IF(E292&gt;1,"Above",INT(C292+C12-(DEGREES(ASIN(E292))+90)/15+5/600)))</f>
        <v>10</v>
      </c>
      <c r="H292" s="1" t="str">
        <f>IF(OR(E292&lt;-1,E292&gt;1),IF(M13&gt;0," Min."," Horz."),IF(INT((C292+C12-(DEGREES(ASIN(E292))+90)/15-G292)*60+1/2)&lt;10,":0"&amp;FIXED(INT((C292+C12-(DEGREES(ASIN(E292))+90)/15-G292)*60+1/2),0),":"&amp;FIXED(INT((C292+C12-(DEGREES(ASIN(E292))+90)/15-G292)*60+1/2),0)))</f>
        <v>:08</v>
      </c>
      <c r="I292" s="4">
        <f>IF(E292&lt;-1,"Below",IF(E292&gt;1,"Above",INT(C292+C12+(DEGREES(ASIN(E292))+90)/15+5/600)))</f>
        <v>14</v>
      </c>
      <c r="J292" s="1" t="str">
        <f>IF(OR(E292&lt;-1,E292&gt;1),IF(M13&gt;0," Min."," Horz."),IF(INT((C292+C12+(DEGREES(ASIN(E292))+90)/15-I292)*60+1/2)&lt;10,":0"&amp;FIXED(INT((C292+C12+(DEGREES(ASIN(E292))+90)/15-I292)*60+1/2),0),":"&amp;FIXED(INT((C292+C12+(DEGREES(ASIN(E292))+90)/15-I292)*60+1/2),0)))</f>
        <v>:28</v>
      </c>
      <c r="K292" s="1">
        <f>ROUND(DEGREES(ASIN(COS(RADIANS(D292))*COS(RADIANS(L9))+SIN(RADIANS(D292))*SIN(RADIANS(L9)))),0)</f>
        <v>56</v>
      </c>
      <c r="L292" s="1" t="s">
        <v>17</v>
      </c>
      <c r="M292" s="16">
        <f>IF(M14&gt;0,solrdat!B297,solrdat!I297)</f>
        <v>40093</v>
      </c>
      <c r="N292" s="1">
        <f>IF(M14&gt;0,solrdat!C297,solrdat!J297)</f>
        <v>11.795027777777777</v>
      </c>
      <c r="O292" s="1">
        <f>IF(M14&gt;0,solrdat!D297,solrdat!K297)</f>
        <v>-5.771279</v>
      </c>
      <c r="P292" s="1">
        <f>(TAN(RADIANS(L9))*SIN(RADIANS(O292))-SIN(RADIANS(L13))/COS(RADIANS(L9)))/COS(RADIANS(O292))</f>
        <v>-1.012572657156518</v>
      </c>
      <c r="Q292" s="1" t="str">
        <f t="shared" si="9"/>
        <v>0</v>
      </c>
      <c r="R292" s="4" t="str">
        <f>IF(P292&lt;-1,"Below",IF(P292&gt;1,"Above",INT(N292+C12-(DEGREES(ASIN(P292))+90)/15+5/600)))</f>
        <v>Below</v>
      </c>
      <c r="S292" s="1" t="str">
        <f>IF(OR(P292&lt;-1,P292&gt;1),IF(M13&gt;0," Min."," Horz."),IF(INT((N292+C12-(DEGREES(ASIN(P292))+90)/15-R292)*60+1/2)&lt;10,":0"&amp;FIXED(INT((N292+C12-(DEGREES(ASIN(P292))+90)/15-R292)*60+1/2),0),":"&amp;FIXED(INT((N292+C12-(DEGREES(ASIN(P292))+90)/15-R292)*60+1/2),0)))</f>
        <v> Min.</v>
      </c>
      <c r="T292" s="4" t="str">
        <f>IF(P292&lt;-1,"Below",IF(P292&gt;1,"Above",INT(N292+C12+(DEGREES(ASIN(P292))+90)/15+5/600)))</f>
        <v>Below</v>
      </c>
      <c r="U292" s="1" t="str">
        <f>IF(OR(P292&lt;-1,P292&gt;1),IF(M13&gt;0," Min."," Horz."),IF(INT((N292+C12+(DEGREES(ASIN(P292))+90)/15-T292)*60+1/2)&lt;10,":0"&amp;FIXED(INT((N292+C12+(DEGREES(ASIN(P292))+90)/15-T292)*60+1/2),0),":"&amp;FIXED(INT((N292+C12+(DEGREES(ASIN(P292))+90)/15-T292)*60+1/2),0)))</f>
        <v> Min.</v>
      </c>
      <c r="V292" s="1">
        <f>ROUND(DEGREES(ASIN(COS(RADIANS(O292))*COS(RADIANS(L9))+SIN(RADIANS(O292))*SIN(RADIANS(L9)))),0)</f>
        <v>44</v>
      </c>
      <c r="W292" s="1" t="s">
        <v>17</v>
      </c>
      <c r="X292" s="18"/>
    </row>
    <row r="293" spans="1:24" ht="10.5" customHeight="1">
      <c r="A293" s="1"/>
      <c r="B293" s="15">
        <f>IF(M14&gt;0,solrdat!B266,solrdat!I266)</f>
        <v>40064</v>
      </c>
      <c r="C293" s="1">
        <f>IF(M14&gt;0,solrdat!C266,solrdat!J266)</f>
        <v>11.95861111111111</v>
      </c>
      <c r="D293" s="1">
        <f>IF(M14&gt;0,solrdat!D266,solrdat!K266)</f>
        <v>5.423316</v>
      </c>
      <c r="E293" s="1">
        <f>(TAN(RADIANS(L9))*SIN(RADIANS(D293))-SIN(RADIANS(L13))/COS(RADIANS(L9)))/COS(RADIANS(D293))</f>
        <v>-0.8475501390724891</v>
      </c>
      <c r="F293" s="1">
        <f t="shared" si="8"/>
        <v>4.273839941318268</v>
      </c>
      <c r="G293" s="4">
        <f>IF(E293&lt;-1,"Below",IF(E293&gt;1,"Above",INT(C293+C12-(DEGREES(ASIN(E293))+90)/15+5/600)))</f>
        <v>10</v>
      </c>
      <c r="H293" s="1" t="str">
        <f>IF(OR(E293&lt;-1,E293&gt;1),IF(M13&gt;0," Min."," Horz."),IF(INT((C293+C12-(DEGREES(ASIN(E293))+90)/15-G293)*60+1/2)&lt;10,":0"&amp;FIXED(INT((C293+C12-(DEGREES(ASIN(E293))+90)/15-G293)*60+1/2),0),":"&amp;FIXED(INT((C293+C12-(DEGREES(ASIN(E293))+90)/15-G293)*60+1/2),0)))</f>
        <v>:09</v>
      </c>
      <c r="I293" s="4">
        <f>IF(E293&lt;-1,"Below",IF(E293&gt;1,"Above",INT(C293+C12+(DEGREES(ASIN(E293))+90)/15+5/600)))</f>
        <v>14</v>
      </c>
      <c r="J293" s="1" t="str">
        <f>IF(OR(E293&lt;-1,E293&gt;1),IF(M13&gt;0," Min."," Horz."),IF(INT((C293+C12+(DEGREES(ASIN(E293))+90)/15-I293)*60+1/2)&lt;10,":0"&amp;FIXED(INT((C293+C12+(DEGREES(ASIN(E293))+90)/15-I293)*60+1/2),0),":"&amp;FIXED(INT((C293+C12+(DEGREES(ASIN(E293))+90)/15-I293)*60+1/2),0)))</f>
        <v>:26</v>
      </c>
      <c r="K293" s="1">
        <f>ROUND(DEGREES(ASIN(COS(RADIANS(D293))*COS(RADIANS(L9))+SIN(RADIANS(D293))*SIN(RADIANS(L9)))),0)</f>
        <v>55</v>
      </c>
      <c r="L293" s="1" t="s">
        <v>17</v>
      </c>
      <c r="M293" s="16">
        <f>IF(M14&gt;0,solrdat!B298,solrdat!I298)</f>
        <v>40094</v>
      </c>
      <c r="N293" s="1">
        <f>IF(M14&gt;0,solrdat!C298,solrdat!J298)</f>
        <v>11.790333333333333</v>
      </c>
      <c r="O293" s="1">
        <f>IF(M14&gt;0,solrdat!D298,solrdat!K298)</f>
        <v>-6.15233</v>
      </c>
      <c r="P293" s="1">
        <f>(TAN(RADIANS(L9))*SIN(RADIANS(O293))-SIN(RADIANS(L13))/COS(RADIANS(L9)))/COS(RADIANS(O293))</f>
        <v>-1.018858630116848</v>
      </c>
      <c r="Q293" s="1" t="str">
        <f t="shared" si="9"/>
        <v>0</v>
      </c>
      <c r="R293" s="4" t="str">
        <f>IF(P293&lt;-1,"Below",IF(P293&gt;1,"Above",INT(N293+C12-(DEGREES(ASIN(P293))+90)/15+5/600)))</f>
        <v>Below</v>
      </c>
      <c r="S293" s="1" t="str">
        <f>IF(OR(P293&lt;-1,P293&gt;1),IF(M13&gt;0," Min."," Horz."),IF(INT((N293+C12-(DEGREES(ASIN(P293))+90)/15-R293)*60+1/2)&lt;10,":0"&amp;FIXED(INT((N293+C12-(DEGREES(ASIN(P293))+90)/15-R293)*60+1/2),0),":"&amp;FIXED(INT((N293+C12-(DEGREES(ASIN(P293))+90)/15-R293)*60+1/2),0)))</f>
        <v> Min.</v>
      </c>
      <c r="T293" s="4" t="str">
        <f>IF(P293&lt;-1,"Below",IF(P293&gt;1,"Above",INT(N293+C12+(DEGREES(ASIN(P293))+90)/15+5/600)))</f>
        <v>Below</v>
      </c>
      <c r="U293" s="1" t="str">
        <f>IF(OR(P293&lt;-1,P293&gt;1),IF(M13&gt;0," Min."," Horz."),IF(INT((N293+C12+(DEGREES(ASIN(P293))+90)/15-T293)*60+1/2)&lt;10,":0"&amp;FIXED(INT((N293+C12+(DEGREES(ASIN(P293))+90)/15-T293)*60+1/2),0),":"&amp;FIXED(INT((N293+C12+(DEGREES(ASIN(P293))+90)/15-T293)*60+1/2),0)))</f>
        <v> Min.</v>
      </c>
      <c r="V293" s="1">
        <f>ROUND(DEGREES(ASIN(COS(RADIANS(O293))*COS(RADIANS(L9))+SIN(RADIANS(O293))*SIN(RADIANS(L9)))),0)</f>
        <v>44</v>
      </c>
      <c r="W293" s="1" t="s">
        <v>17</v>
      </c>
      <c r="X293" s="18"/>
    </row>
    <row r="294" spans="1:24" ht="10.5" customHeight="1">
      <c r="A294" s="1"/>
      <c r="B294" s="15">
        <f>IF(M14&gt;0,solrdat!B267,solrdat!I267)</f>
        <v>40065</v>
      </c>
      <c r="C294" s="1">
        <f>IF(M14&gt;0,solrdat!C267,solrdat!J267)</f>
        <v>11.952805555555555</v>
      </c>
      <c r="D294" s="1">
        <f>IF(M14&gt;0,solrdat!D267,solrdat!K267)</f>
        <v>5.045676</v>
      </c>
      <c r="E294" s="1">
        <f>(TAN(RADIANS(L9))*SIN(RADIANS(D294))-SIN(RADIANS(L13))/COS(RADIANS(L9)))/COS(RADIANS(D294))</f>
        <v>-0.8525674192281497</v>
      </c>
      <c r="F294" s="1">
        <f t="shared" si="8"/>
        <v>4.201063483710825</v>
      </c>
      <c r="G294" s="4">
        <f>IF(E294&lt;-1,"Below",IF(E294&gt;1,"Above",INT(C294+C12-(DEGREES(ASIN(E294))+90)/15+5/600)))</f>
        <v>10</v>
      </c>
      <c r="H294" s="1" t="str">
        <f>IF(OR(E294&lt;-1,E294&gt;1),IF(M13&gt;0," Min."," Horz."),IF(INT((C294+C12-(DEGREES(ASIN(E294))+90)/15-G294)*60+1/2)&lt;10,":0"&amp;FIXED(INT((C294+C12-(DEGREES(ASIN(E294))+90)/15-G294)*60+1/2),0),":"&amp;FIXED(INT((C294+C12-(DEGREES(ASIN(E294))+90)/15-G294)*60+1/2),0)))</f>
        <v>:11</v>
      </c>
      <c r="I294" s="4">
        <f>IF(E294&lt;-1,"Below",IF(E294&gt;1,"Above",INT(C294+C12+(DEGREES(ASIN(E294))+90)/15+5/600)))</f>
        <v>14</v>
      </c>
      <c r="J294" s="1" t="str">
        <f>IF(OR(E294&lt;-1,E294&gt;1),IF(M13&gt;0," Min."," Horz."),IF(INT((C294+C12+(DEGREES(ASIN(E294))+90)/15-I294)*60+1/2)&lt;10,":0"&amp;FIXED(INT((C294+C12+(DEGREES(ASIN(E294))+90)/15-I294)*60+1/2),0),":"&amp;FIXED(INT((C294+C12+(DEGREES(ASIN(E294))+90)/15-I294)*60+1/2),0)))</f>
        <v>:23</v>
      </c>
      <c r="K294" s="1">
        <f>ROUND(DEGREES(ASIN(COS(RADIANS(D294))*COS(RADIANS(L9))+SIN(RADIANS(D294))*SIN(RADIANS(L9)))),0)</f>
        <v>55</v>
      </c>
      <c r="L294" s="1" t="s">
        <v>17</v>
      </c>
      <c r="M294" s="16">
        <f>IF(M14&gt;0,solrdat!B299,solrdat!I299)</f>
        <v>40095</v>
      </c>
      <c r="N294" s="1">
        <f>IF(M14&gt;0,solrdat!C299,solrdat!J299)</f>
        <v>11.785777777777778</v>
      </c>
      <c r="O294" s="1">
        <f>IF(M14&gt;0,solrdat!D299,solrdat!K299)</f>
        <v>-6.532075</v>
      </c>
      <c r="P294" s="1">
        <f>(TAN(RADIANS(L9))*SIN(RADIANS(O294))-SIN(RADIANS(L13))/COS(RADIANS(L9)))/COS(RADIANS(O294))</f>
        <v>-1.0251729140883112</v>
      </c>
      <c r="Q294" s="1" t="str">
        <f t="shared" si="9"/>
        <v>0</v>
      </c>
      <c r="R294" s="4" t="str">
        <f>IF(P294&lt;-1,"Below",IF(P294&gt;1,"Above",INT(N294+C12-(DEGREES(ASIN(P294))+90)/15+5/600)))</f>
        <v>Below</v>
      </c>
      <c r="S294" s="1" t="str">
        <f>IF(OR(P294&lt;-1,P294&gt;1),IF(M13&gt;0," Min."," Horz."),IF(INT((N294+C12-(DEGREES(ASIN(P294))+90)/15-R294)*60+1/2)&lt;10,":0"&amp;FIXED(INT((N294+C12-(DEGREES(ASIN(P294))+90)/15-R294)*60+1/2),0),":"&amp;FIXED(INT((N294+C12-(DEGREES(ASIN(P294))+90)/15-R294)*60+1/2),0)))</f>
        <v> Min.</v>
      </c>
      <c r="T294" s="4" t="str">
        <f>IF(P294&lt;-1,"Below",IF(P294&gt;1,"Above",INT(N294+C12+(DEGREES(ASIN(P294))+90)/15+5/600)))</f>
        <v>Below</v>
      </c>
      <c r="U294" s="1" t="str">
        <f>IF(OR(P294&lt;-1,P294&gt;1),IF(M13&gt;0," Min."," Horz."),IF(INT((N294+C12+(DEGREES(ASIN(P294))+90)/15-T294)*60+1/2)&lt;10,":0"&amp;FIXED(INT((N294+C12+(DEGREES(ASIN(P294))+90)/15-T294)*60+1/2),0),":"&amp;FIXED(INT((N294+C12+(DEGREES(ASIN(P294))+90)/15-T294)*60+1/2),0)))</f>
        <v> Min.</v>
      </c>
      <c r="V294" s="1">
        <f>ROUND(DEGREES(ASIN(COS(RADIANS(O294))*COS(RADIANS(L9))+SIN(RADIANS(O294))*SIN(RADIANS(L9)))),0)</f>
        <v>43</v>
      </c>
      <c r="W294" s="1" t="s">
        <v>17</v>
      </c>
      <c r="X294" s="18"/>
    </row>
    <row r="295" spans="1:24" ht="10.5" customHeight="1">
      <c r="A295" s="1"/>
      <c r="B295" s="15">
        <f>IF(M14&gt;0,solrdat!B268,solrdat!I268)</f>
        <v>40066</v>
      </c>
      <c r="C295" s="1">
        <f>IF(M14&gt;0,solrdat!C268,solrdat!J268)</f>
        <v>11.946972222222222</v>
      </c>
      <c r="D295" s="1">
        <f>IF(M14&gt;0,solrdat!D268,solrdat!K268)</f>
        <v>4.666567</v>
      </c>
      <c r="E295" s="1">
        <f>(TAN(RADIANS(L9))*SIN(RADIANS(D295))-SIN(RADIANS(L13))/COS(RADIANS(L9)))/COS(RADIANS(D295))</f>
        <v>-0.8576388146876522</v>
      </c>
      <c r="F295" s="1">
        <f t="shared" si="8"/>
        <v>4.1263341413690835</v>
      </c>
      <c r="G295" s="4">
        <f>IF(E295&lt;-1,"Below",IF(E295&gt;1,"Above",INT(C295+C12-(DEGREES(ASIN(E295))+90)/15+5/600)))</f>
        <v>10</v>
      </c>
      <c r="H295" s="1" t="str">
        <f>IF(OR(E295&lt;-1,E295&gt;1),IF(M13&gt;0," Min."," Horz."),IF(INT((C295+C12-(DEGREES(ASIN(E295))+90)/15-G295)*60+1/2)&lt;10,":0"&amp;FIXED(INT((C295+C12-(DEGREES(ASIN(E295))+90)/15-G295)*60+1/2),0),":"&amp;FIXED(INT((C295+C12-(DEGREES(ASIN(E295))+90)/15-G295)*60+1/2),0)))</f>
        <v>:13</v>
      </c>
      <c r="I295" s="4">
        <f>IF(E295&lt;-1,"Below",IF(E295&gt;1,"Above",INT(C295+C12+(DEGREES(ASIN(E295))+90)/15+5/600)))</f>
        <v>14</v>
      </c>
      <c r="J295" s="1" t="str">
        <f>IF(OR(E295&lt;-1,E295&gt;1),IF(M13&gt;0," Min."," Horz."),IF(INT((C295+C12+(DEGREES(ASIN(E295))+90)/15-I295)*60+1/2)&lt;10,":0"&amp;FIXED(INT((C295+C12+(DEGREES(ASIN(E295))+90)/15-I295)*60+1/2),0),":"&amp;FIXED(INT((C295+C12+(DEGREES(ASIN(E295))+90)/15-I295)*60+1/2),0)))</f>
        <v>:21</v>
      </c>
      <c r="K295" s="1">
        <f>ROUND(DEGREES(ASIN(COS(RADIANS(D295))*COS(RADIANS(L9))+SIN(RADIANS(D295))*SIN(RADIANS(L9)))),0)</f>
        <v>55</v>
      </c>
      <c r="L295" s="1" t="s">
        <v>17</v>
      </c>
      <c r="M295" s="16">
        <f>IF(M14&gt;0,solrdat!B300,solrdat!I300)</f>
        <v>40096</v>
      </c>
      <c r="N295" s="1">
        <f>IF(M14&gt;0,solrdat!C300,solrdat!J300)</f>
        <v>11.781361111111112</v>
      </c>
      <c r="O295" s="1">
        <f>IF(M14&gt;0,solrdat!D300,solrdat!K300)</f>
        <v>-6.910411</v>
      </c>
      <c r="P295" s="1">
        <f>(TAN(RADIANS(L9))*SIN(RADIANS(O295))-SIN(RADIANS(L13))/COS(RADIANS(L9)))/COS(RADIANS(O295))</f>
        <v>-1.0315139244367129</v>
      </c>
      <c r="Q295" s="1" t="str">
        <f t="shared" si="9"/>
        <v>0</v>
      </c>
      <c r="R295" s="4" t="str">
        <f>IF(P295&lt;-1,"Below",IF(P295&gt;1,"Above",INT(N295+C12-(DEGREES(ASIN(P295))+90)/15+5/600)))</f>
        <v>Below</v>
      </c>
      <c r="S295" s="1" t="str">
        <f>IF(OR(P295&lt;-1,P295&gt;1),IF(M13&gt;0," Min."," Horz."),IF(INT((N295+C12-(DEGREES(ASIN(P295))+90)/15-R295)*60+1/2)&lt;10,":0"&amp;FIXED(INT((N295+C12-(DEGREES(ASIN(P295))+90)/15-R295)*60+1/2),0),":"&amp;FIXED(INT((N295+C12-(DEGREES(ASIN(P295))+90)/15-R295)*60+1/2),0)))</f>
        <v> Min.</v>
      </c>
      <c r="T295" s="4" t="str">
        <f>IF(P295&lt;-1,"Below",IF(P295&gt;1,"Above",INT(N295+C12+(DEGREES(ASIN(P295))+90)/15+5/600)))</f>
        <v>Below</v>
      </c>
      <c r="U295" s="1" t="str">
        <f>IF(OR(P295&lt;-1,P295&gt;1),IF(M13&gt;0," Min."," Horz."),IF(INT((N295+C12+(DEGREES(ASIN(P295))+90)/15-T295)*60+1/2)&lt;10,":0"&amp;FIXED(INT((N295+C12+(DEGREES(ASIN(P295))+90)/15-T295)*60+1/2),0),":"&amp;FIXED(INT((N295+C12+(DEGREES(ASIN(P295))+90)/15-T295)*60+1/2),0)))</f>
        <v> Min.</v>
      </c>
      <c r="V295" s="1">
        <f>ROUND(DEGREES(ASIN(COS(RADIANS(O295))*COS(RADIANS(L9))+SIN(RADIANS(O295))*SIN(RADIANS(L9)))),0)</f>
        <v>43</v>
      </c>
      <c r="W295" s="1" t="s">
        <v>17</v>
      </c>
      <c r="X295" s="18"/>
    </row>
    <row r="296" spans="1:24" ht="10.5" customHeight="1">
      <c r="A296" s="1"/>
      <c r="B296" s="15">
        <f>IF(M14&gt;0,solrdat!B269,solrdat!I269)</f>
        <v>40067</v>
      </c>
      <c r="C296" s="1">
        <f>IF(M14&gt;0,solrdat!C269,solrdat!J269)</f>
        <v>11.94111111111111</v>
      </c>
      <c r="D296" s="1">
        <f>IF(M14&gt;0,solrdat!D269,solrdat!K269)</f>
        <v>4.286079</v>
      </c>
      <c r="E296" s="1">
        <f>(TAN(RADIANS(L9))*SIN(RADIANS(D296))-SIN(RADIANS(L13))/COS(RADIANS(L9)))/COS(RADIANS(D296))</f>
        <v>-0.8627638994829325</v>
      </c>
      <c r="F296" s="1">
        <f t="shared" si="8"/>
        <v>4.049554089764077</v>
      </c>
      <c r="G296" s="4">
        <f>IF(E296&lt;-1,"Below",IF(E296&gt;1,"Above",INT(C296+C12-(DEGREES(ASIN(E296))+90)/15+5/600)))</f>
        <v>10</v>
      </c>
      <c r="H296" s="1" t="str">
        <f>IF(OR(E296&lt;-1,E296&gt;1),IF(M13&gt;0," Min."," Horz."),IF(INT((C296+C12-(DEGREES(ASIN(E296))+90)/15-G296)*60+1/2)&lt;10,":0"&amp;FIXED(INT((C296+C12-(DEGREES(ASIN(E296))+90)/15-G296)*60+1/2),0),":"&amp;FIXED(INT((C296+C12-(DEGREES(ASIN(E296))+90)/15-G296)*60+1/2),0)))</f>
        <v>:15</v>
      </c>
      <c r="I296" s="4">
        <f>IF(E296&lt;-1,"Below",IF(E296&gt;1,"Above",INT(C296+C12+(DEGREES(ASIN(E296))+90)/15+5/600)))</f>
        <v>14</v>
      </c>
      <c r="J296" s="1" t="str">
        <f>IF(OR(E296&lt;-1,E296&gt;1),IF(M13&gt;0," Min."," Horz."),IF(INT((C296+C12+(DEGREES(ASIN(E296))+90)/15-I296)*60+1/2)&lt;10,":0"&amp;FIXED(INT((C296+C12+(DEGREES(ASIN(E296))+90)/15-I296)*60+1/2),0),":"&amp;FIXED(INT((C296+C12+(DEGREES(ASIN(E296))+90)/15-I296)*60+1/2),0)))</f>
        <v>:18</v>
      </c>
      <c r="K296" s="1">
        <f>ROUND(DEGREES(ASIN(COS(RADIANS(D296))*COS(RADIANS(L9))+SIN(RADIANS(D296))*SIN(RADIANS(L9)))),0)</f>
        <v>54</v>
      </c>
      <c r="L296" s="1" t="s">
        <v>17</v>
      </c>
      <c r="M296" s="16">
        <f>IF(M14&gt;0,solrdat!B301,solrdat!I301)</f>
        <v>40097</v>
      </c>
      <c r="N296" s="1">
        <f>IF(M14&gt;0,solrdat!C301,solrdat!J301)</f>
        <v>11.777083333333334</v>
      </c>
      <c r="O296" s="1">
        <f>IF(M14&gt;0,solrdat!D301,solrdat!K301)</f>
        <v>-7.287233</v>
      </c>
      <c r="P296" s="1">
        <f>(TAN(RADIANS(L9))*SIN(RADIANS(O296))-SIN(RADIANS(L13))/COS(RADIANS(L9)))/COS(RADIANS(O296))</f>
        <v>-1.0378799877708595</v>
      </c>
      <c r="Q296" s="1" t="str">
        <f t="shared" si="9"/>
        <v>0</v>
      </c>
      <c r="R296" s="4" t="str">
        <f>IF(P296&lt;-1,"Below",IF(P296&gt;1,"Above",INT(N296+C12-(DEGREES(ASIN(P296))+90)/15+5/600)))</f>
        <v>Below</v>
      </c>
      <c r="S296" s="1" t="str">
        <f>IF(OR(P296&lt;-1,P296&gt;1),IF(M13&gt;0," Min."," Horz."),IF(INT((N296+C12-(DEGREES(ASIN(P296))+90)/15-R296)*60+1/2)&lt;10,":0"&amp;FIXED(INT((N296+C12-(DEGREES(ASIN(P296))+90)/15-R296)*60+1/2),0),":"&amp;FIXED(INT((N296+C12-(DEGREES(ASIN(P296))+90)/15-R296)*60+1/2),0)))</f>
        <v> Min.</v>
      </c>
      <c r="T296" s="4" t="str">
        <f>IF(P296&lt;-1,"Below",IF(P296&gt;1,"Above",INT(N296+C12+(DEGREES(ASIN(P296))+90)/15+5/600)))</f>
        <v>Below</v>
      </c>
      <c r="U296" s="1" t="str">
        <f>IF(OR(P296&lt;-1,P296&gt;1),IF(M13&gt;0," Min."," Horz."),IF(INT((N296+C12+(DEGREES(ASIN(P296))+90)/15-T296)*60+1/2)&lt;10,":0"&amp;FIXED(INT((N296+C12+(DEGREES(ASIN(P296))+90)/15-T296)*60+1/2),0),":"&amp;FIXED(INT((N296+C12+(DEGREES(ASIN(P296))+90)/15-T296)*60+1/2),0)))</f>
        <v> Min.</v>
      </c>
      <c r="V296" s="1">
        <f>ROUND(DEGREES(ASIN(COS(RADIANS(O296))*COS(RADIANS(L9))+SIN(RADIANS(O296))*SIN(RADIANS(L9)))),0)</f>
        <v>43</v>
      </c>
      <c r="W296" s="1" t="s">
        <v>17</v>
      </c>
      <c r="X296" s="18"/>
    </row>
    <row r="297" spans="1:24" ht="10.5" customHeight="1">
      <c r="A297" s="1"/>
      <c r="B297" s="15">
        <f>IF(M14&gt;0,solrdat!B270,solrdat!I270)</f>
        <v>40068</v>
      </c>
      <c r="C297" s="1">
        <f>IF(M14&gt;0,solrdat!C270,solrdat!J270)</f>
        <v>11.935222222222222</v>
      </c>
      <c r="D297" s="1">
        <f>IF(M14&gt;0,solrdat!D270,solrdat!K270)</f>
        <v>3.904303</v>
      </c>
      <c r="E297" s="1">
        <f>(TAN(RADIANS(L9))*SIN(RADIANS(D297))-SIN(RADIANS(L13))/COS(RADIANS(L9)))/COS(RADIANS(D297))</f>
        <v>-0.8679422177207634</v>
      </c>
      <c r="F297" s="1">
        <f t="shared" si="8"/>
        <v>3.9706152838939137</v>
      </c>
      <c r="G297" s="4">
        <f>IF(E297&lt;-1,"Below",IF(E297&gt;1,"Above",INT(C297+C12-(DEGREES(ASIN(E297))+90)/15+5/600)))</f>
        <v>10</v>
      </c>
      <c r="H297" s="1" t="str">
        <f>IF(OR(E297&lt;-1,E297&gt;1),IF(M13&gt;0," Min."," Horz."),IF(INT((C297+C12-(DEGREES(ASIN(E297))+90)/15-G297)*60+1/2)&lt;10,":0"&amp;FIXED(INT((C297+C12-(DEGREES(ASIN(E297))+90)/15-G297)*60+1/2),0),":"&amp;FIXED(INT((C297+C12-(DEGREES(ASIN(E297))+90)/15-G297)*60+1/2),0)))</f>
        <v>:17</v>
      </c>
      <c r="I297" s="4">
        <f>IF(E297&lt;-1,"Below",IF(E297&gt;1,"Above",INT(C297+C12+(DEGREES(ASIN(E297))+90)/15+5/600)))</f>
        <v>14</v>
      </c>
      <c r="J297" s="1" t="str">
        <f>IF(OR(E297&lt;-1,E297&gt;1),IF(M13&gt;0," Min."," Horz."),IF(INT((C297+C12+(DEGREES(ASIN(E297))+90)/15-I297)*60+1/2)&lt;10,":0"&amp;FIXED(INT((C297+C12+(DEGREES(ASIN(E297))+90)/15-I297)*60+1/2),0),":"&amp;FIXED(INT((C297+C12+(DEGREES(ASIN(E297))+90)/15-I297)*60+1/2),0)))</f>
        <v>:15</v>
      </c>
      <c r="K297" s="1">
        <f>ROUND(DEGREES(ASIN(COS(RADIANS(D297))*COS(RADIANS(L9))+SIN(RADIANS(D297))*SIN(RADIANS(L9)))),0)</f>
        <v>54</v>
      </c>
      <c r="L297" s="1" t="s">
        <v>17</v>
      </c>
      <c r="M297" s="16">
        <f>IF(M14&gt;0,solrdat!B302,solrdat!I302)</f>
        <v>40098</v>
      </c>
      <c r="N297" s="1">
        <f>IF(M14&gt;0,solrdat!C302,solrdat!J302)</f>
        <v>11.772944444444445</v>
      </c>
      <c r="O297" s="1">
        <f>IF(M14&gt;0,solrdat!D302,solrdat!K302)</f>
        <v>-7.66243</v>
      </c>
      <c r="P297" s="1">
        <f>(TAN(RADIANS(L9))*SIN(RADIANS(O297))-SIN(RADIANS(L13))/COS(RADIANS(L9)))/COS(RADIANS(O297))</f>
        <v>-1.0442692708400072</v>
      </c>
      <c r="Q297" s="1" t="str">
        <f t="shared" si="9"/>
        <v>0</v>
      </c>
      <c r="R297" s="4" t="str">
        <f>IF(P297&lt;-1,"Below",IF(P297&gt;1,"Above",INT(N297+C12-(DEGREES(ASIN(P297))+90)/15+5/600)))</f>
        <v>Below</v>
      </c>
      <c r="S297" s="1" t="str">
        <f>IF(OR(P297&lt;-1,P297&gt;1),IF(M13&gt;0," Min."," Horz."),IF(INT((N297+C12-(DEGREES(ASIN(P297))+90)/15-R297)*60+1/2)&lt;10,":0"&amp;FIXED(INT((N297+C12-(DEGREES(ASIN(P297))+90)/15-R297)*60+1/2),0),":"&amp;FIXED(INT((N297+C12-(DEGREES(ASIN(P297))+90)/15-R297)*60+1/2),0)))</f>
        <v> Min.</v>
      </c>
      <c r="T297" s="4" t="str">
        <f>IF(P297&lt;-1,"Below",IF(P297&gt;1,"Above",INT(N297+C12+(DEGREES(ASIN(P297))+90)/15+5/600)))</f>
        <v>Below</v>
      </c>
      <c r="U297" s="1" t="str">
        <f>IF(OR(P297&lt;-1,P297&gt;1),IF(M13&gt;0," Min."," Horz."),IF(INT((N297+C12+(DEGREES(ASIN(P297))+90)/15-T297)*60+1/2)&lt;10,":0"&amp;FIXED(INT((N297+C12+(DEGREES(ASIN(P297))+90)/15-T297)*60+1/2),0),":"&amp;FIXED(INT((N297+C12+(DEGREES(ASIN(P297))+90)/15-T297)*60+1/2),0)))</f>
        <v> Min.</v>
      </c>
      <c r="V297" s="1">
        <f>ROUND(DEGREES(ASIN(COS(RADIANS(O297))*COS(RADIANS(L9))+SIN(RADIANS(O297))*SIN(RADIANS(L9)))),0)</f>
        <v>42</v>
      </c>
      <c r="W297" s="1" t="s">
        <v>17</v>
      </c>
      <c r="X297" s="18"/>
    </row>
    <row r="298" spans="1:24" ht="10.5" customHeight="1">
      <c r="A298" s="1"/>
      <c r="B298" s="15">
        <f>IF(M14&gt;0,solrdat!B271,solrdat!I271)</f>
        <v>40069</v>
      </c>
      <c r="C298" s="1">
        <f>IF(M14&gt;0,solrdat!C271,solrdat!J271)</f>
        <v>11.929305555555555</v>
      </c>
      <c r="D298" s="1">
        <f>IF(M14&gt;0,solrdat!D271,solrdat!K271)</f>
        <v>3.521336</v>
      </c>
      <c r="E298" s="1">
        <f>(TAN(RADIANS(L9))*SIN(RADIANS(D298))-SIN(RADIANS(L13))/COS(RADIANS(L9)))/COS(RADIANS(D298))</f>
        <v>-0.873173213784735</v>
      </c>
      <c r="F298" s="1">
        <f t="shared" si="8"/>
        <v>3.889398951638205</v>
      </c>
      <c r="G298" s="4">
        <f>IF(E298&lt;-1,"Below",IF(E298&gt;1,"Above",INT(C298+C12-(DEGREES(ASIN(E298))+90)/15+5/600)))</f>
        <v>10</v>
      </c>
      <c r="H298" s="1" t="str">
        <f>IF(OR(E298&lt;-1,E298&gt;1),IF(M13&gt;0," Min."," Horz."),IF(INT((C298+C12-(DEGREES(ASIN(E298))+90)/15-G298)*60+1/2)&lt;10,":0"&amp;FIXED(INT((C298+C12-(DEGREES(ASIN(E298))+90)/15-G298)*60+1/2),0),":"&amp;FIXED(INT((C298+C12-(DEGREES(ASIN(E298))+90)/15-G298)*60+1/2),0)))</f>
        <v>:19</v>
      </c>
      <c r="I298" s="4">
        <f>IF(E298&lt;-1,"Below",IF(E298&gt;1,"Above",INT(C298+C12+(DEGREES(ASIN(E298))+90)/15+5/600)))</f>
        <v>14</v>
      </c>
      <c r="J298" s="1" t="str">
        <f>IF(OR(E298&lt;-1,E298&gt;1),IF(M13&gt;0," Min."," Horz."),IF(INT((C298+C12+(DEGREES(ASIN(E298))+90)/15-I298)*60+1/2)&lt;10,":0"&amp;FIXED(INT((C298+C12+(DEGREES(ASIN(E298))+90)/15-I298)*60+1/2),0),":"&amp;FIXED(INT((C298+C12+(DEGREES(ASIN(E298))+90)/15-I298)*60+1/2),0)))</f>
        <v>:12</v>
      </c>
      <c r="K298" s="1">
        <f>ROUND(DEGREES(ASIN(COS(RADIANS(D298))*COS(RADIANS(L9))+SIN(RADIANS(D298))*SIN(RADIANS(L9)))),0)</f>
        <v>54</v>
      </c>
      <c r="L298" s="1" t="s">
        <v>17</v>
      </c>
      <c r="M298" s="16">
        <f>IF(M14&gt;0,solrdat!B303,solrdat!I303)</f>
        <v>40099</v>
      </c>
      <c r="N298" s="1">
        <f>IF(M14&gt;0,solrdat!C303,solrdat!J303)</f>
        <v>11.768944444444445</v>
      </c>
      <c r="O298" s="1">
        <f>IF(M14&gt;0,solrdat!D303,solrdat!K303)</f>
        <v>-8.035894</v>
      </c>
      <c r="P298" s="1">
        <f>(TAN(RADIANS(L9))*SIN(RADIANS(O298))-SIN(RADIANS(L13))/COS(RADIANS(L9)))/COS(RADIANS(O298))</f>
        <v>-1.0506799301650322</v>
      </c>
      <c r="Q298" s="1" t="str">
        <f t="shared" si="9"/>
        <v>0</v>
      </c>
      <c r="R298" s="4" t="str">
        <f>IF(P298&lt;-1,"Below",IF(P298&gt;1,"Above",INT(N298+C12-(DEGREES(ASIN(P298))+90)/15+5/600)))</f>
        <v>Below</v>
      </c>
      <c r="S298" s="1" t="str">
        <f>IF(OR(P298&lt;-1,P298&gt;1),IF(M13&gt;0," Min."," Horz."),IF(INT((N298+C12-(DEGREES(ASIN(P298))+90)/15-R298)*60+1/2)&lt;10,":0"&amp;FIXED(INT((N298+C12-(DEGREES(ASIN(P298))+90)/15-R298)*60+1/2),0),":"&amp;FIXED(INT((N298+C12-(DEGREES(ASIN(P298))+90)/15-R298)*60+1/2),0)))</f>
        <v> Min.</v>
      </c>
      <c r="T298" s="4" t="str">
        <f>IF(P298&lt;-1,"Below",IF(P298&gt;1,"Above",INT(N298+C12+(DEGREES(ASIN(P298))+90)/15+5/600)))</f>
        <v>Below</v>
      </c>
      <c r="U298" s="1" t="str">
        <f>IF(OR(P298&lt;-1,P298&gt;1),IF(M13&gt;0," Min."," Horz."),IF(INT((N298+C12+(DEGREES(ASIN(P298))+90)/15-T298)*60+1/2)&lt;10,":0"&amp;FIXED(INT((N298+C12+(DEGREES(ASIN(P298))+90)/15-T298)*60+1/2),0),":"&amp;FIXED(INT((N298+C12+(DEGREES(ASIN(P298))+90)/15-T298)*60+1/2),0)))</f>
        <v> Min.</v>
      </c>
      <c r="V298" s="1">
        <f>ROUND(DEGREES(ASIN(COS(RADIANS(O298))*COS(RADIANS(L9))+SIN(RADIANS(O298))*SIN(RADIANS(L9)))),0)</f>
        <v>42</v>
      </c>
      <c r="W298" s="1" t="s">
        <v>17</v>
      </c>
      <c r="X298" s="18"/>
    </row>
    <row r="299" spans="1:24" ht="10.5" customHeight="1">
      <c r="A299" s="1"/>
      <c r="B299" s="15">
        <f>IF(M14&gt;0,solrdat!B272,solrdat!I272)</f>
        <v>40070</v>
      </c>
      <c r="C299" s="1">
        <f>IF(M14&gt;0,solrdat!C272,solrdat!J272)</f>
        <v>11.923388888888889</v>
      </c>
      <c r="D299" s="1">
        <f>IF(M14&gt;0,solrdat!D272,solrdat!K272)</f>
        <v>3.137274</v>
      </c>
      <c r="E299" s="1">
        <f>(TAN(RADIANS(L9))*SIN(RADIANS(D299))-SIN(RADIANS(L13))/COS(RADIANS(L9)))/COS(RADIANS(D299))</f>
        <v>-0.8784563252295182</v>
      </c>
      <c r="F299" s="1">
        <f t="shared" si="8"/>
        <v>3.805772285820937</v>
      </c>
      <c r="G299" s="4">
        <f>IF(E299&lt;-1,"Below",IF(E299&gt;1,"Above",INT(C299+C12-(DEGREES(ASIN(E299))+90)/15+5/600)))</f>
        <v>10</v>
      </c>
      <c r="H299" s="1" t="str">
        <f>IF(OR(E299&lt;-1,E299&gt;1),IF(M13&gt;0," Min."," Horz."),IF(INT((C299+C12-(DEGREES(ASIN(E299))+90)/15-G299)*60+1/2)&lt;10,":0"&amp;FIXED(INT((C299+C12-(DEGREES(ASIN(E299))+90)/15-G299)*60+1/2),0),":"&amp;FIXED(INT((C299+C12-(DEGREES(ASIN(E299))+90)/15-G299)*60+1/2),0)))</f>
        <v>:21</v>
      </c>
      <c r="I299" s="4">
        <f>IF(E299&lt;-1,"Below",IF(E299&gt;1,"Above",INT(C299+C12+(DEGREES(ASIN(E299))+90)/15+5/600)))</f>
        <v>14</v>
      </c>
      <c r="J299" s="1" t="str">
        <f>IF(OR(E299&lt;-1,E299&gt;1),IF(M13&gt;0," Min."," Horz."),IF(INT((C299+C12+(DEGREES(ASIN(E299))+90)/15-I299)*60+1/2)&lt;10,":0"&amp;FIXED(INT((C299+C12+(DEGREES(ASIN(E299))+90)/15-I299)*60+1/2),0),":"&amp;FIXED(INT((C299+C12+(DEGREES(ASIN(E299))+90)/15-I299)*60+1/2),0)))</f>
        <v>:10</v>
      </c>
      <c r="K299" s="1">
        <f>ROUND(DEGREES(ASIN(COS(RADIANS(D299))*COS(RADIANS(L9))+SIN(RADIANS(D299))*SIN(RADIANS(L9)))),0)</f>
        <v>53</v>
      </c>
      <c r="L299" s="1" t="s">
        <v>17</v>
      </c>
      <c r="M299" s="16">
        <f>IF(M14&gt;0,solrdat!B304,solrdat!I304)</f>
        <v>40100</v>
      </c>
      <c r="N299" s="1">
        <f>IF(M14&gt;0,solrdat!C304,solrdat!J304)</f>
        <v>11.76511111111111</v>
      </c>
      <c r="O299" s="1">
        <f>IF(M14&gt;0,solrdat!D304,solrdat!K304)</f>
        <v>-8.407513</v>
      </c>
      <c r="P299" s="1">
        <f>(TAN(RADIANS(L9))*SIN(RADIANS(O299))-SIN(RADIANS(L13))/COS(RADIANS(L9)))/COS(RADIANS(O299))</f>
        <v>-1.0571099910831592</v>
      </c>
      <c r="Q299" s="1" t="str">
        <f t="shared" si="9"/>
        <v>0</v>
      </c>
      <c r="R299" s="4" t="str">
        <f>IF(P299&lt;-1,"Below",IF(P299&gt;1,"Above",INT(N299+C12-(DEGREES(ASIN(P299))+90)/15+5/600)))</f>
        <v>Below</v>
      </c>
      <c r="S299" s="1" t="str">
        <f>IF(OR(P299&lt;-1,P299&gt;1),IF(M13&gt;0," Min."," Horz."),IF(INT((N299+C12-(DEGREES(ASIN(P299))+90)/15-R299)*60+1/2)&lt;10,":0"&amp;FIXED(INT((N299+C12-(DEGREES(ASIN(P299))+90)/15-R299)*60+1/2),0),":"&amp;FIXED(INT((N299+C12-(DEGREES(ASIN(P299))+90)/15-R299)*60+1/2),0)))</f>
        <v> Min.</v>
      </c>
      <c r="T299" s="4" t="str">
        <f>IF(P299&lt;-1,"Below",IF(P299&gt;1,"Above",INT(N299+C12+(DEGREES(ASIN(P299))+90)/15+5/600)))</f>
        <v>Below</v>
      </c>
      <c r="U299" s="1" t="str">
        <f>IF(OR(P299&lt;-1,P299&gt;1),IF(M13&gt;0," Min."," Horz."),IF(INT((N299+C12+(DEGREES(ASIN(P299))+90)/15-T299)*60+1/2)&lt;10,":0"&amp;FIXED(INT((N299+C12+(DEGREES(ASIN(P299))+90)/15-T299)*60+1/2),0),":"&amp;FIXED(INT((N299+C12+(DEGREES(ASIN(P299))+90)/15-T299)*60+1/2),0)))</f>
        <v> Min.</v>
      </c>
      <c r="V299" s="1">
        <f>ROUND(DEGREES(ASIN(COS(RADIANS(O299))*COS(RADIANS(L9))+SIN(RADIANS(O299))*SIN(RADIANS(L9)))),0)</f>
        <v>42</v>
      </c>
      <c r="W299" s="1" t="s">
        <v>17</v>
      </c>
      <c r="X299" s="18"/>
    </row>
    <row r="300" spans="1:24" ht="10.5" customHeight="1">
      <c r="A300" s="1"/>
      <c r="B300" s="15">
        <f>IF(M14&gt;0,solrdat!B273,solrdat!I273)</f>
        <v>40071</v>
      </c>
      <c r="C300" s="1">
        <f>IF(M14&gt;0,solrdat!C273,solrdat!J273)</f>
        <v>11.917472222222223</v>
      </c>
      <c r="D300" s="1">
        <f>IF(M14&gt;0,solrdat!D273,solrdat!K273)</f>
        <v>2.752218</v>
      </c>
      <c r="E300" s="1">
        <f>(TAN(RADIANS(L9))*SIN(RADIANS(D300))-SIN(RADIANS(L13))/COS(RADIANS(L9)))/COS(RADIANS(D300))</f>
        <v>-0.8837908989348248</v>
      </c>
      <c r="F300" s="1">
        <f t="shared" si="8"/>
        <v>3.7195874389615247</v>
      </c>
      <c r="G300" s="4">
        <f>IF(E300&lt;-1,"Below",IF(E300&gt;1,"Above",INT(C300+C12-(DEGREES(ASIN(E300))+90)/15+5/600)))</f>
        <v>10</v>
      </c>
      <c r="H300" s="1" t="str">
        <f>IF(OR(E300&lt;-1,E300&gt;1),IF(M13&gt;0," Min."," Horz."),IF(INT((C300+C12-(DEGREES(ASIN(E300))+90)/15-G300)*60+1/2)&lt;10,":0"&amp;FIXED(INT((C300+C12-(DEGREES(ASIN(E300))+90)/15-G300)*60+1/2),0),":"&amp;FIXED(INT((C300+C12-(DEGREES(ASIN(E300))+90)/15-G300)*60+1/2),0)))</f>
        <v>:23</v>
      </c>
      <c r="I300" s="4">
        <f>IF(E300&lt;-1,"Below",IF(E300&gt;1,"Above",INT(C300+C12+(DEGREES(ASIN(E300))+90)/15+5/600)))</f>
        <v>14</v>
      </c>
      <c r="J300" s="1" t="str">
        <f>IF(OR(E300&lt;-1,E300&gt;1),IF(M13&gt;0," Min."," Horz."),IF(INT((C300+C12+(DEGREES(ASIN(E300))+90)/15-I300)*60+1/2)&lt;10,":0"&amp;FIXED(INT((C300+C12+(DEGREES(ASIN(E300))+90)/15-I300)*60+1/2),0),":"&amp;FIXED(INT((C300+C12+(DEGREES(ASIN(E300))+90)/15-I300)*60+1/2),0)))</f>
        <v>:07</v>
      </c>
      <c r="K300" s="1">
        <f>ROUND(DEGREES(ASIN(COS(RADIANS(D300))*COS(RADIANS(L9))+SIN(RADIANS(D300))*SIN(RADIANS(L9)))),0)</f>
        <v>53</v>
      </c>
      <c r="L300" s="1" t="s">
        <v>17</v>
      </c>
      <c r="M300" s="16">
        <f>IF(M14&gt;0,solrdat!B305,solrdat!I305)</f>
        <v>40101</v>
      </c>
      <c r="N300" s="1">
        <f>IF(M14&gt;0,solrdat!C305,solrdat!J305)</f>
        <v>11.761416666666667</v>
      </c>
      <c r="O300" s="1">
        <f>IF(M14&gt;0,solrdat!D305,solrdat!K305)</f>
        <v>-8.777175</v>
      </c>
      <c r="P300" s="1">
        <f>(TAN(RADIANS(L9))*SIN(RADIANS(O300))-SIN(RADIANS(L13))/COS(RADIANS(L9)))/COS(RADIANS(O300))</f>
        <v>-1.0635574136468684</v>
      </c>
      <c r="Q300" s="1" t="str">
        <f t="shared" si="9"/>
        <v>0</v>
      </c>
      <c r="R300" s="4" t="str">
        <f>IF(P300&lt;-1,"Below",IF(P300&gt;1,"Above",INT(N300+C12-(DEGREES(ASIN(P300))+90)/15+5/600)))</f>
        <v>Below</v>
      </c>
      <c r="S300" s="1" t="str">
        <f>IF(OR(P300&lt;-1,P300&gt;1),IF(M13&gt;0," Min."," Horz."),IF(INT((N300+C12-(DEGREES(ASIN(P300))+90)/15-R300)*60+1/2)&lt;10,":0"&amp;FIXED(INT((N300+C12-(DEGREES(ASIN(P300))+90)/15-R300)*60+1/2),0),":"&amp;FIXED(INT((N300+C12-(DEGREES(ASIN(P300))+90)/15-R300)*60+1/2),0)))</f>
        <v> Min.</v>
      </c>
      <c r="T300" s="4" t="str">
        <f>IF(P300&lt;-1,"Below",IF(P300&gt;1,"Above",INT(N300+C12+(DEGREES(ASIN(P300))+90)/15+5/600)))</f>
        <v>Below</v>
      </c>
      <c r="U300" s="1" t="str">
        <f>IF(OR(P300&lt;-1,P300&gt;1),IF(M13&gt;0," Min."," Horz."),IF(INT((N300+C12+(DEGREES(ASIN(P300))+90)/15-T300)*60+1/2)&lt;10,":0"&amp;FIXED(INT((N300+C12+(DEGREES(ASIN(P300))+90)/15-T300)*60+1/2),0),":"&amp;FIXED(INT((N300+C12+(DEGREES(ASIN(P300))+90)/15-T300)*60+1/2),0)))</f>
        <v> Min.</v>
      </c>
      <c r="V300" s="1">
        <f>ROUND(DEGREES(ASIN(COS(RADIANS(O300))*COS(RADIANS(L9))+SIN(RADIANS(O300))*SIN(RADIANS(L9)))),0)</f>
        <v>41</v>
      </c>
      <c r="W300" s="1" t="s">
        <v>17</v>
      </c>
      <c r="X300" s="18"/>
    </row>
    <row r="301" spans="1:24" ht="10.5" customHeight="1">
      <c r="A301" s="1"/>
      <c r="B301" s="15">
        <f>IF(M14&gt;0,solrdat!B274,solrdat!I274)</f>
        <v>40072</v>
      </c>
      <c r="C301" s="1">
        <f>IF(M14&gt;0,solrdat!C274,solrdat!J274)</f>
        <v>11.911527777777778</v>
      </c>
      <c r="D301" s="1">
        <f>IF(M14&gt;0,solrdat!D274,solrdat!K274)</f>
        <v>2.366268</v>
      </c>
      <c r="E301" s="1">
        <f>(TAN(RADIANS(L9))*SIN(RADIANS(D301))-SIN(RADIANS(L13))/COS(RADIANS(L9)))/COS(RADIANS(D301))</f>
        <v>-0.8891762716959823</v>
      </c>
      <c r="F301" s="1">
        <f t="shared" si="8"/>
        <v>3.6306774150081567</v>
      </c>
      <c r="G301" s="4">
        <f>IF(E301&lt;-1,"Below",IF(E301&gt;1,"Above",INT(C301+C12-(DEGREES(ASIN(E301))+90)/15+5/600)))</f>
        <v>10</v>
      </c>
      <c r="H301" s="1" t="str">
        <f>IF(OR(E301&lt;-1,E301&gt;1),IF(M13&gt;0," Min."," Horz."),IF(INT((C301+C12-(DEGREES(ASIN(E301))+90)/15-G301)*60+1/2)&lt;10,":0"&amp;FIXED(INT((C301+C12-(DEGREES(ASIN(E301))+90)/15-G301)*60+1/2),0),":"&amp;FIXED(INT((C301+C12-(DEGREES(ASIN(E301))+90)/15-G301)*60+1/2),0)))</f>
        <v>:26</v>
      </c>
      <c r="I301" s="4">
        <f>IF(E301&lt;-1,"Below",IF(E301&gt;1,"Above",INT(C301+C12+(DEGREES(ASIN(E301))+90)/15+5/600)))</f>
        <v>14</v>
      </c>
      <c r="J301" s="1" t="str">
        <f>IF(OR(E301&lt;-1,E301&gt;1),IF(M13&gt;0," Min."," Horz."),IF(INT((C301+C12+(DEGREES(ASIN(E301))+90)/15-I301)*60+1/2)&lt;10,":0"&amp;FIXED(INT((C301+C12+(DEGREES(ASIN(E301))+90)/15-I301)*60+1/2),0),":"&amp;FIXED(INT((C301+C12+(DEGREES(ASIN(E301))+90)/15-I301)*60+1/2),0)))</f>
        <v>:04</v>
      </c>
      <c r="K301" s="1">
        <f>ROUND(DEGREES(ASIN(COS(RADIANS(D301))*COS(RADIANS(L9))+SIN(RADIANS(D301))*SIN(RADIANS(L9)))),0)</f>
        <v>52</v>
      </c>
      <c r="L301" s="1" t="s">
        <v>17</v>
      </c>
      <c r="M301" s="16">
        <f>IF(M14&gt;0,solrdat!B306,solrdat!I306)</f>
        <v>40102</v>
      </c>
      <c r="N301" s="1">
        <f>IF(M14&gt;0,solrdat!C306,solrdat!J306)</f>
        <v>11.757888888888889</v>
      </c>
      <c r="O301" s="1">
        <f>IF(M14&gt;0,solrdat!D306,solrdat!K306)</f>
        <v>-9.144767</v>
      </c>
      <c r="P301" s="1">
        <f>(TAN(RADIANS(L9))*SIN(RADIANS(O301))-SIN(RADIANS(L13))/COS(RADIANS(L9)))/COS(RADIANS(O301))</f>
        <v>-1.0700200735935526</v>
      </c>
      <c r="Q301" s="1" t="str">
        <f t="shared" si="9"/>
        <v>0</v>
      </c>
      <c r="R301" s="4" t="str">
        <f>IF(P301&lt;-1,"Below",IF(P301&gt;1,"Above",INT(N301+C12-(DEGREES(ASIN(P301))+90)/15+5/600)))</f>
        <v>Below</v>
      </c>
      <c r="S301" s="1" t="str">
        <f>IF(OR(P301&lt;-1,P301&gt;1),IF(M13&gt;0," Min."," Horz."),IF(INT((N301+C12-(DEGREES(ASIN(P301))+90)/15-R301)*60+1/2)&lt;10,":0"&amp;FIXED(INT((N301+C12-(DEGREES(ASIN(P301))+90)/15-R301)*60+1/2),0),":"&amp;FIXED(INT((N301+C12-(DEGREES(ASIN(P301))+90)/15-R301)*60+1/2),0)))</f>
        <v> Min.</v>
      </c>
      <c r="T301" s="4" t="str">
        <f>IF(P301&lt;-1,"Below",IF(P301&gt;1,"Above",INT(N301+C12+(DEGREES(ASIN(P301))+90)/15+5/600)))</f>
        <v>Below</v>
      </c>
      <c r="U301" s="1" t="str">
        <f>IF(OR(P301&lt;-1,P301&gt;1),IF(M13&gt;0," Min."," Horz."),IF(INT((N301+C12+(DEGREES(ASIN(P301))+90)/15-T301)*60+1/2)&lt;10,":0"&amp;FIXED(INT((N301+C12+(DEGREES(ASIN(P301))+90)/15-T301)*60+1/2),0),":"&amp;FIXED(INT((N301+C12+(DEGREES(ASIN(P301))+90)/15-T301)*60+1/2),0)))</f>
        <v> Min.</v>
      </c>
      <c r="V301" s="1">
        <f>ROUND(DEGREES(ASIN(COS(RADIANS(O301))*COS(RADIANS(L9))+SIN(RADIANS(O301))*SIN(RADIANS(L9)))),0)</f>
        <v>41</v>
      </c>
      <c r="W301" s="1" t="s">
        <v>17</v>
      </c>
      <c r="X301" s="18"/>
    </row>
    <row r="302" spans="1:24" ht="10.5" customHeight="1">
      <c r="A302" s="1"/>
      <c r="B302" s="15">
        <f>IF(M14&gt;0,solrdat!B275,solrdat!I275)</f>
        <v>40073</v>
      </c>
      <c r="C302" s="1">
        <f>IF(M14&gt;0,solrdat!C275,solrdat!J275)</f>
        <v>11.905611111111112</v>
      </c>
      <c r="D302" s="1">
        <f>IF(M14&gt;0,solrdat!D275,solrdat!K275)</f>
        <v>1.979524</v>
      </c>
      <c r="E302" s="1">
        <f>(TAN(RADIANS(L9))*SIN(RADIANS(D302))-SIN(RADIANS(L13))/COS(RADIANS(L9)))/COS(RADIANS(D302))</f>
        <v>-0.8946117556093169</v>
      </c>
      <c r="F302" s="1">
        <f t="shared" si="8"/>
        <v>3.53885273307358</v>
      </c>
      <c r="G302" s="4">
        <f>IF(E302&lt;-1,"Below",IF(E302&gt;1,"Above",INT(C302+C12-(DEGREES(ASIN(E302))+90)/15+5/600)))</f>
        <v>10</v>
      </c>
      <c r="H302" s="1" t="str">
        <f>IF(OR(E302&lt;-1,E302&gt;1),IF(M13&gt;0," Min."," Horz."),IF(INT((C302+C12-(DEGREES(ASIN(E302))+90)/15-G302)*60+1/2)&lt;10,":0"&amp;FIXED(INT((C302+C12-(DEGREES(ASIN(E302))+90)/15-G302)*60+1/2),0),":"&amp;FIXED(INT((C302+C12-(DEGREES(ASIN(E302))+90)/15-G302)*60+1/2),0)))</f>
        <v>:28</v>
      </c>
      <c r="I302" s="4">
        <f>IF(E302&lt;-1,"Below",IF(E302&gt;1,"Above",INT(C302+C12+(DEGREES(ASIN(E302))+90)/15+5/600)))</f>
        <v>14</v>
      </c>
      <c r="J302" s="1" t="str">
        <f>IF(OR(E302&lt;-1,E302&gt;1),IF(M13&gt;0," Min."," Horz."),IF(INT((C302+C12+(DEGREES(ASIN(E302))+90)/15-I302)*60+1/2)&lt;10,":0"&amp;FIXED(INT((C302+C12+(DEGREES(ASIN(E302))+90)/15-I302)*60+1/2),0),":"&amp;FIXED(INT((C302+C12+(DEGREES(ASIN(E302))+90)/15-I302)*60+1/2),0)))</f>
        <v>:01</v>
      </c>
      <c r="K302" s="1">
        <f>ROUND(DEGREES(ASIN(COS(RADIANS(D302))*COS(RADIANS(L9))+SIN(RADIANS(D302))*SIN(RADIANS(L9)))),0)</f>
        <v>52</v>
      </c>
      <c r="L302" s="1" t="s">
        <v>17</v>
      </c>
      <c r="M302" s="16">
        <f>IF(M14&gt;0,solrdat!B307,solrdat!I307)</f>
        <v>40103</v>
      </c>
      <c r="N302" s="1">
        <f>IF(M14&gt;0,solrdat!C307,solrdat!J307)</f>
        <v>11.754555555555555</v>
      </c>
      <c r="O302" s="1">
        <f>IF(M14&gt;0,solrdat!D307,solrdat!K307)</f>
        <v>-9.51018</v>
      </c>
      <c r="P302" s="1">
        <f>(TAN(RADIANS(L9))*SIN(RADIANS(O302))-SIN(RADIANS(L13))/COS(RADIANS(L9)))/COS(RADIANS(O302))</f>
        <v>-1.076495849258234</v>
      </c>
      <c r="Q302" s="1" t="str">
        <f t="shared" si="9"/>
        <v>0</v>
      </c>
      <c r="R302" s="4" t="str">
        <f>IF(P302&lt;-1,"Below",IF(P302&gt;1,"Above",INT(N302+C12-(DEGREES(ASIN(P302))+90)/15+5/600)))</f>
        <v>Below</v>
      </c>
      <c r="S302" s="1" t="str">
        <f>IF(OR(P302&lt;-1,P302&gt;1),IF(M13&gt;0," Min."," Horz."),IF(INT((N302+C12-(DEGREES(ASIN(P302))+90)/15-R302)*60+1/2)&lt;10,":0"&amp;FIXED(INT((N302+C12-(DEGREES(ASIN(P302))+90)/15-R302)*60+1/2),0),":"&amp;FIXED(INT((N302+C12-(DEGREES(ASIN(P302))+90)/15-R302)*60+1/2),0)))</f>
        <v> Min.</v>
      </c>
      <c r="T302" s="4" t="str">
        <f>IF(P302&lt;-1,"Below",IF(P302&gt;1,"Above",INT(N302+C12+(DEGREES(ASIN(P302))+90)/15+5/600)))</f>
        <v>Below</v>
      </c>
      <c r="U302" s="1" t="str">
        <f>IF(OR(P302&lt;-1,P302&gt;1),IF(M13&gt;0," Min."," Horz."),IF(INT((N302+C12+(DEGREES(ASIN(P302))+90)/15-T302)*60+1/2)&lt;10,":0"&amp;FIXED(INT((N302+C12+(DEGREES(ASIN(P302))+90)/15-T302)*60+1/2),0),":"&amp;FIXED(INT((N302+C12+(DEGREES(ASIN(P302))+90)/15-T302)*60+1/2),0)))</f>
        <v> Min.</v>
      </c>
      <c r="V302" s="1">
        <f>ROUND(DEGREES(ASIN(COS(RADIANS(O302))*COS(RADIANS(L9))+SIN(RADIANS(O302))*SIN(RADIANS(L9)))),0)</f>
        <v>40</v>
      </c>
      <c r="W302" s="1" t="s">
        <v>17</v>
      </c>
      <c r="X302" s="18"/>
    </row>
    <row r="303" spans="1:24" ht="10.5" customHeight="1">
      <c r="A303" s="1"/>
      <c r="B303" s="15">
        <f>IF(M14&gt;0,solrdat!B276,solrdat!I276)</f>
        <v>40074</v>
      </c>
      <c r="C303" s="1">
        <f>IF(M14&gt;0,solrdat!C276,solrdat!J276)</f>
        <v>11.899694444444444</v>
      </c>
      <c r="D303" s="1">
        <f>IF(M14&gt;0,solrdat!D276,solrdat!K276)</f>
        <v>1.592086</v>
      </c>
      <c r="E303" s="1">
        <f>(TAN(RADIANS(L9))*SIN(RADIANS(D303))-SIN(RADIANS(L13))/COS(RADIANS(L9)))/COS(RADIANS(D303))</f>
        <v>-0.9000966370471957</v>
      </c>
      <c r="F303" s="1">
        <f t="shared" si="8"/>
        <v>3.4438969794981253</v>
      </c>
      <c r="G303" s="4">
        <f>IF(E303&lt;-1,"Below",IF(E303&gt;1,"Above",INT(C303+C12-(DEGREES(ASIN(E303))+90)/15+5/600)))</f>
        <v>10</v>
      </c>
      <c r="H303" s="1" t="str">
        <f>IF(OR(E303&lt;-1,E303&gt;1),IF(M13&gt;0," Min."," Horz."),IF(INT((C303+C12-(DEGREES(ASIN(E303))+90)/15-G303)*60+1/2)&lt;10,":0"&amp;FIXED(INT((C303+C12-(DEGREES(ASIN(E303))+90)/15-G303)*60+1/2),0),":"&amp;FIXED(INT((C303+C12-(DEGREES(ASIN(E303))+90)/15-G303)*60+1/2),0)))</f>
        <v>:31</v>
      </c>
      <c r="I303" s="4">
        <f>IF(E303&lt;-1,"Below",IF(E303&gt;1,"Above",INT(C303+C12+(DEGREES(ASIN(E303))+90)/15+5/600)))</f>
        <v>13</v>
      </c>
      <c r="J303" s="1" t="str">
        <f>IF(OR(E303&lt;-1,E303&gt;1),IF(M13&gt;0," Min."," Horz."),IF(INT((C303+C12+(DEGREES(ASIN(E303))+90)/15-I303)*60+1/2)&lt;10,":0"&amp;FIXED(INT((C303+C12+(DEGREES(ASIN(E303))+90)/15-I303)*60+1/2),0),":"&amp;FIXED(INT((C303+C12+(DEGREES(ASIN(E303))+90)/15-I303)*60+1/2),0)))</f>
        <v>:57</v>
      </c>
      <c r="K303" s="1">
        <f>ROUND(DEGREES(ASIN(COS(RADIANS(D303))*COS(RADIANS(L9))+SIN(RADIANS(D303))*SIN(RADIANS(L9)))),0)</f>
        <v>52</v>
      </c>
      <c r="L303" s="1" t="s">
        <v>17</v>
      </c>
      <c r="M303" s="16">
        <f>IF(M14&gt;0,solrdat!B308,solrdat!I308)</f>
        <v>40104</v>
      </c>
      <c r="N303" s="1">
        <f>IF(M14&gt;0,solrdat!C308,solrdat!J308)</f>
        <v>11.75136111111111</v>
      </c>
      <c r="O303" s="1">
        <f>IF(M14&gt;0,solrdat!D308,solrdat!K308)</f>
        <v>-9.8733</v>
      </c>
      <c r="P303" s="1">
        <f>(TAN(RADIANS(L9))*SIN(RADIANS(O303))-SIN(RADIANS(L13))/COS(RADIANS(L9)))/COS(RADIANS(O303))</f>
        <v>-1.0829824616914827</v>
      </c>
      <c r="Q303" s="1" t="str">
        <f t="shared" si="9"/>
        <v>0</v>
      </c>
      <c r="R303" s="4" t="str">
        <f>IF(P303&lt;-1,"Below",IF(P303&gt;1,"Above",INT(N303+C12-(DEGREES(ASIN(P303))+90)/15+5/600)))</f>
        <v>Below</v>
      </c>
      <c r="S303" s="1" t="str">
        <f>IF(OR(P303&lt;-1,P303&gt;1),IF(M13&gt;0," Min."," Horz."),IF(INT((N303+C12-(DEGREES(ASIN(P303))+90)/15-R303)*60+1/2)&lt;10,":0"&amp;FIXED(INT((N303+C12-(DEGREES(ASIN(P303))+90)/15-R303)*60+1/2),0),":"&amp;FIXED(INT((N303+C12-(DEGREES(ASIN(P303))+90)/15-R303)*60+1/2),0)))</f>
        <v> Min.</v>
      </c>
      <c r="T303" s="4" t="str">
        <f>IF(P303&lt;-1,"Below",IF(P303&gt;1,"Above",INT(N303+C12+(DEGREES(ASIN(P303))+90)/15+5/600)))</f>
        <v>Below</v>
      </c>
      <c r="U303" s="1" t="str">
        <f>IF(OR(P303&lt;-1,P303&gt;1),IF(M13&gt;0," Min."," Horz."),IF(INT((N303+C12+(DEGREES(ASIN(P303))+90)/15-T303)*60+1/2)&lt;10,":0"&amp;FIXED(INT((N303+C12+(DEGREES(ASIN(P303))+90)/15-T303)*60+1/2),0),":"&amp;FIXED(INT((N303+C12+(DEGREES(ASIN(P303))+90)/15-T303)*60+1/2),0)))</f>
        <v> Min.</v>
      </c>
      <c r="V303" s="1">
        <f>ROUND(DEGREES(ASIN(COS(RADIANS(O303))*COS(RADIANS(L9))+SIN(RADIANS(O303))*SIN(RADIANS(L9)))),0)</f>
        <v>40</v>
      </c>
      <c r="W303" s="1" t="s">
        <v>17</v>
      </c>
      <c r="X303" s="18"/>
    </row>
    <row r="304" spans="1:24" ht="10.5" customHeight="1">
      <c r="A304" s="1"/>
      <c r="B304" s="15">
        <f>IF(M14&gt;0,solrdat!B277,solrdat!I277)</f>
        <v>40075</v>
      </c>
      <c r="C304" s="1">
        <f>IF(M14&gt;0,solrdat!C277,solrdat!J277)</f>
        <v>11.893777777777778</v>
      </c>
      <c r="D304" s="1">
        <f>IF(M14&gt;0,solrdat!D277,solrdat!K277)</f>
        <v>1.204054</v>
      </c>
      <c r="E304" s="1">
        <f>(TAN(RADIANS(L9))*SIN(RADIANS(D304))-SIN(RADIANS(L13))/COS(RADIANS(L9)))/COS(RADIANS(D304))</f>
        <v>-0.9056301756116194</v>
      </c>
      <c r="F304" s="1">
        <f t="shared" si="8"/>
        <v>3.3455611603852313</v>
      </c>
      <c r="G304" s="4">
        <f>IF(E304&lt;-1,"Below",IF(E304&gt;1,"Above",INT(C304+C12-(DEGREES(ASIN(E304))+90)/15+5/600)))</f>
        <v>10</v>
      </c>
      <c r="H304" s="1" t="str">
        <f>IF(OR(E304&lt;-1,E304&gt;1),IF(M13&gt;0," Min."," Horz."),IF(INT((C304+C12-(DEGREES(ASIN(E304))+90)/15-G304)*60+1/2)&lt;10,":0"&amp;FIXED(INT((C304+C12-(DEGREES(ASIN(E304))+90)/15-G304)*60+1/2),0),":"&amp;FIXED(INT((C304+C12-(DEGREES(ASIN(E304))+90)/15-G304)*60+1/2),0)))</f>
        <v>:33</v>
      </c>
      <c r="I304" s="4">
        <f>IF(E304&lt;-1,"Below",IF(E304&gt;1,"Above",INT(C304+C12+(DEGREES(ASIN(E304))+90)/15+5/600)))</f>
        <v>13</v>
      </c>
      <c r="J304" s="1" t="str">
        <f>IF(OR(E304&lt;-1,E304&gt;1),IF(M13&gt;0," Min."," Horz."),IF(INT((C304+C12+(DEGREES(ASIN(E304))+90)/15-I304)*60+1/2)&lt;10,":0"&amp;FIXED(INT((C304+C12+(DEGREES(ASIN(E304))+90)/15-I304)*60+1/2),0),":"&amp;FIXED(INT((C304+C12+(DEGREES(ASIN(E304))+90)/15-I304)*60+1/2),0)))</f>
        <v>:54</v>
      </c>
      <c r="K304" s="1">
        <f>ROUND(DEGREES(ASIN(COS(RADIANS(D304))*COS(RADIANS(L9))+SIN(RADIANS(D304))*SIN(RADIANS(L9)))),0)</f>
        <v>51</v>
      </c>
      <c r="L304" s="1" t="s">
        <v>17</v>
      </c>
      <c r="M304" s="16">
        <f>IF(M14&gt;0,solrdat!B309,solrdat!I309)</f>
        <v>40105</v>
      </c>
      <c r="N304" s="1">
        <f>IF(M14&gt;0,solrdat!C309,solrdat!J309)</f>
        <v>11.748333333333333</v>
      </c>
      <c r="O304" s="1">
        <f>IF(M14&gt;0,solrdat!D309,solrdat!K309)</f>
        <v>-10.234016</v>
      </c>
      <c r="P304" s="1">
        <f>(TAN(RADIANS(L9))*SIN(RADIANS(O304))-SIN(RADIANS(L13))/COS(RADIANS(L9)))/COS(RADIANS(O304))</f>
        <v>-1.0894776144748375</v>
      </c>
      <c r="Q304" s="1" t="str">
        <f t="shared" si="9"/>
        <v>0</v>
      </c>
      <c r="R304" s="4" t="str">
        <f>IF(P304&lt;-1,"Below",IF(P304&gt;1,"Above",INT(N304+C12-(DEGREES(ASIN(P304))+90)/15+5/600)))</f>
        <v>Below</v>
      </c>
      <c r="S304" s="1" t="str">
        <f>IF(OR(P304&lt;-1,P304&gt;1),IF(M13&gt;0," Min."," Horz."),IF(INT((N304+C12-(DEGREES(ASIN(P304))+90)/15-R304)*60+1/2)&lt;10,":0"&amp;FIXED(INT((N304+C12-(DEGREES(ASIN(P304))+90)/15-R304)*60+1/2),0),":"&amp;FIXED(INT((N304+C12-(DEGREES(ASIN(P304))+90)/15-R304)*60+1/2),0)))</f>
        <v> Min.</v>
      </c>
      <c r="T304" s="4" t="str">
        <f>IF(P304&lt;-1,"Below",IF(P304&gt;1,"Above",INT(N304+C12+(DEGREES(ASIN(P304))+90)/15+5/600)))</f>
        <v>Below</v>
      </c>
      <c r="U304" s="1" t="str">
        <f>IF(OR(P304&lt;-1,P304&gt;1),IF(M13&gt;0," Min."," Horz."),IF(INT((N304+C12+(DEGREES(ASIN(P304))+90)/15-T304)*60+1/2)&lt;10,":0"&amp;FIXED(INT((N304+C12+(DEGREES(ASIN(P304))+90)/15-T304)*60+1/2),0),":"&amp;FIXED(INT((N304+C12+(DEGREES(ASIN(P304))+90)/15-T304)*60+1/2),0)))</f>
        <v> Min.</v>
      </c>
      <c r="V304" s="1">
        <f>ROUND(DEGREES(ASIN(COS(RADIANS(O304))*COS(RADIANS(L9))+SIN(RADIANS(O304))*SIN(RADIANS(L9)))),0)</f>
        <v>40</v>
      </c>
      <c r="W304" s="1" t="s">
        <v>17</v>
      </c>
      <c r="X304" s="18"/>
    </row>
    <row r="305" spans="1:24" ht="10.5" customHeight="1">
      <c r="A305" s="1"/>
      <c r="B305" s="15">
        <f>IF(M14&gt;0,solrdat!B278,solrdat!I278)</f>
        <v>40076</v>
      </c>
      <c r="C305" s="1">
        <f>IF(M14&gt;0,solrdat!C278,solrdat!J278)</f>
        <v>11.887888888888888</v>
      </c>
      <c r="D305" s="1">
        <f>IF(M14&gt;0,solrdat!D278,solrdat!K278)</f>
        <v>0.815526</v>
      </c>
      <c r="E305" s="1">
        <f>(TAN(RADIANS(L9))*SIN(RADIANS(D305))-SIN(RADIANS(L13))/COS(RADIANS(L9)))/COS(RADIANS(D305))</f>
        <v>-0.9112116319038581</v>
      </c>
      <c r="F305" s="1">
        <f t="shared" si="8"/>
        <v>3.243555899501611</v>
      </c>
      <c r="G305" s="4">
        <f>IF(E305&lt;-1,"Below",IF(E305&gt;1,"Above",INT(C305+C12-(DEGREES(ASIN(E305))+90)/15+5/600)))</f>
        <v>10</v>
      </c>
      <c r="H305" s="1" t="str">
        <f>IF(OR(E305&lt;-1,E305&gt;1),IF(M13&gt;0," Min."," Horz."),IF(INT((C305+C12-(DEGREES(ASIN(E305))+90)/15-G305)*60+1/2)&lt;10,":0"&amp;FIXED(INT((C305+C12-(DEGREES(ASIN(E305))+90)/15-G305)*60+1/2),0),":"&amp;FIXED(INT((C305+C12-(DEGREES(ASIN(E305))+90)/15-G305)*60+1/2),0)))</f>
        <v>:36</v>
      </c>
      <c r="I305" s="4">
        <f>IF(E305&lt;-1,"Below",IF(E305&gt;1,"Above",INT(C305+C12+(DEGREES(ASIN(E305))+90)/15+5/600)))</f>
        <v>13</v>
      </c>
      <c r="J305" s="1" t="str">
        <f>IF(OR(E305&lt;-1,E305&gt;1),IF(M13&gt;0," Min."," Horz."),IF(INT((C305+C12+(DEGREES(ASIN(E305))+90)/15-I305)*60+1/2)&lt;10,":0"&amp;FIXED(INT((C305+C12+(DEGREES(ASIN(E305))+90)/15-I305)*60+1/2),0),":"&amp;FIXED(INT((C305+C12+(DEGREES(ASIN(E305))+90)/15-I305)*60+1/2),0)))</f>
        <v>:51</v>
      </c>
      <c r="K305" s="1">
        <f>ROUND(DEGREES(ASIN(COS(RADIANS(D305))*COS(RADIANS(L9))+SIN(RADIANS(D305))*SIN(RADIANS(L9)))),0)</f>
        <v>51</v>
      </c>
      <c r="L305" s="1" t="s">
        <v>17</v>
      </c>
      <c r="M305" s="16">
        <f>IF(M14&gt;0,solrdat!B310,solrdat!I310)</f>
        <v>40106</v>
      </c>
      <c r="N305" s="1">
        <f>IF(M14&gt;0,solrdat!C310,solrdat!J310)</f>
        <v>11.7455</v>
      </c>
      <c r="O305" s="1">
        <f>IF(M14&gt;0,solrdat!D310,solrdat!K310)</f>
        <v>-10.592215</v>
      </c>
      <c r="P305" s="1">
        <f>(TAN(RADIANS(L9))*SIN(RADIANS(O305))-SIN(RADIANS(L13))/COS(RADIANS(L9)))/COS(RADIANS(O305))</f>
        <v>-1.095978903546398</v>
      </c>
      <c r="Q305" s="1" t="str">
        <f t="shared" si="9"/>
        <v>0</v>
      </c>
      <c r="R305" s="4" t="str">
        <f>IF(P305&lt;-1,"Below",IF(P305&gt;1,"Above",INT(N305+C12-(DEGREES(ASIN(P305))+90)/15+5/600)))</f>
        <v>Below</v>
      </c>
      <c r="S305" s="1" t="str">
        <f>IF(OR(P305&lt;-1,P305&gt;1),IF(M13&gt;0," Min."," Horz."),IF(INT((N305+C12-(DEGREES(ASIN(P305))+90)/15-R305)*60+1/2)&lt;10,":0"&amp;FIXED(INT((N305+C12-(DEGREES(ASIN(P305))+90)/15-R305)*60+1/2),0),":"&amp;FIXED(INT((N305+C12-(DEGREES(ASIN(P305))+90)/15-R305)*60+1/2),0)))</f>
        <v> Min.</v>
      </c>
      <c r="T305" s="4" t="str">
        <f>IF(P305&lt;-1,"Below",IF(P305&gt;1,"Above",INT(N305+C12+(DEGREES(ASIN(P305))+90)/15+5/600)))</f>
        <v>Below</v>
      </c>
      <c r="U305" s="1" t="str">
        <f>IF(OR(P305&lt;-1,P305&gt;1),IF(M13&gt;0," Min."," Horz."),IF(INT((N305+C12+(DEGREES(ASIN(P305))+90)/15-T305)*60+1/2)&lt;10,":0"&amp;FIXED(INT((N305+C12+(DEGREES(ASIN(P305))+90)/15-T305)*60+1/2),0),":"&amp;FIXED(INT((N305+C12+(DEGREES(ASIN(P305))+90)/15-T305)*60+1/2),0)))</f>
        <v> Min.</v>
      </c>
      <c r="V305" s="1">
        <f>ROUND(DEGREES(ASIN(COS(RADIANS(O305))*COS(RADIANS(L9))+SIN(RADIANS(O305))*SIN(RADIANS(L9)))),0)</f>
        <v>39</v>
      </c>
      <c r="W305" s="1" t="s">
        <v>17</v>
      </c>
      <c r="X305" s="18"/>
    </row>
    <row r="306" spans="1:24" ht="10.5" customHeight="1">
      <c r="A306" s="1"/>
      <c r="B306" s="15">
        <f>IF(M14&gt;0,solrdat!B279,solrdat!I279)</f>
        <v>40077</v>
      </c>
      <c r="C306" s="1">
        <f>IF(M14&gt;0,solrdat!C279,solrdat!J279)</f>
        <v>11.882</v>
      </c>
      <c r="D306" s="1">
        <f>IF(M14&gt;0,solrdat!D279,solrdat!K279)</f>
        <v>0.426603</v>
      </c>
      <c r="E306" s="1">
        <f>(TAN(RADIANS(L9))*SIN(RADIANS(D306))-SIN(RADIANS(L13))/COS(RADIANS(L9)))/COS(RADIANS(D306))</f>
        <v>-0.9168401948785084</v>
      </c>
      <c r="F306" s="1">
        <f t="shared" si="8"/>
        <v>3.137543229079474</v>
      </c>
      <c r="G306" s="4">
        <f>IF(E306&lt;-1,"Below",IF(E306&gt;1,"Above",INT(C306+C12-(DEGREES(ASIN(E306))+90)/15+5/600)))</f>
        <v>10</v>
      </c>
      <c r="H306" s="1" t="str">
        <f>IF(OR(E306&lt;-1,E306&gt;1),IF(M13&gt;0," Min."," Horz."),IF(INT((C306+C12-(DEGREES(ASIN(E306))+90)/15-G306)*60+1/2)&lt;10,":0"&amp;FIXED(INT((C306+C12-(DEGREES(ASIN(E306))+90)/15-G306)*60+1/2),0),":"&amp;FIXED(INT((C306+C12-(DEGREES(ASIN(E306))+90)/15-G306)*60+1/2),0)))</f>
        <v>:39</v>
      </c>
      <c r="I306" s="4">
        <f>IF(E306&lt;-1,"Below",IF(E306&gt;1,"Above",INT(C306+C12+(DEGREES(ASIN(E306))+90)/15+5/600)))</f>
        <v>13</v>
      </c>
      <c r="J306" s="1" t="str">
        <f>IF(OR(E306&lt;-1,E306&gt;1),IF(M13&gt;0," Min."," Horz."),IF(INT((C306+C12+(DEGREES(ASIN(E306))+90)/15-I306)*60+1/2)&lt;10,":0"&amp;FIXED(INT((C306+C12+(DEGREES(ASIN(E306))+90)/15-I306)*60+1/2),0),":"&amp;FIXED(INT((C306+C12+(DEGREES(ASIN(E306))+90)/15-I306)*60+1/2),0)))</f>
        <v>:47</v>
      </c>
      <c r="K306" s="1">
        <f>ROUND(DEGREES(ASIN(COS(RADIANS(D306))*COS(RADIANS(L9))+SIN(RADIANS(D306))*SIN(RADIANS(L9)))),0)</f>
        <v>50</v>
      </c>
      <c r="L306" s="1" t="s">
        <v>17</v>
      </c>
      <c r="M306" s="16">
        <f>IF(M14&gt;0,solrdat!B311,solrdat!I311)</f>
        <v>40107</v>
      </c>
      <c r="N306" s="1">
        <f>IF(M14&gt;0,solrdat!C311,solrdat!J311)</f>
        <v>11.742861111111111</v>
      </c>
      <c r="O306" s="1">
        <f>IF(M14&gt;0,solrdat!D311,solrdat!K311)</f>
        <v>-10.947783</v>
      </c>
      <c r="P306" s="1">
        <f>(TAN(RADIANS(L9))*SIN(RADIANS(O306))-SIN(RADIANS(L13))/COS(RADIANS(L9)))/COS(RADIANS(O306))</f>
        <v>-1.1024838329781446</v>
      </c>
      <c r="Q306" s="1" t="str">
        <f t="shared" si="9"/>
        <v>0</v>
      </c>
      <c r="R306" s="4" t="str">
        <f>IF(P306&lt;-1,"Below",IF(P306&gt;1,"Above",INT(N306+C12-(DEGREES(ASIN(P306))+90)/15+5/600)))</f>
        <v>Below</v>
      </c>
      <c r="S306" s="1" t="str">
        <f>IF(OR(P306&lt;-1,P306&gt;1),IF(M13&gt;0," Min."," Horz."),IF(INT((N306+C12-(DEGREES(ASIN(P306))+90)/15-R306)*60+1/2)&lt;10,":0"&amp;FIXED(INT((N306+C12-(DEGREES(ASIN(P306))+90)/15-R306)*60+1/2),0),":"&amp;FIXED(INT((N306+C12-(DEGREES(ASIN(P306))+90)/15-R306)*60+1/2),0)))</f>
        <v> Min.</v>
      </c>
      <c r="T306" s="4" t="str">
        <f>IF(P306&lt;-1,"Below",IF(P306&gt;1,"Above",INT(N306+C12+(DEGREES(ASIN(P306))+90)/15+5/600)))</f>
        <v>Below</v>
      </c>
      <c r="U306" s="1" t="str">
        <f>IF(OR(P306&lt;-1,P306&gt;1),IF(M13&gt;0," Min."," Horz."),IF(INT((N306+C12+(DEGREES(ASIN(P306))+90)/15-T306)*60+1/2)&lt;10,":0"&amp;FIXED(INT((N306+C12+(DEGREES(ASIN(P306))+90)/15-T306)*60+1/2),0),":"&amp;FIXED(INT((N306+C12+(DEGREES(ASIN(P306))+90)/15-T306)*60+1/2),0)))</f>
        <v> Min.</v>
      </c>
      <c r="V306" s="1">
        <f>ROUND(DEGREES(ASIN(COS(RADIANS(O306))*COS(RADIANS(L9))+SIN(RADIANS(O306))*SIN(RADIANS(L9)))),0)</f>
        <v>39</v>
      </c>
      <c r="W306" s="1" t="s">
        <v>17</v>
      </c>
      <c r="X306" s="18"/>
    </row>
    <row r="307" spans="1:24" ht="10.5" customHeight="1">
      <c r="A307" s="1"/>
      <c r="B307" s="15">
        <f>IF(M14&gt;0,solrdat!B280,solrdat!I280)</f>
        <v>40078</v>
      </c>
      <c r="C307" s="1">
        <f>IF(M14&gt;0,solrdat!C280,solrdat!J280)</f>
        <v>11.876138888888889</v>
      </c>
      <c r="D307" s="1">
        <f>IF(M14&gt;0,solrdat!D280,solrdat!K280)</f>
        <v>0.037383</v>
      </c>
      <c r="E307" s="1">
        <f>(TAN(RADIANS(L9))*SIN(RADIANS(D307))-SIN(RADIANS(L13))/COS(RADIANS(L9)))/COS(RADIANS(D307))</f>
        <v>-0.9225150669397368</v>
      </c>
      <c r="F307" s="1">
        <f t="shared" si="8"/>
        <v>3.0271223903700823</v>
      </c>
      <c r="G307" s="4">
        <f>IF(E307&lt;-1,"Below",IF(E307&gt;1,"Above",INT(C307+C12-(DEGREES(ASIN(E307))+90)/15+5/600)))</f>
        <v>10</v>
      </c>
      <c r="H307" s="1" t="str">
        <f>IF(OR(E307&lt;-1,E307&gt;1),IF(M13&gt;0," Min."," Horz."),IF(INT((C307+C12-(DEGREES(ASIN(E307))+90)/15-G307)*60+1/2)&lt;10,":0"&amp;FIXED(INT((C307+C12-(DEGREES(ASIN(E307))+90)/15-G307)*60+1/2),0),":"&amp;FIXED(INT((C307+C12-(DEGREES(ASIN(E307))+90)/15-G307)*60+1/2),0)))</f>
        <v>:42</v>
      </c>
      <c r="I307" s="4">
        <f>IF(E307&lt;-1,"Below",IF(E307&gt;1,"Above",INT(C307+C12+(DEGREES(ASIN(E307))+90)/15+5/600)))</f>
        <v>13</v>
      </c>
      <c r="J307" s="1" t="str">
        <f>IF(OR(E307&lt;-1,E307&gt;1),IF(M13&gt;0," Min."," Horz."),IF(INT((C307+C12+(DEGREES(ASIN(E307))+90)/15-I307)*60+1/2)&lt;10,":0"&amp;FIXED(INT((C307+C12+(DEGREES(ASIN(E307))+90)/15-I307)*60+1/2),0),":"&amp;FIXED(INT((C307+C12+(DEGREES(ASIN(E307))+90)/15-I307)*60+1/2),0)))</f>
        <v>:43</v>
      </c>
      <c r="K307" s="1">
        <f>ROUND(DEGREES(ASIN(COS(RADIANS(D307))*COS(RADIANS(L9))+SIN(RADIANS(D307))*SIN(RADIANS(L9)))),0)</f>
        <v>50</v>
      </c>
      <c r="L307" s="1" t="s">
        <v>17</v>
      </c>
      <c r="M307" s="16">
        <f>IF(M14&gt;0,solrdat!B312,solrdat!I312)</f>
        <v>40108</v>
      </c>
      <c r="N307" s="1">
        <f>IF(M14&gt;0,solrdat!C312,solrdat!J312)</f>
        <v>11.740388888888889</v>
      </c>
      <c r="O307" s="1">
        <f>IF(M14&gt;0,solrdat!D312,solrdat!K312)</f>
        <v>-11.300608</v>
      </c>
      <c r="P307" s="1">
        <f>(TAN(RADIANS(L9))*SIN(RADIANS(O307))-SIN(RADIANS(L13))/COS(RADIANS(L9)))/COS(RADIANS(O307))</f>
        <v>-1.108989868692415</v>
      </c>
      <c r="Q307" s="1" t="str">
        <f t="shared" si="9"/>
        <v>0</v>
      </c>
      <c r="R307" s="4" t="str">
        <f>IF(P307&lt;-1,"Below",IF(P307&gt;1,"Above",INT(N307+C12-(DEGREES(ASIN(P307))+90)/15+5/600)))</f>
        <v>Below</v>
      </c>
      <c r="S307" s="1" t="str">
        <f>IF(OR(P307&lt;-1,P307&gt;1),IF(M13&gt;0," Min."," Horz."),IF(INT((N307+C12-(DEGREES(ASIN(P307))+90)/15-R307)*60+1/2)&lt;10,":0"&amp;FIXED(INT((N307+C12-(DEGREES(ASIN(P307))+90)/15-R307)*60+1/2),0),":"&amp;FIXED(INT((N307+C12-(DEGREES(ASIN(P307))+90)/15-R307)*60+1/2),0)))</f>
        <v> Min.</v>
      </c>
      <c r="T307" s="4" t="str">
        <f>IF(P307&lt;-1,"Below",IF(P307&gt;1,"Above",INT(N307+C12+(DEGREES(ASIN(P307))+90)/15+5/600)))</f>
        <v>Below</v>
      </c>
      <c r="U307" s="1" t="str">
        <f>IF(OR(P307&lt;-1,P307&gt;1),IF(M13&gt;0," Min."," Horz."),IF(INT((N307+C12+(DEGREES(ASIN(P307))+90)/15-T307)*60+1/2)&lt;10,":0"&amp;FIXED(INT((N307+C12+(DEGREES(ASIN(P307))+90)/15-T307)*60+1/2),0),":"&amp;FIXED(INT((N307+C12+(DEGREES(ASIN(P307))+90)/15-T307)*60+1/2),0)))</f>
        <v> Min.</v>
      </c>
      <c r="V307" s="1">
        <f>ROUND(DEGREES(ASIN(COS(RADIANS(O307))*COS(RADIANS(L9))+SIN(RADIANS(O307))*SIN(RADIANS(L9)))),0)</f>
        <v>39</v>
      </c>
      <c r="W307" s="1" t="s">
        <v>17</v>
      </c>
      <c r="X307" s="18"/>
    </row>
    <row r="308" spans="1:24" ht="10.5" customHeight="1">
      <c r="A308" s="1"/>
      <c r="B308" s="15">
        <f>IF(M14&gt;0,solrdat!B281,solrdat!I281)</f>
        <v>40079</v>
      </c>
      <c r="C308" s="1">
        <f>IF(M14&gt;0,solrdat!C281,solrdat!J281)</f>
        <v>11.870333333333333</v>
      </c>
      <c r="D308" s="1">
        <f>IF(M14&gt;0,solrdat!D281,solrdat!K281)</f>
        <v>-0.352035</v>
      </c>
      <c r="E308" s="1">
        <f>(TAN(RADIANS(L9))*SIN(RADIANS(D308))-SIN(RADIANS(L13))/COS(RADIANS(L9)))/COS(RADIANS(D308))</f>
        <v>-0.928235405469659</v>
      </c>
      <c r="F308" s="1">
        <f t="shared" si="8"/>
        <v>2.9118137706515674</v>
      </c>
      <c r="G308" s="4">
        <f>IF(E308&lt;-1,"Below",IF(E308&gt;1,"Above",INT(C308+C12-(DEGREES(ASIN(E308))+90)/15+5/600)))</f>
        <v>10</v>
      </c>
      <c r="H308" s="1" t="str">
        <f>IF(OR(E308&lt;-1,E308&gt;1),IF(M13&gt;0," Min."," Horz."),IF(INT((C308+C12-(DEGREES(ASIN(E308))+90)/15-G308)*60+1/2)&lt;10,":0"&amp;FIXED(INT((C308+C12-(DEGREES(ASIN(E308))+90)/15-G308)*60+1/2),0),":"&amp;FIXED(INT((C308+C12-(DEGREES(ASIN(E308))+90)/15-G308)*60+1/2),0)))</f>
        <v>:45</v>
      </c>
      <c r="I308" s="4">
        <f>IF(E308&lt;-1,"Below",IF(E308&gt;1,"Above",INT(C308+C12+(DEGREES(ASIN(E308))+90)/15+5/600)))</f>
        <v>13</v>
      </c>
      <c r="J308" s="1" t="str">
        <f>IF(OR(E308&lt;-1,E308&gt;1),IF(M13&gt;0," Min."," Horz."),IF(INT((C308+C12+(DEGREES(ASIN(E308))+90)/15-I308)*60+1/2)&lt;10,":0"&amp;FIXED(INT((C308+C12+(DEGREES(ASIN(E308))+90)/15-I308)*60+1/2),0),":"&amp;FIXED(INT((C308+C12+(DEGREES(ASIN(E308))+90)/15-I308)*60+1/2),0)))</f>
        <v>:40</v>
      </c>
      <c r="K308" s="1">
        <f>ROUND(DEGREES(ASIN(COS(RADIANS(D308))*COS(RADIANS(L9))+SIN(RADIANS(D308))*SIN(RADIANS(L9)))),0)</f>
        <v>50</v>
      </c>
      <c r="L308" s="1" t="s">
        <v>17</v>
      </c>
      <c r="M308" s="16">
        <f>IF(M14&gt;0,solrdat!B313,solrdat!I313)</f>
        <v>40109</v>
      </c>
      <c r="N308" s="1">
        <f>IF(M14&gt;0,solrdat!C313,solrdat!J313)</f>
        <v>11.738083333333334</v>
      </c>
      <c r="O308" s="1">
        <f>IF(M14&gt;0,solrdat!D313,solrdat!K313)</f>
        <v>-11.650577</v>
      </c>
      <c r="P308" s="1">
        <f>(TAN(RADIANS(L9))*SIN(RADIANS(O308))-SIN(RADIANS(L13))/COS(RADIANS(L9)))/COS(RADIANS(O308))</f>
        <v>-1.1154943829195736</v>
      </c>
      <c r="Q308" s="1" t="str">
        <f t="shared" si="9"/>
        <v>0</v>
      </c>
      <c r="R308" s="4" t="str">
        <f>IF(P308&lt;-1,"Below",IF(P308&gt;1,"Above",INT(N308+C12-(DEGREES(ASIN(P308))+90)/15+5/600)))</f>
        <v>Below</v>
      </c>
      <c r="S308" s="1" t="str">
        <f>IF(OR(P308&lt;-1,P308&gt;1),IF(M13&gt;0," Min."," Horz."),IF(INT((N308+C12-(DEGREES(ASIN(P308))+90)/15-R308)*60+1/2)&lt;10,":0"&amp;FIXED(INT((N308+C12-(DEGREES(ASIN(P308))+90)/15-R308)*60+1/2),0),":"&amp;FIXED(INT((N308+C12-(DEGREES(ASIN(P308))+90)/15-R308)*60+1/2),0)))</f>
        <v> Min.</v>
      </c>
      <c r="T308" s="4" t="str">
        <f>IF(P308&lt;-1,"Below",IF(P308&gt;1,"Above",INT(N308+C12+(DEGREES(ASIN(P308))+90)/15+5/600)))</f>
        <v>Below</v>
      </c>
      <c r="U308" s="1" t="str">
        <f>IF(OR(P308&lt;-1,P308&gt;1),IF(M13&gt;0," Min."," Horz."),IF(INT((N308+C12+(DEGREES(ASIN(P308))+90)/15-T308)*60+1/2)&lt;10,":0"&amp;FIXED(INT((N308+C12+(DEGREES(ASIN(P308))+90)/15-T308)*60+1/2),0),":"&amp;FIXED(INT((N308+C12+(DEGREES(ASIN(P308))+90)/15-T308)*60+1/2),0)))</f>
        <v> Min.</v>
      </c>
      <c r="V308" s="1">
        <f>ROUND(DEGREES(ASIN(COS(RADIANS(O308))*COS(RADIANS(L9))+SIN(RADIANS(O308))*SIN(RADIANS(L9)))),0)</f>
        <v>38</v>
      </c>
      <c r="W308" s="1" t="s">
        <v>17</v>
      </c>
      <c r="X308" s="18"/>
    </row>
    <row r="309" spans="1:24" ht="10.5" customHeight="1">
      <c r="A309" s="1"/>
      <c r="B309" s="15">
        <f>IF(M14&gt;0,solrdat!B282,solrdat!I282)</f>
        <v>40080</v>
      </c>
      <c r="C309" s="1">
        <f>IF(M14&gt;0,solrdat!C282,solrdat!J282)</f>
        <v>11.864527777777777</v>
      </c>
      <c r="D309" s="1">
        <f>IF(M14&gt;0,solrdat!D282,solrdat!K282)</f>
        <v>-0.741553</v>
      </c>
      <c r="E309" s="1">
        <f>(TAN(RADIANS(L9))*SIN(RADIANS(D309))-SIN(RADIANS(L13))/COS(RADIANS(L9)))/COS(RADIANS(D309))</f>
        <v>-0.9340003508614799</v>
      </c>
      <c r="F309" s="1">
        <f t="shared" si="8"/>
        <v>2.7910346394734535</v>
      </c>
      <c r="G309" s="4">
        <f>IF(E309&lt;-1,"Below",IF(E309&gt;1,"Above",INT(C309+C12-(DEGREES(ASIN(E309))+90)/15+5/600)))</f>
        <v>10</v>
      </c>
      <c r="H309" s="1" t="str">
        <f>IF(OR(E309&lt;-1,E309&gt;1),IF(M13&gt;0," Min."," Horz."),IF(INT((C309+C12-(DEGREES(ASIN(E309))+90)/15-G309)*60+1/2)&lt;10,":0"&amp;FIXED(INT((C309+C12-(DEGREES(ASIN(E309))+90)/15-G309)*60+1/2),0),":"&amp;FIXED(INT((C309+C12-(DEGREES(ASIN(E309))+90)/15-G309)*60+1/2),0)))</f>
        <v>:48</v>
      </c>
      <c r="I309" s="4">
        <f>IF(E309&lt;-1,"Below",IF(E309&gt;1,"Above",INT(C309+C12+(DEGREES(ASIN(E309))+90)/15+5/600)))</f>
        <v>13</v>
      </c>
      <c r="J309" s="1" t="str">
        <f>IF(OR(E309&lt;-1,E309&gt;1),IF(M13&gt;0," Min."," Horz."),IF(INT((C309+C12+(DEGREES(ASIN(E309))+90)/15-I309)*60+1/2)&lt;10,":0"&amp;FIXED(INT((C309+C12+(DEGREES(ASIN(E309))+90)/15-I309)*60+1/2),0),":"&amp;FIXED(INT((C309+C12+(DEGREES(ASIN(E309))+90)/15-I309)*60+1/2),0)))</f>
        <v>:36</v>
      </c>
      <c r="K309" s="1">
        <f>ROUND(DEGREES(ASIN(COS(RADIANS(D309))*COS(RADIANS(L9))+SIN(RADIANS(D309))*SIN(RADIANS(L9)))),0)</f>
        <v>49</v>
      </c>
      <c r="L309" s="1" t="s">
        <v>17</v>
      </c>
      <c r="M309" s="16">
        <f>IF(M14&gt;0,solrdat!B314,solrdat!I314)</f>
        <v>40110</v>
      </c>
      <c r="N309" s="1">
        <f>IF(M14&gt;0,solrdat!C314,solrdat!J314)</f>
        <v>11.736</v>
      </c>
      <c r="O309" s="1">
        <f>IF(M14&gt;0,solrdat!D314,solrdat!K314)</f>
        <v>-11.997578</v>
      </c>
      <c r="P309" s="1">
        <f>(TAN(RADIANS(L9))*SIN(RADIANS(O309))-SIN(RADIANS(L13))/COS(RADIANS(L9)))/COS(RADIANS(O309))</f>
        <v>-1.1219946901392823</v>
      </c>
      <c r="Q309" s="1" t="str">
        <f t="shared" si="9"/>
        <v>0</v>
      </c>
      <c r="R309" s="4" t="str">
        <f>IF(P309&lt;-1,"Below",IF(P309&gt;1,"Above",INT(N309+C12-(DEGREES(ASIN(P309))+90)/15+5/600)))</f>
        <v>Below</v>
      </c>
      <c r="S309" s="1" t="str">
        <f>IF(OR(P309&lt;-1,P309&gt;1),IF(M13&gt;0," Min."," Horz."),IF(INT((N309+C12-(DEGREES(ASIN(P309))+90)/15-R309)*60+1/2)&lt;10,":0"&amp;FIXED(INT((N309+C12-(DEGREES(ASIN(P309))+90)/15-R309)*60+1/2),0),":"&amp;FIXED(INT((N309+C12-(DEGREES(ASIN(P309))+90)/15-R309)*60+1/2),0)))</f>
        <v> Min.</v>
      </c>
      <c r="T309" s="4" t="str">
        <f>IF(P309&lt;-1,"Below",IF(P309&gt;1,"Above",INT(N309+C12+(DEGREES(ASIN(P309))+90)/15+5/600)))</f>
        <v>Below</v>
      </c>
      <c r="U309" s="1" t="str">
        <f>IF(OR(P309&lt;-1,P309&gt;1),IF(M13&gt;0," Min."," Horz."),IF(INT((N309+C12+(DEGREES(ASIN(P309))+90)/15-T309)*60+1/2)&lt;10,":0"&amp;FIXED(INT((N309+C12+(DEGREES(ASIN(P309))+90)/15-T309)*60+1/2),0),":"&amp;FIXED(INT((N309+C12+(DEGREES(ASIN(P309))+90)/15-T309)*60+1/2),0)))</f>
        <v> Min.</v>
      </c>
      <c r="V309" s="1">
        <f>ROUND(DEGREES(ASIN(COS(RADIANS(O309))*COS(RADIANS(L9))+SIN(RADIANS(O309))*SIN(RADIANS(L9)))),0)</f>
        <v>38</v>
      </c>
      <c r="W309" s="1" t="s">
        <v>17</v>
      </c>
      <c r="X309" s="18"/>
    </row>
    <row r="310" spans="1:24" ht="10.5" customHeight="1">
      <c r="A310" s="1"/>
      <c r="B310" s="15">
        <f>IF(M14&gt;0,solrdat!B283,solrdat!I283)</f>
        <v>40081</v>
      </c>
      <c r="C310" s="1">
        <f>IF(M14&gt;0,solrdat!C283,solrdat!J283)</f>
        <v>11.858777777777778</v>
      </c>
      <c r="D310" s="1">
        <f>IF(M14&gt;0,solrdat!D283,solrdat!K283)</f>
        <v>-1.131074</v>
      </c>
      <c r="E310" s="1">
        <f>(TAN(RADIANS(L9))*SIN(RADIANS(D310))-SIN(RADIANS(L13))/COS(RADIANS(L9)))/COS(RADIANS(D310))</f>
        <v>-0.9398090259286724</v>
      </c>
      <c r="F310" s="1">
        <f t="shared" si="8"/>
        <v>2.664065398921275</v>
      </c>
      <c r="G310" s="4">
        <f>IF(E310&lt;-1,"Below",IF(E310&gt;1,"Above",INT(C310+C12-(DEGREES(ASIN(E310))+90)/15+5/600)))</f>
        <v>10</v>
      </c>
      <c r="H310" s="1" t="str">
        <f>IF(OR(E310&lt;-1,E310&gt;1),IF(M13&gt;0," Min."," Horz."),IF(INT((C310+C12-(DEGREES(ASIN(E310))+90)/15-G310)*60+1/2)&lt;10,":0"&amp;FIXED(INT((C310+C12-(DEGREES(ASIN(E310))+90)/15-G310)*60+1/2),0),":"&amp;FIXED(INT((C310+C12-(DEGREES(ASIN(E310))+90)/15-G310)*60+1/2),0)))</f>
        <v>:52</v>
      </c>
      <c r="I310" s="4">
        <f>IF(E310&lt;-1,"Below",IF(E310&gt;1,"Above",INT(C310+C12+(DEGREES(ASIN(E310))+90)/15+5/600)))</f>
        <v>13</v>
      </c>
      <c r="J310" s="1" t="str">
        <f>IF(OR(E310&lt;-1,E310&gt;1),IF(M13&gt;0," Min."," Horz."),IF(INT((C310+C12+(DEGREES(ASIN(E310))+90)/15-I310)*60+1/2)&lt;10,":0"&amp;FIXED(INT((C310+C12+(DEGREES(ASIN(E310))+90)/15-I310)*60+1/2),0),":"&amp;FIXED(INT((C310+C12+(DEGREES(ASIN(E310))+90)/15-I310)*60+1/2),0)))</f>
        <v>:31</v>
      </c>
      <c r="K310" s="1">
        <f>ROUND(DEGREES(ASIN(COS(RADIANS(D310))*COS(RADIANS(L9))+SIN(RADIANS(D310))*SIN(RADIANS(L9)))),0)</f>
        <v>49</v>
      </c>
      <c r="L310" s="1" t="s">
        <v>17</v>
      </c>
      <c r="M310" s="16">
        <f>IF(M14&gt;0,solrdat!B315,solrdat!I315)</f>
        <v>40111</v>
      </c>
      <c r="N310" s="1">
        <f>IF(M14&gt;0,solrdat!C315,solrdat!J315)</f>
        <v>11.734083333333333</v>
      </c>
      <c r="O310" s="1">
        <f>IF(M14&gt;0,solrdat!D315,solrdat!K315)</f>
        <v>-12.341501</v>
      </c>
      <c r="P310" s="1">
        <f>(TAN(RADIANS(L9))*SIN(RADIANS(O310))-SIN(RADIANS(L13))/COS(RADIANS(L9)))/COS(RADIANS(O310))</f>
        <v>-1.1284880659161902</v>
      </c>
      <c r="Q310" s="1" t="str">
        <f t="shared" si="9"/>
        <v>0</v>
      </c>
      <c r="R310" s="4" t="str">
        <f>IF(P310&lt;-1,"Below",IF(P310&gt;1,"Above",INT(N310+C12-(DEGREES(ASIN(P310))+90)/15+5/600)))</f>
        <v>Below</v>
      </c>
      <c r="S310" s="1" t="str">
        <f>IF(OR(P310&lt;-1,P310&gt;1),IF(M13&gt;0," Min."," Horz."),IF(INT((N310+C12-(DEGREES(ASIN(P310))+90)/15-R310)*60+1/2)&lt;10,":0"&amp;FIXED(INT((N310+C12-(DEGREES(ASIN(P310))+90)/15-R310)*60+1/2),0),":"&amp;FIXED(INT((N310+C12-(DEGREES(ASIN(P310))+90)/15-R310)*60+1/2),0)))</f>
        <v> Min.</v>
      </c>
      <c r="T310" s="4" t="str">
        <f>IF(P310&lt;-1,"Below",IF(P310&gt;1,"Above",INT(N310+C12+(DEGREES(ASIN(P310))+90)/15+5/600)))</f>
        <v>Below</v>
      </c>
      <c r="U310" s="1" t="str">
        <f>IF(OR(P310&lt;-1,P310&gt;1),IF(M13&gt;0," Min."," Horz."),IF(INT((N310+C12+(DEGREES(ASIN(P310))+90)/15-T310)*60+1/2)&lt;10,":0"&amp;FIXED(INT((N310+C12+(DEGREES(ASIN(P310))+90)/15-T310)*60+1/2),0),":"&amp;FIXED(INT((N310+C12+(DEGREES(ASIN(P310))+90)/15-T310)*60+1/2),0)))</f>
        <v> Min.</v>
      </c>
      <c r="V310" s="1">
        <f>ROUND(DEGREES(ASIN(COS(RADIANS(O310))*COS(RADIANS(L9))+SIN(RADIANS(O310))*SIN(RADIANS(L9)))),0)</f>
        <v>38</v>
      </c>
      <c r="W310" s="1" t="s">
        <v>17</v>
      </c>
      <c r="X310" s="18"/>
    </row>
    <row r="311" spans="1:24" ht="10.5" customHeight="1">
      <c r="A311" s="1"/>
      <c r="B311" s="15">
        <f>IF(M14&gt;0,solrdat!B284,solrdat!I284)</f>
        <v>40082</v>
      </c>
      <c r="C311" s="1">
        <f>IF(M14&gt;0,solrdat!C284,solrdat!J284)</f>
        <v>11.853083333333334</v>
      </c>
      <c r="D311" s="1">
        <f>IF(M14&gt;0,solrdat!D284,solrdat!K284)</f>
        <v>-1.520502</v>
      </c>
      <c r="E311" s="1">
        <f>(TAN(RADIANS(L9))*SIN(RADIANS(D311))-SIN(RADIANS(L13))/COS(RADIANS(L9)))/COS(RADIANS(D311))</f>
        <v>-0.9456605353164692</v>
      </c>
      <c r="F311" s="1">
        <f t="shared" si="8"/>
        <v>2.5300001451390206</v>
      </c>
      <c r="G311" s="4">
        <f>IF(E311&lt;-1,"Below",IF(E311&gt;1,"Above",INT(C311+C12-(DEGREES(ASIN(E311))+90)/15+5/600)))</f>
        <v>10</v>
      </c>
      <c r="H311" s="1" t="str">
        <f>IF(OR(E311&lt;-1,E311&gt;1),IF(M13&gt;0," Min."," Horz."),IF(INT((C311+C12-(DEGREES(ASIN(E311))+90)/15-G311)*60+1/2)&lt;10,":0"&amp;FIXED(INT((C311+C12-(DEGREES(ASIN(E311))+90)/15-G311)*60+1/2),0),":"&amp;FIXED(INT((C311+C12-(DEGREES(ASIN(E311))+90)/15-G311)*60+1/2),0)))</f>
        <v>:55</v>
      </c>
      <c r="I311" s="4">
        <f>IF(E311&lt;-1,"Below",IF(E311&gt;1,"Above",INT(C311+C12+(DEGREES(ASIN(E311))+90)/15+5/600)))</f>
        <v>13</v>
      </c>
      <c r="J311" s="1" t="str">
        <f>IF(OR(E311&lt;-1,E311&gt;1),IF(M13&gt;0," Min."," Horz."),IF(INT((C311+C12+(DEGREES(ASIN(E311))+90)/15-I311)*60+1/2)&lt;10,":0"&amp;FIXED(INT((C311+C12+(DEGREES(ASIN(E311))+90)/15-I311)*60+1/2),0),":"&amp;FIXED(INT((C311+C12+(DEGREES(ASIN(E311))+90)/15-I311)*60+1/2),0)))</f>
        <v>:27</v>
      </c>
      <c r="K311" s="1">
        <f>ROUND(DEGREES(ASIN(COS(RADIANS(D311))*COS(RADIANS(L9))+SIN(RADIANS(D311))*SIN(RADIANS(L9)))),0)</f>
        <v>48</v>
      </c>
      <c r="L311" s="1" t="s">
        <v>17</v>
      </c>
      <c r="M311" s="16">
        <f>IF(M14&gt;0,solrdat!B316,solrdat!I316)</f>
        <v>40112</v>
      </c>
      <c r="N311" s="1">
        <f>IF(M14&gt;0,solrdat!C316,solrdat!J316)</f>
        <v>11.73236111111111</v>
      </c>
      <c r="O311" s="1">
        <f>IF(M14&gt;0,solrdat!D316,solrdat!K316)</f>
        <v>-12.682235</v>
      </c>
      <c r="P311" s="1">
        <f>(TAN(RADIANS(L9))*SIN(RADIANS(O311))-SIN(RADIANS(L13))/COS(RADIANS(L9)))/COS(RADIANS(O311))</f>
        <v>-1.1349716903161442</v>
      </c>
      <c r="Q311" s="1" t="str">
        <f t="shared" si="9"/>
        <v>0</v>
      </c>
      <c r="R311" s="4" t="str">
        <f>IF(P311&lt;-1,"Below",IF(P311&gt;1,"Above",INT(N311+C12-(DEGREES(ASIN(P311))+90)/15+5/600)))</f>
        <v>Below</v>
      </c>
      <c r="S311" s="1" t="str">
        <f>IF(OR(P311&lt;-1,P311&gt;1),IF(M13&gt;0," Min."," Horz."),IF(INT((N311+C12-(DEGREES(ASIN(P311))+90)/15-R311)*60+1/2)&lt;10,":0"&amp;FIXED(INT((N311+C12-(DEGREES(ASIN(P311))+90)/15-R311)*60+1/2),0),":"&amp;FIXED(INT((N311+C12-(DEGREES(ASIN(P311))+90)/15-R311)*60+1/2),0)))</f>
        <v> Min.</v>
      </c>
      <c r="T311" s="4" t="str">
        <f>IF(P311&lt;-1,"Below",IF(P311&gt;1,"Above",INT(N311+C12+(DEGREES(ASIN(P311))+90)/15+5/600)))</f>
        <v>Below</v>
      </c>
      <c r="U311" s="1" t="str">
        <f>IF(OR(P311&lt;-1,P311&gt;1),IF(M13&gt;0," Min."," Horz."),IF(INT((N311+C12+(DEGREES(ASIN(P311))+90)/15-T311)*60+1/2)&lt;10,":0"&amp;FIXED(INT((N311+C12+(DEGREES(ASIN(P311))+90)/15-T311)*60+1/2),0),":"&amp;FIXED(INT((N311+C12+(DEGREES(ASIN(P311))+90)/15-T311)*60+1/2),0)))</f>
        <v> Min.</v>
      </c>
      <c r="V311" s="1">
        <f>ROUND(DEGREES(ASIN(COS(RADIANS(O311))*COS(RADIANS(L9))+SIN(RADIANS(O311))*SIN(RADIANS(L9)))),0)</f>
        <v>37</v>
      </c>
      <c r="W311" s="1" t="s">
        <v>17</v>
      </c>
      <c r="X311" s="18"/>
    </row>
    <row r="312" spans="1:24" ht="10.5" customHeight="1">
      <c r="A312" s="1"/>
      <c r="B312" s="15">
        <f>IF(M14&gt;0,solrdat!B285,solrdat!I285)</f>
        <v>40083</v>
      </c>
      <c r="C312" s="1">
        <f>IF(M14&gt;0,solrdat!C285,solrdat!J285)</f>
        <v>11.847416666666666</v>
      </c>
      <c r="D312" s="1">
        <f>IF(M14&gt;0,solrdat!D285,solrdat!K285)</f>
        <v>-1.909741</v>
      </c>
      <c r="E312" s="1">
        <f>(TAN(RADIANS(L9))*SIN(RADIANS(D312))-SIN(RADIANS(L13))/COS(RADIANS(L9)))/COS(RADIANS(D312))</f>
        <v>-0.9515539497175015</v>
      </c>
      <c r="F312" s="1">
        <f t="shared" si="8"/>
        <v>2.387671961728927</v>
      </c>
      <c r="G312" s="4">
        <f>IF(E312&lt;-1,"Below",IF(E312&gt;1,"Above",INT(C312+C12-(DEGREES(ASIN(E312))+90)/15+5/600)))</f>
        <v>10</v>
      </c>
      <c r="H312" s="1" t="str">
        <f>IF(OR(E312&lt;-1,E312&gt;1),IF(M13&gt;0," Min."," Horz."),IF(INT((C312+C12-(DEGREES(ASIN(E312))+90)/15-G312)*60+1/2)&lt;10,":0"&amp;FIXED(INT((C312+C12-(DEGREES(ASIN(E312))+90)/15-G312)*60+1/2),0),":"&amp;FIXED(INT((C312+C12-(DEGREES(ASIN(E312))+90)/15-G312)*60+1/2),0)))</f>
        <v>:59</v>
      </c>
      <c r="I312" s="4">
        <f>IF(E312&lt;-1,"Below",IF(E312&gt;1,"Above",INT(C312+C12+(DEGREES(ASIN(E312))+90)/15+5/600)))</f>
        <v>13</v>
      </c>
      <c r="J312" s="1" t="str">
        <f>IF(OR(E312&lt;-1,E312&gt;1),IF(M13&gt;0," Min."," Horz."),IF(INT((C312+C12+(DEGREES(ASIN(E312))+90)/15-I312)*60+1/2)&lt;10,":0"&amp;FIXED(INT((C312+C12+(DEGREES(ASIN(E312))+90)/15-I312)*60+1/2),0),":"&amp;FIXED(INT((C312+C12+(DEGREES(ASIN(E312))+90)/15-I312)*60+1/2),0)))</f>
        <v>:22</v>
      </c>
      <c r="K312" s="1">
        <f>ROUND(DEGREES(ASIN(COS(RADIANS(D312))*COS(RADIANS(L9))+SIN(RADIANS(D312))*SIN(RADIANS(L9)))),0)</f>
        <v>48</v>
      </c>
      <c r="L312" s="1" t="s">
        <v>17</v>
      </c>
      <c r="M312" s="16">
        <f>IF(M14&gt;0,solrdat!B317,solrdat!I317)</f>
        <v>40113</v>
      </c>
      <c r="N312" s="1">
        <f>IF(M14&gt;0,solrdat!C317,solrdat!J317)</f>
        <v>11.73086111111111</v>
      </c>
      <c r="O312" s="1">
        <f>IF(M14&gt;0,solrdat!D317,solrdat!K317)</f>
        <v>-13.01967</v>
      </c>
      <c r="P312" s="1">
        <f>(TAN(RADIANS(L9))*SIN(RADIANS(O312))-SIN(RADIANS(L13))/COS(RADIANS(L9)))/COS(RADIANS(O312))</f>
        <v>-1.141442685014945</v>
      </c>
      <c r="Q312" s="1" t="str">
        <f t="shared" si="9"/>
        <v>0</v>
      </c>
      <c r="R312" s="4" t="str">
        <f>IF(P312&lt;-1,"Below",IF(P312&gt;1,"Above",INT(N312+C12-(DEGREES(ASIN(P312))+90)/15+5/600)))</f>
        <v>Below</v>
      </c>
      <c r="S312" s="1" t="str">
        <f>IF(OR(P312&lt;-1,P312&gt;1),IF(M13&gt;0," Min."," Horz."),IF(INT((N312+C12-(DEGREES(ASIN(P312))+90)/15-R312)*60+1/2)&lt;10,":0"&amp;FIXED(INT((N312+C12-(DEGREES(ASIN(P312))+90)/15-R312)*60+1/2),0),":"&amp;FIXED(INT((N312+C12-(DEGREES(ASIN(P312))+90)/15-R312)*60+1/2),0)))</f>
        <v> Min.</v>
      </c>
      <c r="T312" s="4" t="str">
        <f>IF(P312&lt;-1,"Below",IF(P312&gt;1,"Above",INT(N312+C12+(DEGREES(ASIN(P312))+90)/15+5/600)))</f>
        <v>Below</v>
      </c>
      <c r="U312" s="1" t="str">
        <f>IF(OR(P312&lt;-1,P312&gt;1),IF(M13&gt;0," Min."," Horz."),IF(INT((N312+C12+(DEGREES(ASIN(P312))+90)/15-T312)*60+1/2)&lt;10,":0"&amp;FIXED(INT((N312+C12+(DEGREES(ASIN(P312))+90)/15-T312)*60+1/2),0),":"&amp;FIXED(INT((N312+C12+(DEGREES(ASIN(P312))+90)/15-T312)*60+1/2),0)))</f>
        <v> Min.</v>
      </c>
      <c r="V312" s="1">
        <f>ROUND(DEGREES(ASIN(COS(RADIANS(O312))*COS(RADIANS(L9))+SIN(RADIANS(O312))*SIN(RADIANS(L9)))),0)</f>
        <v>37</v>
      </c>
      <c r="W312" s="1" t="s">
        <v>17</v>
      </c>
      <c r="X312" s="18"/>
    </row>
    <row r="313" spans="1:24" ht="10.5" customHeight="1">
      <c r="A313" s="1"/>
      <c r="B313" s="15">
        <f>IF(M14&gt;0,solrdat!B286,solrdat!I286)</f>
        <v>40084</v>
      </c>
      <c r="C313" s="1">
        <f>IF(M14&gt;0,solrdat!C286,solrdat!J286)</f>
        <v>11.841833333333334</v>
      </c>
      <c r="D313" s="1">
        <f>IF(M14&gt;0,solrdat!D286,solrdat!K286)</f>
        <v>-2.298696</v>
      </c>
      <c r="E313" s="1">
        <f>(TAN(RADIANS(L9))*SIN(RADIANS(D313))-SIN(RADIANS(L13))/COS(RADIANS(L9)))/COS(RADIANS(D313))</f>
        <v>-0.9574883200205125</v>
      </c>
      <c r="F313" s="1">
        <f t="shared" si="8"/>
        <v>2.2355335057744337</v>
      </c>
      <c r="G313" s="4">
        <f>IF(E313&lt;-1,"Below",IF(E313&gt;1,"Above",INT(C313+C12-(DEGREES(ASIN(E313))+90)/15+5/600)))</f>
        <v>11</v>
      </c>
      <c r="H313" s="1" t="str">
        <f>IF(OR(E313&lt;-1,E313&gt;1),IF(M13&gt;0," Min."," Horz."),IF(INT((C313+C12-(DEGREES(ASIN(E313))+90)/15-G313)*60+1/2)&lt;10,":0"&amp;FIXED(INT((C313+C12-(DEGREES(ASIN(E313))+90)/15-G313)*60+1/2),0),":"&amp;FIXED(INT((C313+C12-(DEGREES(ASIN(E313))+90)/15-G313)*60+1/2),0)))</f>
        <v>:03</v>
      </c>
      <c r="I313" s="4">
        <f>IF(E313&lt;-1,"Below",IF(E313&gt;1,"Above",INT(C313+C12+(DEGREES(ASIN(E313))+90)/15+5/600)))</f>
        <v>13</v>
      </c>
      <c r="J313" s="1" t="str">
        <f>IF(OR(E313&lt;-1,E313&gt;1),IF(M13&gt;0," Min."," Horz."),IF(INT((C313+C12+(DEGREES(ASIN(E313))+90)/15-I313)*60+1/2)&lt;10,":0"&amp;FIXED(INT((C313+C12+(DEGREES(ASIN(E313))+90)/15-I313)*60+1/2),0),":"&amp;FIXED(INT((C313+C12+(DEGREES(ASIN(E313))+90)/15-I313)*60+1/2),0)))</f>
        <v>:18</v>
      </c>
      <c r="K313" s="1">
        <f>ROUND(DEGREES(ASIN(COS(RADIANS(D313))*COS(RADIANS(L9))+SIN(RADIANS(D313))*SIN(RADIANS(L9)))),0)</f>
        <v>48</v>
      </c>
      <c r="L313" s="1" t="s">
        <v>17</v>
      </c>
      <c r="M313" s="16">
        <f>IF(M14&gt;0,solrdat!B318,solrdat!I318)</f>
        <v>40114</v>
      </c>
      <c r="N313" s="1">
        <f>IF(M14&gt;0,solrdat!C318,solrdat!J318)</f>
        <v>11.729555555555555</v>
      </c>
      <c r="O313" s="1">
        <f>IF(M14&gt;0,solrdat!D318,solrdat!K318)</f>
        <v>-13.353697</v>
      </c>
      <c r="P313" s="1">
        <f>(TAN(RADIANS(L9))*SIN(RADIANS(O313))-SIN(RADIANS(L13))/COS(RADIANS(L9)))/COS(RADIANS(O313))</f>
        <v>-1.1478981134944777</v>
      </c>
      <c r="Q313" s="1" t="str">
        <f t="shared" si="9"/>
        <v>0</v>
      </c>
      <c r="R313" s="4" t="str">
        <f>IF(P313&lt;-1,"Below",IF(P313&gt;1,"Above",INT(N313+C12-(DEGREES(ASIN(P313))+90)/15+5/600)))</f>
        <v>Below</v>
      </c>
      <c r="S313" s="1" t="str">
        <f>IF(OR(P313&lt;-1,P313&gt;1),IF(M13&gt;0," Min."," Horz."),IF(INT((N313+C12-(DEGREES(ASIN(P313))+90)/15-R313)*60+1/2)&lt;10,":0"&amp;FIXED(INT((N313+C12-(DEGREES(ASIN(P313))+90)/15-R313)*60+1/2),0),":"&amp;FIXED(INT((N313+C12-(DEGREES(ASIN(P313))+90)/15-R313)*60+1/2),0)))</f>
        <v> Min.</v>
      </c>
      <c r="T313" s="4" t="str">
        <f>IF(P313&lt;-1,"Below",IF(P313&gt;1,"Above",INT(N313+C12+(DEGREES(ASIN(P313))+90)/15+5/600)))</f>
        <v>Below</v>
      </c>
      <c r="U313" s="1" t="str">
        <f>IF(OR(P313&lt;-1,P313&gt;1),IF(M13&gt;0," Min."," Horz."),IF(INT((N313+C12+(DEGREES(ASIN(P313))+90)/15-T313)*60+1/2)&lt;10,":0"&amp;FIXED(INT((N313+C12+(DEGREES(ASIN(P313))+90)/15-T313)*60+1/2),0),":"&amp;FIXED(INT((N313+C12+(DEGREES(ASIN(P313))+90)/15-T313)*60+1/2),0)))</f>
        <v> Min.</v>
      </c>
      <c r="V313" s="1">
        <f>ROUND(DEGREES(ASIN(COS(RADIANS(O313))*COS(RADIANS(L9))+SIN(RADIANS(O313))*SIN(RADIANS(L9)))),0)</f>
        <v>37</v>
      </c>
      <c r="W313" s="1" t="s">
        <v>17</v>
      </c>
      <c r="X313" s="18"/>
    </row>
    <row r="314" spans="1:24" ht="10.5" customHeight="1">
      <c r="A314" s="1"/>
      <c r="B314" s="15">
        <f>IF(M14&gt;0,solrdat!B287,solrdat!I287)</f>
        <v>40085</v>
      </c>
      <c r="C314" s="1">
        <f>IF(M14&gt;0,solrdat!C287,solrdat!J287)</f>
        <v>11.836277777777777</v>
      </c>
      <c r="D314" s="1">
        <f>IF(M14&gt;0,solrdat!D287,solrdat!K287)</f>
        <v>-2.687274</v>
      </c>
      <c r="E314" s="1">
        <f>(TAN(RADIANS(L9))*SIN(RADIANS(D314))-SIN(RADIANS(L13))/COS(RADIANS(L9)))/COS(RADIANS(D314))</f>
        <v>-0.9634626921532667</v>
      </c>
      <c r="F314" s="1">
        <f t="shared" si="8"/>
        <v>2.071456970012258</v>
      </c>
      <c r="G314" s="4">
        <f>IF(E314&lt;-1,"Below",IF(E314&gt;1,"Above",INT(C314+C12-(DEGREES(ASIN(E314))+90)/15+5/600)))</f>
        <v>11</v>
      </c>
      <c r="H314" s="1" t="str">
        <f>IF(OR(E314&lt;-1,E314&gt;1),IF(M13&gt;0," Min."," Horz."),IF(INT((C314+C12-(DEGREES(ASIN(E314))+90)/15-G314)*60+1/2)&lt;10,":0"&amp;FIXED(INT((C314+C12-(DEGREES(ASIN(E314))+90)/15-G314)*60+1/2),0),":"&amp;FIXED(INT((C314+C12-(DEGREES(ASIN(E314))+90)/15-G314)*60+1/2),0)))</f>
        <v>:08</v>
      </c>
      <c r="I314" s="4">
        <f>IF(E314&lt;-1,"Below",IF(E314&gt;1,"Above",INT(C314+C12+(DEGREES(ASIN(E314))+90)/15+5/600)))</f>
        <v>13</v>
      </c>
      <c r="J314" s="1" t="str">
        <f>IF(OR(E314&lt;-1,E314&gt;1),IF(M13&gt;0," Min."," Horz."),IF(INT((C314+C12+(DEGREES(ASIN(E314))+90)/15-I314)*60+1/2)&lt;10,":0"&amp;FIXED(INT((C314+C12+(DEGREES(ASIN(E314))+90)/15-I314)*60+1/2),0),":"&amp;FIXED(INT((C314+C12+(DEGREES(ASIN(E314))+90)/15-I314)*60+1/2),0)))</f>
        <v>:12</v>
      </c>
      <c r="K314" s="1">
        <f>ROUND(DEGREES(ASIN(COS(RADIANS(D314))*COS(RADIANS(L9))+SIN(RADIANS(D314))*SIN(RADIANS(L9)))),0)</f>
        <v>47</v>
      </c>
      <c r="L314" s="1" t="s">
        <v>17</v>
      </c>
      <c r="M314" s="16">
        <f>IF(M14&gt;0,solrdat!B319,solrdat!I319)</f>
        <v>40115</v>
      </c>
      <c r="N314" s="1">
        <f>IF(M14&gt;0,solrdat!C319,solrdat!J319)</f>
        <v>11.728472222222223</v>
      </c>
      <c r="O314" s="1">
        <f>IF(M14&gt;0,solrdat!D319,solrdat!K319)</f>
        <v>-13.684208</v>
      </c>
      <c r="P314" s="1">
        <f>(TAN(RADIANS(L9))*SIN(RADIANS(O314))-SIN(RADIANS(L13))/COS(RADIANS(L9)))/COS(RADIANS(O314))</f>
        <v>-1.154334981357297</v>
      </c>
      <c r="Q314" s="1" t="str">
        <f t="shared" si="9"/>
        <v>0</v>
      </c>
      <c r="R314" s="4" t="str">
        <f>IF(P314&lt;-1,"Below",IF(P314&gt;1,"Above",INT(N314+C12-(DEGREES(ASIN(P314))+90)/15+5/600)))</f>
        <v>Below</v>
      </c>
      <c r="S314" s="1" t="str">
        <f>IF(OR(P314&lt;-1,P314&gt;1),IF(M13&gt;0," Min."," Horz."),IF(INT((N314+C12-(DEGREES(ASIN(P314))+90)/15-R314)*60+1/2)&lt;10,":0"&amp;FIXED(INT((N314+C12-(DEGREES(ASIN(P314))+90)/15-R314)*60+1/2),0),":"&amp;FIXED(INT((N314+C12-(DEGREES(ASIN(P314))+90)/15-R314)*60+1/2),0)))</f>
        <v> Min.</v>
      </c>
      <c r="T314" s="4" t="str">
        <f>IF(P314&lt;-1,"Below",IF(P314&gt;1,"Above",INT(N314+C12+(DEGREES(ASIN(P314))+90)/15+5/600)))</f>
        <v>Below</v>
      </c>
      <c r="U314" s="1" t="str">
        <f>IF(OR(P314&lt;-1,P314&gt;1),IF(M13&gt;0," Min."," Horz."),IF(INT((N314+C12+(DEGREES(ASIN(P314))+90)/15-T314)*60+1/2)&lt;10,":0"&amp;FIXED(INT((N314+C12+(DEGREES(ASIN(P314))+90)/15-T314)*60+1/2),0),":"&amp;FIXED(INT((N314+C12+(DEGREES(ASIN(P314))+90)/15-T314)*60+1/2),0)))</f>
        <v> Min.</v>
      </c>
      <c r="V314" s="1">
        <f>ROUND(DEGREES(ASIN(COS(RADIANS(O314))*COS(RADIANS(L9))+SIN(RADIANS(O314))*SIN(RADIANS(L9)))),0)</f>
        <v>36</v>
      </c>
      <c r="W314" s="1" t="s">
        <v>17</v>
      </c>
      <c r="X314" s="18"/>
    </row>
    <row r="315" spans="1:24" ht="10.5" customHeight="1">
      <c r="A315" s="1"/>
      <c r="B315" s="15">
        <f>IF(M14&gt;0,solrdat!B288,solrdat!I288)</f>
        <v>40086</v>
      </c>
      <c r="C315" s="1">
        <f>IF(M14&gt;0,solrdat!C288,solrdat!J288)</f>
        <v>11.830833333333333</v>
      </c>
      <c r="D315" s="1">
        <f>IF(M14&gt;0,solrdat!D288,solrdat!K288)</f>
        <v>-3.075381</v>
      </c>
      <c r="E315" s="1">
        <f>(TAN(RADIANS(L9))*SIN(RADIANS(D315))-SIN(RADIANS(L13))/COS(RADIANS(L9)))/COS(RADIANS(D315))</f>
        <v>-0.969476060433174</v>
      </c>
      <c r="F315" s="1">
        <f t="shared" si="8"/>
        <v>1.8923766997009976</v>
      </c>
      <c r="G315" s="4">
        <f>IF(E315&lt;-1,"Below",IF(E315&gt;1,"Above",INT(C315+C12-(DEGREES(ASIN(E315))+90)/15+5/600)))</f>
        <v>11</v>
      </c>
      <c r="H315" s="1" t="str">
        <f>IF(OR(E315&lt;-1,E315&gt;1),IF(M13&gt;0," Min."," Horz."),IF(INT((C315+C12-(DEGREES(ASIN(E315))+90)/15-G315)*60+1/2)&lt;10,":0"&amp;FIXED(INT((C315+C12-(DEGREES(ASIN(E315))+90)/15-G315)*60+1/2),0),":"&amp;FIXED(INT((C315+C12-(DEGREES(ASIN(E315))+90)/15-G315)*60+1/2),0)))</f>
        <v>:13</v>
      </c>
      <c r="I315" s="4">
        <f>IF(E315&lt;-1,"Below",IF(E315&gt;1,"Above",INT(C315+C12+(DEGREES(ASIN(E315))+90)/15+5/600)))</f>
        <v>13</v>
      </c>
      <c r="J315" s="1" t="str">
        <f>IF(OR(E315&lt;-1,E315&gt;1),IF(M13&gt;0," Min."," Horz."),IF(INT((C315+C12+(DEGREES(ASIN(E315))+90)/15-I315)*60+1/2)&lt;10,":0"&amp;FIXED(INT((C315+C12+(DEGREES(ASIN(E315))+90)/15-I315)*60+1/2),0),":"&amp;FIXED(INT((C315+C12+(DEGREES(ASIN(E315))+90)/15-I315)*60+1/2),0)))</f>
        <v>:07</v>
      </c>
      <c r="K315" s="1">
        <f>ROUND(DEGREES(ASIN(COS(RADIANS(D315))*COS(RADIANS(L9))+SIN(RADIANS(D315))*SIN(RADIANS(L9)))),0)</f>
        <v>47</v>
      </c>
      <c r="L315" s="1" t="s">
        <v>17</v>
      </c>
      <c r="M315" s="16">
        <f>IF(M14&gt;0,solrdat!B320,solrdat!I320)</f>
        <v>40116</v>
      </c>
      <c r="N315" s="1">
        <f>IF(M14&gt;0,solrdat!C320,solrdat!J320)</f>
        <v>11.727583333333333</v>
      </c>
      <c r="O315" s="1">
        <f>IF(M14&gt;0,solrdat!D320,solrdat!K320)</f>
        <v>-14.011095</v>
      </c>
      <c r="P315" s="1">
        <f>(TAN(RADIANS(L9))*SIN(RADIANS(O315))-SIN(RADIANS(L13))/COS(RADIANS(L9)))/COS(RADIANS(O315))</f>
        <v>-1.160750217064628</v>
      </c>
      <c r="Q315" s="1" t="str">
        <f t="shared" si="9"/>
        <v>0</v>
      </c>
      <c r="R315" s="4" t="str">
        <f>IF(P315&lt;-1,"Below",IF(P315&gt;1,"Above",INT(N315+C12-(DEGREES(ASIN(P315))+90)/15+5/600)))</f>
        <v>Below</v>
      </c>
      <c r="S315" s="1" t="str">
        <f>IF(OR(P315&lt;-1,P315&gt;1),IF(M13&gt;0," Min."," Horz."),IF(INT((N315+C12-(DEGREES(ASIN(P315))+90)/15-R315)*60+1/2)&lt;10,":0"&amp;FIXED(INT((N315+C12-(DEGREES(ASIN(P315))+90)/15-R315)*60+1/2),0),":"&amp;FIXED(INT((N315+C12-(DEGREES(ASIN(P315))+90)/15-R315)*60+1/2),0)))</f>
        <v> Min.</v>
      </c>
      <c r="T315" s="4" t="str">
        <f>IF(P315&lt;-1,"Below",IF(P315&gt;1,"Above",INT(N315+C12+(DEGREES(ASIN(P315))+90)/15+5/600)))</f>
        <v>Below</v>
      </c>
      <c r="U315" s="1" t="str">
        <f>IF(OR(P315&lt;-1,P315&gt;1),IF(M13&gt;0," Min."," Horz."),IF(INT((N315+C12+(DEGREES(ASIN(P315))+90)/15-T315)*60+1/2)&lt;10,":0"&amp;FIXED(INT((N315+C12+(DEGREES(ASIN(P315))+90)/15-T315)*60+1/2),0),":"&amp;FIXED(INT((N315+C12+(DEGREES(ASIN(P315))+90)/15-T315)*60+1/2),0)))</f>
        <v> Min.</v>
      </c>
      <c r="V315" s="1">
        <f>ROUND(DEGREES(ASIN(COS(RADIANS(O315))*COS(RADIANS(L9))+SIN(RADIANS(O315))*SIN(RADIANS(L9)))),0)</f>
        <v>36</v>
      </c>
      <c r="W315" s="1" t="s">
        <v>17</v>
      </c>
      <c r="X315" s="18"/>
    </row>
    <row r="316" spans="1:24" ht="10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6">
        <f>IF(M14&gt;0,solrdat!B321,solrdat!I321)</f>
        <v>40117</v>
      </c>
      <c r="N316" s="1">
        <f>IF(M14&gt;0,solrdat!C321,solrdat!J321)</f>
        <v>11.726916666666666</v>
      </c>
      <c r="O316" s="1">
        <f>IF(M14&gt;0,solrdat!D321,solrdat!K321)</f>
        <v>-14.334252</v>
      </c>
      <c r="P316" s="1">
        <f>(TAN(RADIANS(L9))*SIN(RADIANS(O316))-SIN(RADIANS(L13))/COS(RADIANS(L9)))/COS(RADIANS(O316))</f>
        <v>-1.1671407114541774</v>
      </c>
      <c r="Q316" s="1" t="str">
        <f t="shared" si="9"/>
        <v>0</v>
      </c>
      <c r="R316" s="4" t="str">
        <f>IF(P316&lt;-1,"Below",IF(P316&gt;1,"Above",INT(N316+C12-(DEGREES(ASIN(P316))+90)/15+5/600)))</f>
        <v>Below</v>
      </c>
      <c r="S316" s="1" t="str">
        <f>IF(OR(P316&lt;-1,P316&gt;1),IF(M13&gt;0," Min."," Horz."),IF(INT((N316+C12-(DEGREES(ASIN(P316))+90)/15-R316)*60+1/2)&lt;10,":0"&amp;FIXED(INT((N316+C12-(DEGREES(ASIN(P316))+90)/15-R316)*60+1/2),0),":"&amp;FIXED(INT((N316+C12-(DEGREES(ASIN(P316))+90)/15-R316)*60+1/2),0)))</f>
        <v> Min.</v>
      </c>
      <c r="T316" s="4" t="str">
        <f>IF(P316&lt;-1,"Below",IF(P316&gt;1,"Above",INT(N316+C12+(DEGREES(ASIN(P316))+90)/15+5/600)))</f>
        <v>Below</v>
      </c>
      <c r="U316" s="1" t="str">
        <f>IF(OR(P316&lt;-1,P316&gt;1),IF(M13&gt;0," Min."," Horz."),IF(INT((N316+C12+(DEGREES(ASIN(P316))+90)/15-T316)*60+1/2)&lt;10,":0"&amp;FIXED(INT((N316+C12+(DEGREES(ASIN(P316))+90)/15-T316)*60+1/2),0),":"&amp;FIXED(INT((N316+C12+(DEGREES(ASIN(P316))+90)/15-T316)*60+1/2),0)))</f>
        <v> Min.</v>
      </c>
      <c r="V316" s="1">
        <f>ROUND(DEGREES(ASIN(COS(RADIANS(O316))*COS(RADIANS(L9))+SIN(RADIANS(O316))*SIN(RADIANS(L9)))),0)</f>
        <v>36</v>
      </c>
      <c r="W316" s="1" t="s">
        <v>17</v>
      </c>
      <c r="X316" s="18"/>
    </row>
    <row r="317" spans="1:24" ht="10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0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8"/>
    </row>
    <row r="318" spans="1:24" ht="10.5" customHeight="1">
      <c r="A318" s="1"/>
      <c r="C318" s="1"/>
      <c r="D318" s="1"/>
      <c r="E318" s="1"/>
      <c r="F318" s="1">
        <f>COUNT(F286:F315)</f>
        <v>30</v>
      </c>
      <c r="G318" s="1"/>
      <c r="H318" s="1"/>
      <c r="I318" s="1"/>
      <c r="J318" s="4" t="str">
        <f>J252</f>
        <v>Average Daily Maximum Flying Time: </v>
      </c>
      <c r="K318" s="19">
        <f>IF(F318&lt;1,0,AVERAGE(F286:F315))</f>
        <v>3.5564977909274447</v>
      </c>
      <c r="L318" s="1" t="s">
        <v>18</v>
      </c>
      <c r="M318" s="10"/>
      <c r="N318" s="1"/>
      <c r="O318" s="1"/>
      <c r="P318" s="1"/>
      <c r="Q318" s="1">
        <f>COUNT(Q286:Q316)</f>
        <v>4</v>
      </c>
      <c r="R318" s="1"/>
      <c r="S318" s="1"/>
      <c r="T318" s="1"/>
      <c r="U318" s="4" t="str">
        <f>U252</f>
        <v>Average Daily Maximum Flying Time: </v>
      </c>
      <c r="V318" s="19">
        <f>IF(Q318&lt;1,0,AVERAGE(Q286:Q316))</f>
        <v>1.3006247279647756</v>
      </c>
      <c r="W318" s="1" t="s">
        <v>18</v>
      </c>
      <c r="X318" s="18"/>
    </row>
    <row r="319" spans="1:24" ht="10.5" customHeight="1">
      <c r="A319" s="1"/>
      <c r="C319" s="1"/>
      <c r="D319" s="1"/>
      <c r="E319" s="1"/>
      <c r="F319" s="1"/>
      <c r="G319" s="1"/>
      <c r="H319" s="1"/>
      <c r="I319" s="1"/>
      <c r="J319" s="4"/>
      <c r="K319" s="19"/>
      <c r="L319" s="1"/>
      <c r="M319" s="31"/>
      <c r="N319" s="1"/>
      <c r="O319" s="1"/>
      <c r="P319" s="1"/>
      <c r="Q319" s="1"/>
      <c r="R319" s="1"/>
      <c r="S319" s="1"/>
      <c r="T319" s="1"/>
      <c r="U319" s="4"/>
      <c r="V319" s="19"/>
      <c r="W319" s="1"/>
      <c r="X319" s="18"/>
    </row>
    <row r="320" spans="1:24" ht="10.5" customHeight="1">
      <c r="A320" s="1"/>
      <c r="B320" s="1"/>
      <c r="C320" s="1"/>
      <c r="D320" s="1"/>
      <c r="E320" s="1"/>
      <c r="F320" s="1"/>
      <c r="G320" s="1"/>
      <c r="I320" s="22"/>
      <c r="J320" s="23"/>
      <c r="K320" s="23"/>
      <c r="L320" s="23"/>
      <c r="M320" s="23"/>
      <c r="N320" s="23"/>
      <c r="O320" s="1"/>
      <c r="P320" s="1"/>
      <c r="Q320" s="1"/>
      <c r="R320" s="23"/>
      <c r="S320" s="24"/>
      <c r="U320" s="1"/>
      <c r="V320" s="1"/>
      <c r="W320" s="1"/>
      <c r="X320" s="18"/>
    </row>
    <row r="321" spans="1:24" ht="10.5" customHeight="1">
      <c r="A321" s="1"/>
      <c r="B321" s="1"/>
      <c r="C321" s="1"/>
      <c r="D321" s="1"/>
      <c r="E321" s="1"/>
      <c r="F321" s="1"/>
      <c r="G321" s="1"/>
      <c r="I321" s="25"/>
      <c r="J321" s="1"/>
      <c r="K321" s="1"/>
      <c r="L321" s="26" t="s">
        <v>19</v>
      </c>
      <c r="M321" s="1"/>
      <c r="N321" s="1"/>
      <c r="O321" s="1"/>
      <c r="P321" s="1"/>
      <c r="Q321" s="1"/>
      <c r="R321" s="1"/>
      <c r="S321" s="27"/>
      <c r="U321" s="1"/>
      <c r="V321" s="1"/>
      <c r="W321" s="1"/>
      <c r="X321" s="18"/>
    </row>
    <row r="322" spans="1:24" ht="10.5" customHeight="1">
      <c r="A322" s="1"/>
      <c r="B322" s="1"/>
      <c r="C322" s="1"/>
      <c r="D322" s="1"/>
      <c r="E322" s="1"/>
      <c r="F322" s="1"/>
      <c r="G322" s="1"/>
      <c r="I322" s="25"/>
      <c r="J322" s="8"/>
      <c r="K322" s="1"/>
      <c r="L322" s="1"/>
      <c r="M322" s="1"/>
      <c r="N322" s="1"/>
      <c r="O322" s="1"/>
      <c r="P322" s="1"/>
      <c r="Q322" s="1"/>
      <c r="R322" s="1"/>
      <c r="S322" s="27"/>
      <c r="U322" s="1"/>
      <c r="V322" s="1"/>
      <c r="W322" s="1"/>
      <c r="X322" s="18"/>
    </row>
    <row r="323" spans="1:24" ht="10.5" customHeight="1">
      <c r="A323" s="1"/>
      <c r="B323" s="1"/>
      <c r="C323" s="1"/>
      <c r="D323" s="1"/>
      <c r="E323" s="1"/>
      <c r="F323" s="1"/>
      <c r="G323" s="1"/>
      <c r="I323" s="25"/>
      <c r="J323" s="1" t="s">
        <v>20</v>
      </c>
      <c r="K323" s="1"/>
      <c r="L323" s="1"/>
      <c r="M323" s="1"/>
      <c r="N323" s="1"/>
      <c r="O323" s="1"/>
      <c r="P323" s="1"/>
      <c r="Q323" s="1"/>
      <c r="R323" s="1"/>
      <c r="S323" s="27"/>
      <c r="U323" s="1"/>
      <c r="V323" s="1"/>
      <c r="W323" s="1"/>
      <c r="X323" s="18"/>
    </row>
    <row r="324" spans="1:24" ht="10.5" customHeight="1">
      <c r="A324" s="1"/>
      <c r="B324" s="1"/>
      <c r="C324" s="1"/>
      <c r="D324" s="1"/>
      <c r="E324" s="1"/>
      <c r="F324" s="1"/>
      <c r="G324" s="1"/>
      <c r="I324" s="25"/>
      <c r="J324" s="1" t="s">
        <v>21</v>
      </c>
      <c r="K324" s="1"/>
      <c r="L324" s="1"/>
      <c r="M324" s="1"/>
      <c r="N324" s="1"/>
      <c r="O324" s="1"/>
      <c r="P324" s="1"/>
      <c r="Q324" s="1"/>
      <c r="R324" s="1"/>
      <c r="S324" s="27"/>
      <c r="U324" s="1"/>
      <c r="V324" s="1"/>
      <c r="W324" s="1"/>
      <c r="X324" s="18"/>
    </row>
    <row r="325" spans="1:24" ht="10.5" customHeight="1">
      <c r="A325" s="1"/>
      <c r="B325" s="1"/>
      <c r="C325" s="1"/>
      <c r="D325" s="1"/>
      <c r="E325" s="1"/>
      <c r="F325" s="1"/>
      <c r="G325" s="1"/>
      <c r="I325" s="25"/>
      <c r="J325" s="1"/>
      <c r="K325" s="1"/>
      <c r="L325" s="1"/>
      <c r="M325" s="1"/>
      <c r="N325" s="1"/>
      <c r="O325" s="1"/>
      <c r="P325" s="1"/>
      <c r="Q325" s="1"/>
      <c r="R325" s="1"/>
      <c r="S325" s="27"/>
      <c r="U325" s="1"/>
      <c r="V325" s="1"/>
      <c r="W325" s="1"/>
      <c r="X325" s="18"/>
    </row>
    <row r="326" spans="1:24" ht="10.5" customHeight="1">
      <c r="A326" s="1"/>
      <c r="B326" s="1"/>
      <c r="C326" s="1"/>
      <c r="D326" s="1"/>
      <c r="E326" s="1"/>
      <c r="F326" s="1"/>
      <c r="G326" s="1"/>
      <c r="I326" s="10"/>
      <c r="J326" s="1" t="s">
        <v>22</v>
      </c>
      <c r="K326" s="1"/>
      <c r="L326" s="1"/>
      <c r="M326" s="1"/>
      <c r="N326" s="1"/>
      <c r="O326" s="1"/>
      <c r="P326" s="1"/>
      <c r="Q326" s="1"/>
      <c r="R326" s="1"/>
      <c r="S326" s="27"/>
      <c r="U326" s="1"/>
      <c r="V326" s="1"/>
      <c r="W326" s="1"/>
      <c r="X326" s="18"/>
    </row>
    <row r="327" spans="1:24" ht="10.5" customHeight="1">
      <c r="A327" s="1"/>
      <c r="B327" s="1"/>
      <c r="C327" s="1"/>
      <c r="D327" s="1"/>
      <c r="E327" s="1"/>
      <c r="F327" s="1"/>
      <c r="G327" s="1"/>
      <c r="I327" s="10"/>
      <c r="J327" s="1" t="s">
        <v>23</v>
      </c>
      <c r="K327" s="1"/>
      <c r="L327" s="1"/>
      <c r="M327" s="1"/>
      <c r="N327" s="1"/>
      <c r="O327" s="1"/>
      <c r="P327" s="1"/>
      <c r="Q327" s="1"/>
      <c r="R327" s="1"/>
      <c r="S327" s="27"/>
      <c r="U327" s="1"/>
      <c r="V327" s="1"/>
      <c r="W327" s="1"/>
      <c r="X327" s="18"/>
    </row>
    <row r="328" spans="1:24" ht="10.5" customHeight="1">
      <c r="A328" s="1"/>
      <c r="B328" s="1"/>
      <c r="C328" s="1"/>
      <c r="D328" s="1"/>
      <c r="E328" s="1"/>
      <c r="F328" s="1"/>
      <c r="G328" s="1"/>
      <c r="I328" s="28" t="s">
        <v>24</v>
      </c>
      <c r="J328" s="29"/>
      <c r="K328" s="29"/>
      <c r="L328" s="29"/>
      <c r="M328" s="29"/>
      <c r="N328" s="29"/>
      <c r="O328" s="1"/>
      <c r="P328" s="1"/>
      <c r="Q328" s="1"/>
      <c r="R328" s="29"/>
      <c r="S328" s="30"/>
      <c r="U328" s="1"/>
      <c r="V328" s="1"/>
      <c r="W328" s="1"/>
      <c r="X328" s="18"/>
    </row>
    <row r="329" spans="1:24" ht="10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8"/>
    </row>
    <row r="330" spans="1:24" ht="10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8"/>
    </row>
    <row r="331" spans="1:24" ht="1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8"/>
    </row>
    <row r="332" spans="1:24" ht="1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8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44" t="str">
        <f>J267</f>
        <v> Two Month Daily Sun Angle Chart</v>
      </c>
      <c r="K333" s="45"/>
      <c r="L333" s="45"/>
      <c r="M333" s="45"/>
      <c r="N333" s="45"/>
      <c r="O333" s="45"/>
      <c r="P333" s="45"/>
      <c r="Q333" s="45"/>
      <c r="R333" s="45"/>
      <c r="S333" s="1"/>
      <c r="T333" s="1"/>
      <c r="U333" s="1"/>
      <c r="V333" s="1"/>
      <c r="W333" s="1"/>
      <c r="X333" s="18"/>
    </row>
    <row r="334" spans="1:24" ht="1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8"/>
    </row>
    <row r="335" spans="1:24" ht="12.75" customHeight="1">
      <c r="A335" s="1"/>
      <c r="B335" s="4" t="s">
        <v>0</v>
      </c>
      <c r="C335" s="1"/>
      <c r="D335" s="1"/>
      <c r="E335" s="1"/>
      <c r="F335" s="1"/>
      <c r="G335" s="44" t="str">
        <f>G269</f>
        <v>--Type Project Name Here--</v>
      </c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" t="s">
        <v>1</v>
      </c>
      <c r="U335" s="44" t="str">
        <f>U269</f>
        <v>--US--</v>
      </c>
      <c r="V335" s="45"/>
      <c r="W335" s="45"/>
      <c r="X335" s="18"/>
    </row>
    <row r="336" spans="1:24" ht="10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8"/>
    </row>
    <row r="337" spans="1:24" ht="12.75" customHeight="1">
      <c r="A337" s="1"/>
      <c r="B337" s="4" t="s">
        <v>2</v>
      </c>
      <c r="C337" s="1"/>
      <c r="D337" s="1"/>
      <c r="E337" s="1"/>
      <c r="F337" s="1"/>
      <c r="G337" s="44" t="str">
        <f>G271</f>
        <v>--Type Solicitation Number Here, or Leave Blank--</v>
      </c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" t="s">
        <v>3</v>
      </c>
      <c r="U337" s="46" t="str">
        <f>U271</f>
        <v>--No.--</v>
      </c>
      <c r="V337" s="45"/>
      <c r="W337" s="45"/>
      <c r="X337" s="18"/>
    </row>
    <row r="338" spans="1:24" ht="10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8"/>
    </row>
    <row r="339" spans="1:24" ht="10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 t="s">
        <v>4</v>
      </c>
      <c r="S339" s="1"/>
      <c r="T339" s="1"/>
      <c r="U339" s="1"/>
      <c r="V339" s="1"/>
      <c r="W339" s="1"/>
      <c r="X339" s="18"/>
    </row>
    <row r="340" spans="1:24" ht="10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4" t="str">
        <f>K274</f>
        <v>Latitude (Degrees North):  </v>
      </c>
      <c r="L340" s="5">
        <f>L274</f>
        <v>40</v>
      </c>
      <c r="M340" s="1"/>
      <c r="N340" s="1"/>
      <c r="O340" s="1"/>
      <c r="P340" s="1"/>
      <c r="Q340" s="1"/>
      <c r="R340" s="1" t="s">
        <v>5</v>
      </c>
      <c r="S340" s="1"/>
      <c r="T340" s="1"/>
      <c r="U340" s="1"/>
      <c r="V340" s="1"/>
      <c r="W340" s="1"/>
      <c r="X340" s="18"/>
    </row>
    <row r="341" spans="1:24" ht="10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4" t="s">
        <v>39</v>
      </c>
      <c r="L341" s="5">
        <f>L275</f>
        <v>110</v>
      </c>
      <c r="M341" s="1"/>
      <c r="N341" s="1"/>
      <c r="O341" s="1"/>
      <c r="P341" s="1"/>
      <c r="Q341" s="1"/>
      <c r="R341" s="1" t="s">
        <v>6</v>
      </c>
      <c r="S341" s="1"/>
      <c r="T341" s="1"/>
      <c r="U341" s="1"/>
      <c r="V341" s="1"/>
      <c r="W341" s="1"/>
      <c r="X341" s="18"/>
    </row>
    <row r="342" spans="1:24" ht="10.5" customHeight="1">
      <c r="A342" s="1"/>
      <c r="B342" s="1"/>
      <c r="C342" s="1">
        <f>C276</f>
        <v>0.3333333333333333</v>
      </c>
      <c r="D342" s="1"/>
      <c r="E342" s="1"/>
      <c r="F342" s="1"/>
      <c r="G342" s="1"/>
      <c r="H342" s="1"/>
      <c r="I342" s="1"/>
      <c r="J342" s="1"/>
      <c r="K342" s="4" t="s">
        <v>7</v>
      </c>
      <c r="L342" s="7">
        <f>L276</f>
        <v>4</v>
      </c>
      <c r="M342" s="1"/>
      <c r="N342" s="1"/>
      <c r="O342" s="1"/>
      <c r="P342" s="1"/>
      <c r="Q342" s="1"/>
      <c r="R342" s="1" t="s">
        <v>8</v>
      </c>
      <c r="S342" s="1"/>
      <c r="T342" s="1"/>
      <c r="U342" s="1"/>
      <c r="V342" s="1"/>
      <c r="W342" s="1"/>
      <c r="X342" s="18"/>
    </row>
    <row r="343" spans="1:24" ht="10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4" t="str">
        <f>K277</f>
        <v>Min. Sun Angle (Degrees):  </v>
      </c>
      <c r="L343" s="7">
        <f>L277</f>
        <v>45</v>
      </c>
      <c r="M343" s="1"/>
      <c r="N343" s="1"/>
      <c r="O343" s="1"/>
      <c r="P343" s="1"/>
      <c r="Q343" s="1"/>
      <c r="R343" s="1" t="s">
        <v>9</v>
      </c>
      <c r="S343" s="1"/>
      <c r="T343" s="1"/>
      <c r="U343" s="1"/>
      <c r="V343" s="1"/>
      <c r="W343" s="1"/>
      <c r="X343" s="18"/>
    </row>
    <row r="344" spans="1:24" ht="10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 t="s">
        <v>10</v>
      </c>
      <c r="S344" s="1"/>
      <c r="T344" s="1"/>
      <c r="U344" s="1"/>
      <c r="V344" s="1"/>
      <c r="W344" s="1"/>
      <c r="X344" s="18"/>
    </row>
    <row r="345" spans="1:24" ht="10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 t="s">
        <v>11</v>
      </c>
      <c r="S345" s="1"/>
      <c r="T345" s="1"/>
      <c r="U345" s="1"/>
      <c r="V345" s="1"/>
      <c r="W345" s="1"/>
      <c r="X345" s="18"/>
    </row>
    <row r="346" spans="1:24" ht="10.5" customHeight="1">
      <c r="A346" s="1"/>
      <c r="B346" s="1"/>
      <c r="C346" s="1"/>
      <c r="D346" s="1"/>
      <c r="E346" s="1"/>
      <c r="F346" s="1"/>
      <c r="G346" s="1"/>
      <c r="H346" s="2"/>
      <c r="I346" s="1"/>
      <c r="J346" s="1"/>
      <c r="K346" s="1"/>
      <c r="L346" s="2"/>
      <c r="M346" s="2"/>
      <c r="N346" s="2"/>
      <c r="O346" s="2"/>
      <c r="P346" s="2"/>
      <c r="Q346" s="2"/>
      <c r="R346" s="1"/>
      <c r="S346" s="1"/>
      <c r="T346" s="1"/>
      <c r="U346" s="1"/>
      <c r="V346" s="1"/>
      <c r="W346" s="2"/>
      <c r="X346" s="3"/>
    </row>
    <row r="347" spans="1:24" ht="10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1"/>
      <c r="S347" s="1"/>
      <c r="T347" s="1"/>
      <c r="U347" s="1"/>
      <c r="V347" s="1"/>
      <c r="W347" s="2"/>
      <c r="X347" s="3"/>
    </row>
    <row r="348" spans="1:24" ht="10.5" customHeight="1">
      <c r="A348" s="1"/>
      <c r="B348" s="1"/>
      <c r="C348" s="1"/>
      <c r="D348" s="1"/>
      <c r="E348" s="1"/>
      <c r="F348" s="1"/>
      <c r="G348" s="1"/>
      <c r="H348" s="9" t="s">
        <v>33</v>
      </c>
      <c r="I348" s="1"/>
      <c r="J348" s="1"/>
      <c r="K348" s="1"/>
      <c r="L348" s="1"/>
      <c r="M348" s="10"/>
      <c r="N348" s="2"/>
      <c r="O348" s="2"/>
      <c r="P348" s="2"/>
      <c r="Q348" s="2"/>
      <c r="R348" s="2"/>
      <c r="S348" s="9" t="s">
        <v>34</v>
      </c>
      <c r="T348" s="1"/>
      <c r="U348" s="1"/>
      <c r="V348" s="1"/>
      <c r="W348" s="2"/>
      <c r="X348" s="3"/>
    </row>
    <row r="349" spans="1:24" ht="10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0"/>
      <c r="N349" s="2"/>
      <c r="O349" s="2"/>
      <c r="P349" s="2"/>
      <c r="Q349" s="2"/>
      <c r="R349" s="1"/>
      <c r="S349" s="1"/>
      <c r="T349" s="1"/>
      <c r="U349" s="1"/>
      <c r="V349" s="1"/>
      <c r="W349" s="2"/>
      <c r="X349" s="3"/>
    </row>
    <row r="350" spans="1:24" ht="10.5" customHeight="1">
      <c r="A350" s="1"/>
      <c r="B350" s="2"/>
      <c r="C350" s="2"/>
      <c r="D350" s="2"/>
      <c r="E350" s="2"/>
      <c r="F350" s="2"/>
      <c r="G350" s="2"/>
      <c r="H350" s="11" t="str">
        <f>H284</f>
        <v>Flying Window</v>
      </c>
      <c r="I350" s="11"/>
      <c r="J350" s="11"/>
      <c r="K350" s="11" t="s">
        <v>14</v>
      </c>
      <c r="L350" s="2"/>
      <c r="M350" s="12"/>
      <c r="N350" s="2"/>
      <c r="O350" s="2"/>
      <c r="P350" s="2"/>
      <c r="Q350" s="2"/>
      <c r="R350" s="2"/>
      <c r="S350" s="11" t="str">
        <f>S284</f>
        <v>Flying Window</v>
      </c>
      <c r="T350" s="11"/>
      <c r="U350" s="11"/>
      <c r="V350" s="11" t="s">
        <v>14</v>
      </c>
      <c r="W350" s="2"/>
      <c r="X350" s="3"/>
    </row>
    <row r="351" spans="1:24" ht="10.5" customHeight="1">
      <c r="A351" s="1"/>
      <c r="B351" s="13" t="s">
        <v>15</v>
      </c>
      <c r="C351" s="11"/>
      <c r="D351" s="11"/>
      <c r="E351" s="11"/>
      <c r="F351" s="11"/>
      <c r="G351" s="11" t="str">
        <f>G285</f>
        <v>   Start Time</v>
      </c>
      <c r="H351" s="11"/>
      <c r="I351" s="11" t="str">
        <f>I285</f>
        <v>   End Time</v>
      </c>
      <c r="J351" s="11"/>
      <c r="K351" s="11" t="s">
        <v>16</v>
      </c>
      <c r="L351" s="2"/>
      <c r="M351" s="14" t="s">
        <v>15</v>
      </c>
      <c r="N351" s="11"/>
      <c r="O351" s="11"/>
      <c r="P351" s="11"/>
      <c r="Q351" s="11"/>
      <c r="R351" s="11" t="str">
        <f>R285</f>
        <v>   Start Time</v>
      </c>
      <c r="S351" s="11"/>
      <c r="T351" s="11" t="str">
        <f>T285</f>
        <v>   End Time</v>
      </c>
      <c r="U351" s="11"/>
      <c r="V351" s="11" t="s">
        <v>16</v>
      </c>
      <c r="W351" s="2"/>
      <c r="X351" s="3"/>
    </row>
    <row r="352" spans="1:24" ht="10.5" customHeight="1">
      <c r="A352" s="1"/>
      <c r="B352" s="15">
        <f>IF(M14&gt;0,solrdat!B323,solrdat!I323)</f>
        <v>40118</v>
      </c>
      <c r="C352" s="1">
        <f>IF(M14&gt;0,solrdat!C323,solrdat!J323)</f>
        <v>11.726444444444445</v>
      </c>
      <c r="D352" s="1">
        <f>IF(M14&gt;0,solrdat!D323,solrdat!K323)</f>
        <v>-14.653575</v>
      </c>
      <c r="E352" s="1">
        <f>(TAN(RADIANS(L9))*SIN(RADIANS(D352))-SIN(RADIANS(L13))/COS(RADIANS(L9)))/COS(RADIANS(D352))</f>
        <v>-1.1735033191913096</v>
      </c>
      <c r="F352" s="1" t="str">
        <f aca="true" t="shared" si="10" ref="F352:F381">IF(E352&lt;-1,"0",IF(E352&gt;1,24,(DEGREES(ASIN(E352))*2+180)/15))</f>
        <v>0</v>
      </c>
      <c r="G352" s="4" t="str">
        <f>IF(E352&lt;-1,"Below",IF(E352&gt;1,"Above",INT(C352+C12-(DEGREES(ASIN(E352))+90)/15+5/600)))</f>
        <v>Below</v>
      </c>
      <c r="H352" s="1" t="str">
        <f>IF(OR(E352&lt;-1,E352&gt;1),IF(M13&gt;0," Min."," Horz."),IF(INT((C352+C12-(DEGREES(ASIN(E352))+90)/15-G352)*60+1/2)&lt;10,":0"&amp;FIXED(INT((C352+C12-(DEGREES(ASIN(E352))+90)/15-G352)*60+1/2),0),":"&amp;FIXED(INT((C352+C12-(DEGREES(ASIN(E352))+90)/15-G352)*60+1/2),0)))</f>
        <v> Min.</v>
      </c>
      <c r="I352" s="4" t="str">
        <f>IF(E352&lt;-1,"Below",IF(E352&gt;1,"Above",INT(C352+C12+(DEGREES(ASIN(E352))+90)/15+5/600)))</f>
        <v>Below</v>
      </c>
      <c r="J352" s="1" t="str">
        <f>IF(OR(E352&lt;-1,E352&gt;1),IF(M13&gt;0," Min."," Horz."),IF(INT((C352+C12+(DEGREES(ASIN(E352))+90)/15-I352)*60+1/2)&lt;10,":0"&amp;FIXED(INT((C352+C12+(DEGREES(ASIN(E352))+90)/15-I352)*60+1/2),0),":"&amp;FIXED(INT((C352+C12+(DEGREES(ASIN(E352))+90)/15-I352)*60+1/2),0)))</f>
        <v> Min.</v>
      </c>
      <c r="K352" s="1">
        <f>ROUND(DEGREES(ASIN(COS(RADIANS(D352))*COS(RADIANS(L9))+SIN(RADIANS(D352))*SIN(RADIANS(L9)))),0)</f>
        <v>35</v>
      </c>
      <c r="L352" s="1" t="s">
        <v>17</v>
      </c>
      <c r="M352" s="16">
        <f>IF(M14&gt;0,solrdat!B355,solrdat!I355)</f>
        <v>40148</v>
      </c>
      <c r="N352" s="1">
        <f>IF(M14&gt;0,solrdat!C355,solrdat!J355)</f>
        <v>11.82</v>
      </c>
      <c r="O352" s="1">
        <f>IF(M14&gt;0,solrdat!D355,solrdat!K355)</f>
        <v>-21.908048</v>
      </c>
      <c r="P352" s="1">
        <f>(TAN(RADIANS(L9))*SIN(RADIANS(O352))-SIN(RADIANS(L13))/COS(RADIANS(L9)))/COS(RADIANS(O352))</f>
        <v>-1.3323637910326365</v>
      </c>
      <c r="Q352" s="1" t="str">
        <f aca="true" t="shared" si="11" ref="Q352:Q382">IF(P352&lt;-1,"0",IF(P352&gt;1,24,(DEGREES(ASIN(P352))*2+180)/15))</f>
        <v>0</v>
      </c>
      <c r="R352" s="4" t="str">
        <f>IF(P352&lt;-1,"Below",IF(P352&gt;1,"Above",INT(N352+C12-(DEGREES(ASIN(P352))+90)/15+5/600)))</f>
        <v>Below</v>
      </c>
      <c r="S352" s="1" t="str">
        <f>IF(OR(P352&lt;-1,P352&gt;1),IF(M13&gt;0," Min."," Horz."),IF(INT((N352+C12-(DEGREES(ASIN(P352))+90)/15-R352)*60+1/2)&lt;10,":0"&amp;FIXED(INT((N352+C12-(DEGREES(ASIN(P352))+90)/15-R352)*60+1/2),0),":"&amp;FIXED(INT((N352+C12-(DEGREES(ASIN(P352))+90)/15-R352)*60+1/2),0)))</f>
        <v> Min.</v>
      </c>
      <c r="T352" s="4" t="str">
        <f>IF(P352&lt;-1,"Below",IF(P352&gt;1,"Above",INT(N352+C12+(DEGREES(ASIN(P352))+90)/15+5/600)))</f>
        <v>Below</v>
      </c>
      <c r="U352" s="1" t="str">
        <f>IF(OR(P352&lt;-1,P352&gt;1),IF(M13&gt;0," Min."," Horz."),IF(INT((N352+C12+(DEGREES(ASIN(P352))+90)/15-T352)*60+1/2)&lt;10,":0"&amp;FIXED(INT((N352+C12+(DEGREES(ASIN(P352))+90)/15-T352)*60+1/2),0),":"&amp;FIXED(INT((N352+C12+(DEGREES(ASIN(P352))+90)/15-T352)*60+1/2),0)))</f>
        <v> Min.</v>
      </c>
      <c r="V352" s="1">
        <f>ROUND(DEGREES(ASIN(COS(RADIANS(O352))*COS(RADIANS(L9))+SIN(RADIANS(O352))*SIN(RADIANS(L9)))),0)</f>
        <v>28</v>
      </c>
      <c r="W352" s="1" t="s">
        <v>17</v>
      </c>
      <c r="X352" s="18"/>
    </row>
    <row r="353" spans="1:24" ht="10.5" customHeight="1">
      <c r="A353" s="1"/>
      <c r="B353" s="15">
        <f>IF(M14&gt;0,solrdat!B324,solrdat!I324)</f>
        <v>40119</v>
      </c>
      <c r="C353" s="1">
        <f>IF(M14&gt;0,solrdat!C324,solrdat!J324)</f>
        <v>11.726222222222223</v>
      </c>
      <c r="D353" s="1">
        <f>IF(M14&gt;0,solrdat!D324,solrdat!K324)</f>
        <v>-14.96896</v>
      </c>
      <c r="E353" s="1">
        <f>(TAN(RADIANS(L9))*SIN(RADIANS(D353))-SIN(RADIANS(L13))/COS(RADIANS(L9)))/COS(RADIANS(D353))</f>
        <v>-1.1798348200599023</v>
      </c>
      <c r="F353" s="1" t="str">
        <f t="shared" si="10"/>
        <v>0</v>
      </c>
      <c r="G353" s="4" t="str">
        <f>IF(E353&lt;-1,"Below",IF(E353&gt;1,"Above",INT(C353+C12-(DEGREES(ASIN(E353))+90)/15+5/600)))</f>
        <v>Below</v>
      </c>
      <c r="H353" s="1" t="str">
        <f>IF(OR(E353&lt;-1,E353&gt;1),IF(M13&gt;0," Min."," Horz."),IF(INT((C353+C12-(DEGREES(ASIN(E353))+90)/15-G353)*60+1/2)&lt;10,":0"&amp;FIXED(INT((C353+C12-(DEGREES(ASIN(E353))+90)/15-G353)*60+1/2),0),":"&amp;FIXED(INT((C353+C12-(DEGREES(ASIN(E353))+90)/15-G353)*60+1/2),0)))</f>
        <v> Min.</v>
      </c>
      <c r="I353" s="4" t="str">
        <f>IF(E353&lt;-1,"Below",IF(E353&gt;1,"Above",INT(C353+C12+(DEGREES(ASIN(E353))+90)/15+5/600)))</f>
        <v>Below</v>
      </c>
      <c r="J353" s="1" t="str">
        <f>IF(OR(E353&lt;-1,E353&gt;1),IF(M13&gt;0," Min."," Horz."),IF(INT((C353+C12+(DEGREES(ASIN(E353))+90)/15-I353)*60+1/2)&lt;10,":0"&amp;FIXED(INT((C353+C12+(DEGREES(ASIN(E353))+90)/15-I353)*60+1/2),0),":"&amp;FIXED(INT((C353+C12+(DEGREES(ASIN(E353))+90)/15-I353)*60+1/2),0)))</f>
        <v> Min.</v>
      </c>
      <c r="K353" s="1">
        <f>ROUND(DEGREES(ASIN(COS(RADIANS(D353))*COS(RADIANS(L9))+SIN(RADIANS(D353))*SIN(RADIANS(L9)))),0)</f>
        <v>35</v>
      </c>
      <c r="L353" s="1" t="s">
        <v>17</v>
      </c>
      <c r="M353" s="16">
        <f>IF(M14&gt;0,solrdat!B356,solrdat!I356)</f>
        <v>40149</v>
      </c>
      <c r="N353" s="1">
        <f>IF(M14&gt;0,solrdat!C356,solrdat!J356)</f>
        <v>11.826361111111112</v>
      </c>
      <c r="O353" s="1">
        <f>IF(M14&gt;0,solrdat!D356,solrdat!K356)</f>
        <v>-22.055113</v>
      </c>
      <c r="P353" s="1">
        <f>(TAN(RADIANS(L9))*SIN(RADIANS(O353))-SIN(RADIANS(L13))/COS(RADIANS(L9)))/COS(RADIANS(O353))</f>
        <v>-1.3358998374507158</v>
      </c>
      <c r="Q353" s="1" t="str">
        <f t="shared" si="11"/>
        <v>0</v>
      </c>
      <c r="R353" s="4" t="str">
        <f>IF(P353&lt;-1,"Below",IF(P353&gt;1,"Above",INT(N353+C12-(DEGREES(ASIN(P353))+90)/15+5/600)))</f>
        <v>Below</v>
      </c>
      <c r="S353" s="1" t="str">
        <f>IF(OR(P353&lt;-1,P353&gt;1),IF(M13&gt;0," Min."," Horz."),IF(INT((N353+C12-(DEGREES(ASIN(P353))+90)/15-R353)*60+1/2)&lt;10,":0"&amp;FIXED(INT((N353+C12-(DEGREES(ASIN(P353))+90)/15-R353)*60+1/2),0),":"&amp;FIXED(INT((N353+C12-(DEGREES(ASIN(P353))+90)/15-R353)*60+1/2),0)))</f>
        <v> Min.</v>
      </c>
      <c r="T353" s="4" t="str">
        <f>IF(P353&lt;-1,"Below",IF(P353&gt;1,"Above",INT(N353+C12+(DEGREES(ASIN(P353))+90)/15+5/600)))</f>
        <v>Below</v>
      </c>
      <c r="U353" s="1" t="str">
        <f>IF(OR(P353&lt;-1,P353&gt;1),IF(M13&gt;0," Min."," Horz."),IF(INT((N353+C12+(DEGREES(ASIN(P353))+90)/15-T353)*60+1/2)&lt;10,":0"&amp;FIXED(INT((N353+C12+(DEGREES(ASIN(P353))+90)/15-T353)*60+1/2),0),":"&amp;FIXED(INT((N353+C12+(DEGREES(ASIN(P353))+90)/15-T353)*60+1/2),0)))</f>
        <v> Min.</v>
      </c>
      <c r="V353" s="1">
        <f>ROUND(DEGREES(ASIN(COS(RADIANS(O353))*COS(RADIANS(L9))+SIN(RADIANS(O353))*SIN(RADIANS(L9)))),0)</f>
        <v>28</v>
      </c>
      <c r="W353" s="1" t="s">
        <v>17</v>
      </c>
      <c r="X353" s="18"/>
    </row>
    <row r="354" spans="1:24" ht="10.5" customHeight="1">
      <c r="A354" s="1"/>
      <c r="B354" s="15">
        <f>IF(M14&gt;0,solrdat!B325,solrdat!I325)</f>
        <v>40120</v>
      </c>
      <c r="C354" s="1">
        <f>IF(M14&gt;0,solrdat!C325,solrdat!J325)</f>
        <v>11.726222222222223</v>
      </c>
      <c r="D354" s="1">
        <f>IF(M14&gt;0,solrdat!D325,solrdat!K325)</f>
        <v>-15.280301</v>
      </c>
      <c r="E354" s="1">
        <f>(TAN(RADIANS(L9))*SIN(RADIANS(D354))-SIN(RADIANS(L13))/COS(RADIANS(L9)))/COS(RADIANS(D354))</f>
        <v>-1.1861318785950488</v>
      </c>
      <c r="F354" s="1" t="str">
        <f t="shared" si="10"/>
        <v>0</v>
      </c>
      <c r="G354" s="4" t="str">
        <f>IF(E354&lt;-1,"Below",IF(E354&gt;1,"Above",INT(C354+C12-(DEGREES(ASIN(E354))+90)/15+5/600)))</f>
        <v>Below</v>
      </c>
      <c r="H354" s="1" t="str">
        <f>IF(OR(E354&lt;-1,E354&gt;1),IF(M13&gt;0," Min."," Horz."),IF(INT((C354+C12-(DEGREES(ASIN(E354))+90)/15-G354)*60+1/2)&lt;10,":0"&amp;FIXED(INT((C354+C12-(DEGREES(ASIN(E354))+90)/15-G354)*60+1/2),0),":"&amp;FIXED(INT((C354+C12-(DEGREES(ASIN(E354))+90)/15-G354)*60+1/2),0)))</f>
        <v> Min.</v>
      </c>
      <c r="I354" s="4" t="str">
        <f>IF(E354&lt;-1,"Below",IF(E354&gt;1,"Above",INT(C354+C12+(DEGREES(ASIN(E354))+90)/15+5/600)))</f>
        <v>Below</v>
      </c>
      <c r="J354" s="1" t="str">
        <f>IF(OR(E354&lt;-1,E354&gt;1),IF(M13&gt;0," Min."," Horz."),IF(INT((C354+C12+(DEGREES(ASIN(E354))+90)/15-I354)*60+1/2)&lt;10,":0"&amp;FIXED(INT((C354+C12+(DEGREES(ASIN(E354))+90)/15-I354)*60+1/2),0),":"&amp;FIXED(INT((C354+C12+(DEGREES(ASIN(E354))+90)/15-I354)*60+1/2),0)))</f>
        <v> Min.</v>
      </c>
      <c r="K354" s="1">
        <f>ROUND(DEGREES(ASIN(COS(RADIANS(D354))*COS(RADIANS(L9))+SIN(RADIANS(D354))*SIN(RADIANS(L9)))),0)</f>
        <v>35</v>
      </c>
      <c r="L354" s="1" t="s">
        <v>17</v>
      </c>
      <c r="M354" s="16">
        <f>IF(M14&gt;0,solrdat!B357,solrdat!I357)</f>
        <v>40150</v>
      </c>
      <c r="N354" s="1">
        <f>IF(M14&gt;0,solrdat!C357,solrdat!J357)</f>
        <v>11.832916666666666</v>
      </c>
      <c r="O354" s="1">
        <f>IF(M14&gt;0,solrdat!D357,solrdat!K357)</f>
        <v>-22.195119</v>
      </c>
      <c r="P354" s="1">
        <f>(TAN(RADIANS(L9))*SIN(RADIANS(O354))-SIN(RADIANS(L13))/COS(RADIANS(L9)))/COS(RADIANS(O354))</f>
        <v>-1.3392790987168555</v>
      </c>
      <c r="Q354" s="1" t="str">
        <f t="shared" si="11"/>
        <v>0</v>
      </c>
      <c r="R354" s="4" t="str">
        <f>IF(P354&lt;-1,"Below",IF(P354&gt;1,"Above",INT(N354+C12-(DEGREES(ASIN(P354))+90)/15+5/600)))</f>
        <v>Below</v>
      </c>
      <c r="S354" s="1" t="str">
        <f>IF(OR(P354&lt;-1,P354&gt;1),IF(M13&gt;0," Min."," Horz."),IF(INT((N354+C12-(DEGREES(ASIN(P354))+90)/15-R354)*60+1/2)&lt;10,":0"&amp;FIXED(INT((N354+C12-(DEGREES(ASIN(P354))+90)/15-R354)*60+1/2),0),":"&amp;FIXED(INT((N354+C12-(DEGREES(ASIN(P354))+90)/15-R354)*60+1/2),0)))</f>
        <v> Min.</v>
      </c>
      <c r="T354" s="4" t="str">
        <f>IF(P354&lt;-1,"Below",IF(P354&gt;1,"Above",INT(N354+C12+(DEGREES(ASIN(P354))+90)/15+5/600)))</f>
        <v>Below</v>
      </c>
      <c r="U354" s="1" t="str">
        <f>IF(OR(P354&lt;-1,P354&gt;1),IF(M13&gt;0," Min."," Horz."),IF(INT((N354+C12+(DEGREES(ASIN(P354))+90)/15-T354)*60+1/2)&lt;10,":0"&amp;FIXED(INT((N354+C12+(DEGREES(ASIN(P354))+90)/15-T354)*60+1/2),0),":"&amp;FIXED(INT((N354+C12+(DEGREES(ASIN(P354))+90)/15-T354)*60+1/2),0)))</f>
        <v> Min.</v>
      </c>
      <c r="V354" s="1">
        <f>ROUND(DEGREES(ASIN(COS(RADIANS(O354))*COS(RADIANS(L9))+SIN(RADIANS(O354))*SIN(RADIANS(L9)))),0)</f>
        <v>28</v>
      </c>
      <c r="W354" s="1" t="s">
        <v>17</v>
      </c>
      <c r="X354" s="18"/>
    </row>
    <row r="355" spans="1:24" ht="10.5" customHeight="1">
      <c r="A355" s="1"/>
      <c r="B355" s="15">
        <f>IF(M14&gt;0,solrdat!B326,solrdat!I326)</f>
        <v>40121</v>
      </c>
      <c r="C355" s="1">
        <f>IF(M14&gt;0,solrdat!C326,solrdat!J326)</f>
        <v>11.726444444444445</v>
      </c>
      <c r="D355" s="1">
        <f>IF(M14&gt;0,solrdat!D326,solrdat!K326)</f>
        <v>-15.587495</v>
      </c>
      <c r="E355" s="1">
        <f>(TAN(RADIANS(L9))*SIN(RADIANS(D355))-SIN(RADIANS(L13))/COS(RADIANS(L9)))/COS(RADIANS(D355))</f>
        <v>-1.192391145221159</v>
      </c>
      <c r="F355" s="1" t="str">
        <f t="shared" si="10"/>
        <v>0</v>
      </c>
      <c r="G355" s="4" t="str">
        <f>IF(E355&lt;-1,"Below",IF(E355&gt;1,"Above",INT(C355+C12-(DEGREES(ASIN(E355))+90)/15+5/600)))</f>
        <v>Below</v>
      </c>
      <c r="H355" s="1" t="str">
        <f>IF(OR(E355&lt;-1,E355&gt;1),IF(M13&gt;0," Min."," Horz."),IF(INT((C355+C12-(DEGREES(ASIN(E355))+90)/15-G355)*60+1/2)&lt;10,":0"&amp;FIXED(INT((C355+C12-(DEGREES(ASIN(E355))+90)/15-G355)*60+1/2),0),":"&amp;FIXED(INT((C355+C12-(DEGREES(ASIN(E355))+90)/15-G355)*60+1/2),0)))</f>
        <v> Min.</v>
      </c>
      <c r="I355" s="4" t="str">
        <f>IF(E355&lt;-1,"Below",IF(E355&gt;1,"Above",INT(C355+C12+(DEGREES(ASIN(E355))+90)/15+5/600)))</f>
        <v>Below</v>
      </c>
      <c r="J355" s="1" t="str">
        <f>IF(OR(E355&lt;-1,E355&gt;1),IF(M13&gt;0," Min."," Horz."),IF(INT((C355+C12+(DEGREES(ASIN(E355))+90)/15-I355)*60+1/2)&lt;10,":0"&amp;FIXED(INT((C355+C12+(DEGREES(ASIN(E355))+90)/15-I355)*60+1/2),0),":"&amp;FIXED(INT((C355+C12+(DEGREES(ASIN(E355))+90)/15-I355)*60+1/2),0)))</f>
        <v> Min.</v>
      </c>
      <c r="K355" s="1">
        <f>ROUND(DEGREES(ASIN(COS(RADIANS(D355))*COS(RADIANS(L9))+SIN(RADIANS(D355))*SIN(RADIANS(L9)))),0)</f>
        <v>34</v>
      </c>
      <c r="L355" s="1" t="s">
        <v>17</v>
      </c>
      <c r="M355" s="16">
        <f>IF(M14&gt;0,solrdat!B358,solrdat!I358)</f>
        <v>40151</v>
      </c>
      <c r="N355" s="1">
        <f>IF(M14&gt;0,solrdat!C358,solrdat!J358)</f>
        <v>11.839638888888889</v>
      </c>
      <c r="O355" s="1">
        <f>IF(M14&gt;0,solrdat!D358,solrdat!K358)</f>
        <v>-22.327991</v>
      </c>
      <c r="P355" s="1">
        <f>(TAN(RADIANS(L9))*SIN(RADIANS(O355))-SIN(RADIANS(L13))/COS(RADIANS(L9)))/COS(RADIANS(O355))</f>
        <v>-1.342497917523329</v>
      </c>
      <c r="Q355" s="1" t="str">
        <f t="shared" si="11"/>
        <v>0</v>
      </c>
      <c r="R355" s="4" t="str">
        <f>IF(P355&lt;-1,"Below",IF(P355&gt;1,"Above",INT(N355+C12-(DEGREES(ASIN(P355))+90)/15+5/600)))</f>
        <v>Below</v>
      </c>
      <c r="S355" s="1" t="str">
        <f>IF(OR(P355&lt;-1,P355&gt;1),IF(M13&gt;0," Min."," Horz."),IF(INT((N355+C12-(DEGREES(ASIN(P355))+90)/15-R355)*60+1/2)&lt;10,":0"&amp;FIXED(INT((N355+C12-(DEGREES(ASIN(P355))+90)/15-R355)*60+1/2),0),":"&amp;FIXED(INT((N355+C12-(DEGREES(ASIN(P355))+90)/15-R355)*60+1/2),0)))</f>
        <v> Min.</v>
      </c>
      <c r="T355" s="4" t="str">
        <f>IF(P355&lt;-1,"Below",IF(P355&gt;1,"Above",INT(N355+C12+(DEGREES(ASIN(P355))+90)/15+5/600)))</f>
        <v>Below</v>
      </c>
      <c r="U355" s="1" t="str">
        <f>IF(OR(P355&lt;-1,P355&gt;1),IF(M13&gt;0," Min."," Horz."),IF(INT((N355+C12+(DEGREES(ASIN(P355))+90)/15-T355)*60+1/2)&lt;10,":0"&amp;FIXED(INT((N355+C12+(DEGREES(ASIN(P355))+90)/15-T355)*60+1/2),0),":"&amp;FIXED(INT((N355+C12+(DEGREES(ASIN(P355))+90)/15-T355)*60+1/2),0)))</f>
        <v> Min.</v>
      </c>
      <c r="V355" s="1">
        <f>ROUND(DEGREES(ASIN(COS(RADIANS(O355))*COS(RADIANS(L9))+SIN(RADIANS(O355))*SIN(RADIANS(L9)))),0)</f>
        <v>28</v>
      </c>
      <c r="W355" s="1" t="s">
        <v>17</v>
      </c>
      <c r="X355" s="18"/>
    </row>
    <row r="356" spans="1:24" ht="10.5" customHeight="1">
      <c r="A356" s="1"/>
      <c r="B356" s="15">
        <f>IF(M14&gt;0,solrdat!B327,solrdat!I327)</f>
        <v>40122</v>
      </c>
      <c r="C356" s="1">
        <f>IF(M14&gt;0,solrdat!C327,solrdat!J327)</f>
        <v>11.726888888888888</v>
      </c>
      <c r="D356" s="1">
        <f>IF(M14&gt;0,solrdat!D327,solrdat!K327)</f>
        <v>-15.890432</v>
      </c>
      <c r="E356" s="1">
        <f>(TAN(RADIANS(L9))*SIN(RADIANS(D356))-SIN(RADIANS(L13))/COS(RADIANS(L9)))/COS(RADIANS(D356))</f>
        <v>-1.1986090530391145</v>
      </c>
      <c r="F356" s="1" t="str">
        <f t="shared" si="10"/>
        <v>0</v>
      </c>
      <c r="G356" s="4" t="str">
        <f>IF(E356&lt;-1,"Below",IF(E356&gt;1,"Above",INT(C356+C12-(DEGREES(ASIN(E356))+90)/15+5/600)))</f>
        <v>Below</v>
      </c>
      <c r="H356" s="1" t="str">
        <f>IF(OR(E356&lt;-1,E356&gt;1),IF(M13&gt;0," Min."," Horz."),IF(INT((C356+C12-(DEGREES(ASIN(E356))+90)/15-G356)*60+1/2)&lt;10,":0"&amp;FIXED(INT((C356+C12-(DEGREES(ASIN(E356))+90)/15-G356)*60+1/2),0),":"&amp;FIXED(INT((C356+C12-(DEGREES(ASIN(E356))+90)/15-G356)*60+1/2),0)))</f>
        <v> Min.</v>
      </c>
      <c r="I356" s="4" t="str">
        <f>IF(E356&lt;-1,"Below",IF(E356&gt;1,"Above",INT(C356+C12+(DEGREES(ASIN(E356))+90)/15+5/600)))</f>
        <v>Below</v>
      </c>
      <c r="J356" s="1" t="str">
        <f>IF(OR(E356&lt;-1,E356&gt;1),IF(M13&gt;0," Min."," Horz."),IF(INT((C356+C12+(DEGREES(ASIN(E356))+90)/15-I356)*60+1/2)&lt;10,":0"&amp;FIXED(INT((C356+C12+(DEGREES(ASIN(E356))+90)/15-I356)*60+1/2),0),":"&amp;FIXED(INT((C356+C12+(DEGREES(ASIN(E356))+90)/15-I356)*60+1/2),0)))</f>
        <v> Min.</v>
      </c>
      <c r="K356" s="1">
        <f>ROUND(DEGREES(ASIN(COS(RADIANS(D356))*COS(RADIANS(L9))+SIN(RADIANS(D356))*SIN(RADIANS(L9)))),0)</f>
        <v>34</v>
      </c>
      <c r="L356" s="1" t="s">
        <v>17</v>
      </c>
      <c r="M356" s="16">
        <f>IF(M14&gt;0,solrdat!B359,solrdat!I359)</f>
        <v>40152</v>
      </c>
      <c r="N356" s="1">
        <f>IF(M14&gt;0,solrdat!C359,solrdat!J359)</f>
        <v>11.8465</v>
      </c>
      <c r="O356" s="1">
        <f>IF(M14&gt;0,solrdat!D359,solrdat!K359)</f>
        <v>-22.453659</v>
      </c>
      <c r="P356" s="1">
        <f>(TAN(RADIANS(L9))*SIN(RADIANS(O356))-SIN(RADIANS(L13))/COS(RADIANS(L9)))/COS(RADIANS(O356))</f>
        <v>-1.345552808558153</v>
      </c>
      <c r="Q356" s="1" t="str">
        <f t="shared" si="11"/>
        <v>0</v>
      </c>
      <c r="R356" s="4" t="str">
        <f>IF(P356&lt;-1,"Below",IF(P356&gt;1,"Above",INT(N356+C12-(DEGREES(ASIN(P356))+90)/15+5/600)))</f>
        <v>Below</v>
      </c>
      <c r="S356" s="1" t="str">
        <f>IF(OR(P356&lt;-1,P356&gt;1),IF(M13&gt;0," Min."," Horz."),IF(INT((N356+C12-(DEGREES(ASIN(P356))+90)/15-R356)*60+1/2)&lt;10,":0"&amp;FIXED(INT((N356+C12-(DEGREES(ASIN(P356))+90)/15-R356)*60+1/2),0),":"&amp;FIXED(INT((N356+C12-(DEGREES(ASIN(P356))+90)/15-R356)*60+1/2),0)))</f>
        <v> Min.</v>
      </c>
      <c r="T356" s="4" t="str">
        <f>IF(P356&lt;-1,"Below",IF(P356&gt;1,"Above",INT(N356+C12+(DEGREES(ASIN(P356))+90)/15+5/600)))</f>
        <v>Below</v>
      </c>
      <c r="U356" s="1" t="str">
        <f>IF(OR(P356&lt;-1,P356&gt;1),IF(M13&gt;0," Min."," Horz."),IF(INT((N356+C12+(DEGREES(ASIN(P356))+90)/15-T356)*60+1/2)&lt;10,":0"&amp;FIXED(INT((N356+C12+(DEGREES(ASIN(P356))+90)/15-T356)*60+1/2),0),":"&amp;FIXED(INT((N356+C12+(DEGREES(ASIN(P356))+90)/15-T356)*60+1/2),0)))</f>
        <v> Min.</v>
      </c>
      <c r="V356" s="1">
        <f>ROUND(DEGREES(ASIN(COS(RADIANS(O356))*COS(RADIANS(L9))+SIN(RADIANS(O356))*SIN(RADIANS(L9)))),0)</f>
        <v>28</v>
      </c>
      <c r="W356" s="1" t="s">
        <v>17</v>
      </c>
      <c r="X356" s="18"/>
    </row>
    <row r="357" spans="1:24" ht="10.5" customHeight="1">
      <c r="A357" s="1"/>
      <c r="B357" s="15">
        <f>IF(M14&gt;0,solrdat!B328,solrdat!I328)</f>
        <v>40123</v>
      </c>
      <c r="C357" s="1">
        <f>IF(M14&gt;0,solrdat!C328,solrdat!J328)</f>
        <v>11.727583333333333</v>
      </c>
      <c r="D357" s="1">
        <f>IF(M14&gt;0,solrdat!D328,solrdat!K328)</f>
        <v>-16.189003</v>
      </c>
      <c r="E357" s="1">
        <f>(TAN(RADIANS(L9))*SIN(RADIANS(D357))-SIN(RADIANS(L13))/COS(RADIANS(L9)))/COS(RADIANS(D357))</f>
        <v>-1.204781979302359</v>
      </c>
      <c r="F357" s="1" t="str">
        <f t="shared" si="10"/>
        <v>0</v>
      </c>
      <c r="G357" s="4" t="str">
        <f>IF(E357&lt;-1,"Below",IF(E357&gt;1,"Above",INT(C357+C12-(DEGREES(ASIN(E357))+90)/15+5/600)))</f>
        <v>Below</v>
      </c>
      <c r="H357" s="1" t="str">
        <f>IF(OR(E357&lt;-1,E357&gt;1),IF(M13&gt;0," Min."," Horz."),IF(INT((C357+C12-(DEGREES(ASIN(E357))+90)/15-G357)*60+1/2)&lt;10,":0"&amp;FIXED(INT((C357+C12-(DEGREES(ASIN(E357))+90)/15-G357)*60+1/2),0),":"&amp;FIXED(INT((C357+C12-(DEGREES(ASIN(E357))+90)/15-G357)*60+1/2),0)))</f>
        <v> Min.</v>
      </c>
      <c r="I357" s="4" t="str">
        <f>IF(E357&lt;-1,"Below",IF(E357&gt;1,"Above",INT(C357+C12+(DEGREES(ASIN(E357))+90)/15+5/600)))</f>
        <v>Below</v>
      </c>
      <c r="J357" s="1" t="str">
        <f>IF(OR(E357&lt;-1,E357&gt;1),IF(M13&gt;0," Min."," Horz."),IF(INT((C357+C12+(DEGREES(ASIN(E357))+90)/15-I357)*60+1/2)&lt;10,":0"&amp;FIXED(INT((C357+C12+(DEGREES(ASIN(E357))+90)/15-I357)*60+1/2),0),":"&amp;FIXED(INT((C357+C12+(DEGREES(ASIN(E357))+90)/15-I357)*60+1/2),0)))</f>
        <v> Min.</v>
      </c>
      <c r="K357" s="1">
        <f>ROUND(DEGREES(ASIN(COS(RADIANS(D357))*COS(RADIANS(L9))+SIN(RADIANS(D357))*SIN(RADIANS(L9)))),0)</f>
        <v>34</v>
      </c>
      <c r="L357" s="1" t="s">
        <v>17</v>
      </c>
      <c r="M357" s="16">
        <f>IF(M14&gt;0,solrdat!B360,solrdat!I360)</f>
        <v>40153</v>
      </c>
      <c r="N357" s="1">
        <f>IF(M14&gt;0,solrdat!C360,solrdat!J360)</f>
        <v>11.853527777777778</v>
      </c>
      <c r="O357" s="1">
        <f>IF(M14&gt;0,solrdat!D360,solrdat!K360)</f>
        <v>-22.57205</v>
      </c>
      <c r="P357" s="1">
        <f>(TAN(RADIANS(L9))*SIN(RADIANS(O357))-SIN(RADIANS(L13))/COS(RADIANS(L9)))/COS(RADIANS(O357))</f>
        <v>-1.3484402707978889</v>
      </c>
      <c r="Q357" s="1" t="str">
        <f t="shared" si="11"/>
        <v>0</v>
      </c>
      <c r="R357" s="4" t="str">
        <f>IF(P357&lt;-1,"Below",IF(P357&gt;1,"Above",INT(N357+C12-(DEGREES(ASIN(P357))+90)/15+5/600)))</f>
        <v>Below</v>
      </c>
      <c r="S357" s="1" t="str">
        <f>IF(OR(P357&lt;-1,P357&gt;1),IF(M13&gt;0," Min."," Horz."),IF(INT((N357+C12-(DEGREES(ASIN(P357))+90)/15-R357)*60+1/2)&lt;10,":0"&amp;FIXED(INT((N357+C12-(DEGREES(ASIN(P357))+90)/15-R357)*60+1/2),0),":"&amp;FIXED(INT((N357+C12-(DEGREES(ASIN(P357))+90)/15-R357)*60+1/2),0)))</f>
        <v> Min.</v>
      </c>
      <c r="T357" s="4" t="str">
        <f>IF(P357&lt;-1,"Below",IF(P357&gt;1,"Above",INT(N357+C12+(DEGREES(ASIN(P357))+90)/15+5/600)))</f>
        <v>Below</v>
      </c>
      <c r="U357" s="1" t="str">
        <f>IF(OR(P357&lt;-1,P357&gt;1),IF(M13&gt;0," Min."," Horz."),IF(INT((N357+C12+(DEGREES(ASIN(P357))+90)/15-T357)*60+1/2)&lt;10,":0"&amp;FIXED(INT((N357+C12+(DEGREES(ASIN(P357))+90)/15-T357)*60+1/2),0),":"&amp;FIXED(INT((N357+C12+(DEGREES(ASIN(P357))+90)/15-T357)*60+1/2),0)))</f>
        <v> Min.</v>
      </c>
      <c r="V357" s="1">
        <f>ROUND(DEGREES(ASIN(COS(RADIANS(O357))*COS(RADIANS(L9))+SIN(RADIANS(O357))*SIN(RADIANS(L9)))),0)</f>
        <v>27</v>
      </c>
      <c r="W357" s="1" t="s">
        <v>17</v>
      </c>
      <c r="X357" s="18"/>
    </row>
    <row r="358" spans="1:24" ht="10.5" customHeight="1">
      <c r="A358" s="1"/>
      <c r="B358" s="15">
        <f>IF(M14&gt;0,solrdat!B329,solrdat!I329)</f>
        <v>40124</v>
      </c>
      <c r="C358" s="1">
        <f>IF(M14&gt;0,solrdat!C329,solrdat!J329)</f>
        <v>11.728527777777778</v>
      </c>
      <c r="D358" s="1">
        <f>IF(M14&gt;0,solrdat!D329,solrdat!K329)</f>
        <v>-16.483094</v>
      </c>
      <c r="E358" s="1">
        <f>(TAN(RADIANS(L9))*SIN(RADIANS(D358))-SIN(RADIANS(L13))/COS(RADIANS(L9)))/COS(RADIANS(D358))</f>
        <v>-1.2109061216771968</v>
      </c>
      <c r="F358" s="1" t="str">
        <f t="shared" si="10"/>
        <v>0</v>
      </c>
      <c r="G358" s="4" t="str">
        <f>IF(E358&lt;-1,"Below",IF(E358&gt;1,"Above",INT(C358+C12-(DEGREES(ASIN(E358))+90)/15+5/600)))</f>
        <v>Below</v>
      </c>
      <c r="H358" s="1" t="str">
        <f>IF(OR(E358&lt;-1,E358&gt;1),IF(M13&gt;0," Min."," Horz."),IF(INT((C358+C12-(DEGREES(ASIN(E358))+90)/15-G358)*60+1/2)&lt;10,":0"&amp;FIXED(INT((C358+C12-(DEGREES(ASIN(E358))+90)/15-G358)*60+1/2),0),":"&amp;FIXED(INT((C358+C12-(DEGREES(ASIN(E358))+90)/15-G358)*60+1/2),0)))</f>
        <v> Min.</v>
      </c>
      <c r="I358" s="4" t="str">
        <f>IF(E358&lt;-1,"Below",IF(E358&gt;1,"Above",INT(C358+C12+(DEGREES(ASIN(E358))+90)/15+5/600)))</f>
        <v>Below</v>
      </c>
      <c r="J358" s="1" t="str">
        <f>IF(OR(E358&lt;-1,E358&gt;1),IF(M13&gt;0," Min."," Horz."),IF(INT((C358+C12+(DEGREES(ASIN(E358))+90)/15-I358)*60+1/2)&lt;10,":0"&amp;FIXED(INT((C358+C12+(DEGREES(ASIN(E358))+90)/15-I358)*60+1/2),0),":"&amp;FIXED(INT((C358+C12+(DEGREES(ASIN(E358))+90)/15-I358)*60+1/2),0)))</f>
        <v> Min.</v>
      </c>
      <c r="K358" s="1">
        <f>ROUND(DEGREES(ASIN(COS(RADIANS(D358))*COS(RADIANS(L9))+SIN(RADIANS(D358))*SIN(RADIANS(L9)))),0)</f>
        <v>34</v>
      </c>
      <c r="L358" s="1" t="s">
        <v>17</v>
      </c>
      <c r="M358" s="16">
        <f>IF(M14&gt;0,solrdat!B361,solrdat!I361)</f>
        <v>40154</v>
      </c>
      <c r="N358" s="1">
        <f>IF(M14&gt;0,solrdat!C361,solrdat!J361)</f>
        <v>11.860722222222222</v>
      </c>
      <c r="O358" s="1">
        <f>IF(M14&gt;0,solrdat!D361,solrdat!K361)</f>
        <v>-22.683096</v>
      </c>
      <c r="P358" s="1">
        <f>(TAN(RADIANS(L9))*SIN(RADIANS(O358))-SIN(RADIANS(L13))/COS(RADIANS(L9)))/COS(RADIANS(O358))</f>
        <v>-1.351156988022103</v>
      </c>
      <c r="Q358" s="1" t="str">
        <f t="shared" si="11"/>
        <v>0</v>
      </c>
      <c r="R358" s="4" t="str">
        <f>IF(P358&lt;-1,"Below",IF(P358&gt;1,"Above",INT(N358+C12-(DEGREES(ASIN(P358))+90)/15+5/600)))</f>
        <v>Below</v>
      </c>
      <c r="S358" s="1" t="str">
        <f>IF(OR(P358&lt;-1,P358&gt;1),IF(M13&gt;0," Min."," Horz."),IF(INT((N358+C12-(DEGREES(ASIN(P358))+90)/15-R358)*60+1/2)&lt;10,":0"&amp;FIXED(INT((N358+C12-(DEGREES(ASIN(P358))+90)/15-R358)*60+1/2),0),":"&amp;FIXED(INT((N358+C12-(DEGREES(ASIN(P358))+90)/15-R358)*60+1/2),0)))</f>
        <v> Min.</v>
      </c>
      <c r="T358" s="4" t="str">
        <f>IF(P358&lt;-1,"Below",IF(P358&gt;1,"Above",INT(N358+C12+(DEGREES(ASIN(P358))+90)/15+5/600)))</f>
        <v>Below</v>
      </c>
      <c r="U358" s="1" t="str">
        <f>IF(OR(P358&lt;-1,P358&gt;1),IF(M13&gt;0," Min."," Horz."),IF(INT((N358+C12+(DEGREES(ASIN(P358))+90)/15-T358)*60+1/2)&lt;10,":0"&amp;FIXED(INT((N358+C12+(DEGREES(ASIN(P358))+90)/15-T358)*60+1/2),0),":"&amp;FIXED(INT((N358+C12+(DEGREES(ASIN(P358))+90)/15-T358)*60+1/2),0)))</f>
        <v> Min.</v>
      </c>
      <c r="V358" s="1">
        <f>ROUND(DEGREES(ASIN(COS(RADIANS(O358))*COS(RADIANS(L9))+SIN(RADIANS(O358))*SIN(RADIANS(L9)))),0)</f>
        <v>27</v>
      </c>
      <c r="W358" s="1" t="s">
        <v>17</v>
      </c>
      <c r="X358" s="18"/>
    </row>
    <row r="359" spans="1:24" ht="10.5" customHeight="1">
      <c r="A359" s="1"/>
      <c r="B359" s="15">
        <f>IF(M14&gt;0,solrdat!B330,solrdat!I330)</f>
        <v>40125</v>
      </c>
      <c r="C359" s="1">
        <f>IF(M14&gt;0,solrdat!C330,solrdat!J330)</f>
        <v>11.729694444444444</v>
      </c>
      <c r="D359" s="1">
        <f>IF(M14&gt;0,solrdat!D330,solrdat!K330)</f>
        <v>-16.77259</v>
      </c>
      <c r="E359" s="1">
        <f>(TAN(RADIANS(L9))*SIN(RADIANS(D359))-SIN(RADIANS(L13))/COS(RADIANS(L9)))/COS(RADIANS(D359))</f>
        <v>-1.2169775798182254</v>
      </c>
      <c r="F359" s="1" t="str">
        <f t="shared" si="10"/>
        <v>0</v>
      </c>
      <c r="G359" s="4" t="str">
        <f>IF(E359&lt;-1,"Below",IF(E359&gt;1,"Above",INT(C359+C12-(DEGREES(ASIN(E359))+90)/15+5/600)))</f>
        <v>Below</v>
      </c>
      <c r="H359" s="1" t="str">
        <f>IF(OR(E359&lt;-1,E359&gt;1),IF(M13&gt;0," Min."," Horz."),IF(INT((C359+C12-(DEGREES(ASIN(E359))+90)/15-G359)*60+1/2)&lt;10,":0"&amp;FIXED(INT((C359+C12-(DEGREES(ASIN(E359))+90)/15-G359)*60+1/2),0),":"&amp;FIXED(INT((C359+C12-(DEGREES(ASIN(E359))+90)/15-G359)*60+1/2),0)))</f>
        <v> Min.</v>
      </c>
      <c r="I359" s="4" t="str">
        <f>IF(E359&lt;-1,"Below",IF(E359&gt;1,"Above",INT(C359+C12+(DEGREES(ASIN(E359))+90)/15+5/600)))</f>
        <v>Below</v>
      </c>
      <c r="J359" s="1" t="str">
        <f>IF(OR(E359&lt;-1,E359&gt;1),IF(M13&gt;0," Min."," Horz."),IF(INT((C359+C12+(DEGREES(ASIN(E359))+90)/15-I359)*60+1/2)&lt;10,":0"&amp;FIXED(INT((C359+C12+(DEGREES(ASIN(E359))+90)/15-I359)*60+1/2),0),":"&amp;FIXED(INT((C359+C12+(DEGREES(ASIN(E359))+90)/15-I359)*60+1/2),0)))</f>
        <v> Min.</v>
      </c>
      <c r="K359" s="1">
        <f>ROUND(DEGREES(ASIN(COS(RADIANS(D359))*COS(RADIANS(L9))+SIN(RADIANS(D359))*SIN(RADIANS(L9)))),0)</f>
        <v>33</v>
      </c>
      <c r="L359" s="1" t="s">
        <v>17</v>
      </c>
      <c r="M359" s="16">
        <f>IF(M14&gt;0,solrdat!B362,solrdat!I362)</f>
        <v>40155</v>
      </c>
      <c r="N359" s="1">
        <f>IF(M14&gt;0,solrdat!C362,solrdat!J362)</f>
        <v>11.868027777777778</v>
      </c>
      <c r="O359" s="1">
        <f>IF(M14&gt;0,solrdat!D362,solrdat!K362)</f>
        <v>-22.786731</v>
      </c>
      <c r="P359" s="1">
        <f>(TAN(RADIANS(L9))*SIN(RADIANS(O359))-SIN(RADIANS(L13))/COS(RADIANS(L9)))/COS(RADIANS(O359))</f>
        <v>-1.3536997625885814</v>
      </c>
      <c r="Q359" s="1" t="str">
        <f t="shared" si="11"/>
        <v>0</v>
      </c>
      <c r="R359" s="4" t="str">
        <f>IF(P359&lt;-1,"Below",IF(P359&gt;1,"Above",INT(N359+C12-(DEGREES(ASIN(P359))+90)/15+5/600)))</f>
        <v>Below</v>
      </c>
      <c r="S359" s="1" t="str">
        <f>IF(OR(P359&lt;-1,P359&gt;1),IF(M13&gt;0," Min."," Horz."),IF(INT((N359+C12-(DEGREES(ASIN(P359))+90)/15-R359)*60+1/2)&lt;10,":0"&amp;FIXED(INT((N359+C12-(DEGREES(ASIN(P359))+90)/15-R359)*60+1/2),0),":"&amp;FIXED(INT((N359+C12-(DEGREES(ASIN(P359))+90)/15-R359)*60+1/2),0)))</f>
        <v> Min.</v>
      </c>
      <c r="T359" s="4" t="str">
        <f>IF(P359&lt;-1,"Below",IF(P359&gt;1,"Above",INT(N359+C12+(DEGREES(ASIN(P359))+90)/15+5/600)))</f>
        <v>Below</v>
      </c>
      <c r="U359" s="1" t="str">
        <f>IF(OR(P359&lt;-1,P359&gt;1),IF(M13&gt;0," Min."," Horz."),IF(INT((N359+C12+(DEGREES(ASIN(P359))+90)/15-T359)*60+1/2)&lt;10,":0"&amp;FIXED(INT((N359+C12+(DEGREES(ASIN(P359))+90)/15-T359)*60+1/2),0),":"&amp;FIXED(INT((N359+C12+(DEGREES(ASIN(P359))+90)/15-T359)*60+1/2),0)))</f>
        <v> Min.</v>
      </c>
      <c r="V359" s="1">
        <f>ROUND(DEGREES(ASIN(COS(RADIANS(O359))*COS(RADIANS(L9))+SIN(RADIANS(O359))*SIN(RADIANS(L9)))),0)</f>
        <v>27</v>
      </c>
      <c r="W359" s="1" t="s">
        <v>17</v>
      </c>
      <c r="X359" s="18"/>
    </row>
    <row r="360" spans="1:24" ht="10.5" customHeight="1">
      <c r="A360" s="1"/>
      <c r="B360" s="15">
        <f>IF(M14&gt;0,solrdat!B331,solrdat!I331)</f>
        <v>40126</v>
      </c>
      <c r="C360" s="1">
        <f>IF(M14&gt;0,solrdat!C331,solrdat!J331)</f>
        <v>11.731083333333334</v>
      </c>
      <c r="D360" s="1">
        <f>IF(M14&gt;0,solrdat!D331,solrdat!K331)</f>
        <v>-17.057374</v>
      </c>
      <c r="E360" s="1">
        <f>(TAN(RADIANS(L9))*SIN(RADIANS(D360))-SIN(RADIANS(L13))/COS(RADIANS(L9)))/COS(RADIANS(D360))</f>
        <v>-1.222992334764423</v>
      </c>
      <c r="F360" s="1" t="str">
        <f t="shared" si="10"/>
        <v>0</v>
      </c>
      <c r="G360" s="4" t="str">
        <f>IF(E360&lt;-1,"Below",IF(E360&gt;1,"Above",INT(C360+C12-(DEGREES(ASIN(E360))+90)/15+5/600)))</f>
        <v>Below</v>
      </c>
      <c r="H360" s="1" t="str">
        <f>IF(OR(E360&lt;-1,E360&gt;1),IF(M13&gt;0," Min."," Horz."),IF(INT((C360+C12-(DEGREES(ASIN(E360))+90)/15-G360)*60+1/2)&lt;10,":0"&amp;FIXED(INT((C360+C12-(DEGREES(ASIN(E360))+90)/15-G360)*60+1/2),0),":"&amp;FIXED(INT((C360+C12-(DEGREES(ASIN(E360))+90)/15-G360)*60+1/2),0)))</f>
        <v> Min.</v>
      </c>
      <c r="I360" s="4" t="str">
        <f>IF(E360&lt;-1,"Below",IF(E360&gt;1,"Above",INT(C360+C12+(DEGREES(ASIN(E360))+90)/15+5/600)))</f>
        <v>Below</v>
      </c>
      <c r="J360" s="1" t="str">
        <f>IF(OR(E360&lt;-1,E360&gt;1),IF(M13&gt;0," Min."," Horz."),IF(INT((C360+C12+(DEGREES(ASIN(E360))+90)/15-I360)*60+1/2)&lt;10,":0"&amp;FIXED(INT((C360+C12+(DEGREES(ASIN(E360))+90)/15-I360)*60+1/2),0),":"&amp;FIXED(INT((C360+C12+(DEGREES(ASIN(E360))+90)/15-I360)*60+1/2),0)))</f>
        <v> Min.</v>
      </c>
      <c r="K360" s="1">
        <f>ROUND(DEGREES(ASIN(COS(RADIANS(D360))*COS(RADIANS(L9))+SIN(RADIANS(D360))*SIN(RADIANS(L9)))),0)</f>
        <v>33</v>
      </c>
      <c r="L360" s="1" t="s">
        <v>17</v>
      </c>
      <c r="M360" s="16">
        <f>IF(M14&gt;0,solrdat!B363,solrdat!I363)</f>
        <v>40156</v>
      </c>
      <c r="N360" s="1">
        <f>IF(M14&gt;0,solrdat!C363,solrdat!J363)</f>
        <v>11.875472222222221</v>
      </c>
      <c r="O360" s="1">
        <f>IF(M14&gt;0,solrdat!D363,solrdat!K363)</f>
        <v>-22.882895</v>
      </c>
      <c r="P360" s="1">
        <f>(TAN(RADIANS(L9))*SIN(RADIANS(O360))-SIN(RADIANS(L13))/COS(RADIANS(L9)))/COS(RADIANS(O360))</f>
        <v>-1.3560656201625514</v>
      </c>
      <c r="Q360" s="1" t="str">
        <f t="shared" si="11"/>
        <v>0</v>
      </c>
      <c r="R360" s="4" t="str">
        <f>IF(P360&lt;-1,"Below",IF(P360&gt;1,"Above",INT(N360+C12-(DEGREES(ASIN(P360))+90)/15+5/600)))</f>
        <v>Below</v>
      </c>
      <c r="S360" s="1" t="str">
        <f>IF(OR(P360&lt;-1,P360&gt;1),IF(M13&gt;0," Min."," Horz."),IF(INT((N360+C12-(DEGREES(ASIN(P360))+90)/15-R360)*60+1/2)&lt;10,":0"&amp;FIXED(INT((N360+C12-(DEGREES(ASIN(P360))+90)/15-R360)*60+1/2),0),":"&amp;FIXED(INT((N360+C12-(DEGREES(ASIN(P360))+90)/15-R360)*60+1/2),0)))</f>
        <v> Min.</v>
      </c>
      <c r="T360" s="4" t="str">
        <f>IF(P360&lt;-1,"Below",IF(P360&gt;1,"Above",INT(N360+C12+(DEGREES(ASIN(P360))+90)/15+5/600)))</f>
        <v>Below</v>
      </c>
      <c r="U360" s="1" t="str">
        <f>IF(OR(P360&lt;-1,P360&gt;1),IF(M13&gt;0," Min."," Horz."),IF(INT((N360+C12+(DEGREES(ASIN(P360))+90)/15-T360)*60+1/2)&lt;10,":0"&amp;FIXED(INT((N360+C12+(DEGREES(ASIN(P360))+90)/15-T360)*60+1/2),0),":"&amp;FIXED(INT((N360+C12+(DEGREES(ASIN(P360))+90)/15-T360)*60+1/2),0)))</f>
        <v> Min.</v>
      </c>
      <c r="V360" s="1">
        <f>ROUND(DEGREES(ASIN(COS(RADIANS(O360))*COS(RADIANS(L9))+SIN(RADIANS(O360))*SIN(RADIANS(L9)))),0)</f>
        <v>27</v>
      </c>
      <c r="W360" s="1" t="s">
        <v>17</v>
      </c>
      <c r="X360" s="18"/>
    </row>
    <row r="361" spans="1:24" ht="10.5" customHeight="1">
      <c r="A361" s="1"/>
      <c r="B361" s="15">
        <f>IF(M14&gt;0,solrdat!B332,solrdat!I332)</f>
        <v>40127</v>
      </c>
      <c r="C361" s="1">
        <f>IF(M14&gt;0,solrdat!C332,solrdat!J332)</f>
        <v>11.73275</v>
      </c>
      <c r="D361" s="1">
        <f>IF(M14&gt;0,solrdat!D332,solrdat!K332)</f>
        <v>-17.337329</v>
      </c>
      <c r="E361" s="1">
        <f>(TAN(RADIANS(L9))*SIN(RADIANS(D361))-SIN(RADIANS(L13))/COS(RADIANS(L9)))/COS(RADIANS(D361))</f>
        <v>-1.228946291708698</v>
      </c>
      <c r="F361" s="1" t="str">
        <f t="shared" si="10"/>
        <v>0</v>
      </c>
      <c r="G361" s="4" t="str">
        <f>IF(E361&lt;-1,"Below",IF(E361&gt;1,"Above",INT(C361+C12-(DEGREES(ASIN(E361))+90)/15+5/600)))</f>
        <v>Below</v>
      </c>
      <c r="H361" s="1" t="str">
        <f>IF(OR(E361&lt;-1,E361&gt;1),IF(M13&gt;0," Min."," Horz."),IF(INT((C361+C12-(DEGREES(ASIN(E361))+90)/15-G361)*60+1/2)&lt;10,":0"&amp;FIXED(INT((C361+C12-(DEGREES(ASIN(E361))+90)/15-G361)*60+1/2),0),":"&amp;FIXED(INT((C361+C12-(DEGREES(ASIN(E361))+90)/15-G361)*60+1/2),0)))</f>
        <v> Min.</v>
      </c>
      <c r="I361" s="4" t="str">
        <f>IF(E361&lt;-1,"Below",IF(E361&gt;1,"Above",INT(C361+C12+(DEGREES(ASIN(E361))+90)/15+5/600)))</f>
        <v>Below</v>
      </c>
      <c r="J361" s="1" t="str">
        <f>IF(OR(E361&lt;-1,E361&gt;1),IF(M13&gt;0," Min."," Horz."),IF(INT((C361+C12+(DEGREES(ASIN(E361))+90)/15-I361)*60+1/2)&lt;10,":0"&amp;FIXED(INT((C361+C12+(DEGREES(ASIN(E361))+90)/15-I361)*60+1/2),0),":"&amp;FIXED(INT((C361+C12+(DEGREES(ASIN(E361))+90)/15-I361)*60+1/2),0)))</f>
        <v> Min.</v>
      </c>
      <c r="K361" s="1">
        <f>ROUND(DEGREES(ASIN(COS(RADIANS(D361))*COS(RADIANS(L9))+SIN(RADIANS(D361))*SIN(RADIANS(L9)))),0)</f>
        <v>33</v>
      </c>
      <c r="L361" s="1" t="s">
        <v>17</v>
      </c>
      <c r="M361" s="16">
        <f>IF(M14&gt;0,solrdat!B364,solrdat!I364)</f>
        <v>40157</v>
      </c>
      <c r="N361" s="1">
        <f>IF(M14&gt;0,solrdat!C364,solrdat!J364)</f>
        <v>11.883027777777778</v>
      </c>
      <c r="O361" s="1">
        <f>IF(M14&gt;0,solrdat!D364,solrdat!K364)</f>
        <v>-22.971535</v>
      </c>
      <c r="P361" s="1">
        <f>(TAN(RADIANS(L9))*SIN(RADIANS(O361))-SIN(RADIANS(L13))/COS(RADIANS(L9)))/COS(RADIANS(O361))</f>
        <v>-1.3582518416366858</v>
      </c>
      <c r="Q361" s="1" t="str">
        <f t="shared" si="11"/>
        <v>0</v>
      </c>
      <c r="R361" s="4" t="str">
        <f>IF(P361&lt;-1,"Below",IF(P361&gt;1,"Above",INT(N361+C12-(DEGREES(ASIN(P361))+90)/15+5/600)))</f>
        <v>Below</v>
      </c>
      <c r="S361" s="1" t="str">
        <f>IF(OR(P361&lt;-1,P361&gt;1),IF(M13&gt;0," Min."," Horz."),IF(INT((N361+C12-(DEGREES(ASIN(P361))+90)/15-R361)*60+1/2)&lt;10,":0"&amp;FIXED(INT((N361+C12-(DEGREES(ASIN(P361))+90)/15-R361)*60+1/2),0),":"&amp;FIXED(INT((N361+C12-(DEGREES(ASIN(P361))+90)/15-R361)*60+1/2),0)))</f>
        <v> Min.</v>
      </c>
      <c r="T361" s="4" t="str">
        <f>IF(P361&lt;-1,"Below",IF(P361&gt;1,"Above",INT(N361+C12+(DEGREES(ASIN(P361))+90)/15+5/600)))</f>
        <v>Below</v>
      </c>
      <c r="U361" s="1" t="str">
        <f>IF(OR(P361&lt;-1,P361&gt;1),IF(M13&gt;0," Min."," Horz."),IF(INT((N361+C12+(DEGREES(ASIN(P361))+90)/15-T361)*60+1/2)&lt;10,":0"&amp;FIXED(INT((N361+C12+(DEGREES(ASIN(P361))+90)/15-T361)*60+1/2),0),":"&amp;FIXED(INT((N361+C12+(DEGREES(ASIN(P361))+90)/15-T361)*60+1/2),0)))</f>
        <v> Min.</v>
      </c>
      <c r="V361" s="1">
        <f>ROUND(DEGREES(ASIN(COS(RADIANS(O361))*COS(RADIANS(L9))+SIN(RADIANS(O361))*SIN(RADIANS(L9)))),0)</f>
        <v>27</v>
      </c>
      <c r="W361" s="1" t="s">
        <v>17</v>
      </c>
      <c r="X361" s="18"/>
    </row>
    <row r="362" spans="1:24" ht="10.5" customHeight="1">
      <c r="A362" s="1"/>
      <c r="B362" s="15">
        <f>IF(M14&gt;0,solrdat!B333,solrdat!I333)</f>
        <v>40128</v>
      </c>
      <c r="C362" s="1">
        <f>IF(M14&gt;0,solrdat!C333,solrdat!J333)</f>
        <v>11.734638888888888</v>
      </c>
      <c r="D362" s="1">
        <f>IF(M14&gt;0,solrdat!D333,solrdat!K333)</f>
        <v>-17.61234</v>
      </c>
      <c r="E362" s="1">
        <f>(TAN(RADIANS(L9))*SIN(RADIANS(D362))-SIN(RADIANS(L13))/COS(RADIANS(L9)))/COS(RADIANS(D362))</f>
        <v>-1.2348353247741517</v>
      </c>
      <c r="F362" s="1" t="str">
        <f t="shared" si="10"/>
        <v>0</v>
      </c>
      <c r="G362" s="4" t="str">
        <f>IF(E362&lt;-1,"Below",IF(E362&gt;1,"Above",INT(C362+C12-(DEGREES(ASIN(E362))+90)/15+5/600)))</f>
        <v>Below</v>
      </c>
      <c r="H362" s="1" t="str">
        <f>IF(OR(E362&lt;-1,E362&gt;1),IF(M13&gt;0," Min."," Horz."),IF(INT((C362+C12-(DEGREES(ASIN(E362))+90)/15-G362)*60+1/2)&lt;10,":0"&amp;FIXED(INT((C362+C12-(DEGREES(ASIN(E362))+90)/15-G362)*60+1/2),0),":"&amp;FIXED(INT((C362+C12-(DEGREES(ASIN(E362))+90)/15-G362)*60+1/2),0)))</f>
        <v> Min.</v>
      </c>
      <c r="I362" s="4" t="str">
        <f>IF(E362&lt;-1,"Below",IF(E362&gt;1,"Above",INT(C362+C12+(DEGREES(ASIN(E362))+90)/15+5/600)))</f>
        <v>Below</v>
      </c>
      <c r="J362" s="1" t="str">
        <f>IF(OR(E362&lt;-1,E362&gt;1),IF(M13&gt;0," Min."," Horz."),IF(INT((C362+C12+(DEGREES(ASIN(E362))+90)/15-I362)*60+1/2)&lt;10,":0"&amp;FIXED(INT((C362+C12+(DEGREES(ASIN(E362))+90)/15-I362)*60+1/2),0),":"&amp;FIXED(INT((C362+C12+(DEGREES(ASIN(E362))+90)/15-I362)*60+1/2),0)))</f>
        <v> Min.</v>
      </c>
      <c r="K362" s="1">
        <f>ROUND(DEGREES(ASIN(COS(RADIANS(D362))*COS(RADIANS(L9))+SIN(RADIANS(D362))*SIN(RADIANS(L9)))),0)</f>
        <v>32</v>
      </c>
      <c r="L362" s="1" t="s">
        <v>17</v>
      </c>
      <c r="M362" s="16">
        <f>IF(M14&gt;0,solrdat!B365,solrdat!I365)</f>
        <v>40158</v>
      </c>
      <c r="N362" s="1">
        <f>IF(M14&gt;0,solrdat!C365,solrdat!J365)</f>
        <v>11.890722222222223</v>
      </c>
      <c r="O362" s="1">
        <f>IF(M14&gt;0,solrdat!D365,solrdat!K365)</f>
        <v>-23.052599</v>
      </c>
      <c r="P362" s="1">
        <f>(TAN(RADIANS(L9))*SIN(RADIANS(O362))-SIN(RADIANS(L13))/COS(RADIANS(L9)))/COS(RADIANS(O362))</f>
        <v>-1.3602558216731373</v>
      </c>
      <c r="Q362" s="1" t="str">
        <f t="shared" si="11"/>
        <v>0</v>
      </c>
      <c r="R362" s="4" t="str">
        <f>IF(P362&lt;-1,"Below",IF(P362&gt;1,"Above",INT(N362+C12-(DEGREES(ASIN(P362))+90)/15+5/600)))</f>
        <v>Below</v>
      </c>
      <c r="S362" s="1" t="str">
        <f>IF(OR(P362&lt;-1,P362&gt;1),IF(M13&gt;0," Min."," Horz."),IF(INT((N362+C12-(DEGREES(ASIN(P362))+90)/15-R362)*60+1/2)&lt;10,":0"&amp;FIXED(INT((N362+C12-(DEGREES(ASIN(P362))+90)/15-R362)*60+1/2),0),":"&amp;FIXED(INT((N362+C12-(DEGREES(ASIN(P362))+90)/15-R362)*60+1/2),0)))</f>
        <v> Min.</v>
      </c>
      <c r="T362" s="4" t="str">
        <f>IF(P362&lt;-1,"Below",IF(P362&gt;1,"Above",INT(N362+C12+(DEGREES(ASIN(P362))+90)/15+5/600)))</f>
        <v>Below</v>
      </c>
      <c r="U362" s="1" t="str">
        <f>IF(OR(P362&lt;-1,P362&gt;1),IF(M13&gt;0," Min."," Horz."),IF(INT((N362+C12+(DEGREES(ASIN(P362))+90)/15-T362)*60+1/2)&lt;10,":0"&amp;FIXED(INT((N362+C12+(DEGREES(ASIN(P362))+90)/15-T362)*60+1/2),0),":"&amp;FIXED(INT((N362+C12+(DEGREES(ASIN(P362))+90)/15-T362)*60+1/2),0)))</f>
        <v> Min.</v>
      </c>
      <c r="V362" s="1">
        <f>ROUND(DEGREES(ASIN(COS(RADIANS(O362))*COS(RADIANS(L9))+SIN(RADIANS(O362))*SIN(RADIANS(L9)))),0)</f>
        <v>27</v>
      </c>
      <c r="W362" s="1" t="s">
        <v>17</v>
      </c>
      <c r="X362" s="18"/>
    </row>
    <row r="363" spans="1:24" ht="10.5" customHeight="1">
      <c r="A363" s="1"/>
      <c r="B363" s="15">
        <f>IF(M14&gt;0,solrdat!B334,solrdat!I334)</f>
        <v>40129</v>
      </c>
      <c r="C363" s="1">
        <f>IF(M14&gt;0,solrdat!C334,solrdat!J334)</f>
        <v>11.736777777777778</v>
      </c>
      <c r="D363" s="1">
        <f>IF(M14&gt;0,solrdat!D334,solrdat!K334)</f>
        <v>-17.882291</v>
      </c>
      <c r="E363" s="1">
        <f>(TAN(RADIANS(L9))*SIN(RADIANS(D363))-SIN(RADIANS(L13))/COS(RADIANS(L9)))/COS(RADIANS(D363))</f>
        <v>-1.2406552156112651</v>
      </c>
      <c r="F363" s="1" t="str">
        <f t="shared" si="10"/>
        <v>0</v>
      </c>
      <c r="G363" s="4" t="str">
        <f>IF(E363&lt;-1,"Below",IF(E363&gt;1,"Above",INT(C363+C12-(DEGREES(ASIN(E363))+90)/15+5/600)))</f>
        <v>Below</v>
      </c>
      <c r="H363" s="1" t="str">
        <f>IF(OR(E363&lt;-1,E363&gt;1),IF(M13&gt;0," Min."," Horz."),IF(INT((C363+C12-(DEGREES(ASIN(E363))+90)/15-G363)*60+1/2)&lt;10,":0"&amp;FIXED(INT((C363+C12-(DEGREES(ASIN(E363))+90)/15-G363)*60+1/2),0),":"&amp;FIXED(INT((C363+C12-(DEGREES(ASIN(E363))+90)/15-G363)*60+1/2),0)))</f>
        <v> Min.</v>
      </c>
      <c r="I363" s="4" t="str">
        <f>IF(E363&lt;-1,"Below",IF(E363&gt;1,"Above",INT(C363+C12+(DEGREES(ASIN(E363))+90)/15+5/600)))</f>
        <v>Below</v>
      </c>
      <c r="J363" s="1" t="str">
        <f>IF(OR(E363&lt;-1,E363&gt;1),IF(M13&gt;0," Min."," Horz."),IF(INT((C363+C12+(DEGREES(ASIN(E363))+90)/15-I363)*60+1/2)&lt;10,":0"&amp;FIXED(INT((C363+C12+(DEGREES(ASIN(E363))+90)/15-I363)*60+1/2),0),":"&amp;FIXED(INT((C363+C12+(DEGREES(ASIN(E363))+90)/15-I363)*60+1/2),0)))</f>
        <v> Min.</v>
      </c>
      <c r="K363" s="1">
        <f>ROUND(DEGREES(ASIN(COS(RADIANS(D363))*COS(RADIANS(L9))+SIN(RADIANS(D363))*SIN(RADIANS(L9)))),0)</f>
        <v>32</v>
      </c>
      <c r="L363" s="1" t="s">
        <v>17</v>
      </c>
      <c r="M363" s="16">
        <f>IF(M14&gt;0,solrdat!B366,solrdat!I366)</f>
        <v>40159</v>
      </c>
      <c r="N363" s="1">
        <f>IF(M14&gt;0,solrdat!C366,solrdat!J366)</f>
        <v>11.8985</v>
      </c>
      <c r="O363" s="1">
        <f>IF(M14&gt;0,solrdat!D366,solrdat!K366)</f>
        <v>-23.126043</v>
      </c>
      <c r="P363" s="1">
        <f>(TAN(RADIANS(L9))*SIN(RADIANS(O363))-SIN(RADIANS(L13))/COS(RADIANS(L9)))/COS(RADIANS(O363))</f>
        <v>-1.362075247256689</v>
      </c>
      <c r="Q363" s="1" t="str">
        <f t="shared" si="11"/>
        <v>0</v>
      </c>
      <c r="R363" s="4" t="str">
        <f>IF(P363&lt;-1,"Below",IF(P363&gt;1,"Above",INT(N363+C12-(DEGREES(ASIN(P363))+90)/15+5/600)))</f>
        <v>Below</v>
      </c>
      <c r="S363" s="1" t="str">
        <f>IF(OR(P363&lt;-1,P363&gt;1),IF(M13&gt;0," Min."," Horz."),IF(INT((N363+C12-(DEGREES(ASIN(P363))+90)/15-R363)*60+1/2)&lt;10,":0"&amp;FIXED(INT((N363+C12-(DEGREES(ASIN(P363))+90)/15-R363)*60+1/2),0),":"&amp;FIXED(INT((N363+C12-(DEGREES(ASIN(P363))+90)/15-R363)*60+1/2),0)))</f>
        <v> Min.</v>
      </c>
      <c r="T363" s="4" t="str">
        <f>IF(P363&lt;-1,"Below",IF(P363&gt;1,"Above",INT(N363+C12+(DEGREES(ASIN(P363))+90)/15+5/600)))</f>
        <v>Below</v>
      </c>
      <c r="U363" s="1" t="str">
        <f>IF(OR(P363&lt;-1,P363&gt;1),IF(M13&gt;0," Min."," Horz."),IF(INT((N363+C12+(DEGREES(ASIN(P363))+90)/15-T363)*60+1/2)&lt;10,":0"&amp;FIXED(INT((N363+C12+(DEGREES(ASIN(P363))+90)/15-T363)*60+1/2),0),":"&amp;FIXED(INT((N363+C12+(DEGREES(ASIN(P363))+90)/15-T363)*60+1/2),0)))</f>
        <v> Min.</v>
      </c>
      <c r="V363" s="1">
        <f>ROUND(DEGREES(ASIN(COS(RADIANS(O363))*COS(RADIANS(L9))+SIN(RADIANS(O363))*SIN(RADIANS(L9)))),0)</f>
        <v>27</v>
      </c>
      <c r="W363" s="1" t="s">
        <v>17</v>
      </c>
      <c r="X363" s="18"/>
    </row>
    <row r="364" spans="1:24" ht="10.5" customHeight="1">
      <c r="A364" s="1"/>
      <c r="B364" s="15">
        <f>IF(M14&gt;0,solrdat!B335,solrdat!I335)</f>
        <v>40130</v>
      </c>
      <c r="C364" s="1">
        <f>IF(M14&gt;0,solrdat!C335,solrdat!J335)</f>
        <v>11.739138888888888</v>
      </c>
      <c r="D364" s="1">
        <f>IF(M14&gt;0,solrdat!D335,solrdat!K335)</f>
        <v>-18.147071</v>
      </c>
      <c r="E364" s="1">
        <f>(TAN(RADIANS(L9))*SIN(RADIANS(D364))-SIN(RADIANS(L13))/COS(RADIANS(L9)))/COS(RADIANS(D364))</f>
        <v>-1.2464017856014862</v>
      </c>
      <c r="F364" s="1" t="str">
        <f t="shared" si="10"/>
        <v>0</v>
      </c>
      <c r="G364" s="4" t="str">
        <f>IF(E364&lt;-1,"Below",IF(E364&gt;1,"Above",INT(C364+C12-(DEGREES(ASIN(E364))+90)/15+5/600)))</f>
        <v>Below</v>
      </c>
      <c r="H364" s="1" t="str">
        <f>IF(OR(E364&lt;-1,E364&gt;1),IF(M13&gt;0," Min."," Horz."),IF(INT((C364+C12-(DEGREES(ASIN(E364))+90)/15-G364)*60+1/2)&lt;10,":0"&amp;FIXED(INT((C364+C12-(DEGREES(ASIN(E364))+90)/15-G364)*60+1/2),0),":"&amp;FIXED(INT((C364+C12-(DEGREES(ASIN(E364))+90)/15-G364)*60+1/2),0)))</f>
        <v> Min.</v>
      </c>
      <c r="I364" s="4" t="str">
        <f>IF(E364&lt;-1,"Below",IF(E364&gt;1,"Above",INT(C364+C12+(DEGREES(ASIN(E364))+90)/15+5/600)))</f>
        <v>Below</v>
      </c>
      <c r="J364" s="1" t="str">
        <f>IF(OR(E364&lt;-1,E364&gt;1),IF(M13&gt;0," Min."," Horz."),IF(INT((C364+C12+(DEGREES(ASIN(E364))+90)/15-I364)*60+1/2)&lt;10,":0"&amp;FIXED(INT((C364+C12+(DEGREES(ASIN(E364))+90)/15-I364)*60+1/2),0),":"&amp;FIXED(INT((C364+C12+(DEGREES(ASIN(E364))+90)/15-I364)*60+1/2),0)))</f>
        <v> Min.</v>
      </c>
      <c r="K364" s="1">
        <f>ROUND(DEGREES(ASIN(COS(RADIANS(D364))*COS(RADIANS(L9))+SIN(RADIANS(D364))*SIN(RADIANS(L9)))),0)</f>
        <v>32</v>
      </c>
      <c r="L364" s="1" t="s">
        <v>17</v>
      </c>
      <c r="M364" s="16">
        <f>IF(M14&gt;0,solrdat!B367,solrdat!I367)</f>
        <v>40160</v>
      </c>
      <c r="N364" s="1">
        <f>IF(M14&gt;0,solrdat!C367,solrdat!J367)</f>
        <v>11.90638888888889</v>
      </c>
      <c r="O364" s="1">
        <f>IF(M14&gt;0,solrdat!D367,solrdat!K367)</f>
        <v>-23.191826</v>
      </c>
      <c r="P364" s="1">
        <f>(TAN(RADIANS(L9))*SIN(RADIANS(O364))-SIN(RADIANS(L13))/COS(RADIANS(L9)))/COS(RADIANS(O364))</f>
        <v>-1.3637079798503036</v>
      </c>
      <c r="Q364" s="1" t="str">
        <f t="shared" si="11"/>
        <v>0</v>
      </c>
      <c r="R364" s="4" t="str">
        <f>IF(P364&lt;-1,"Below",IF(P364&gt;1,"Above",INT(N364+C12-(DEGREES(ASIN(P364))+90)/15+5/600)))</f>
        <v>Below</v>
      </c>
      <c r="S364" s="1" t="str">
        <f>IF(OR(P364&lt;-1,P364&gt;1),IF(M13&gt;0," Min."," Horz."),IF(INT((N364+C12-(DEGREES(ASIN(P364))+90)/15-R364)*60+1/2)&lt;10,":0"&amp;FIXED(INT((N364+C12-(DEGREES(ASIN(P364))+90)/15-R364)*60+1/2),0),":"&amp;FIXED(INT((N364+C12-(DEGREES(ASIN(P364))+90)/15-R364)*60+1/2),0)))</f>
        <v> Min.</v>
      </c>
      <c r="T364" s="4" t="str">
        <f>IF(P364&lt;-1,"Below",IF(P364&gt;1,"Above",INT(N364+C12+(DEGREES(ASIN(P364))+90)/15+5/600)))</f>
        <v>Below</v>
      </c>
      <c r="U364" s="1" t="str">
        <f>IF(OR(P364&lt;-1,P364&gt;1),IF(M13&gt;0," Min."," Horz."),IF(INT((N364+C12+(DEGREES(ASIN(P364))+90)/15-T364)*60+1/2)&lt;10,":0"&amp;FIXED(INT((N364+C12+(DEGREES(ASIN(P364))+90)/15-T364)*60+1/2),0),":"&amp;FIXED(INT((N364+C12+(DEGREES(ASIN(P364))+90)/15-T364)*60+1/2),0)))</f>
        <v> Min.</v>
      </c>
      <c r="V364" s="1">
        <f>ROUND(DEGREES(ASIN(COS(RADIANS(O364))*COS(RADIANS(L9))+SIN(RADIANS(O364))*SIN(RADIANS(L9)))),0)</f>
        <v>27</v>
      </c>
      <c r="W364" s="1" t="s">
        <v>17</v>
      </c>
      <c r="X364" s="18"/>
    </row>
    <row r="365" spans="1:24" ht="10.5" customHeight="1">
      <c r="A365" s="1"/>
      <c r="B365" s="15">
        <f>IF(M14&gt;0,solrdat!B336,solrdat!I336)</f>
        <v>40131</v>
      </c>
      <c r="C365" s="1">
        <f>IF(M14&gt;0,solrdat!C336,solrdat!J336)</f>
        <v>11.74175</v>
      </c>
      <c r="D365" s="1">
        <f>IF(M14&gt;0,solrdat!D336,solrdat!K336)</f>
        <v>-18.406568</v>
      </c>
      <c r="E365" s="1">
        <f>(TAN(RADIANS(L9))*SIN(RADIANS(D365))-SIN(RADIANS(L13))/COS(RADIANS(L9)))/COS(RADIANS(D365))</f>
        <v>-1.2520707704445815</v>
      </c>
      <c r="F365" s="1" t="str">
        <f t="shared" si="10"/>
        <v>0</v>
      </c>
      <c r="G365" s="4" t="str">
        <f>IF(E365&lt;-1,"Below",IF(E365&gt;1,"Above",INT(C365+C12-(DEGREES(ASIN(E365))+90)/15+5/600)))</f>
        <v>Below</v>
      </c>
      <c r="H365" s="1" t="str">
        <f>IF(OR(E365&lt;-1,E365&gt;1),IF(M13&gt;0," Min."," Horz."),IF(INT((C365+C12-(DEGREES(ASIN(E365))+90)/15-G365)*60+1/2)&lt;10,":0"&amp;FIXED(INT((C365+C12-(DEGREES(ASIN(E365))+90)/15-G365)*60+1/2),0),":"&amp;FIXED(INT((C365+C12-(DEGREES(ASIN(E365))+90)/15-G365)*60+1/2),0)))</f>
        <v> Min.</v>
      </c>
      <c r="I365" s="4" t="str">
        <f>IF(E365&lt;-1,"Below",IF(E365&gt;1,"Above",INT(C365+C12+(DEGREES(ASIN(E365))+90)/15+5/600)))</f>
        <v>Below</v>
      </c>
      <c r="J365" s="1" t="str">
        <f>IF(OR(E365&lt;-1,E365&gt;1),IF(M13&gt;0," Min."," Horz."),IF(INT((C365+C12+(DEGREES(ASIN(E365))+90)/15-I365)*60+1/2)&lt;10,":0"&amp;FIXED(INT((C365+C12+(DEGREES(ASIN(E365))+90)/15-I365)*60+1/2),0),":"&amp;FIXED(INT((C365+C12+(DEGREES(ASIN(E365))+90)/15-I365)*60+1/2),0)))</f>
        <v> Min.</v>
      </c>
      <c r="K365" s="1">
        <f>ROUND(DEGREES(ASIN(COS(RADIANS(D365))*COS(RADIANS(L9))+SIN(RADIANS(D365))*SIN(RADIANS(L9)))),0)</f>
        <v>32</v>
      </c>
      <c r="L365" s="1" t="s">
        <v>17</v>
      </c>
      <c r="M365" s="16">
        <f>IF(M14&gt;0,solrdat!B368,solrdat!I368)</f>
        <v>40161</v>
      </c>
      <c r="N365" s="1">
        <f>IF(M14&gt;0,solrdat!C368,solrdat!J368)</f>
        <v>11.914388888888888</v>
      </c>
      <c r="O365" s="1">
        <f>IF(M14&gt;0,solrdat!D368,solrdat!K368)</f>
        <v>-23.249911</v>
      </c>
      <c r="P365" s="1">
        <f>(TAN(RADIANS(L9))*SIN(RADIANS(O365))-SIN(RADIANS(L13))/COS(RADIANS(L9)))/COS(RADIANS(O365))</f>
        <v>-1.3651520849458831</v>
      </c>
      <c r="Q365" s="1" t="str">
        <f t="shared" si="11"/>
        <v>0</v>
      </c>
      <c r="R365" s="4" t="str">
        <f>IF(P365&lt;-1,"Below",IF(P365&gt;1,"Above",INT(N365+C12-(DEGREES(ASIN(P365))+90)/15+5/600)))</f>
        <v>Below</v>
      </c>
      <c r="S365" s="1" t="str">
        <f>IF(OR(P365&lt;-1,P365&gt;1),IF(M13&gt;0," Min."," Horz."),IF(INT((N365+C12-(DEGREES(ASIN(P365))+90)/15-R365)*60+1/2)&lt;10,":0"&amp;FIXED(INT((N365+C12-(DEGREES(ASIN(P365))+90)/15-R365)*60+1/2),0),":"&amp;FIXED(INT((N365+C12-(DEGREES(ASIN(P365))+90)/15-R365)*60+1/2),0)))</f>
        <v> Min.</v>
      </c>
      <c r="T365" s="4" t="str">
        <f>IF(P365&lt;-1,"Below",IF(P365&gt;1,"Above",INT(N365+C12+(DEGREES(ASIN(P365))+90)/15+5/600)))</f>
        <v>Below</v>
      </c>
      <c r="U365" s="1" t="str">
        <f>IF(OR(P365&lt;-1,P365&gt;1),IF(M13&gt;0," Min."," Horz."),IF(INT((N365+C12+(DEGREES(ASIN(P365))+90)/15-T365)*60+1/2)&lt;10,":0"&amp;FIXED(INT((N365+C12+(DEGREES(ASIN(P365))+90)/15-T365)*60+1/2),0),":"&amp;FIXED(INT((N365+C12+(DEGREES(ASIN(P365))+90)/15-T365)*60+1/2),0)))</f>
        <v> Min.</v>
      </c>
      <c r="V365" s="1">
        <f>ROUND(DEGREES(ASIN(COS(RADIANS(O365))*COS(RADIANS(L9))+SIN(RADIANS(O365))*SIN(RADIANS(L9)))),0)</f>
        <v>27</v>
      </c>
      <c r="W365" s="1" t="s">
        <v>17</v>
      </c>
      <c r="X365" s="18"/>
    </row>
    <row r="366" spans="1:24" ht="10.5" customHeight="1">
      <c r="A366" s="1"/>
      <c r="B366" s="15">
        <f>IF(M14&gt;0,solrdat!B337,solrdat!I337)</f>
        <v>40132</v>
      </c>
      <c r="C366" s="1">
        <f>IF(M14&gt;0,solrdat!C337,solrdat!J337)</f>
        <v>11.74461111111111</v>
      </c>
      <c r="D366" s="1">
        <f>IF(M14&gt;0,solrdat!D337,solrdat!K337)</f>
        <v>-18.66067</v>
      </c>
      <c r="E366" s="1">
        <f>(TAN(RADIANS(L9))*SIN(RADIANS(D366))-SIN(RADIANS(L13))/COS(RADIANS(L9)))/COS(RADIANS(D366))</f>
        <v>-1.2576578442375455</v>
      </c>
      <c r="F366" s="1" t="str">
        <f t="shared" si="10"/>
        <v>0</v>
      </c>
      <c r="G366" s="4" t="str">
        <f>IF(E366&lt;-1,"Below",IF(E366&gt;1,"Above",INT(C366+C12-(DEGREES(ASIN(E366))+90)/15+5/600)))</f>
        <v>Below</v>
      </c>
      <c r="H366" s="1" t="str">
        <f>IF(OR(E366&lt;-1,E366&gt;1),IF(M13&gt;0," Min."," Horz."),IF(INT((C366+C12-(DEGREES(ASIN(E366))+90)/15-G366)*60+1/2)&lt;10,":0"&amp;FIXED(INT((C366+C12-(DEGREES(ASIN(E366))+90)/15-G366)*60+1/2),0),":"&amp;FIXED(INT((C366+C12-(DEGREES(ASIN(E366))+90)/15-G366)*60+1/2),0)))</f>
        <v> Min.</v>
      </c>
      <c r="I366" s="4" t="str">
        <f>IF(E366&lt;-1,"Below",IF(E366&gt;1,"Above",INT(C366+C12+(DEGREES(ASIN(E366))+90)/15+5/600)))</f>
        <v>Below</v>
      </c>
      <c r="J366" s="1" t="str">
        <f>IF(OR(E366&lt;-1,E366&gt;1),IF(M13&gt;0," Min."," Horz."),IF(INT((C366+C12+(DEGREES(ASIN(E366))+90)/15-I366)*60+1/2)&lt;10,":0"&amp;FIXED(INT((C366+C12+(DEGREES(ASIN(E366))+90)/15-I366)*60+1/2),0),":"&amp;FIXED(INT((C366+C12+(DEGREES(ASIN(E366))+90)/15-I366)*60+1/2),0)))</f>
        <v> Min.</v>
      </c>
      <c r="K366" s="1">
        <f>ROUND(DEGREES(ASIN(COS(RADIANS(D366))*COS(RADIANS(L9))+SIN(RADIANS(D366))*SIN(RADIANS(L9)))),0)</f>
        <v>31</v>
      </c>
      <c r="L366" s="1" t="s">
        <v>17</v>
      </c>
      <c r="M366" s="16">
        <f>IF(M14&gt;0,solrdat!B369,solrdat!I369)</f>
        <v>40162</v>
      </c>
      <c r="N366" s="1">
        <f>IF(M14&gt;0,solrdat!C369,solrdat!J369)</f>
        <v>11.922416666666667</v>
      </c>
      <c r="O366" s="1">
        <f>IF(M14&gt;0,solrdat!D369,solrdat!K369)</f>
        <v>-23.300265</v>
      </c>
      <c r="P366" s="1">
        <f>(TAN(RADIANS(L9))*SIN(RADIANS(O366))-SIN(RADIANS(L13))/COS(RADIANS(L9)))/COS(RADIANS(O366))</f>
        <v>-1.3664058365460112</v>
      </c>
      <c r="Q366" s="1" t="str">
        <f t="shared" si="11"/>
        <v>0</v>
      </c>
      <c r="R366" s="4" t="str">
        <f>IF(P366&lt;-1,"Below",IF(P366&gt;1,"Above",INT(N366+C12-(DEGREES(ASIN(P366))+90)/15+5/600)))</f>
        <v>Below</v>
      </c>
      <c r="S366" s="1" t="str">
        <f>IF(OR(P366&lt;-1,P366&gt;1),IF(M13&gt;0," Min."," Horz."),IF(INT((N366+C12-(DEGREES(ASIN(P366))+90)/15-R366)*60+1/2)&lt;10,":0"&amp;FIXED(INT((N366+C12-(DEGREES(ASIN(P366))+90)/15-R366)*60+1/2),0),":"&amp;FIXED(INT((N366+C12-(DEGREES(ASIN(P366))+90)/15-R366)*60+1/2),0)))</f>
        <v> Min.</v>
      </c>
      <c r="T366" s="4" t="str">
        <f>IF(P366&lt;-1,"Below",IF(P366&gt;1,"Above",INT(N366+C12+(DEGREES(ASIN(P366))+90)/15+5/600)))</f>
        <v>Below</v>
      </c>
      <c r="U366" s="1" t="str">
        <f>IF(OR(P366&lt;-1,P366&gt;1),IF(M13&gt;0," Min."," Horz."),IF(INT((N366+C12+(DEGREES(ASIN(P366))+90)/15-T366)*60+1/2)&lt;10,":0"&amp;FIXED(INT((N366+C12+(DEGREES(ASIN(P366))+90)/15-T366)*60+1/2),0),":"&amp;FIXED(INT((N366+C12+(DEGREES(ASIN(P366))+90)/15-T366)*60+1/2),0)))</f>
        <v> Min.</v>
      </c>
      <c r="V366" s="1">
        <f>ROUND(DEGREES(ASIN(COS(RADIANS(O366))*COS(RADIANS(L9))+SIN(RADIANS(O366))*SIN(RADIANS(L9)))),0)</f>
        <v>27</v>
      </c>
      <c r="W366" s="1" t="s">
        <v>17</v>
      </c>
      <c r="X366" s="18"/>
    </row>
    <row r="367" spans="1:24" ht="10.5" customHeight="1">
      <c r="A367" s="1"/>
      <c r="B367" s="15">
        <f>IF(M14&gt;0,solrdat!B338,solrdat!I338)</f>
        <v>40133</v>
      </c>
      <c r="C367" s="1">
        <f>IF(M14&gt;0,solrdat!C338,solrdat!J338)</f>
        <v>11.747694444444445</v>
      </c>
      <c r="D367" s="1">
        <f>IF(M14&gt;0,solrdat!D338,solrdat!K338)</f>
        <v>-18.909269</v>
      </c>
      <c r="E367" s="1">
        <f>(TAN(RADIANS(L9))*SIN(RADIANS(D367))-SIN(RADIANS(L13))/COS(RADIANS(L9)))/COS(RADIANS(D367))</f>
        <v>-1.2631587112578324</v>
      </c>
      <c r="F367" s="1" t="str">
        <f t="shared" si="10"/>
        <v>0</v>
      </c>
      <c r="G367" s="4" t="str">
        <f>IF(E367&lt;-1,"Below",IF(E367&gt;1,"Above",INT(C367+C12-(DEGREES(ASIN(E367))+90)/15+5/600)))</f>
        <v>Below</v>
      </c>
      <c r="H367" s="1" t="str">
        <f>IF(OR(E367&lt;-1,E367&gt;1),IF(M13&gt;0," Min."," Horz."),IF(INT((C367+C12-(DEGREES(ASIN(E367))+90)/15-G367)*60+1/2)&lt;10,":0"&amp;FIXED(INT((C367+C12-(DEGREES(ASIN(E367))+90)/15-G367)*60+1/2),0),":"&amp;FIXED(INT((C367+C12-(DEGREES(ASIN(E367))+90)/15-G367)*60+1/2),0)))</f>
        <v> Min.</v>
      </c>
      <c r="I367" s="4" t="str">
        <f>IF(E367&lt;-1,"Below",IF(E367&gt;1,"Above",INT(C367+C12+(DEGREES(ASIN(E367))+90)/15+5/600)))</f>
        <v>Below</v>
      </c>
      <c r="J367" s="1" t="str">
        <f>IF(OR(E367&lt;-1,E367&gt;1),IF(M13&gt;0," Min."," Horz."),IF(INT((C367+C12+(DEGREES(ASIN(E367))+90)/15-I367)*60+1/2)&lt;10,":0"&amp;FIXED(INT((C367+C12+(DEGREES(ASIN(E367))+90)/15-I367)*60+1/2),0),":"&amp;FIXED(INT((C367+C12+(DEGREES(ASIN(E367))+90)/15-I367)*60+1/2),0)))</f>
        <v> Min.</v>
      </c>
      <c r="K367" s="1">
        <f>ROUND(DEGREES(ASIN(COS(RADIANS(D367))*COS(RADIANS(L9))+SIN(RADIANS(D367))*SIN(RADIANS(L9)))),0)</f>
        <v>31</v>
      </c>
      <c r="L367" s="1" t="s">
        <v>17</v>
      </c>
      <c r="M367" s="16">
        <f>IF(M14&gt;0,solrdat!B370,solrdat!I370)</f>
        <v>40163</v>
      </c>
      <c r="N367" s="1">
        <f>IF(M14&gt;0,solrdat!C370,solrdat!J370)</f>
        <v>11.930555555555555</v>
      </c>
      <c r="O367" s="1">
        <f>IF(M14&gt;0,solrdat!D370,solrdat!K370)</f>
        <v>-23.34286</v>
      </c>
      <c r="P367" s="1">
        <f>(TAN(RADIANS(L9))*SIN(RADIANS(O367))-SIN(RADIANS(L13))/COS(RADIANS(L9)))/COS(RADIANS(O367))</f>
        <v>-1.367467746134432</v>
      </c>
      <c r="Q367" s="1" t="str">
        <f t="shared" si="11"/>
        <v>0</v>
      </c>
      <c r="R367" s="4" t="str">
        <f>IF(P367&lt;-1,"Below",IF(P367&gt;1,"Above",INT(N367+C12-(DEGREES(ASIN(P367))+90)/15+5/600)))</f>
        <v>Below</v>
      </c>
      <c r="S367" s="1" t="str">
        <f>IF(OR(P367&lt;-1,P367&gt;1),IF(M13&gt;0," Min."," Horz."),IF(INT((N367+C12-(DEGREES(ASIN(P367))+90)/15-R367)*60+1/2)&lt;10,":0"&amp;FIXED(INT((N367+C12-(DEGREES(ASIN(P367))+90)/15-R367)*60+1/2),0),":"&amp;FIXED(INT((N367+C12-(DEGREES(ASIN(P367))+90)/15-R367)*60+1/2),0)))</f>
        <v> Min.</v>
      </c>
      <c r="T367" s="4" t="str">
        <f>IF(P367&lt;-1,"Below",IF(P367&gt;1,"Above",INT(N367+C12+(DEGREES(ASIN(P367))+90)/15+5/600)))</f>
        <v>Below</v>
      </c>
      <c r="U367" s="1" t="str">
        <f>IF(OR(P367&lt;-1,P367&gt;1),IF(M13&gt;0," Min."," Horz."),IF(INT((N367+C12+(DEGREES(ASIN(P367))+90)/15-T367)*60+1/2)&lt;10,":0"&amp;FIXED(INT((N367+C12+(DEGREES(ASIN(P367))+90)/15-T367)*60+1/2),0),":"&amp;FIXED(INT((N367+C12+(DEGREES(ASIN(P367))+90)/15-T367)*60+1/2),0)))</f>
        <v> Min.</v>
      </c>
      <c r="V367" s="1">
        <f>ROUND(DEGREES(ASIN(COS(RADIANS(O367))*COS(RADIANS(L9))+SIN(RADIANS(O367))*SIN(RADIANS(L9)))),0)</f>
        <v>27</v>
      </c>
      <c r="W367" s="1" t="s">
        <v>17</v>
      </c>
      <c r="X367" s="18"/>
    </row>
    <row r="368" spans="1:24" ht="10.5" customHeight="1">
      <c r="A368" s="1"/>
      <c r="B368" s="15">
        <f>IF(M14&gt;0,solrdat!B339,solrdat!I339)</f>
        <v>40134</v>
      </c>
      <c r="C368" s="1">
        <f>IF(M14&gt;0,solrdat!C339,solrdat!J339)</f>
        <v>11.751</v>
      </c>
      <c r="D368" s="1">
        <f>IF(M14&gt;0,solrdat!D339,solrdat!K339)</f>
        <v>-19.152256</v>
      </c>
      <c r="E368" s="1">
        <f>(TAN(RADIANS(L9))*SIN(RADIANS(D368))-SIN(RADIANS(L13))/COS(RADIANS(L9)))/COS(RADIANS(D368))</f>
        <v>-1.2685690002952252</v>
      </c>
      <c r="F368" s="1" t="str">
        <f t="shared" si="10"/>
        <v>0</v>
      </c>
      <c r="G368" s="4" t="str">
        <f>IF(E368&lt;-1,"Below",IF(E368&gt;1,"Above",INT(C368+C12-(DEGREES(ASIN(E368))+90)/15+5/600)))</f>
        <v>Below</v>
      </c>
      <c r="H368" s="1" t="str">
        <f>IF(OR(E368&lt;-1,E368&gt;1),IF(M13&gt;0," Min."," Horz."),IF(INT((C368+C12-(DEGREES(ASIN(E368))+90)/15-G368)*60+1/2)&lt;10,":0"&amp;FIXED(INT((C368+C12-(DEGREES(ASIN(E368))+90)/15-G368)*60+1/2),0),":"&amp;FIXED(INT((C368+C12-(DEGREES(ASIN(E368))+90)/15-G368)*60+1/2),0)))</f>
        <v> Min.</v>
      </c>
      <c r="I368" s="4" t="str">
        <f>IF(E368&lt;-1,"Below",IF(E368&gt;1,"Above",INT(C368+C12+(DEGREES(ASIN(E368))+90)/15+5/600)))</f>
        <v>Below</v>
      </c>
      <c r="J368" s="1" t="str">
        <f>IF(OR(E368&lt;-1,E368&gt;1),IF(M13&gt;0," Min."," Horz."),IF(INT((C368+C12+(DEGREES(ASIN(E368))+90)/15-I368)*60+1/2)&lt;10,":0"&amp;FIXED(INT((C368+C12+(DEGREES(ASIN(E368))+90)/15-I368)*60+1/2),0),":"&amp;FIXED(INT((C368+C12+(DEGREES(ASIN(E368))+90)/15-I368)*60+1/2),0)))</f>
        <v> Min.</v>
      </c>
      <c r="K368" s="1">
        <f>ROUND(DEGREES(ASIN(COS(RADIANS(D368))*COS(RADIANS(L9))+SIN(RADIANS(D368))*SIN(RADIANS(L9)))),0)</f>
        <v>31</v>
      </c>
      <c r="L368" s="1" t="s">
        <v>17</v>
      </c>
      <c r="M368" s="16">
        <f>IF(M14&gt;0,solrdat!B371,solrdat!I371)</f>
        <v>40164</v>
      </c>
      <c r="N368" s="1">
        <f>IF(M14&gt;0,solrdat!C371,solrdat!J371)</f>
        <v>11.938722222222221</v>
      </c>
      <c r="O368" s="1">
        <f>IF(M14&gt;0,solrdat!D371,solrdat!K371)</f>
        <v>-23.377671</v>
      </c>
      <c r="P368" s="1">
        <f>(TAN(RADIANS(L9))*SIN(RADIANS(O368))-SIN(RADIANS(L13))/COS(RADIANS(L9)))/COS(RADIANS(O368))</f>
        <v>-1.368336516407423</v>
      </c>
      <c r="Q368" s="1" t="str">
        <f t="shared" si="11"/>
        <v>0</v>
      </c>
      <c r="R368" s="4" t="str">
        <f>IF(P368&lt;-1,"Below",IF(P368&gt;1,"Above",INT(N368+C12-(DEGREES(ASIN(P368))+90)/15+5/600)))</f>
        <v>Below</v>
      </c>
      <c r="S368" s="1" t="str">
        <f>IF(OR(P368&lt;-1,P368&gt;1),IF(M13&gt;0," Min."," Horz."),IF(INT((N368+C12-(DEGREES(ASIN(P368))+90)/15-R368)*60+1/2)&lt;10,":0"&amp;FIXED(INT((N368+C12-(DEGREES(ASIN(P368))+90)/15-R368)*60+1/2),0),":"&amp;FIXED(INT((N368+C12-(DEGREES(ASIN(P368))+90)/15-R368)*60+1/2),0)))</f>
        <v> Min.</v>
      </c>
      <c r="T368" s="4" t="str">
        <f>IF(P368&lt;-1,"Below",IF(P368&gt;1,"Above",INT(N368+C12+(DEGREES(ASIN(P368))+90)/15+5/600)))</f>
        <v>Below</v>
      </c>
      <c r="U368" s="1" t="str">
        <f>IF(OR(P368&lt;-1,P368&gt;1),IF(M13&gt;0," Min."," Horz."),IF(INT((N368+C12+(DEGREES(ASIN(P368))+90)/15-T368)*60+1/2)&lt;10,":0"&amp;FIXED(INT((N368+C12+(DEGREES(ASIN(P368))+90)/15-T368)*60+1/2),0),":"&amp;FIXED(INT((N368+C12+(DEGREES(ASIN(P368))+90)/15-T368)*60+1/2),0)))</f>
        <v> Min.</v>
      </c>
      <c r="V368" s="1">
        <f>ROUND(DEGREES(ASIN(COS(RADIANS(O368))*COS(RADIANS(L9))+SIN(RADIANS(O368))*SIN(RADIANS(L9)))),0)</f>
        <v>27</v>
      </c>
      <c r="W368" s="1" t="s">
        <v>17</v>
      </c>
      <c r="X368" s="18"/>
    </row>
    <row r="369" spans="1:24" ht="10.5" customHeight="1">
      <c r="A369" s="1"/>
      <c r="B369" s="15">
        <f>IF(M14&gt;0,solrdat!B340,solrdat!I340)</f>
        <v>40135</v>
      </c>
      <c r="C369" s="1">
        <f>IF(M14&gt;0,solrdat!C340,solrdat!J340)</f>
        <v>11.754555555555555</v>
      </c>
      <c r="D369" s="1">
        <f>IF(M14&gt;0,solrdat!D340,solrdat!K340)</f>
        <v>-19.389523</v>
      </c>
      <c r="E369" s="1">
        <f>(TAN(RADIANS(L9))*SIN(RADIANS(D369))-SIN(RADIANS(L13))/COS(RADIANS(L9)))/COS(RADIANS(D369))</f>
        <v>-1.273884312362343</v>
      </c>
      <c r="F369" s="1" t="str">
        <f t="shared" si="10"/>
        <v>0</v>
      </c>
      <c r="G369" s="4" t="str">
        <f>IF(E369&lt;-1,"Below",IF(E369&gt;1,"Above",INT(C369+C12-(DEGREES(ASIN(E369))+90)/15+5/600)))</f>
        <v>Below</v>
      </c>
      <c r="H369" s="1" t="str">
        <f>IF(OR(E369&lt;-1,E369&gt;1),IF(M13&gt;0," Min."," Horz."),IF(INT((C369+C12-(DEGREES(ASIN(E369))+90)/15-G369)*60+1/2)&lt;10,":0"&amp;FIXED(INT((C369+C12-(DEGREES(ASIN(E369))+90)/15-G369)*60+1/2),0),":"&amp;FIXED(INT((C369+C12-(DEGREES(ASIN(E369))+90)/15-G369)*60+1/2),0)))</f>
        <v> Min.</v>
      </c>
      <c r="I369" s="4" t="str">
        <f>IF(E369&lt;-1,"Below",IF(E369&gt;1,"Above",INT(C369+C12+(DEGREES(ASIN(E369))+90)/15+5/600)))</f>
        <v>Below</v>
      </c>
      <c r="J369" s="1" t="str">
        <f>IF(OR(E369&lt;-1,E369&gt;1),IF(M13&gt;0," Min."," Horz."),IF(INT((C369+C12+(DEGREES(ASIN(E369))+90)/15-I369)*60+1/2)&lt;10,":0"&amp;FIXED(INT((C369+C12+(DEGREES(ASIN(E369))+90)/15-I369)*60+1/2),0),":"&amp;FIXED(INT((C369+C12+(DEGREES(ASIN(E369))+90)/15-I369)*60+1/2),0)))</f>
        <v> Min.</v>
      </c>
      <c r="K369" s="1">
        <f>ROUND(DEGREES(ASIN(COS(RADIANS(D369))*COS(RADIANS(L9))+SIN(RADIANS(D369))*SIN(RADIANS(L9)))),0)</f>
        <v>31</v>
      </c>
      <c r="L369" s="1" t="s">
        <v>17</v>
      </c>
      <c r="M369" s="16">
        <f>IF(M14&gt;0,solrdat!B372,solrdat!I372)</f>
        <v>40165</v>
      </c>
      <c r="N369" s="1">
        <f>IF(M14&gt;0,solrdat!C372,solrdat!J372)</f>
        <v>11.946944444444444</v>
      </c>
      <c r="O369" s="1">
        <f>IF(M14&gt;0,solrdat!D372,solrdat!K372)</f>
        <v>-23.404676</v>
      </c>
      <c r="P369" s="1">
        <f>(TAN(RADIANS(L9))*SIN(RADIANS(O369))-SIN(RADIANS(L13))/COS(RADIANS(L9)))/COS(RADIANS(O369))</f>
        <v>-1.3690110441853371</v>
      </c>
      <c r="Q369" s="1" t="str">
        <f t="shared" si="11"/>
        <v>0</v>
      </c>
      <c r="R369" s="4" t="str">
        <f>IF(P369&lt;-1,"Below",IF(P369&gt;1,"Above",INT(N369+C12-(DEGREES(ASIN(P369))+90)/15+5/600)))</f>
        <v>Below</v>
      </c>
      <c r="S369" s="1" t="str">
        <f>IF(OR(P369&lt;-1,P369&gt;1),IF(M13&gt;0," Min."," Horz."),IF(INT((N369+C12-(DEGREES(ASIN(P369))+90)/15-R369)*60+1/2)&lt;10,":0"&amp;FIXED(INT((N369+C12-(DEGREES(ASIN(P369))+90)/15-R369)*60+1/2),0),":"&amp;FIXED(INT((N369+C12-(DEGREES(ASIN(P369))+90)/15-R369)*60+1/2),0)))</f>
        <v> Min.</v>
      </c>
      <c r="T369" s="4" t="str">
        <f>IF(P369&lt;-1,"Below",IF(P369&gt;1,"Above",INT(N369+C12+(DEGREES(ASIN(P369))+90)/15+5/600)))</f>
        <v>Below</v>
      </c>
      <c r="U369" s="1" t="str">
        <f>IF(OR(P369&lt;-1,P369&gt;1),IF(M13&gt;0," Min."," Horz."),IF(INT((N369+C12+(DEGREES(ASIN(P369))+90)/15-T369)*60+1/2)&lt;10,":0"&amp;FIXED(INT((N369+C12+(DEGREES(ASIN(P369))+90)/15-T369)*60+1/2),0),":"&amp;FIXED(INT((N369+C12+(DEGREES(ASIN(P369))+90)/15-T369)*60+1/2),0)))</f>
        <v> Min.</v>
      </c>
      <c r="V369" s="1">
        <f>ROUND(DEGREES(ASIN(COS(RADIANS(O369))*COS(RADIANS(L9))+SIN(RADIANS(O369))*SIN(RADIANS(L9)))),0)</f>
        <v>27</v>
      </c>
      <c r="W369" s="1" t="s">
        <v>17</v>
      </c>
      <c r="X369" s="18"/>
    </row>
    <row r="370" spans="1:24" ht="10.5" customHeight="1">
      <c r="A370" s="1"/>
      <c r="B370" s="15">
        <f>IF(M14&gt;0,solrdat!B341,solrdat!I341)</f>
        <v>40136</v>
      </c>
      <c r="C370" s="1">
        <f>IF(M14&gt;0,solrdat!C341,solrdat!J341)</f>
        <v>11.758333333333333</v>
      </c>
      <c r="D370" s="1">
        <f>IF(M14&gt;0,solrdat!D341,solrdat!K341)</f>
        <v>-19.620963</v>
      </c>
      <c r="E370" s="1">
        <f>(TAN(RADIANS(L9))*SIN(RADIANS(D370))-SIN(RADIANS(L13))/COS(RADIANS(L9)))/COS(RADIANS(D370))</f>
        <v>-1.2791002250891044</v>
      </c>
      <c r="F370" s="1" t="str">
        <f t="shared" si="10"/>
        <v>0</v>
      </c>
      <c r="G370" s="4" t="str">
        <f>IF(E370&lt;-1,"Below",IF(E370&gt;1,"Above",INT(C370+C12-(DEGREES(ASIN(E370))+90)/15+5/600)))</f>
        <v>Below</v>
      </c>
      <c r="H370" s="1" t="str">
        <f>IF(OR(E370&lt;-1,E370&gt;1),IF(M13&gt;0," Min."," Horz."),IF(INT((C370+C12-(DEGREES(ASIN(E370))+90)/15-G370)*60+1/2)&lt;10,":0"&amp;FIXED(INT((C370+C12-(DEGREES(ASIN(E370))+90)/15-G370)*60+1/2),0),":"&amp;FIXED(INT((C370+C12-(DEGREES(ASIN(E370))+90)/15-G370)*60+1/2),0)))</f>
        <v> Min.</v>
      </c>
      <c r="I370" s="4" t="str">
        <f>IF(E370&lt;-1,"Below",IF(E370&gt;1,"Above",INT(C370+C12+(DEGREES(ASIN(E370))+90)/15+5/600)))</f>
        <v>Below</v>
      </c>
      <c r="J370" s="1" t="str">
        <f>IF(OR(E370&lt;-1,E370&gt;1),IF(M13&gt;0," Min."," Horz."),IF(INT((C370+C12+(DEGREES(ASIN(E370))+90)/15-I370)*60+1/2)&lt;10,":0"&amp;FIXED(INT((C370+C12+(DEGREES(ASIN(E370))+90)/15-I370)*60+1/2),0),":"&amp;FIXED(INT((C370+C12+(DEGREES(ASIN(E370))+90)/15-I370)*60+1/2),0)))</f>
        <v> Min.</v>
      </c>
      <c r="K370" s="1">
        <f>ROUND(DEGREES(ASIN(COS(RADIANS(D370))*COS(RADIANS(L9))+SIN(RADIANS(D370))*SIN(RADIANS(L9)))),0)</f>
        <v>30</v>
      </c>
      <c r="L370" s="1" t="s">
        <v>17</v>
      </c>
      <c r="M370" s="16">
        <f>IF(M14&gt;0,solrdat!B373,solrdat!I373)</f>
        <v>40166</v>
      </c>
      <c r="N370" s="1">
        <f>IF(M14&gt;0,solrdat!C373,solrdat!J373)</f>
        <v>11.955194444444444</v>
      </c>
      <c r="O370" s="1">
        <f>IF(M14&gt;0,solrdat!D373,solrdat!K373)</f>
        <v>-23.423858</v>
      </c>
      <c r="P370" s="1">
        <f>(TAN(RADIANS(L9))*SIN(RADIANS(O370))-SIN(RADIANS(L13))/COS(RADIANS(L9)))/COS(RADIANS(O370))</f>
        <v>-1.3694904728959154</v>
      </c>
      <c r="Q370" s="1" t="str">
        <f t="shared" si="11"/>
        <v>0</v>
      </c>
      <c r="R370" s="4" t="str">
        <f>IF(P370&lt;-1,"Below",IF(P370&gt;1,"Above",INT(N370+C12-(DEGREES(ASIN(P370))+90)/15+5/600)))</f>
        <v>Below</v>
      </c>
      <c r="S370" s="1" t="str">
        <f>IF(OR(P370&lt;-1,P370&gt;1),IF(M13&gt;0," Min."," Horz."),IF(INT((N370+C12-(DEGREES(ASIN(P370))+90)/15-R370)*60+1/2)&lt;10,":0"&amp;FIXED(INT((N370+C12-(DEGREES(ASIN(P370))+90)/15-R370)*60+1/2),0),":"&amp;FIXED(INT((N370+C12-(DEGREES(ASIN(P370))+90)/15-R370)*60+1/2),0)))</f>
        <v> Min.</v>
      </c>
      <c r="T370" s="4" t="str">
        <f>IF(P370&lt;-1,"Below",IF(P370&gt;1,"Above",INT(N370+C12+(DEGREES(ASIN(P370))+90)/15+5/600)))</f>
        <v>Below</v>
      </c>
      <c r="U370" s="1" t="str">
        <f>IF(OR(P370&lt;-1,P370&gt;1),IF(M13&gt;0," Min."," Horz."),IF(INT((N370+C12+(DEGREES(ASIN(P370))+90)/15-T370)*60+1/2)&lt;10,":0"&amp;FIXED(INT((N370+C12+(DEGREES(ASIN(P370))+90)/15-T370)*60+1/2),0),":"&amp;FIXED(INT((N370+C12+(DEGREES(ASIN(P370))+90)/15-T370)*60+1/2),0)))</f>
        <v> Min.</v>
      </c>
      <c r="V370" s="1">
        <f>ROUND(DEGREES(ASIN(COS(RADIANS(O370))*COS(RADIANS(L9))+SIN(RADIANS(O370))*SIN(RADIANS(L9)))),0)</f>
        <v>27</v>
      </c>
      <c r="W370" s="1" t="s">
        <v>17</v>
      </c>
      <c r="X370" s="18"/>
    </row>
    <row r="371" spans="1:24" ht="10.5" customHeight="1">
      <c r="A371" s="1"/>
      <c r="B371" s="15">
        <f>IF(M14&gt;0,solrdat!B342,solrdat!I342)</f>
        <v>40137</v>
      </c>
      <c r="C371" s="1">
        <f>IF(M14&gt;0,solrdat!C342,solrdat!J342)</f>
        <v>11.762333333333334</v>
      </c>
      <c r="D371" s="1">
        <f>IF(M14&gt;0,solrdat!D342,solrdat!K342)</f>
        <v>-19.846473</v>
      </c>
      <c r="E371" s="1">
        <f>(TAN(RADIANS(L9))*SIN(RADIANS(D371))-SIN(RADIANS(L13))/COS(RADIANS(L9)))/COS(RADIANS(D371))</f>
        <v>-1.284212365554097</v>
      </c>
      <c r="F371" s="1" t="str">
        <f t="shared" si="10"/>
        <v>0</v>
      </c>
      <c r="G371" s="4" t="str">
        <f>IF(E371&lt;-1,"Below",IF(E371&gt;1,"Above",INT(C371+C12-(DEGREES(ASIN(E371))+90)/15+5/600)))</f>
        <v>Below</v>
      </c>
      <c r="H371" s="1" t="str">
        <f>IF(OR(E371&lt;-1,E371&gt;1),IF(M13&gt;0," Min."," Horz."),IF(INT((C371+C12-(DEGREES(ASIN(E371))+90)/15-G371)*60+1/2)&lt;10,":0"&amp;FIXED(INT((C371+C12-(DEGREES(ASIN(E371))+90)/15-G371)*60+1/2),0),":"&amp;FIXED(INT((C371+C12-(DEGREES(ASIN(E371))+90)/15-G371)*60+1/2),0)))</f>
        <v> Min.</v>
      </c>
      <c r="I371" s="4" t="str">
        <f>IF(E371&lt;-1,"Below",IF(E371&gt;1,"Above",INT(C371+C12+(DEGREES(ASIN(E371))+90)/15+5/600)))</f>
        <v>Below</v>
      </c>
      <c r="J371" s="1" t="str">
        <f>IF(OR(E371&lt;-1,E371&gt;1),IF(M13&gt;0," Min."," Horz."),IF(INT((C371+C12+(DEGREES(ASIN(E371))+90)/15-I371)*60+1/2)&lt;10,":0"&amp;FIXED(INT((C371+C12+(DEGREES(ASIN(E371))+90)/15-I371)*60+1/2),0),":"&amp;FIXED(INT((C371+C12+(DEGREES(ASIN(E371))+90)/15-I371)*60+1/2),0)))</f>
        <v> Min.</v>
      </c>
      <c r="K371" s="1">
        <f>ROUND(DEGREES(ASIN(COS(RADIANS(D371))*COS(RADIANS(L9))+SIN(RADIANS(D371))*SIN(RADIANS(L9)))),0)</f>
        <v>30</v>
      </c>
      <c r="L371" s="1" t="s">
        <v>17</v>
      </c>
      <c r="M371" s="16">
        <f>IF(M14&gt;0,solrdat!B374,solrdat!I374)</f>
        <v>40167</v>
      </c>
      <c r="N371" s="1">
        <f>IF(M14&gt;0,solrdat!C374,solrdat!J374)</f>
        <v>11.963472222222222</v>
      </c>
      <c r="O371" s="1">
        <f>IF(M14&gt;0,solrdat!D374,solrdat!K374)</f>
        <v>-23.435206</v>
      </c>
      <c r="P371" s="1">
        <f>(TAN(RADIANS(L9))*SIN(RADIANS(O371))-SIN(RADIANS(L13))/COS(RADIANS(L9)))/COS(RADIANS(O371))</f>
        <v>-1.3697742197025737</v>
      </c>
      <c r="Q371" s="1" t="str">
        <f t="shared" si="11"/>
        <v>0</v>
      </c>
      <c r="R371" s="4" t="str">
        <f>IF(P371&lt;-1,"Below",IF(P371&gt;1,"Above",INT(N371+C12-(DEGREES(ASIN(P371))+90)/15+5/600)))</f>
        <v>Below</v>
      </c>
      <c r="S371" s="1" t="str">
        <f>IF(OR(P371&lt;-1,P371&gt;1),IF(M13&gt;0," Min."," Horz."),IF(INT((N371+C12-(DEGREES(ASIN(P371))+90)/15-R371)*60+1/2)&lt;10,":0"&amp;FIXED(INT((N371+C12-(DEGREES(ASIN(P371))+90)/15-R371)*60+1/2),0),":"&amp;FIXED(INT((N371+C12-(DEGREES(ASIN(P371))+90)/15-R371)*60+1/2),0)))</f>
        <v> Min.</v>
      </c>
      <c r="T371" s="4" t="str">
        <f>IF(P371&lt;-1,"Below",IF(P371&gt;1,"Above",INT(N371+C12+(DEGREES(ASIN(P371))+90)/15+5/600)))</f>
        <v>Below</v>
      </c>
      <c r="U371" s="1" t="str">
        <f>IF(OR(P371&lt;-1,P371&gt;1),IF(M13&gt;0," Min."," Horz."),IF(INT((N371+C12+(DEGREES(ASIN(P371))+90)/15-T371)*60+1/2)&lt;10,":0"&amp;FIXED(INT((N371+C12+(DEGREES(ASIN(P371))+90)/15-T371)*60+1/2),0),":"&amp;FIXED(INT((N371+C12+(DEGREES(ASIN(P371))+90)/15-T371)*60+1/2),0)))</f>
        <v> Min.</v>
      </c>
      <c r="V371" s="1">
        <f>ROUND(DEGREES(ASIN(COS(RADIANS(O371))*COS(RADIANS(L9))+SIN(RADIANS(O371))*SIN(RADIANS(L9)))),0)</f>
        <v>27</v>
      </c>
      <c r="W371" s="1" t="s">
        <v>17</v>
      </c>
      <c r="X371" s="18"/>
    </row>
    <row r="372" spans="1:24" ht="10.5" customHeight="1">
      <c r="A372" s="1"/>
      <c r="B372" s="15">
        <f>IF(M14&gt;0,solrdat!B343,solrdat!I343)</f>
        <v>40138</v>
      </c>
      <c r="C372" s="1">
        <f>IF(M14&gt;0,solrdat!C343,solrdat!J343)</f>
        <v>11.766527777777778</v>
      </c>
      <c r="D372" s="1">
        <f>IF(M14&gt;0,solrdat!D343,solrdat!K343)</f>
        <v>-20.06595</v>
      </c>
      <c r="E372" s="1">
        <f>(TAN(RADIANS(L9))*SIN(RADIANS(D372))-SIN(RADIANS(L13))/COS(RADIANS(L9)))/COS(RADIANS(D372))</f>
        <v>-1.2892163256190454</v>
      </c>
      <c r="F372" s="1" t="str">
        <f t="shared" si="10"/>
        <v>0</v>
      </c>
      <c r="G372" s="4" t="str">
        <f>IF(E372&lt;-1,"Below",IF(E372&gt;1,"Above",INT(C372+C12-(DEGREES(ASIN(E372))+90)/15+5/600)))</f>
        <v>Below</v>
      </c>
      <c r="H372" s="1" t="str">
        <f>IF(OR(E372&lt;-1,E372&gt;1),IF(M13&gt;0," Min."," Horz."),IF(INT((C372+C12-(DEGREES(ASIN(E372))+90)/15-G372)*60+1/2)&lt;10,":0"&amp;FIXED(INT((C372+C12-(DEGREES(ASIN(E372))+90)/15-G372)*60+1/2),0),":"&amp;FIXED(INT((C372+C12-(DEGREES(ASIN(E372))+90)/15-G372)*60+1/2),0)))</f>
        <v> Min.</v>
      </c>
      <c r="I372" s="4" t="str">
        <f>IF(E372&lt;-1,"Below",IF(E372&gt;1,"Above",INT(C372+C12+(DEGREES(ASIN(E372))+90)/15+5/600)))</f>
        <v>Below</v>
      </c>
      <c r="J372" s="1" t="str">
        <f>IF(OR(E372&lt;-1,E372&gt;1),IF(M13&gt;0," Min."," Horz."),IF(INT((C372+C12+(DEGREES(ASIN(E372))+90)/15-I372)*60+1/2)&lt;10,":0"&amp;FIXED(INT((C372+C12+(DEGREES(ASIN(E372))+90)/15-I372)*60+1/2),0),":"&amp;FIXED(INT((C372+C12+(DEGREES(ASIN(E372))+90)/15-I372)*60+1/2),0)))</f>
        <v> Min.</v>
      </c>
      <c r="K372" s="1">
        <f>ROUND(DEGREES(ASIN(COS(RADIANS(D372))*COS(RADIANS(L9))+SIN(RADIANS(D372))*SIN(RADIANS(L9)))),0)</f>
        <v>30</v>
      </c>
      <c r="L372" s="1" t="s">
        <v>17</v>
      </c>
      <c r="M372" s="16">
        <f>IF(M14&gt;0,solrdat!B375,solrdat!I375)</f>
        <v>40168</v>
      </c>
      <c r="N372" s="1">
        <f>IF(M14&gt;0,solrdat!C375,solrdat!J375)</f>
        <v>11.971777777777778</v>
      </c>
      <c r="O372" s="1">
        <f>IF(M14&gt;0,solrdat!D375,solrdat!K375)</f>
        <v>-23.438709</v>
      </c>
      <c r="P372" s="1">
        <f>(TAN(RADIANS(L9))*SIN(RADIANS(O372))-SIN(RADIANS(L13))/COS(RADIANS(L9)))/COS(RADIANS(O372))</f>
        <v>-1.3698618269632779</v>
      </c>
      <c r="Q372" s="1" t="str">
        <f t="shared" si="11"/>
        <v>0</v>
      </c>
      <c r="R372" s="4" t="str">
        <f>IF(P372&lt;-1,"Below",IF(P372&gt;1,"Above",INT(N372+C12-(DEGREES(ASIN(P372))+90)/15+5/600)))</f>
        <v>Below</v>
      </c>
      <c r="S372" s="1" t="str">
        <f>IF(OR(P372&lt;-1,P372&gt;1),IF(M13&gt;0," Min."," Horz."),IF(INT((N372+C12-(DEGREES(ASIN(P372))+90)/15-R372)*60+1/2)&lt;10,":0"&amp;FIXED(INT((N372+C12-(DEGREES(ASIN(P372))+90)/15-R372)*60+1/2),0),":"&amp;FIXED(INT((N372+C12-(DEGREES(ASIN(P372))+90)/15-R372)*60+1/2),0)))</f>
        <v> Min.</v>
      </c>
      <c r="T372" s="4" t="str">
        <f>IF(P372&lt;-1,"Below",IF(P372&gt;1,"Above",INT(N372+C12+(DEGREES(ASIN(P372))+90)/15+5/600)))</f>
        <v>Below</v>
      </c>
      <c r="U372" s="1" t="str">
        <f>IF(OR(P372&lt;-1,P372&gt;1),IF(M13&gt;0," Min."," Horz."),IF(INT((N372+C12+(DEGREES(ASIN(P372))+90)/15-T372)*60+1/2)&lt;10,":0"&amp;FIXED(INT((N372+C12+(DEGREES(ASIN(P372))+90)/15-T372)*60+1/2),0),":"&amp;FIXED(INT((N372+C12+(DEGREES(ASIN(P372))+90)/15-T372)*60+1/2),0)))</f>
        <v> Min.</v>
      </c>
      <c r="V372" s="1">
        <f>ROUND(DEGREES(ASIN(COS(RADIANS(O372))*COS(RADIANS(L9))+SIN(RADIANS(O372))*SIN(RADIANS(L9)))),0)</f>
        <v>27</v>
      </c>
      <c r="W372" s="1" t="s">
        <v>17</v>
      </c>
      <c r="X372" s="18"/>
    </row>
    <row r="373" spans="1:24" ht="10.5" customHeight="1">
      <c r="A373" s="1"/>
      <c r="B373" s="15">
        <f>IF(M14&gt;0,solrdat!B344,solrdat!I344)</f>
        <v>40139</v>
      </c>
      <c r="C373" s="1">
        <f>IF(M14&gt;0,solrdat!C344,solrdat!J344)</f>
        <v>11.770972222222222</v>
      </c>
      <c r="D373" s="1">
        <f>IF(M14&gt;0,solrdat!D344,solrdat!K344)</f>
        <v>-20.279292</v>
      </c>
      <c r="E373" s="1">
        <f>(TAN(RADIANS(L9))*SIN(RADIANS(D373))-SIN(RADIANS(L13))/COS(RADIANS(L9)))/COS(RADIANS(D373))</f>
        <v>-1.2941076892918921</v>
      </c>
      <c r="F373" s="1" t="str">
        <f t="shared" si="10"/>
        <v>0</v>
      </c>
      <c r="G373" s="4" t="str">
        <f>IF(E373&lt;-1,"Below",IF(E373&gt;1,"Above",INT(C373+C12-(DEGREES(ASIN(E373))+90)/15+5/600)))</f>
        <v>Below</v>
      </c>
      <c r="H373" s="1" t="str">
        <f>IF(OR(E373&lt;-1,E373&gt;1),IF(M13&gt;0," Min."," Horz."),IF(INT((C373+C12-(DEGREES(ASIN(E373))+90)/15-G373)*60+1/2)&lt;10,":0"&amp;FIXED(INT((C373+C12-(DEGREES(ASIN(E373))+90)/15-G373)*60+1/2),0),":"&amp;FIXED(INT((C373+C12-(DEGREES(ASIN(E373))+90)/15-G373)*60+1/2),0)))</f>
        <v> Min.</v>
      </c>
      <c r="I373" s="4" t="str">
        <f>IF(E373&lt;-1,"Below",IF(E373&gt;1,"Above",INT(C373+C12+(DEGREES(ASIN(E373))+90)/15+5/600)))</f>
        <v>Below</v>
      </c>
      <c r="J373" s="1" t="str">
        <f>IF(OR(E373&lt;-1,E373&gt;1),IF(M13&gt;0," Min."," Horz."),IF(INT((C373+C12+(DEGREES(ASIN(E373))+90)/15-I373)*60+1/2)&lt;10,":0"&amp;FIXED(INT((C373+C12+(DEGREES(ASIN(E373))+90)/15-I373)*60+1/2),0),":"&amp;FIXED(INT((C373+C12+(DEGREES(ASIN(E373))+90)/15-I373)*60+1/2),0)))</f>
        <v> Min.</v>
      </c>
      <c r="K373" s="1">
        <f>ROUND(DEGREES(ASIN(COS(RADIANS(D373))*COS(RADIANS(L9))+SIN(RADIANS(D373))*SIN(RADIANS(L9)))),0)</f>
        <v>30</v>
      </c>
      <c r="L373" s="1" t="s">
        <v>17</v>
      </c>
      <c r="M373" s="16">
        <f>IF(M14&gt;0,solrdat!B376,solrdat!I376)</f>
        <v>40169</v>
      </c>
      <c r="N373" s="1">
        <f>IF(M14&gt;0,solrdat!C376,solrdat!J376)</f>
        <v>11.980083333333333</v>
      </c>
      <c r="O373" s="1">
        <f>IF(M14&gt;0,solrdat!D376,solrdat!K376)</f>
        <v>-23.434366</v>
      </c>
      <c r="P373" s="1">
        <f>(TAN(RADIANS(L9))*SIN(RADIANS(O373))-SIN(RADIANS(L13))/COS(RADIANS(L9)))/COS(RADIANS(O373))</f>
        <v>-1.3697532132159012</v>
      </c>
      <c r="Q373" s="1" t="str">
        <f t="shared" si="11"/>
        <v>0</v>
      </c>
      <c r="R373" s="4" t="str">
        <f>IF(P373&lt;-1,"Below",IF(P373&gt;1,"Above",INT(N373+C12-(DEGREES(ASIN(P373))+90)/15+5/600)))</f>
        <v>Below</v>
      </c>
      <c r="S373" s="1" t="str">
        <f>IF(OR(P373&lt;-1,P373&gt;1),IF(M13&gt;0," Min."," Horz."),IF(INT((N373+C12-(DEGREES(ASIN(P373))+90)/15-R373)*60+1/2)&lt;10,":0"&amp;FIXED(INT((N373+C12-(DEGREES(ASIN(P373))+90)/15-R373)*60+1/2),0),":"&amp;FIXED(INT((N373+C12-(DEGREES(ASIN(P373))+90)/15-R373)*60+1/2),0)))</f>
        <v> Min.</v>
      </c>
      <c r="T373" s="4" t="str">
        <f>IF(P373&lt;-1,"Below",IF(P373&gt;1,"Above",INT(N373+C12+(DEGREES(ASIN(P373))+90)/15+5/600)))</f>
        <v>Below</v>
      </c>
      <c r="U373" s="1" t="str">
        <f>IF(OR(P373&lt;-1,P373&gt;1),IF(M13&gt;0," Min."," Horz."),IF(INT((N373+C12+(DEGREES(ASIN(P373))+90)/15-T373)*60+1/2)&lt;10,":0"&amp;FIXED(INT((N373+C12+(DEGREES(ASIN(P373))+90)/15-T373)*60+1/2),0),":"&amp;FIXED(INT((N373+C12+(DEGREES(ASIN(P373))+90)/15-T373)*60+1/2),0)))</f>
        <v> Min.</v>
      </c>
      <c r="V373" s="1">
        <f>ROUND(DEGREES(ASIN(COS(RADIANS(O373))*COS(RADIANS(L9))+SIN(RADIANS(O373))*SIN(RADIANS(L9)))),0)</f>
        <v>27</v>
      </c>
      <c r="W373" s="1" t="s">
        <v>17</v>
      </c>
      <c r="X373" s="18"/>
    </row>
    <row r="374" spans="1:24" ht="10.5" customHeight="1">
      <c r="A374" s="1"/>
      <c r="B374" s="15">
        <f>IF(M14&gt;0,solrdat!B345,solrdat!I345)</f>
        <v>40140</v>
      </c>
      <c r="C374" s="1">
        <f>IF(M14&gt;0,solrdat!C345,solrdat!J345)</f>
        <v>11.775611111111111</v>
      </c>
      <c r="D374" s="1">
        <f>IF(M14&gt;0,solrdat!D345,solrdat!K345)</f>
        <v>-20.486403</v>
      </c>
      <c r="E374" s="1">
        <f>(TAN(RADIANS(L9))*SIN(RADIANS(D374))-SIN(RADIANS(L13))/COS(RADIANS(L9)))/COS(RADIANS(D374))</f>
        <v>-1.2988821535420396</v>
      </c>
      <c r="F374" s="1" t="str">
        <f t="shared" si="10"/>
        <v>0</v>
      </c>
      <c r="G374" s="4" t="str">
        <f>IF(E374&lt;-1,"Below",IF(E374&gt;1,"Above",INT(C374+C12-(DEGREES(ASIN(E374))+90)/15+5/600)))</f>
        <v>Below</v>
      </c>
      <c r="H374" s="1" t="str">
        <f>IF(OR(E374&lt;-1,E374&gt;1),IF(M13&gt;0," Min."," Horz."),IF(INT((C374+C12-(DEGREES(ASIN(E374))+90)/15-G374)*60+1/2)&lt;10,":0"&amp;FIXED(INT((C374+C12-(DEGREES(ASIN(E374))+90)/15-G374)*60+1/2),0),":"&amp;FIXED(INT((C374+C12-(DEGREES(ASIN(E374))+90)/15-G374)*60+1/2),0)))</f>
        <v> Min.</v>
      </c>
      <c r="I374" s="4" t="str">
        <f>IF(E374&lt;-1,"Below",IF(E374&gt;1,"Above",INT(C374+C12+(DEGREES(ASIN(E374))+90)/15+5/600)))</f>
        <v>Below</v>
      </c>
      <c r="J374" s="1" t="str">
        <f>IF(OR(E374&lt;-1,E374&gt;1),IF(M13&gt;0," Min."," Horz."),IF(INT((C374+C12+(DEGREES(ASIN(E374))+90)/15-I374)*60+1/2)&lt;10,":0"&amp;FIXED(INT((C374+C12+(DEGREES(ASIN(E374))+90)/15-I374)*60+1/2),0),":"&amp;FIXED(INT((C374+C12+(DEGREES(ASIN(E374))+90)/15-I374)*60+1/2),0)))</f>
        <v> Min.</v>
      </c>
      <c r="K374" s="1">
        <f>ROUND(DEGREES(ASIN(COS(RADIANS(D374))*COS(RADIANS(L9))+SIN(RADIANS(D374))*SIN(RADIANS(L9)))),0)</f>
        <v>30</v>
      </c>
      <c r="L374" s="1" t="s">
        <v>17</v>
      </c>
      <c r="M374" s="16">
        <f>IF(M14&gt;0,solrdat!B377,solrdat!I377)</f>
        <v>40170</v>
      </c>
      <c r="N374" s="1">
        <f>IF(M14&gt;0,solrdat!C377,solrdat!J377)</f>
        <v>11.98836111111111</v>
      </c>
      <c r="O374" s="1">
        <f>IF(M14&gt;0,solrdat!D377,solrdat!K377)</f>
        <v>-23.422176</v>
      </c>
      <c r="P374" s="1">
        <f>(TAN(RADIANS(L9))*SIN(RADIANS(O374))-SIN(RADIANS(L13))/COS(RADIANS(L9)))/COS(RADIANS(O374))</f>
        <v>-1.3694484234602866</v>
      </c>
      <c r="Q374" s="1" t="str">
        <f t="shared" si="11"/>
        <v>0</v>
      </c>
      <c r="R374" s="4" t="str">
        <f>IF(P374&lt;-1,"Below",IF(P374&gt;1,"Above",INT(N374+C12-(DEGREES(ASIN(P374))+90)/15+5/600)))</f>
        <v>Below</v>
      </c>
      <c r="S374" s="1" t="str">
        <f>IF(OR(P374&lt;-1,P374&gt;1),IF(M13&gt;0," Min."," Horz."),IF(INT((N374+C12-(DEGREES(ASIN(P374))+90)/15-R374)*60+1/2)&lt;10,":0"&amp;FIXED(INT((N374+C12-(DEGREES(ASIN(P374))+90)/15-R374)*60+1/2),0),":"&amp;FIXED(INT((N374+C12-(DEGREES(ASIN(P374))+90)/15-R374)*60+1/2),0)))</f>
        <v> Min.</v>
      </c>
      <c r="T374" s="4" t="str">
        <f>IF(P374&lt;-1,"Below",IF(P374&gt;1,"Above",INT(N374+C12+(DEGREES(ASIN(P374))+90)/15+5/600)))</f>
        <v>Below</v>
      </c>
      <c r="U374" s="1" t="str">
        <f>IF(OR(P374&lt;-1,P374&gt;1),IF(M13&gt;0," Min."," Horz."),IF(INT((N374+C12+(DEGREES(ASIN(P374))+90)/15-T374)*60+1/2)&lt;10,":0"&amp;FIXED(INT((N374+C12+(DEGREES(ASIN(P374))+90)/15-T374)*60+1/2),0),":"&amp;FIXED(INT((N374+C12+(DEGREES(ASIN(P374))+90)/15-T374)*60+1/2),0)))</f>
        <v> Min.</v>
      </c>
      <c r="V374" s="1">
        <f>ROUND(DEGREES(ASIN(COS(RADIANS(O374))*COS(RADIANS(L9))+SIN(RADIANS(O374))*SIN(RADIANS(L9)))),0)</f>
        <v>27</v>
      </c>
      <c r="W374" s="1" t="s">
        <v>17</v>
      </c>
      <c r="X374" s="18"/>
    </row>
    <row r="375" spans="1:24" ht="10.5" customHeight="1">
      <c r="A375" s="1"/>
      <c r="B375" s="15">
        <f>IF(M14&gt;0,solrdat!B346,solrdat!I346)</f>
        <v>40141</v>
      </c>
      <c r="C375" s="1">
        <f>IF(M14&gt;0,solrdat!C346,solrdat!J346)</f>
        <v>11.780472222222222</v>
      </c>
      <c r="D375" s="1">
        <f>IF(M14&gt;0,solrdat!D346,solrdat!K346)</f>
        <v>-20.687185</v>
      </c>
      <c r="E375" s="1">
        <f>(TAN(RADIANS(L9))*SIN(RADIANS(D375))-SIN(RADIANS(L13))/COS(RADIANS(L9)))/COS(RADIANS(D375))</f>
        <v>-1.3035353508916503</v>
      </c>
      <c r="F375" s="1" t="str">
        <f t="shared" si="10"/>
        <v>0</v>
      </c>
      <c r="G375" s="4" t="str">
        <f>IF(E375&lt;-1,"Below",IF(E375&gt;1,"Above",INT(C375+C12-(DEGREES(ASIN(E375))+90)/15+5/600)))</f>
        <v>Below</v>
      </c>
      <c r="H375" s="1" t="str">
        <f>IF(OR(E375&lt;-1,E375&gt;1),IF(M13&gt;0," Min."," Horz."),IF(INT((C375+C12-(DEGREES(ASIN(E375))+90)/15-G375)*60+1/2)&lt;10,":0"&amp;FIXED(INT((C375+C12-(DEGREES(ASIN(E375))+90)/15-G375)*60+1/2),0),":"&amp;FIXED(INT((C375+C12-(DEGREES(ASIN(E375))+90)/15-G375)*60+1/2),0)))</f>
        <v> Min.</v>
      </c>
      <c r="I375" s="4" t="str">
        <f>IF(E375&lt;-1,"Below",IF(E375&gt;1,"Above",INT(C375+C12+(DEGREES(ASIN(E375))+90)/15+5/600)))</f>
        <v>Below</v>
      </c>
      <c r="J375" s="1" t="str">
        <f>IF(OR(E375&lt;-1,E375&gt;1),IF(M13&gt;0," Min."," Horz."),IF(INT((C375+C12+(DEGREES(ASIN(E375))+90)/15-I375)*60+1/2)&lt;10,":0"&amp;FIXED(INT((C375+C12+(DEGREES(ASIN(E375))+90)/15-I375)*60+1/2),0),":"&amp;FIXED(INT((C375+C12+(DEGREES(ASIN(E375))+90)/15-I375)*60+1/2),0)))</f>
        <v> Min.</v>
      </c>
      <c r="K375" s="1">
        <f>ROUND(DEGREES(ASIN(COS(RADIANS(D375))*COS(RADIANS(L9))+SIN(RADIANS(D375))*SIN(RADIANS(L9)))),0)</f>
        <v>29</v>
      </c>
      <c r="L375" s="1" t="s">
        <v>17</v>
      </c>
      <c r="M375" s="16">
        <f>IF(M14&gt;0,solrdat!B378,solrdat!I378)</f>
        <v>40171</v>
      </c>
      <c r="N375" s="1">
        <f>IF(M14&gt;0,solrdat!C378,solrdat!J378)</f>
        <v>11.996638888888889</v>
      </c>
      <c r="O375" s="1">
        <f>IF(M14&gt;0,solrdat!D378,solrdat!K378)</f>
        <v>-23.402144</v>
      </c>
      <c r="P375" s="1">
        <f>(TAN(RADIANS(L9))*SIN(RADIANS(O375))-SIN(RADIANS(L13))/COS(RADIANS(L9)))/COS(RADIANS(O375))</f>
        <v>-1.3689477790008644</v>
      </c>
      <c r="Q375" s="1" t="str">
        <f t="shared" si="11"/>
        <v>0</v>
      </c>
      <c r="R375" s="4" t="str">
        <f>IF(P375&lt;-1,"Below",IF(P375&gt;1,"Above",INT(N375+C12-(DEGREES(ASIN(P375))+90)/15+5/600)))</f>
        <v>Below</v>
      </c>
      <c r="S375" s="1" t="str">
        <f>IF(OR(P375&lt;-1,P375&gt;1),IF(M13&gt;0," Min."," Horz."),IF(INT((N375+C12-(DEGREES(ASIN(P375))+90)/15-R375)*60+1/2)&lt;10,":0"&amp;FIXED(INT((N375+C12-(DEGREES(ASIN(P375))+90)/15-R375)*60+1/2),0),":"&amp;FIXED(INT((N375+C12-(DEGREES(ASIN(P375))+90)/15-R375)*60+1/2),0)))</f>
        <v> Min.</v>
      </c>
      <c r="T375" s="4" t="str">
        <f>IF(P375&lt;-1,"Below",IF(P375&gt;1,"Above",INT(N375+C12+(DEGREES(ASIN(P375))+90)/15+5/600)))</f>
        <v>Below</v>
      </c>
      <c r="U375" s="1" t="str">
        <f>IF(OR(P375&lt;-1,P375&gt;1),IF(M13&gt;0," Min."," Horz."),IF(INT((N375+C12+(DEGREES(ASIN(P375))+90)/15-T375)*60+1/2)&lt;10,":0"&amp;FIXED(INT((N375+C12+(DEGREES(ASIN(P375))+90)/15-T375)*60+1/2),0),":"&amp;FIXED(INT((N375+C12+(DEGREES(ASIN(P375))+90)/15-T375)*60+1/2),0)))</f>
        <v> Min.</v>
      </c>
      <c r="V375" s="1">
        <f>ROUND(DEGREES(ASIN(COS(RADIANS(O375))*COS(RADIANS(L9))+SIN(RADIANS(O375))*SIN(RADIANS(L9)))),0)</f>
        <v>27</v>
      </c>
      <c r="W375" s="1" t="s">
        <v>17</v>
      </c>
      <c r="X375" s="18"/>
    </row>
    <row r="376" spans="1:24" ht="10.5" customHeight="1">
      <c r="A376" s="1"/>
      <c r="B376" s="15">
        <f>IF(M14&gt;0,solrdat!B347,solrdat!I347)</f>
        <v>40142</v>
      </c>
      <c r="C376" s="1">
        <f>IF(M14&gt;0,solrdat!C347,solrdat!J347)</f>
        <v>11.785555555555556</v>
      </c>
      <c r="D376" s="1">
        <f>IF(M14&gt;0,solrdat!D347,solrdat!K347)</f>
        <v>-20.881547</v>
      </c>
      <c r="E376" s="1">
        <f>(TAN(RADIANS(L9))*SIN(RADIANS(D376))-SIN(RADIANS(L13))/COS(RADIANS(L9)))/COS(RADIANS(D376))</f>
        <v>-1.3080630633317567</v>
      </c>
      <c r="F376" s="1" t="str">
        <f t="shared" si="10"/>
        <v>0</v>
      </c>
      <c r="G376" s="4" t="str">
        <f>IF(E376&lt;-1,"Below",IF(E376&gt;1,"Above",INT(C376+C12-(DEGREES(ASIN(E376))+90)/15+5/600)))</f>
        <v>Below</v>
      </c>
      <c r="H376" s="1" t="str">
        <f>IF(OR(E376&lt;-1,E376&gt;1),IF(M13&gt;0," Min."," Horz."),IF(INT((C376+C12-(DEGREES(ASIN(E376))+90)/15-G376)*60+1/2)&lt;10,":0"&amp;FIXED(INT((C376+C12-(DEGREES(ASIN(E376))+90)/15-G376)*60+1/2),0),":"&amp;FIXED(INT((C376+C12-(DEGREES(ASIN(E376))+90)/15-G376)*60+1/2),0)))</f>
        <v> Min.</v>
      </c>
      <c r="I376" s="4" t="str">
        <f>IF(E376&lt;-1,"Below",IF(E376&gt;1,"Above",INT(C376+C12+(DEGREES(ASIN(E376))+90)/15+5/600)))</f>
        <v>Below</v>
      </c>
      <c r="J376" s="1" t="str">
        <f>IF(OR(E376&lt;-1,E376&gt;1),IF(M13&gt;0," Min."," Horz."),IF(INT((C376+C12+(DEGREES(ASIN(E376))+90)/15-I376)*60+1/2)&lt;10,":0"&amp;FIXED(INT((C376+C12+(DEGREES(ASIN(E376))+90)/15-I376)*60+1/2),0),":"&amp;FIXED(INT((C376+C12+(DEGREES(ASIN(E376))+90)/15-I376)*60+1/2),0)))</f>
        <v> Min.</v>
      </c>
      <c r="K376" s="1">
        <f>ROUND(DEGREES(ASIN(COS(RADIANS(D376))*COS(RADIANS(L9))+SIN(RADIANS(D376))*SIN(RADIANS(L9)))),0)</f>
        <v>29</v>
      </c>
      <c r="L376" s="1" t="s">
        <v>17</v>
      </c>
      <c r="M376" s="16">
        <f>IF(M14&gt;0,solrdat!B379,solrdat!I379)</f>
        <v>40172</v>
      </c>
      <c r="N376" s="1">
        <f>IF(M14&gt;0,solrdat!C379,solrdat!J379)</f>
        <v>12.004916666666666</v>
      </c>
      <c r="O376" s="1">
        <f>IF(M14&gt;0,solrdat!D379,solrdat!K379)</f>
        <v>-23.374282</v>
      </c>
      <c r="P376" s="1">
        <f>(TAN(RADIANS(L9))*SIN(RADIANS(O376))-SIN(RADIANS(L13))/COS(RADIANS(L9)))/COS(RADIANS(O376))</f>
        <v>-1.3682519015491725</v>
      </c>
      <c r="Q376" s="1" t="str">
        <f t="shared" si="11"/>
        <v>0</v>
      </c>
      <c r="R376" s="4" t="str">
        <f>IF(P376&lt;-1,"Below",IF(P376&gt;1,"Above",INT(N376+C12-(DEGREES(ASIN(P376))+90)/15+5/600)))</f>
        <v>Below</v>
      </c>
      <c r="S376" s="1" t="str">
        <f>IF(OR(P376&lt;-1,P376&gt;1),IF(M13&gt;0," Min."," Horz."),IF(INT((N376+C12-(DEGREES(ASIN(P376))+90)/15-R376)*60+1/2)&lt;10,":0"&amp;FIXED(INT((N376+C12-(DEGREES(ASIN(P376))+90)/15-R376)*60+1/2),0),":"&amp;FIXED(INT((N376+C12-(DEGREES(ASIN(P376))+90)/15-R376)*60+1/2),0)))</f>
        <v> Min.</v>
      </c>
      <c r="T376" s="4" t="str">
        <f>IF(P376&lt;-1,"Below",IF(P376&gt;1,"Above",INT(N376+C12+(DEGREES(ASIN(P376))+90)/15+5/600)))</f>
        <v>Below</v>
      </c>
      <c r="U376" s="1" t="str">
        <f>IF(OR(P376&lt;-1,P376&gt;1),IF(M13&gt;0," Min."," Horz."),IF(INT((N376+C12+(DEGREES(ASIN(P376))+90)/15-T376)*60+1/2)&lt;10,":0"&amp;FIXED(INT((N376+C12+(DEGREES(ASIN(P376))+90)/15-T376)*60+1/2),0),":"&amp;FIXED(INT((N376+C12+(DEGREES(ASIN(P376))+90)/15-T376)*60+1/2),0)))</f>
        <v> Min.</v>
      </c>
      <c r="V376" s="1">
        <f>ROUND(DEGREES(ASIN(COS(RADIANS(O376))*COS(RADIANS(L9))+SIN(RADIANS(O376))*SIN(RADIANS(L9)))),0)</f>
        <v>27</v>
      </c>
      <c r="W376" s="1" t="s">
        <v>17</v>
      </c>
      <c r="X376" s="18"/>
    </row>
    <row r="377" spans="1:24" ht="10.5" customHeight="1">
      <c r="A377" s="1"/>
      <c r="B377" s="15">
        <f>IF(M14&gt;0,solrdat!B348,solrdat!I348)</f>
        <v>40143</v>
      </c>
      <c r="C377" s="1">
        <f>IF(M14&gt;0,solrdat!C348,solrdat!J348)</f>
        <v>11.790805555555556</v>
      </c>
      <c r="D377" s="1">
        <f>IF(M14&gt;0,solrdat!D348,solrdat!K348)</f>
        <v>-21.069398</v>
      </c>
      <c r="E377" s="1">
        <f>(TAN(RADIANS(L9))*SIN(RADIANS(D377))-SIN(RADIANS(L13))/COS(RADIANS(L9)))/COS(RADIANS(D377))</f>
        <v>-1.3124610672621553</v>
      </c>
      <c r="F377" s="1" t="str">
        <f t="shared" si="10"/>
        <v>0</v>
      </c>
      <c r="G377" s="4" t="str">
        <f>IF(E377&lt;-1,"Below",IF(E377&gt;1,"Above",INT(C377+C12-(DEGREES(ASIN(E377))+90)/15+5/600)))</f>
        <v>Below</v>
      </c>
      <c r="H377" s="1" t="str">
        <f>IF(OR(E377&lt;-1,E377&gt;1),IF(M13&gt;0," Min."," Horz."),IF(INT((C377+C12-(DEGREES(ASIN(E377))+90)/15-G377)*60+1/2)&lt;10,":0"&amp;FIXED(INT((C377+C12-(DEGREES(ASIN(E377))+90)/15-G377)*60+1/2),0),":"&amp;FIXED(INT((C377+C12-(DEGREES(ASIN(E377))+90)/15-G377)*60+1/2),0)))</f>
        <v> Min.</v>
      </c>
      <c r="I377" s="4" t="str">
        <f>IF(E377&lt;-1,"Below",IF(E377&gt;1,"Above",INT(C377+C12+(DEGREES(ASIN(E377))+90)/15+5/600)))</f>
        <v>Below</v>
      </c>
      <c r="J377" s="1" t="str">
        <f>IF(OR(E377&lt;-1,E377&gt;1),IF(M13&gt;0," Min."," Horz."),IF(INT((C377+C12+(DEGREES(ASIN(E377))+90)/15-I377)*60+1/2)&lt;10,":0"&amp;FIXED(INT((C377+C12+(DEGREES(ASIN(E377))+90)/15-I377)*60+1/2),0),":"&amp;FIXED(INT((C377+C12+(DEGREES(ASIN(E377))+90)/15-I377)*60+1/2),0)))</f>
        <v> Min.</v>
      </c>
      <c r="K377" s="1">
        <f>ROUND(DEGREES(ASIN(COS(RADIANS(D377))*COS(RADIANS(L9))+SIN(RADIANS(D377))*SIN(RADIANS(L9)))),0)</f>
        <v>29</v>
      </c>
      <c r="L377" s="1" t="s">
        <v>17</v>
      </c>
      <c r="M377" s="16">
        <f>IF(M14&gt;0,solrdat!B380,solrdat!I380)</f>
        <v>40173</v>
      </c>
      <c r="N377" s="1">
        <f>IF(M14&gt;0,solrdat!C380,solrdat!J380)</f>
        <v>12.01313888888889</v>
      </c>
      <c r="O377" s="1">
        <f>IF(M14&gt;0,solrdat!D380,solrdat!K380)</f>
        <v>-23.338602</v>
      </c>
      <c r="P377" s="1">
        <f>(TAN(RADIANS(L9))*SIN(RADIANS(O377))-SIN(RADIANS(L13))/COS(RADIANS(L9)))/COS(RADIANS(O377))</f>
        <v>-1.3673615369440453</v>
      </c>
      <c r="Q377" s="1" t="str">
        <f t="shared" si="11"/>
        <v>0</v>
      </c>
      <c r="R377" s="4" t="str">
        <f>IF(P377&lt;-1,"Below",IF(P377&gt;1,"Above",INT(N377+C12-(DEGREES(ASIN(P377))+90)/15+5/600)))</f>
        <v>Below</v>
      </c>
      <c r="S377" s="1" t="str">
        <f>IF(OR(P377&lt;-1,P377&gt;1),IF(M13&gt;0," Min."," Horz."),IF(INT((N377+C12-(DEGREES(ASIN(P377))+90)/15-R377)*60+1/2)&lt;10,":0"&amp;FIXED(INT((N377+C12-(DEGREES(ASIN(P377))+90)/15-R377)*60+1/2),0),":"&amp;FIXED(INT((N377+C12-(DEGREES(ASIN(P377))+90)/15-R377)*60+1/2),0)))</f>
        <v> Min.</v>
      </c>
      <c r="T377" s="4" t="str">
        <f>IF(P377&lt;-1,"Below",IF(P377&gt;1,"Above",INT(N377+C12+(DEGREES(ASIN(P377))+90)/15+5/600)))</f>
        <v>Below</v>
      </c>
      <c r="U377" s="1" t="str">
        <f>IF(OR(P377&lt;-1,P377&gt;1),IF(M13&gt;0," Min."," Horz."),IF(INT((N377+C12+(DEGREES(ASIN(P377))+90)/15-T377)*60+1/2)&lt;10,":0"&amp;FIXED(INT((N377+C12+(DEGREES(ASIN(P377))+90)/15-T377)*60+1/2),0),":"&amp;FIXED(INT((N377+C12+(DEGREES(ASIN(P377))+90)/15-T377)*60+1/2),0)))</f>
        <v> Min.</v>
      </c>
      <c r="V377" s="1">
        <f>ROUND(DEGREES(ASIN(COS(RADIANS(O377))*COS(RADIANS(L9))+SIN(RADIANS(O377))*SIN(RADIANS(L9)))),0)</f>
        <v>27</v>
      </c>
      <c r="W377" s="1" t="s">
        <v>17</v>
      </c>
      <c r="X377" s="18"/>
    </row>
    <row r="378" spans="1:24" ht="10.5" customHeight="1">
      <c r="A378" s="1"/>
      <c r="B378" s="15">
        <f>IF(M14&gt;0,solrdat!B349,solrdat!I349)</f>
        <v>40144</v>
      </c>
      <c r="C378" s="1">
        <f>IF(M14&gt;0,solrdat!C349,solrdat!J349)</f>
        <v>11.796277777777778</v>
      </c>
      <c r="D378" s="1">
        <f>IF(M14&gt;0,solrdat!D349,solrdat!K349)</f>
        <v>-21.25065</v>
      </c>
      <c r="E378" s="1">
        <f>(TAN(RADIANS(L9))*SIN(RADIANS(D378))-SIN(RADIANS(L13))/COS(RADIANS(L9)))/COS(RADIANS(D378))</f>
        <v>-1.3167252094274822</v>
      </c>
      <c r="F378" s="1" t="str">
        <f t="shared" si="10"/>
        <v>0</v>
      </c>
      <c r="G378" s="4" t="str">
        <f>IF(E378&lt;-1,"Below",IF(E378&gt;1,"Above",INT(C378+C12-(DEGREES(ASIN(E378))+90)/15+5/600)))</f>
        <v>Below</v>
      </c>
      <c r="H378" s="1" t="str">
        <f>IF(OR(E378&lt;-1,E378&gt;1),IF(M13&gt;0," Min."," Horz."),IF(INT((C378+C12-(DEGREES(ASIN(E378))+90)/15-G378)*60+1/2)&lt;10,":0"&amp;FIXED(INT((C378+C12-(DEGREES(ASIN(E378))+90)/15-G378)*60+1/2),0),":"&amp;FIXED(INT((C378+C12-(DEGREES(ASIN(E378))+90)/15-G378)*60+1/2),0)))</f>
        <v> Min.</v>
      </c>
      <c r="I378" s="4" t="str">
        <f>IF(E378&lt;-1,"Below",IF(E378&gt;1,"Above",INT(C378+C12+(DEGREES(ASIN(E378))+90)/15+5/600)))</f>
        <v>Below</v>
      </c>
      <c r="J378" s="1" t="str">
        <f>IF(OR(E378&lt;-1,E378&gt;1),IF(M13&gt;0," Min."," Horz."),IF(INT((C378+C12+(DEGREES(ASIN(E378))+90)/15-I378)*60+1/2)&lt;10,":0"&amp;FIXED(INT((C378+C12+(DEGREES(ASIN(E378))+90)/15-I378)*60+1/2),0),":"&amp;FIXED(INT((C378+C12+(DEGREES(ASIN(E378))+90)/15-I378)*60+1/2),0)))</f>
        <v> Min.</v>
      </c>
      <c r="K378" s="1">
        <f>ROUND(DEGREES(ASIN(COS(RADIANS(D378))*COS(RADIANS(L9))+SIN(RADIANS(D378))*SIN(RADIANS(L9)))),0)</f>
        <v>29</v>
      </c>
      <c r="L378" s="1" t="s">
        <v>17</v>
      </c>
      <c r="M378" s="16">
        <f>IF(M14&gt;0,solrdat!B381,solrdat!I381)</f>
        <v>40174</v>
      </c>
      <c r="N378" s="1">
        <f>IF(M14&gt;0,solrdat!C381,solrdat!J381)</f>
        <v>12.021305555555555</v>
      </c>
      <c r="O378" s="1">
        <f>IF(M14&gt;0,solrdat!D381,solrdat!K381)</f>
        <v>-23.295125</v>
      </c>
      <c r="P378" s="1">
        <f>(TAN(RADIANS(L9))*SIN(RADIANS(O378))-SIN(RADIANS(L13))/COS(RADIANS(L9)))/COS(RADIANS(O378))</f>
        <v>-1.36627777794304</v>
      </c>
      <c r="Q378" s="1" t="str">
        <f t="shared" si="11"/>
        <v>0</v>
      </c>
      <c r="R378" s="4" t="str">
        <f>IF(P378&lt;-1,"Below",IF(P378&gt;1,"Above",INT(N378+C12-(DEGREES(ASIN(P378))+90)/15+5/600)))</f>
        <v>Below</v>
      </c>
      <c r="S378" s="1" t="str">
        <f>IF(OR(P378&lt;-1,P378&gt;1),IF(M13&gt;0," Min."," Horz."),IF(INT((N378+C12-(DEGREES(ASIN(P378))+90)/15-R378)*60+1/2)&lt;10,":0"&amp;FIXED(INT((N378+C12-(DEGREES(ASIN(P378))+90)/15-R378)*60+1/2),0),":"&amp;FIXED(INT((N378+C12-(DEGREES(ASIN(P378))+90)/15-R378)*60+1/2),0)))</f>
        <v> Min.</v>
      </c>
      <c r="T378" s="4" t="str">
        <f>IF(P378&lt;-1,"Below",IF(P378&gt;1,"Above",INT(N378+C12+(DEGREES(ASIN(P378))+90)/15+5/600)))</f>
        <v>Below</v>
      </c>
      <c r="U378" s="1" t="str">
        <f>IF(OR(P378&lt;-1,P378&gt;1),IF(M13&gt;0," Min."," Horz."),IF(INT((N378+C12+(DEGREES(ASIN(P378))+90)/15-T378)*60+1/2)&lt;10,":0"&amp;FIXED(INT((N378+C12+(DEGREES(ASIN(P378))+90)/15-T378)*60+1/2),0),":"&amp;FIXED(INT((N378+C12+(DEGREES(ASIN(P378))+90)/15-T378)*60+1/2),0)))</f>
        <v> Min.</v>
      </c>
      <c r="V378" s="1">
        <f>ROUND(DEGREES(ASIN(COS(RADIANS(O378))*COS(RADIANS(L9))+SIN(RADIANS(O378))*SIN(RADIANS(L9)))),0)</f>
        <v>27</v>
      </c>
      <c r="W378" s="1" t="s">
        <v>17</v>
      </c>
      <c r="X378" s="18"/>
    </row>
    <row r="379" spans="1:24" ht="10.5" customHeight="1">
      <c r="A379" s="1"/>
      <c r="B379" s="15">
        <f>IF(M14&gt;0,solrdat!B350,solrdat!I350)</f>
        <v>40145</v>
      </c>
      <c r="C379" s="1">
        <f>IF(M14&gt;0,solrdat!C350,solrdat!J350)</f>
        <v>11.801916666666667</v>
      </c>
      <c r="D379" s="1">
        <f>IF(M14&gt;0,solrdat!D350,solrdat!K350)</f>
        <v>-21.42522</v>
      </c>
      <c r="E379" s="1">
        <f>(TAN(RADIANS(L9))*SIN(RADIANS(D379))-SIN(RADIANS(L13))/COS(RADIANS(L9)))/COS(RADIANS(D379))</f>
        <v>-1.3208514613178566</v>
      </c>
      <c r="F379" s="1" t="str">
        <f t="shared" si="10"/>
        <v>0</v>
      </c>
      <c r="G379" s="4" t="str">
        <f>IF(E379&lt;-1,"Below",IF(E379&gt;1,"Above",INT(C379+C12-(DEGREES(ASIN(E379))+90)/15+5/600)))</f>
        <v>Below</v>
      </c>
      <c r="H379" s="1" t="str">
        <f>IF(OR(E379&lt;-1,E379&gt;1),IF(M13&gt;0," Min."," Horz."),IF(INT((C379+C12-(DEGREES(ASIN(E379))+90)/15-G379)*60+1/2)&lt;10,":0"&amp;FIXED(INT((C379+C12-(DEGREES(ASIN(E379))+90)/15-G379)*60+1/2),0),":"&amp;FIXED(INT((C379+C12-(DEGREES(ASIN(E379))+90)/15-G379)*60+1/2),0)))</f>
        <v> Min.</v>
      </c>
      <c r="I379" s="4" t="str">
        <f>IF(E379&lt;-1,"Below",IF(E379&gt;1,"Above",INT(C379+C12+(DEGREES(ASIN(E379))+90)/15+5/600)))</f>
        <v>Below</v>
      </c>
      <c r="J379" s="1" t="str">
        <f>IF(OR(E379&lt;-1,E379&gt;1),IF(M13&gt;0," Min."," Horz."),IF(INT((C379+C12+(DEGREES(ASIN(E379))+90)/15-I379)*60+1/2)&lt;10,":0"&amp;FIXED(INT((C379+C12+(DEGREES(ASIN(E379))+90)/15-I379)*60+1/2),0),":"&amp;FIXED(INT((C379+C12+(DEGREES(ASIN(E379))+90)/15-I379)*60+1/2),0)))</f>
        <v> Min.</v>
      </c>
      <c r="K379" s="1">
        <f>ROUND(DEGREES(ASIN(COS(RADIANS(D379))*COS(RADIANS(L9))+SIN(RADIANS(D379))*SIN(RADIANS(L9)))),0)</f>
        <v>29</v>
      </c>
      <c r="L379" s="1" t="s">
        <v>17</v>
      </c>
      <c r="M379" s="16">
        <f>IF(M14&gt;0,solrdat!B382,solrdat!I382)</f>
        <v>40175</v>
      </c>
      <c r="N379" s="1">
        <f>IF(M14&gt;0,solrdat!C382,solrdat!J382)</f>
        <v>12.029416666666666</v>
      </c>
      <c r="O379" s="1">
        <f>IF(M14&gt;0,solrdat!D382,solrdat!K382)</f>
        <v>-23.243873</v>
      </c>
      <c r="P379" s="1">
        <f>(TAN(RADIANS(L9))*SIN(RADIANS(O379))-SIN(RADIANS(L13))/COS(RADIANS(L9)))/COS(RADIANS(O379))</f>
        <v>-1.3650018620060205</v>
      </c>
      <c r="Q379" s="1" t="str">
        <f t="shared" si="11"/>
        <v>0</v>
      </c>
      <c r="R379" s="4" t="str">
        <f>IF(P379&lt;-1,"Below",IF(P379&gt;1,"Above",INT(N379+C12-(DEGREES(ASIN(P379))+90)/15+5/600)))</f>
        <v>Below</v>
      </c>
      <c r="S379" s="1" t="str">
        <f>IF(OR(P379&lt;-1,P379&gt;1),IF(M13&gt;0," Min."," Horz."),IF(INT((N379+C12-(DEGREES(ASIN(P379))+90)/15-R379)*60+1/2)&lt;10,":0"&amp;FIXED(INT((N379+C12-(DEGREES(ASIN(P379))+90)/15-R379)*60+1/2),0),":"&amp;FIXED(INT((N379+C12-(DEGREES(ASIN(P379))+90)/15-R379)*60+1/2),0)))</f>
        <v> Min.</v>
      </c>
      <c r="T379" s="4" t="str">
        <f>IF(P379&lt;-1,"Below",IF(P379&gt;1,"Above",INT(N379+C12+(DEGREES(ASIN(P379))+90)/15+5/600)))</f>
        <v>Below</v>
      </c>
      <c r="U379" s="1" t="str">
        <f>IF(OR(P379&lt;-1,P379&gt;1),IF(M13&gt;0," Min."," Horz."),IF(INT((N379+C12+(DEGREES(ASIN(P379))+90)/15-T379)*60+1/2)&lt;10,":0"&amp;FIXED(INT((N379+C12+(DEGREES(ASIN(P379))+90)/15-T379)*60+1/2),0),":"&amp;FIXED(INT((N379+C12+(DEGREES(ASIN(P379))+90)/15-T379)*60+1/2),0)))</f>
        <v> Min.</v>
      </c>
      <c r="V379" s="1">
        <f>ROUND(DEGREES(ASIN(COS(RADIANS(O379))*COS(RADIANS(L9))+SIN(RADIANS(O379))*SIN(RADIANS(L9)))),0)</f>
        <v>27</v>
      </c>
      <c r="W379" s="1" t="s">
        <v>17</v>
      </c>
      <c r="X379" s="18"/>
    </row>
    <row r="380" spans="1:24" ht="10.5" customHeight="1">
      <c r="A380" s="1"/>
      <c r="B380" s="15">
        <f>IF(M14&gt;0,solrdat!B351,solrdat!I351)</f>
        <v>40146</v>
      </c>
      <c r="C380" s="1">
        <f>IF(M14&gt;0,solrdat!C351,solrdat!J351)</f>
        <v>11.80775</v>
      </c>
      <c r="D380" s="1">
        <f>IF(M14&gt;0,solrdat!D351,solrdat!K351)</f>
        <v>-21.593028</v>
      </c>
      <c r="E380" s="1">
        <f>(TAN(RADIANS(L9))*SIN(RADIANS(D380))-SIN(RADIANS(L13))/COS(RADIANS(L9)))/COS(RADIANS(D380))</f>
        <v>-1.3248358796811732</v>
      </c>
      <c r="F380" s="1" t="str">
        <f t="shared" si="10"/>
        <v>0</v>
      </c>
      <c r="G380" s="4" t="str">
        <f>IF(E380&lt;-1,"Below",IF(E380&gt;1,"Above",INT(C380+C12-(DEGREES(ASIN(E380))+90)/15+5/600)))</f>
        <v>Below</v>
      </c>
      <c r="H380" s="1" t="str">
        <f>IF(OR(E380&lt;-1,E380&gt;1),IF(M13&gt;0," Min."," Horz."),IF(INT((C380+C12-(DEGREES(ASIN(E380))+90)/15-G380)*60+1/2)&lt;10,":0"&amp;FIXED(INT((C380+C12-(DEGREES(ASIN(E380))+90)/15-G380)*60+1/2),0),":"&amp;FIXED(INT((C380+C12-(DEGREES(ASIN(E380))+90)/15-G380)*60+1/2),0)))</f>
        <v> Min.</v>
      </c>
      <c r="I380" s="4" t="str">
        <f>IF(E380&lt;-1,"Below",IF(E380&gt;1,"Above",INT(C380+C12+(DEGREES(ASIN(E380))+90)/15+5/600)))</f>
        <v>Below</v>
      </c>
      <c r="J380" s="1" t="str">
        <f>IF(OR(E380&lt;-1,E380&gt;1),IF(M13&gt;0," Min."," Horz."),IF(INT((C380+C12+(DEGREES(ASIN(E380))+90)/15-I380)*60+1/2)&lt;10,":0"&amp;FIXED(INT((C380+C12+(DEGREES(ASIN(E380))+90)/15-I380)*60+1/2),0),":"&amp;FIXED(INT((C380+C12+(DEGREES(ASIN(E380))+90)/15-I380)*60+1/2),0)))</f>
        <v> Min.</v>
      </c>
      <c r="K380" s="1">
        <f>ROUND(DEGREES(ASIN(COS(RADIANS(D380))*COS(RADIANS(L9))+SIN(RADIANS(D380))*SIN(RADIANS(L9)))),0)</f>
        <v>28</v>
      </c>
      <c r="L380" s="1" t="s">
        <v>17</v>
      </c>
      <c r="M380" s="16">
        <f>IF(M14&gt;0,solrdat!B383,solrdat!I383)</f>
        <v>40176</v>
      </c>
      <c r="N380" s="1">
        <f>IF(M14&gt;0,solrdat!C383,solrdat!J383)</f>
        <v>12.0375</v>
      </c>
      <c r="O380" s="1">
        <f>IF(M14&gt;0,solrdat!D383,solrdat!K383)</f>
        <v>-23.184873</v>
      </c>
      <c r="P380" s="1">
        <f>(TAN(RADIANS(L9))*SIN(RADIANS(O380))-SIN(RADIANS(L13))/COS(RADIANS(L9)))/COS(RADIANS(O380))</f>
        <v>-1.363535268148324</v>
      </c>
      <c r="Q380" s="1" t="str">
        <f t="shared" si="11"/>
        <v>0</v>
      </c>
      <c r="R380" s="4" t="str">
        <f>IF(P380&lt;-1,"Below",IF(P380&gt;1,"Above",INT(N380+C12-(DEGREES(ASIN(P380))+90)/15+5/600)))</f>
        <v>Below</v>
      </c>
      <c r="S380" s="1" t="str">
        <f>IF(OR(P380&lt;-1,P380&gt;1),IF(M13&gt;0," Min."," Horz."),IF(INT((N380+C12-(DEGREES(ASIN(P380))+90)/15-R380)*60+1/2)&lt;10,":0"&amp;FIXED(INT((N380+C12-(DEGREES(ASIN(P380))+90)/15-R380)*60+1/2),0),":"&amp;FIXED(INT((N380+C12-(DEGREES(ASIN(P380))+90)/15-R380)*60+1/2),0)))</f>
        <v> Min.</v>
      </c>
      <c r="T380" s="4" t="str">
        <f>IF(P380&lt;-1,"Below",IF(P380&gt;1,"Above",INT(N380+C12+(DEGREES(ASIN(P380))+90)/15+5/600)))</f>
        <v>Below</v>
      </c>
      <c r="U380" s="1" t="str">
        <f>IF(OR(P380&lt;-1,P380&gt;1),IF(M13&gt;0," Min."," Horz."),IF(INT((N380+C12+(DEGREES(ASIN(P380))+90)/15-T380)*60+1/2)&lt;10,":0"&amp;FIXED(INT((N380+C12+(DEGREES(ASIN(P380))+90)/15-T380)*60+1/2),0),":"&amp;FIXED(INT((N380+C12+(DEGREES(ASIN(P380))+90)/15-T380)*60+1/2),0)))</f>
        <v> Min.</v>
      </c>
      <c r="V380" s="1">
        <f>ROUND(DEGREES(ASIN(COS(RADIANS(O380))*COS(RADIANS(L9))+SIN(RADIANS(O380))*SIN(RADIANS(L9)))),0)</f>
        <v>27</v>
      </c>
      <c r="W380" s="1" t="s">
        <v>17</v>
      </c>
      <c r="X380" s="18"/>
    </row>
    <row r="381" spans="1:24" ht="10.5" customHeight="1">
      <c r="A381" s="1"/>
      <c r="B381" s="15">
        <f>IF(M14&gt;0,solrdat!B352,solrdat!I352)</f>
        <v>40147</v>
      </c>
      <c r="C381" s="1">
        <f>IF(M14&gt;0,solrdat!C352,solrdat!J352)</f>
        <v>11.813777777777778</v>
      </c>
      <c r="D381" s="1">
        <f>IF(M14&gt;0,solrdat!D352,solrdat!K352)</f>
        <v>-21.753995</v>
      </c>
      <c r="E381" s="1">
        <f>(TAN(RADIANS(L9))*SIN(RADIANS(D381))-SIN(RADIANS(L13))/COS(RADIANS(L9)))/COS(RADIANS(D381))</f>
        <v>-1.3286745657140466</v>
      </c>
      <c r="F381" s="1" t="str">
        <f t="shared" si="10"/>
        <v>0</v>
      </c>
      <c r="G381" s="4" t="str">
        <f>IF(E381&lt;-1,"Below",IF(E381&gt;1,"Above",INT(C381+C12-(DEGREES(ASIN(E381))+90)/15+5/600)))</f>
        <v>Below</v>
      </c>
      <c r="H381" s="1" t="str">
        <f>IF(OR(E381&lt;-1,E381&gt;1),IF(M13&gt;0," Min."," Horz."),IF(INT((C381+C12-(DEGREES(ASIN(E381))+90)/15-G381)*60+1/2)&lt;10,":0"&amp;FIXED(INT((C381+C12-(DEGREES(ASIN(E381))+90)/15-G381)*60+1/2),0),":"&amp;FIXED(INT((C381+C12-(DEGREES(ASIN(E381))+90)/15-G381)*60+1/2),0)))</f>
        <v> Min.</v>
      </c>
      <c r="I381" s="4" t="str">
        <f>IF(E381&lt;-1,"Below",IF(E381&gt;1,"Above",INT(C381+C12+(DEGREES(ASIN(E381))+90)/15+5/600)))</f>
        <v>Below</v>
      </c>
      <c r="J381" s="1" t="str">
        <f>IF(OR(E381&lt;-1,E381&gt;1),IF(M13&gt;0," Min."," Horz."),IF(INT((C381+C12+(DEGREES(ASIN(E381))+90)/15-I381)*60+1/2)&lt;10,":0"&amp;FIXED(INT((C381+C12+(DEGREES(ASIN(E381))+90)/15-I381)*60+1/2),0),":"&amp;FIXED(INT((C381+C12+(DEGREES(ASIN(E381))+90)/15-I381)*60+1/2),0)))</f>
        <v> Min.</v>
      </c>
      <c r="K381" s="1">
        <f>ROUND(DEGREES(ASIN(COS(RADIANS(D381))*COS(RADIANS(L9))+SIN(RADIANS(D381))*SIN(RADIANS(L9)))),0)</f>
        <v>28</v>
      </c>
      <c r="L381" s="1" t="s">
        <v>17</v>
      </c>
      <c r="M381" s="16">
        <f>IF(M14&gt;0,solrdat!B384,solrdat!I384)</f>
        <v>40177</v>
      </c>
      <c r="N381" s="1">
        <f>IF(M14&gt;0,solrdat!C384,solrdat!J384)</f>
        <v>12.0455</v>
      </c>
      <c r="O381" s="1">
        <f>IF(M14&gt;0,solrdat!D384,solrdat!K384)</f>
        <v>-23.118157</v>
      </c>
      <c r="P381" s="1">
        <f>(TAN(RADIANS(L9))*SIN(RADIANS(O381))-SIN(RADIANS(L13))/COS(RADIANS(L9)))/COS(RADIANS(O381))</f>
        <v>-1.3618797132778402</v>
      </c>
      <c r="Q381" s="1" t="str">
        <f t="shared" si="11"/>
        <v>0</v>
      </c>
      <c r="R381" s="4" t="str">
        <f>IF(P381&lt;-1,"Below",IF(P381&gt;1,"Above",INT(N381+C12-(DEGREES(ASIN(P381))+90)/15+5/600)))</f>
        <v>Below</v>
      </c>
      <c r="S381" s="1" t="str">
        <f>IF(OR(P381&lt;-1,P381&gt;1),IF(M13&gt;0," Min."," Horz."),IF(INT((N381+C12-(DEGREES(ASIN(P381))+90)/15-R381)*60+1/2)&lt;10,":0"&amp;FIXED(INT((N381+C12-(DEGREES(ASIN(P381))+90)/15-R381)*60+1/2),0),":"&amp;FIXED(INT((N381+C12-(DEGREES(ASIN(P381))+90)/15-R381)*60+1/2),0)))</f>
        <v> Min.</v>
      </c>
      <c r="T381" s="4" t="str">
        <f>IF(P381&lt;-1,"Below",IF(P381&gt;1,"Above",INT(N381+C12+(DEGREES(ASIN(P381))+90)/15+5/600)))</f>
        <v>Below</v>
      </c>
      <c r="U381" s="1" t="str">
        <f>IF(OR(P381&lt;-1,P381&gt;1),IF(M13&gt;0," Min."," Horz."),IF(INT((N381+C12+(DEGREES(ASIN(P381))+90)/15-T381)*60+1/2)&lt;10,":0"&amp;FIXED(INT((N381+C12+(DEGREES(ASIN(P381))+90)/15-T381)*60+1/2),0),":"&amp;FIXED(INT((N381+C12+(DEGREES(ASIN(P381))+90)/15-T381)*60+1/2),0)))</f>
        <v> Min.</v>
      </c>
      <c r="V381" s="1">
        <f>ROUND(DEGREES(ASIN(COS(RADIANS(O381))*COS(RADIANS(L9))+SIN(RADIANS(O381))*SIN(RADIANS(L9)))),0)</f>
        <v>27</v>
      </c>
      <c r="W381" s="1" t="s">
        <v>17</v>
      </c>
      <c r="X381" s="18"/>
    </row>
    <row r="382" spans="1:24" ht="10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6">
        <f>IF(M14&gt;0,solrdat!B385,solrdat!I385)</f>
        <v>40178</v>
      </c>
      <c r="N382" s="1">
        <f>IF(M14&gt;0,solrdat!C385,solrdat!J385)</f>
        <v>12.053416666666667</v>
      </c>
      <c r="O382" s="1">
        <f>IF(M14&gt;0,solrdat!D385,solrdat!K385)</f>
        <v>-23.043755</v>
      </c>
      <c r="P382" s="1">
        <f>(TAN(RADIANS(L9))*SIN(RADIANS(O382))-SIN(RADIANS(L13))/COS(RADIANS(L9)))/COS(RADIANS(O382))</f>
        <v>-1.360036974780591</v>
      </c>
      <c r="Q382" s="1" t="str">
        <f t="shared" si="11"/>
        <v>0</v>
      </c>
      <c r="R382" s="4" t="str">
        <f>IF(P382&lt;-1,"Below",IF(P382&gt;1,"Above",INT(N382+C12-(DEGREES(ASIN(P382))+90)/15+5/600)))</f>
        <v>Below</v>
      </c>
      <c r="S382" s="1" t="str">
        <f>IF(OR(P382&lt;-1,P382&gt;1),IF(M13&gt;0," Min."," Horz."),IF(INT((N382+C12-(DEGREES(ASIN(P382))+90)/15-R382)*60+1/2)&lt;10,":0"&amp;FIXED(INT((N382+C12-(DEGREES(ASIN(P382))+90)/15-R382)*60+1/2),0),":"&amp;FIXED(INT((N382+C12-(DEGREES(ASIN(P382))+90)/15-R382)*60+1/2),0)))</f>
        <v> Min.</v>
      </c>
      <c r="T382" s="4" t="str">
        <f>IF(P382&lt;-1,"Below",IF(P382&gt;1,"Above",INT(N382+C12+(DEGREES(ASIN(P382))+90)/15+5/600)))</f>
        <v>Below</v>
      </c>
      <c r="U382" s="1" t="str">
        <f>IF(OR(P382&lt;-1,P382&gt;1),IF(M13&gt;0," Min."," Horz."),IF(INT((N382+C12+(DEGREES(ASIN(P382))+90)/15-T382)*60+1/2)&lt;10,":0"&amp;FIXED(INT((N382+C12+(DEGREES(ASIN(P382))+90)/15-T382)*60+1/2),0),":"&amp;FIXED(INT((N382+C12+(DEGREES(ASIN(P382))+90)/15-T382)*60+1/2),0)))</f>
        <v> Min.</v>
      </c>
      <c r="V382" s="1">
        <f>ROUND(DEGREES(ASIN(COS(RADIANS(O382))*COS(RADIANS(L9))+SIN(RADIANS(O382))*SIN(RADIANS(L9)))),0)</f>
        <v>27</v>
      </c>
      <c r="W382" s="1" t="s">
        <v>17</v>
      </c>
      <c r="X382" s="18"/>
    </row>
    <row r="383" spans="1:24" ht="10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0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8"/>
    </row>
    <row r="384" spans="1:24" ht="10.5" customHeight="1">
      <c r="A384" s="1"/>
      <c r="C384" s="1"/>
      <c r="D384" s="1"/>
      <c r="E384" s="1"/>
      <c r="F384" s="1">
        <f>COUNT(F352:F381)</f>
        <v>0</v>
      </c>
      <c r="G384" s="1"/>
      <c r="H384" s="1"/>
      <c r="I384" s="1"/>
      <c r="J384" s="4" t="str">
        <f>J318</f>
        <v>Average Daily Maximum Flying Time: </v>
      </c>
      <c r="K384" s="19">
        <f>IF(F384&lt;1,0,AVERAGE(F352:F381))</f>
        <v>0</v>
      </c>
      <c r="L384" s="1" t="s">
        <v>18</v>
      </c>
      <c r="M384" s="10"/>
      <c r="N384" s="1"/>
      <c r="O384" s="1"/>
      <c r="P384" s="1"/>
      <c r="Q384" s="1">
        <f>COUNT(Q352:Q382)</f>
        <v>0</v>
      </c>
      <c r="R384" s="1"/>
      <c r="S384" s="1"/>
      <c r="T384" s="1"/>
      <c r="U384" s="4" t="str">
        <f>U318</f>
        <v>Average Daily Maximum Flying Time: </v>
      </c>
      <c r="V384" s="19">
        <f>IF(Q384&lt;1,0,AVERAGE(Q352:Q382))</f>
        <v>0</v>
      </c>
      <c r="W384" s="1" t="s">
        <v>18</v>
      </c>
      <c r="X384" s="18"/>
    </row>
    <row r="385" spans="1:24" ht="10.5" customHeight="1">
      <c r="A385" s="1"/>
      <c r="C385" s="1"/>
      <c r="D385" s="1"/>
      <c r="E385" s="1"/>
      <c r="F385" s="1"/>
      <c r="G385" s="1"/>
      <c r="H385" s="1"/>
      <c r="I385" s="1"/>
      <c r="J385" s="4"/>
      <c r="K385" s="19"/>
      <c r="L385" s="1"/>
      <c r="M385" s="31"/>
      <c r="N385" s="1"/>
      <c r="O385" s="1"/>
      <c r="P385" s="1"/>
      <c r="Q385" s="1"/>
      <c r="R385" s="1"/>
      <c r="S385" s="1"/>
      <c r="T385" s="1"/>
      <c r="U385" s="4"/>
      <c r="V385" s="19"/>
      <c r="W385" s="1"/>
      <c r="X385" s="18"/>
    </row>
    <row r="386" spans="1:24" ht="10.5" customHeight="1">
      <c r="A386" s="1"/>
      <c r="B386" s="1"/>
      <c r="C386" s="1"/>
      <c r="D386" s="1"/>
      <c r="E386" s="1"/>
      <c r="F386" s="1"/>
      <c r="G386" s="1"/>
      <c r="I386" s="22"/>
      <c r="J386" s="23"/>
      <c r="K386" s="23"/>
      <c r="L386" s="23"/>
      <c r="M386" s="23"/>
      <c r="N386" s="23"/>
      <c r="O386" s="1"/>
      <c r="P386" s="1"/>
      <c r="Q386" s="1"/>
      <c r="R386" s="23"/>
      <c r="S386" s="24"/>
      <c r="U386" s="1"/>
      <c r="V386" s="1"/>
      <c r="W386" s="1"/>
      <c r="X386" s="18"/>
    </row>
    <row r="387" spans="1:24" ht="10.5" customHeight="1">
      <c r="A387" s="1"/>
      <c r="B387" s="1"/>
      <c r="C387" s="1"/>
      <c r="D387" s="1"/>
      <c r="E387" s="1"/>
      <c r="F387" s="1"/>
      <c r="G387" s="1"/>
      <c r="I387" s="25"/>
      <c r="J387" s="1"/>
      <c r="K387" s="1"/>
      <c r="L387" s="26" t="s">
        <v>19</v>
      </c>
      <c r="M387" s="1"/>
      <c r="N387" s="1"/>
      <c r="O387" s="1"/>
      <c r="P387" s="1"/>
      <c r="Q387" s="1"/>
      <c r="R387" s="1"/>
      <c r="S387" s="27"/>
      <c r="U387" s="1"/>
      <c r="V387" s="1"/>
      <c r="W387" s="1"/>
      <c r="X387" s="18"/>
    </row>
    <row r="388" spans="1:24" ht="10.5" customHeight="1">
      <c r="A388" s="1"/>
      <c r="B388" s="1"/>
      <c r="C388" s="1"/>
      <c r="D388" s="1"/>
      <c r="E388" s="1"/>
      <c r="F388" s="1"/>
      <c r="G388" s="1"/>
      <c r="I388" s="25"/>
      <c r="J388" s="8"/>
      <c r="K388" s="1"/>
      <c r="L388" s="1"/>
      <c r="M388" s="1"/>
      <c r="N388" s="1"/>
      <c r="O388" s="1"/>
      <c r="P388" s="1"/>
      <c r="Q388" s="1"/>
      <c r="R388" s="1"/>
      <c r="S388" s="27"/>
      <c r="U388" s="1"/>
      <c r="V388" s="1"/>
      <c r="W388" s="1"/>
      <c r="X388" s="18"/>
    </row>
    <row r="389" spans="1:24" ht="10.5" customHeight="1">
      <c r="A389" s="1"/>
      <c r="B389" s="1"/>
      <c r="C389" s="1"/>
      <c r="D389" s="1"/>
      <c r="E389" s="1"/>
      <c r="F389" s="1"/>
      <c r="G389" s="1"/>
      <c r="I389" s="25"/>
      <c r="J389" s="1" t="s">
        <v>20</v>
      </c>
      <c r="K389" s="1"/>
      <c r="L389" s="1"/>
      <c r="M389" s="1"/>
      <c r="N389" s="1"/>
      <c r="O389" s="1"/>
      <c r="P389" s="1"/>
      <c r="Q389" s="1"/>
      <c r="R389" s="1"/>
      <c r="S389" s="27"/>
      <c r="U389" s="1"/>
      <c r="V389" s="1"/>
      <c r="W389" s="1"/>
      <c r="X389" s="18"/>
    </row>
    <row r="390" spans="1:24" ht="10.5" customHeight="1">
      <c r="A390" s="1"/>
      <c r="B390" s="1"/>
      <c r="C390" s="1"/>
      <c r="D390" s="1"/>
      <c r="E390" s="1"/>
      <c r="F390" s="1"/>
      <c r="G390" s="1"/>
      <c r="I390" s="25"/>
      <c r="J390" s="1" t="s">
        <v>21</v>
      </c>
      <c r="K390" s="1"/>
      <c r="L390" s="1"/>
      <c r="M390" s="1"/>
      <c r="N390" s="1"/>
      <c r="O390" s="1"/>
      <c r="P390" s="1"/>
      <c r="Q390" s="1"/>
      <c r="R390" s="1"/>
      <c r="S390" s="27"/>
      <c r="U390" s="1"/>
      <c r="V390" s="1"/>
      <c r="W390" s="1"/>
      <c r="X390" s="18"/>
    </row>
    <row r="391" spans="1:24" ht="10.5" customHeight="1">
      <c r="A391" s="1"/>
      <c r="B391" s="1"/>
      <c r="C391" s="1"/>
      <c r="D391" s="1"/>
      <c r="E391" s="1"/>
      <c r="F391" s="1"/>
      <c r="G391" s="1"/>
      <c r="I391" s="25"/>
      <c r="J391" s="1"/>
      <c r="K391" s="1"/>
      <c r="L391" s="1"/>
      <c r="M391" s="1"/>
      <c r="N391" s="1"/>
      <c r="O391" s="1"/>
      <c r="P391" s="1"/>
      <c r="Q391" s="1"/>
      <c r="R391" s="1"/>
      <c r="S391" s="27"/>
      <c r="U391" s="1"/>
      <c r="V391" s="1"/>
      <c r="W391" s="1"/>
      <c r="X391" s="18"/>
    </row>
    <row r="392" spans="1:24" ht="10.5" customHeight="1">
      <c r="A392" s="1"/>
      <c r="B392" s="1"/>
      <c r="C392" s="1"/>
      <c r="D392" s="1"/>
      <c r="E392" s="1"/>
      <c r="F392" s="1"/>
      <c r="G392" s="1"/>
      <c r="I392" s="10"/>
      <c r="J392" s="1" t="s">
        <v>22</v>
      </c>
      <c r="K392" s="1"/>
      <c r="L392" s="1"/>
      <c r="M392" s="1"/>
      <c r="N392" s="1"/>
      <c r="O392" s="1"/>
      <c r="P392" s="1"/>
      <c r="Q392" s="1"/>
      <c r="R392" s="1"/>
      <c r="S392" s="27"/>
      <c r="U392" s="1"/>
      <c r="V392" s="1"/>
      <c r="W392" s="1"/>
      <c r="X392" s="18"/>
    </row>
    <row r="393" spans="1:24" ht="10.5" customHeight="1">
      <c r="A393" s="1"/>
      <c r="B393" s="1"/>
      <c r="C393" s="1"/>
      <c r="D393" s="1"/>
      <c r="E393" s="1"/>
      <c r="F393" s="1"/>
      <c r="G393" s="1"/>
      <c r="I393" s="10"/>
      <c r="J393" s="1" t="s">
        <v>23</v>
      </c>
      <c r="K393" s="1"/>
      <c r="L393" s="1"/>
      <c r="M393" s="1"/>
      <c r="N393" s="1"/>
      <c r="O393" s="1"/>
      <c r="P393" s="1"/>
      <c r="Q393" s="1"/>
      <c r="R393" s="1"/>
      <c r="S393" s="27"/>
      <c r="U393" s="1"/>
      <c r="V393" s="1"/>
      <c r="W393" s="1"/>
      <c r="X393" s="18"/>
    </row>
    <row r="394" spans="1:24" ht="10.5" customHeight="1">
      <c r="A394" s="1"/>
      <c r="B394" s="1"/>
      <c r="C394" s="1"/>
      <c r="D394" s="1"/>
      <c r="E394" s="1"/>
      <c r="F394" s="1"/>
      <c r="G394" s="1"/>
      <c r="I394" s="28" t="s">
        <v>24</v>
      </c>
      <c r="J394" s="29"/>
      <c r="K394" s="29"/>
      <c r="L394" s="29"/>
      <c r="M394" s="29"/>
      <c r="N394" s="29"/>
      <c r="O394" s="1"/>
      <c r="P394" s="1"/>
      <c r="Q394" s="1"/>
      <c r="R394" s="29"/>
      <c r="S394" s="30"/>
      <c r="U394" s="1"/>
      <c r="V394" s="1"/>
      <c r="W394" s="1"/>
      <c r="X394" s="18"/>
    </row>
    <row r="395" spans="1:24" ht="10.5" customHeight="1">
      <c r="A395" s="1"/>
      <c r="B395" s="1"/>
      <c r="C395" s="1"/>
      <c r="D395" s="1"/>
      <c r="E395" s="1"/>
      <c r="F395" s="1"/>
      <c r="G395" s="1"/>
      <c r="I395" s="31"/>
      <c r="J395" s="31"/>
      <c r="K395" s="31"/>
      <c r="L395" s="31"/>
      <c r="M395" s="31"/>
      <c r="N395" s="31"/>
      <c r="O395" s="1"/>
      <c r="P395" s="1"/>
      <c r="Q395" s="1"/>
      <c r="R395" s="31"/>
      <c r="S395" s="31"/>
      <c r="U395" s="1"/>
      <c r="V395" s="1"/>
      <c r="W395" s="1"/>
      <c r="X395" s="18"/>
    </row>
    <row r="396" spans="1:24" ht="10.5" customHeight="1">
      <c r="A396" s="1"/>
      <c r="B396" s="1"/>
      <c r="C396" s="1"/>
      <c r="D396" s="1"/>
      <c r="E396" s="1"/>
      <c r="F396" s="1"/>
      <c r="G396" s="1"/>
      <c r="H396" s="31"/>
      <c r="I396" s="31"/>
      <c r="J396" s="31"/>
      <c r="K396" s="31"/>
      <c r="L396" s="31"/>
      <c r="M396" s="31"/>
      <c r="N396" s="1"/>
      <c r="O396" s="1"/>
      <c r="P396" s="1"/>
      <c r="Q396" s="31"/>
      <c r="R396" s="31"/>
      <c r="S396" s="31"/>
      <c r="T396" s="1"/>
      <c r="U396" s="1"/>
      <c r="V396" s="1"/>
      <c r="W396" s="1"/>
      <c r="X396" s="18"/>
    </row>
  </sheetData>
  <sheetProtection password="CB68" sheet="1" objects="1" scenarios="1"/>
  <mergeCells count="30">
    <mergeCell ref="U71:W71"/>
    <mergeCell ref="U73:W73"/>
    <mergeCell ref="G5:S5"/>
    <mergeCell ref="G7:S7"/>
    <mergeCell ref="U5:W5"/>
    <mergeCell ref="U7:W7"/>
    <mergeCell ref="J3:R3"/>
    <mergeCell ref="J69:R69"/>
    <mergeCell ref="J135:R135"/>
    <mergeCell ref="G137:S137"/>
    <mergeCell ref="G71:S71"/>
    <mergeCell ref="G73:S73"/>
    <mergeCell ref="G139:S139"/>
    <mergeCell ref="U137:W137"/>
    <mergeCell ref="U139:W139"/>
    <mergeCell ref="J201:R201"/>
    <mergeCell ref="G203:S203"/>
    <mergeCell ref="G205:S205"/>
    <mergeCell ref="U203:W203"/>
    <mergeCell ref="U205:W205"/>
    <mergeCell ref="J267:R267"/>
    <mergeCell ref="G269:S269"/>
    <mergeCell ref="G271:S271"/>
    <mergeCell ref="U269:W269"/>
    <mergeCell ref="U271:W271"/>
    <mergeCell ref="J333:R333"/>
    <mergeCell ref="G335:S335"/>
    <mergeCell ref="G337:S337"/>
    <mergeCell ref="U335:W335"/>
    <mergeCell ref="U337:W337"/>
  </mergeCells>
  <printOptions/>
  <pageMargins left="0.5" right="0.5" top="0.5" bottom="0.5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387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2" max="2" width="11.77734375" style="0" customWidth="1"/>
    <col min="8" max="8" width="9.77734375" style="0" customWidth="1"/>
    <col min="9" max="9" width="11.77734375" style="0" customWidth="1"/>
  </cols>
  <sheetData>
    <row r="1" spans="1:12" ht="15">
      <c r="A1" s="37">
        <v>1900</v>
      </c>
      <c r="B1" s="38">
        <f>DATE(108,12,31)</f>
        <v>39813</v>
      </c>
      <c r="C1" s="35">
        <f>12-(TRUNC(E1,0)+MOD(E1,1)*5/3)/60</f>
        <v>12.055527777777778</v>
      </c>
      <c r="D1">
        <v>-23.025368</v>
      </c>
      <c r="E1" s="36">
        <v>-3.199</v>
      </c>
      <c r="H1" s="37">
        <v>1900</v>
      </c>
      <c r="I1" s="38">
        <f>DATE(107,12,31)</f>
        <v>39447</v>
      </c>
      <c r="J1" s="35">
        <f>12-(TRUNC(L1,0)+MOD(L1,1)*5/3)/60</f>
        <v>12.049555555555555</v>
      </c>
      <c r="K1" s="39">
        <v>-23.08469</v>
      </c>
      <c r="L1" s="40">
        <v>-2.584</v>
      </c>
    </row>
    <row r="2" spans="1:12" ht="15">
      <c r="A2" s="33"/>
      <c r="B2" s="33"/>
      <c r="C2" s="33"/>
      <c r="D2" s="33"/>
      <c r="E2" s="33"/>
      <c r="H2" s="33"/>
      <c r="I2" s="33"/>
      <c r="J2" s="33"/>
      <c r="K2" s="33"/>
      <c r="L2" s="33"/>
    </row>
    <row r="3" spans="1:12" ht="15">
      <c r="A3" s="33"/>
      <c r="B3" s="38">
        <f>DATE(109,1,1)</f>
        <v>39814</v>
      </c>
      <c r="C3" s="35">
        <f>12-(TRUNC(E3,0)+MOD(E3,1)*5/3)/60</f>
        <v>12.06338888888889</v>
      </c>
      <c r="D3" s="35">
        <v>-22.941312</v>
      </c>
      <c r="E3" s="37">
        <v>-3.482</v>
      </c>
      <c r="F3" s="32"/>
      <c r="H3" s="33"/>
      <c r="I3" s="38">
        <f>DATE(108,1,1)</f>
        <v>39448</v>
      </c>
      <c r="J3" s="35">
        <f>12-(TRUNC(L3,0)+MOD(L3,1)*5/3)/60</f>
        <v>12.0575</v>
      </c>
      <c r="K3" s="35">
        <v>-23.006486</v>
      </c>
      <c r="L3" s="37">
        <v>-3.27</v>
      </c>
    </row>
    <row r="4" spans="1:13" ht="15">
      <c r="A4" s="33"/>
      <c r="B4" s="34">
        <f aca="true" t="shared" si="0" ref="B4:B33">B3+1</f>
        <v>39815</v>
      </c>
      <c r="C4" s="35">
        <f aca="true" t="shared" si="1" ref="C4:C62">12-(TRUNC(E4,0)+MOD(E4,1)*5/3)/60</f>
        <v>12.071166666666667</v>
      </c>
      <c r="D4" s="33">
        <v>-22.849639</v>
      </c>
      <c r="E4" s="40">
        <v>-4.162</v>
      </c>
      <c r="F4" s="32"/>
      <c r="H4" s="33"/>
      <c r="I4" s="34">
        <f aca="true" t="shared" si="2" ref="I4:I33">I3+1</f>
        <v>39449</v>
      </c>
      <c r="J4" s="35">
        <f aca="true" t="shared" si="3" ref="J4:J62">12-(TRUNC(L4,0)+MOD(L4,1)*5/3)/60</f>
        <v>12.065333333333333</v>
      </c>
      <c r="K4" s="33">
        <v>-22.920613</v>
      </c>
      <c r="L4" s="40">
        <v>-3.552</v>
      </c>
      <c r="M4" s="32"/>
    </row>
    <row r="5" spans="1:13" ht="15">
      <c r="A5" s="33"/>
      <c r="B5" s="34">
        <f t="shared" si="0"/>
        <v>39816</v>
      </c>
      <c r="C5" s="35">
        <f t="shared" si="1"/>
        <v>12.078805555555556</v>
      </c>
      <c r="D5" s="39">
        <v>-22.750397</v>
      </c>
      <c r="E5" s="40">
        <v>-4.437</v>
      </c>
      <c r="F5" s="32"/>
      <c r="H5" s="33"/>
      <c r="I5" s="34">
        <f t="shared" si="2"/>
        <v>39450</v>
      </c>
      <c r="J5" s="35">
        <f t="shared" si="3"/>
        <v>12.073083333333333</v>
      </c>
      <c r="K5" s="39">
        <v>-22.827114</v>
      </c>
      <c r="L5" s="40">
        <v>-4.231</v>
      </c>
      <c r="M5" s="32"/>
    </row>
    <row r="6" spans="1:13" ht="15">
      <c r="A6" s="33"/>
      <c r="B6" s="34">
        <f t="shared" si="0"/>
        <v>39817</v>
      </c>
      <c r="C6" s="35">
        <f t="shared" si="1"/>
        <v>12.086361111111112</v>
      </c>
      <c r="D6" s="39">
        <v>-22.643637</v>
      </c>
      <c r="E6" s="40">
        <v>-5.109</v>
      </c>
      <c r="F6" s="32"/>
      <c r="H6" s="33"/>
      <c r="I6" s="34">
        <f t="shared" si="2"/>
        <v>39451</v>
      </c>
      <c r="J6" s="35">
        <f t="shared" si="3"/>
        <v>12.080722222222223</v>
      </c>
      <c r="K6" s="39">
        <v>-22.726035</v>
      </c>
      <c r="L6" s="40">
        <v>-4.506</v>
      </c>
      <c r="M6" s="32"/>
    </row>
    <row r="7" spans="1:13" ht="15">
      <c r="A7" s="33"/>
      <c r="B7" s="34">
        <f t="shared" si="0"/>
        <v>39818</v>
      </c>
      <c r="C7" s="35">
        <f t="shared" si="1"/>
        <v>12.093777777777778</v>
      </c>
      <c r="D7" s="39">
        <v>-22.529416</v>
      </c>
      <c r="E7" s="40">
        <v>-5.376</v>
      </c>
      <c r="F7" s="32"/>
      <c r="H7" s="33"/>
      <c r="I7" s="34">
        <f t="shared" si="2"/>
        <v>39452</v>
      </c>
      <c r="J7" s="35">
        <f t="shared" si="3"/>
        <v>12.088277777777778</v>
      </c>
      <c r="K7" s="39">
        <v>-22.617427</v>
      </c>
      <c r="L7" s="40">
        <v>-5.178</v>
      </c>
      <c r="M7" s="32"/>
    </row>
    <row r="8" spans="1:13" ht="15">
      <c r="A8" s="33"/>
      <c r="B8" s="34">
        <f t="shared" si="0"/>
        <v>39819</v>
      </c>
      <c r="C8" s="35">
        <f t="shared" si="1"/>
        <v>12.101055555555556</v>
      </c>
      <c r="D8" s="39">
        <v>-22.407792</v>
      </c>
      <c r="E8" s="40">
        <v>-6.038</v>
      </c>
      <c r="F8" s="32"/>
      <c r="H8" s="33"/>
      <c r="I8" s="34">
        <f t="shared" si="2"/>
        <v>39453</v>
      </c>
      <c r="J8" s="35">
        <f t="shared" si="3"/>
        <v>12.095694444444444</v>
      </c>
      <c r="K8" s="39">
        <v>-22.501344</v>
      </c>
      <c r="L8" s="40">
        <v>-5.445</v>
      </c>
      <c r="M8" s="32"/>
    </row>
    <row r="9" spans="1:13" ht="15">
      <c r="A9" s="33"/>
      <c r="B9" s="34">
        <f t="shared" si="0"/>
        <v>39820</v>
      </c>
      <c r="C9" s="35">
        <f t="shared" si="1"/>
        <v>12.108222222222222</v>
      </c>
      <c r="D9" s="39">
        <v>-22.278831</v>
      </c>
      <c r="E9" s="40">
        <v>-6.296</v>
      </c>
      <c r="F9" s="32"/>
      <c r="H9" s="33"/>
      <c r="I9" s="34">
        <f t="shared" si="2"/>
        <v>39454</v>
      </c>
      <c r="J9" s="35">
        <f t="shared" si="3"/>
        <v>12.103</v>
      </c>
      <c r="K9" s="39">
        <v>-22.377847</v>
      </c>
      <c r="L9" s="40">
        <v>-6.108</v>
      </c>
      <c r="M9" s="32"/>
    </row>
    <row r="10" spans="1:13" ht="15">
      <c r="A10" s="33"/>
      <c r="B10" s="34">
        <f t="shared" si="0"/>
        <v>39821</v>
      </c>
      <c r="C10" s="35">
        <f t="shared" si="1"/>
        <v>12.115222222222222</v>
      </c>
      <c r="D10" s="39">
        <v>-22.142597</v>
      </c>
      <c r="E10" s="36">
        <v>-6.548</v>
      </c>
      <c r="F10" s="32"/>
      <c r="H10" s="33"/>
      <c r="I10" s="34">
        <f t="shared" si="2"/>
        <v>39455</v>
      </c>
      <c r="J10" s="35">
        <f t="shared" si="3"/>
        <v>12.110138888888889</v>
      </c>
      <c r="K10" s="39">
        <v>-22.246997</v>
      </c>
      <c r="L10" s="36">
        <v>-6.365</v>
      </c>
      <c r="M10" s="32"/>
    </row>
    <row r="11" spans="1:13" ht="15">
      <c r="A11" s="33"/>
      <c r="B11" s="34">
        <f t="shared" si="0"/>
        <v>39822</v>
      </c>
      <c r="C11" s="35">
        <f t="shared" si="1"/>
        <v>12.122055555555555</v>
      </c>
      <c r="D11" s="39">
        <v>-21.999159</v>
      </c>
      <c r="E11" s="36">
        <v>-7.194</v>
      </c>
      <c r="F11" s="32"/>
      <c r="H11" s="33"/>
      <c r="I11" s="34">
        <f t="shared" si="2"/>
        <v>39456</v>
      </c>
      <c r="J11" s="35">
        <f t="shared" si="3"/>
        <v>12.117166666666666</v>
      </c>
      <c r="K11" s="39">
        <v>-22.108862</v>
      </c>
      <c r="L11" s="36">
        <v>-7.018</v>
      </c>
      <c r="M11" s="32"/>
    </row>
    <row r="12" spans="1:13" ht="15">
      <c r="A12" s="33"/>
      <c r="B12" s="34">
        <f t="shared" si="0"/>
        <v>39823</v>
      </c>
      <c r="C12" s="35">
        <f t="shared" si="1"/>
        <v>12.12875</v>
      </c>
      <c r="D12" s="39">
        <v>-21.848584</v>
      </c>
      <c r="E12" s="36">
        <v>-7.435</v>
      </c>
      <c r="F12" s="32"/>
      <c r="H12" s="33"/>
      <c r="I12" s="34">
        <f t="shared" si="2"/>
        <v>39457</v>
      </c>
      <c r="J12" s="35">
        <f t="shared" si="3"/>
        <v>12.124027777777778</v>
      </c>
      <c r="K12" s="39">
        <v>-21.963512</v>
      </c>
      <c r="L12" s="36">
        <v>-7.265</v>
      </c>
      <c r="M12" s="32"/>
    </row>
    <row r="13" spans="1:13" ht="15">
      <c r="A13" s="33"/>
      <c r="B13" s="34">
        <f t="shared" si="0"/>
        <v>39824</v>
      </c>
      <c r="C13" s="35">
        <f t="shared" si="1"/>
        <v>12.135277777777778</v>
      </c>
      <c r="D13" s="39">
        <v>-21.69094</v>
      </c>
      <c r="E13" s="36">
        <v>-8.07</v>
      </c>
      <c r="F13" s="32"/>
      <c r="H13" s="33"/>
      <c r="I13" s="34">
        <f t="shared" si="2"/>
        <v>39458</v>
      </c>
      <c r="J13" s="35">
        <f t="shared" si="3"/>
        <v>12.130722222222222</v>
      </c>
      <c r="K13" s="39">
        <v>-21.811018</v>
      </c>
      <c r="L13" s="36">
        <v>-7.506</v>
      </c>
      <c r="M13" s="32"/>
    </row>
    <row r="14" spans="1:13" ht="15">
      <c r="A14" s="33"/>
      <c r="B14" s="34">
        <f t="shared" si="0"/>
        <v>39825</v>
      </c>
      <c r="C14" s="35">
        <f t="shared" si="1"/>
        <v>12.141666666666667</v>
      </c>
      <c r="D14" s="39">
        <v>-21.526293</v>
      </c>
      <c r="E14" s="36">
        <v>-8.3</v>
      </c>
      <c r="F14" s="32"/>
      <c r="H14" s="33"/>
      <c r="I14" s="34">
        <f t="shared" si="2"/>
        <v>39459</v>
      </c>
      <c r="J14" s="35">
        <f t="shared" si="3"/>
        <v>12.137277777777777</v>
      </c>
      <c r="K14" s="39">
        <v>-21.651456</v>
      </c>
      <c r="L14" s="36">
        <v>-8.142</v>
      </c>
      <c r="M14" s="32"/>
    </row>
    <row r="15" spans="1:13" ht="15">
      <c r="A15" s="33"/>
      <c r="B15" s="34">
        <f t="shared" si="0"/>
        <v>39826</v>
      </c>
      <c r="C15" s="35">
        <f t="shared" si="1"/>
        <v>12.147833333333333</v>
      </c>
      <c r="D15">
        <v>-21.354711</v>
      </c>
      <c r="E15" s="36">
        <v>-8.522</v>
      </c>
      <c r="F15" s="32"/>
      <c r="H15" s="33"/>
      <c r="I15" s="34">
        <f t="shared" si="2"/>
        <v>39460</v>
      </c>
      <c r="J15" s="35">
        <f t="shared" si="3"/>
        <v>12.143638888888889</v>
      </c>
      <c r="K15">
        <v>-21.484906</v>
      </c>
      <c r="L15" s="36">
        <v>-8.371</v>
      </c>
      <c r="M15" s="32"/>
    </row>
    <row r="16" spans="1:13" ht="15">
      <c r="A16" s="33"/>
      <c r="B16" s="34">
        <f t="shared" si="0"/>
        <v>39827</v>
      </c>
      <c r="C16" s="35">
        <f t="shared" si="1"/>
        <v>12.15386111111111</v>
      </c>
      <c r="D16">
        <v>-21.176264</v>
      </c>
      <c r="E16" s="36">
        <v>-9.139</v>
      </c>
      <c r="F16" s="32"/>
      <c r="H16" s="33"/>
      <c r="I16" s="34">
        <f t="shared" si="2"/>
        <v>39461</v>
      </c>
      <c r="J16" s="35">
        <f t="shared" si="3"/>
        <v>12.149805555555556</v>
      </c>
      <c r="K16">
        <v>-21.311449</v>
      </c>
      <c r="L16" s="36">
        <v>-8.593</v>
      </c>
      <c r="M16" s="32"/>
    </row>
    <row r="17" spans="1:13" ht="15">
      <c r="A17" s="33"/>
      <c r="B17" s="34">
        <f t="shared" si="0"/>
        <v>39828</v>
      </c>
      <c r="C17" s="35">
        <f t="shared" si="1"/>
        <v>12.159694444444444</v>
      </c>
      <c r="D17">
        <v>-20.991027</v>
      </c>
      <c r="E17" s="36">
        <v>-9.349</v>
      </c>
      <c r="F17" s="32"/>
      <c r="H17" s="33"/>
      <c r="I17" s="34">
        <f t="shared" si="2"/>
        <v>39462</v>
      </c>
      <c r="J17" s="35">
        <f t="shared" si="3"/>
        <v>12.155805555555556</v>
      </c>
      <c r="K17">
        <v>-21.131172</v>
      </c>
      <c r="L17" s="36">
        <v>-9.209</v>
      </c>
      <c r="M17" s="32"/>
    </row>
    <row r="18" spans="1:13" ht="15">
      <c r="A18" s="33"/>
      <c r="B18" s="34">
        <f t="shared" si="0"/>
        <v>39829</v>
      </c>
      <c r="C18" s="35">
        <f t="shared" si="1"/>
        <v>12.16536111111111</v>
      </c>
      <c r="D18">
        <v>-20.799083</v>
      </c>
      <c r="E18" s="36">
        <v>-9.553</v>
      </c>
      <c r="F18" s="32"/>
      <c r="H18" s="33"/>
      <c r="I18" s="34">
        <f t="shared" si="2"/>
        <v>39463</v>
      </c>
      <c r="J18" s="35">
        <f t="shared" si="3"/>
        <v>12.16161111111111</v>
      </c>
      <c r="K18">
        <v>-20.944162</v>
      </c>
      <c r="L18" s="36">
        <v>-9.418</v>
      </c>
      <c r="M18" s="32"/>
    </row>
    <row r="19" spans="1:13" ht="15">
      <c r="A19" s="33"/>
      <c r="B19" s="34">
        <f t="shared" si="0"/>
        <v>39830</v>
      </c>
      <c r="C19" s="35">
        <f t="shared" si="1"/>
        <v>12.170805555555555</v>
      </c>
      <c r="D19">
        <v>-20.600518</v>
      </c>
      <c r="E19" s="36">
        <v>-10.149</v>
      </c>
      <c r="F19" s="32"/>
      <c r="H19" s="33"/>
      <c r="I19" s="34">
        <f t="shared" si="2"/>
        <v>39464</v>
      </c>
      <c r="J19" s="35">
        <f t="shared" si="3"/>
        <v>12.167222222222222</v>
      </c>
      <c r="K19">
        <v>-20.750512</v>
      </c>
      <c r="L19" s="36">
        <v>-10.02</v>
      </c>
      <c r="M19" s="32"/>
    </row>
    <row r="20" spans="1:13" ht="15">
      <c r="A20" s="33"/>
      <c r="B20" s="34">
        <f t="shared" si="0"/>
        <v>39831</v>
      </c>
      <c r="C20" s="35">
        <f t="shared" si="1"/>
        <v>12.176083333333333</v>
      </c>
      <c r="D20">
        <v>-20.395421</v>
      </c>
      <c r="E20" s="36">
        <v>-10.339</v>
      </c>
      <c r="F20" s="32"/>
      <c r="H20" s="33"/>
      <c r="I20" s="34">
        <f t="shared" si="2"/>
        <v>39465</v>
      </c>
      <c r="J20" s="35">
        <f t="shared" si="3"/>
        <v>12.172638888888889</v>
      </c>
      <c r="K20">
        <v>-20.550316</v>
      </c>
      <c r="L20" s="36">
        <v>-10.215</v>
      </c>
      <c r="M20" s="32"/>
    </row>
    <row r="21" spans="1:13" ht="15">
      <c r="A21" s="33"/>
      <c r="B21" s="34">
        <f t="shared" si="0"/>
        <v>39832</v>
      </c>
      <c r="C21" s="35">
        <f t="shared" si="1"/>
        <v>12.181166666666666</v>
      </c>
      <c r="D21">
        <v>-20.183886</v>
      </c>
      <c r="E21" s="36">
        <v>-10.522</v>
      </c>
      <c r="F21" s="32"/>
      <c r="H21" s="33"/>
      <c r="I21" s="34">
        <f t="shared" si="2"/>
        <v>39466</v>
      </c>
      <c r="J21" s="35">
        <f t="shared" si="3"/>
        <v>12.177833333333334</v>
      </c>
      <c r="K21">
        <v>-20.343668</v>
      </c>
      <c r="L21" s="36">
        <v>-10.402</v>
      </c>
      <c r="M21" s="32"/>
    </row>
    <row r="22" spans="1:13" ht="15">
      <c r="A22" s="33"/>
      <c r="B22" s="34">
        <f t="shared" si="0"/>
        <v>39833</v>
      </c>
      <c r="C22" s="35">
        <f t="shared" si="1"/>
        <v>12.186027777777777</v>
      </c>
      <c r="D22">
        <v>-19.966011</v>
      </c>
      <c r="E22" s="36">
        <v>-11.097</v>
      </c>
      <c r="F22" s="32"/>
      <c r="H22" s="33"/>
      <c r="I22" s="34">
        <f t="shared" si="2"/>
        <v>39467</v>
      </c>
      <c r="J22" s="35">
        <f t="shared" si="3"/>
        <v>12.182833333333333</v>
      </c>
      <c r="K22">
        <v>-20.130661</v>
      </c>
      <c r="L22" s="36">
        <v>-10.582</v>
      </c>
      <c r="M22" s="32"/>
    </row>
    <row r="23" spans="1:13" ht="15">
      <c r="A23" s="33"/>
      <c r="B23" s="34">
        <f t="shared" si="0"/>
        <v>39834</v>
      </c>
      <c r="C23" s="35">
        <f t="shared" si="1"/>
        <v>12.190694444444444</v>
      </c>
      <c r="D23">
        <v>-19.741895</v>
      </c>
      <c r="E23" s="36">
        <v>-11.265</v>
      </c>
      <c r="F23" s="32"/>
      <c r="H23" s="33"/>
      <c r="I23" s="34">
        <f t="shared" si="2"/>
        <v>39468</v>
      </c>
      <c r="J23" s="35">
        <f t="shared" si="3"/>
        <v>12.187611111111112</v>
      </c>
      <c r="K23">
        <v>-19.91139</v>
      </c>
      <c r="L23" s="36">
        <v>-11.154</v>
      </c>
      <c r="M23" s="32"/>
    </row>
    <row r="24" spans="1:13" ht="15">
      <c r="A24" s="33"/>
      <c r="B24" s="34">
        <f t="shared" si="0"/>
        <v>39835</v>
      </c>
      <c r="C24" s="35">
        <f t="shared" si="1"/>
        <v>12.19513888888889</v>
      </c>
      <c r="D24">
        <v>-19.511641</v>
      </c>
      <c r="E24" s="36">
        <v>-11.425</v>
      </c>
      <c r="F24" s="32"/>
      <c r="H24" s="33"/>
      <c r="I24" s="34">
        <f t="shared" si="2"/>
        <v>39469</v>
      </c>
      <c r="J24" s="35">
        <f t="shared" si="3"/>
        <v>12.192166666666667</v>
      </c>
      <c r="K24">
        <v>-19.685945</v>
      </c>
      <c r="L24" s="36">
        <v>-11.318</v>
      </c>
      <c r="M24" s="32"/>
    </row>
    <row r="25" spans="1:13" ht="15">
      <c r="A25" s="33"/>
      <c r="B25" s="34">
        <f t="shared" si="0"/>
        <v>39836</v>
      </c>
      <c r="C25" s="35">
        <f t="shared" si="1"/>
        <v>12.199388888888889</v>
      </c>
      <c r="D25">
        <v>-19.275353</v>
      </c>
      <c r="E25" s="36">
        <v>-11.578</v>
      </c>
      <c r="F25" s="32"/>
      <c r="H25" s="33"/>
      <c r="I25" s="34">
        <f t="shared" si="2"/>
        <v>39470</v>
      </c>
      <c r="J25" s="35">
        <f t="shared" si="3"/>
        <v>12.196527777777778</v>
      </c>
      <c r="K25">
        <v>-19.454418</v>
      </c>
      <c r="L25" s="36">
        <v>-11.475</v>
      </c>
      <c r="M25" s="32"/>
    </row>
    <row r="26" spans="1:13" ht="15">
      <c r="A26" s="33"/>
      <c r="B26" s="34">
        <f t="shared" si="0"/>
        <v>39837</v>
      </c>
      <c r="C26" s="35">
        <f t="shared" si="1"/>
        <v>12.203416666666667</v>
      </c>
      <c r="D26">
        <v>-19.033137</v>
      </c>
      <c r="E26" s="36">
        <v>-12.123</v>
      </c>
      <c r="F26" s="32"/>
      <c r="H26" s="33"/>
      <c r="I26" s="34">
        <f t="shared" si="2"/>
        <v>39471</v>
      </c>
      <c r="J26" s="35">
        <f t="shared" si="3"/>
        <v>12.200666666666667</v>
      </c>
      <c r="K26">
        <v>-19.2169</v>
      </c>
      <c r="L26" s="36">
        <v>-12.024</v>
      </c>
      <c r="M26" s="32"/>
    </row>
    <row r="27" spans="1:13" ht="15">
      <c r="A27" s="33"/>
      <c r="B27" s="34">
        <f t="shared" si="0"/>
        <v>39838</v>
      </c>
      <c r="C27" s="35">
        <f t="shared" si="1"/>
        <v>12.207222222222223</v>
      </c>
      <c r="D27">
        <v>-18.785103</v>
      </c>
      <c r="E27" s="36">
        <v>-12.26</v>
      </c>
      <c r="F27" s="32"/>
      <c r="H27" s="33"/>
      <c r="I27" s="34">
        <f t="shared" si="2"/>
        <v>39472</v>
      </c>
      <c r="J27" s="35">
        <f t="shared" si="3"/>
        <v>12.204611111111111</v>
      </c>
      <c r="K27">
        <v>-18.973484</v>
      </c>
      <c r="L27" s="36">
        <v>-12.166</v>
      </c>
      <c r="M27" s="32"/>
    </row>
    <row r="28" spans="1:13" ht="15">
      <c r="A28" s="33"/>
      <c r="B28" s="34">
        <f t="shared" si="0"/>
        <v>39839</v>
      </c>
      <c r="C28" s="35">
        <f t="shared" si="1"/>
        <v>12.210805555555556</v>
      </c>
      <c r="D28">
        <v>-18.531358</v>
      </c>
      <c r="E28" s="36">
        <v>-12.389</v>
      </c>
      <c r="F28" s="32"/>
      <c r="H28" s="33"/>
      <c r="I28" s="34">
        <f t="shared" si="2"/>
        <v>39473</v>
      </c>
      <c r="J28" s="35">
        <f t="shared" si="3"/>
        <v>12.208305555555556</v>
      </c>
      <c r="K28">
        <v>-18.724268</v>
      </c>
      <c r="L28" s="36">
        <v>-12.299</v>
      </c>
      <c r="M28" s="32"/>
    </row>
    <row r="29" spans="1:13" ht="15">
      <c r="A29" s="33"/>
      <c r="B29" s="34">
        <f t="shared" si="0"/>
        <v>39840</v>
      </c>
      <c r="C29" s="35">
        <f t="shared" si="1"/>
        <v>12.214166666666667</v>
      </c>
      <c r="D29">
        <v>-18.272016</v>
      </c>
      <c r="E29" s="36">
        <v>-12.51</v>
      </c>
      <c r="F29" s="32"/>
      <c r="H29" s="33"/>
      <c r="I29" s="34">
        <f t="shared" si="2"/>
        <v>39474</v>
      </c>
      <c r="J29" s="35">
        <f t="shared" si="3"/>
        <v>12.211805555555555</v>
      </c>
      <c r="K29">
        <v>-18.46935</v>
      </c>
      <c r="L29" s="36">
        <v>-12.425</v>
      </c>
      <c r="M29" s="32"/>
    </row>
    <row r="30" spans="1:13" ht="15">
      <c r="A30" s="33"/>
      <c r="B30" s="34">
        <f t="shared" si="0"/>
        <v>39841</v>
      </c>
      <c r="C30" s="35">
        <f t="shared" si="1"/>
        <v>12.217305555555555</v>
      </c>
      <c r="D30">
        <v>-18.007187</v>
      </c>
      <c r="E30" s="36">
        <v>-13.023</v>
      </c>
      <c r="F30" s="32"/>
      <c r="H30" s="33"/>
      <c r="I30" s="34">
        <f t="shared" si="2"/>
        <v>39475</v>
      </c>
      <c r="J30" s="35">
        <f t="shared" si="3"/>
        <v>12.215083333333334</v>
      </c>
      <c r="K30">
        <v>-18.208834</v>
      </c>
      <c r="L30" s="36">
        <v>-12.543</v>
      </c>
      <c r="M30" s="32"/>
    </row>
    <row r="31" spans="1:13" ht="15">
      <c r="A31" s="33"/>
      <c r="B31" s="34">
        <f t="shared" si="0"/>
        <v>39842</v>
      </c>
      <c r="C31" s="35">
        <f t="shared" si="1"/>
        <v>12.220194444444445</v>
      </c>
      <c r="D31">
        <v>-17.736985</v>
      </c>
      <c r="E31" s="36">
        <v>-13.127</v>
      </c>
      <c r="F31" s="32"/>
      <c r="H31" s="33"/>
      <c r="I31" s="34">
        <f t="shared" si="2"/>
        <v>39476</v>
      </c>
      <c r="J31" s="35">
        <f t="shared" si="3"/>
        <v>12.21813888888889</v>
      </c>
      <c r="K31">
        <v>-17.942824</v>
      </c>
      <c r="L31" s="36">
        <v>-13.053</v>
      </c>
      <c r="M31" s="32"/>
    </row>
    <row r="32" spans="1:13" ht="15">
      <c r="A32" s="33"/>
      <c r="B32" s="34">
        <f t="shared" si="0"/>
        <v>39843</v>
      </c>
      <c r="C32" s="35">
        <f t="shared" si="1"/>
        <v>12.222888888888889</v>
      </c>
      <c r="D32">
        <v>-17.461524</v>
      </c>
      <c r="E32" s="36">
        <v>-13.224</v>
      </c>
      <c r="F32" s="32"/>
      <c r="H32" s="33"/>
      <c r="I32" s="34">
        <f t="shared" si="2"/>
        <v>39477</v>
      </c>
      <c r="J32" s="35">
        <f t="shared" si="3"/>
        <v>12.220972222222223</v>
      </c>
      <c r="K32">
        <v>-17.67143</v>
      </c>
      <c r="L32" s="36">
        <v>-13.155</v>
      </c>
      <c r="M32" s="32"/>
    </row>
    <row r="33" spans="1:13" ht="15">
      <c r="A33" s="33"/>
      <c r="B33" s="34">
        <f t="shared" si="0"/>
        <v>39844</v>
      </c>
      <c r="C33" s="35">
        <f t="shared" si="1"/>
        <v>12.225333333333333</v>
      </c>
      <c r="D33">
        <v>-17.18092</v>
      </c>
      <c r="E33" s="36">
        <v>-13.312</v>
      </c>
      <c r="F33" s="32"/>
      <c r="H33" s="33"/>
      <c r="I33" s="34">
        <f t="shared" si="2"/>
        <v>39478</v>
      </c>
      <c r="J33" s="35">
        <f t="shared" si="3"/>
        <v>12.223555555555556</v>
      </c>
      <c r="K33">
        <v>-17.394762</v>
      </c>
      <c r="L33" s="36">
        <v>-13.248</v>
      </c>
      <c r="M33" s="32"/>
    </row>
    <row r="34" spans="1:13" ht="15">
      <c r="A34" s="33"/>
      <c r="B34" s="33"/>
      <c r="C34" s="33"/>
      <c r="D34" s="33"/>
      <c r="E34" s="37"/>
      <c r="F34" s="32"/>
      <c r="H34" s="33"/>
      <c r="I34" s="33"/>
      <c r="J34" s="33"/>
      <c r="K34" s="33"/>
      <c r="L34" s="37"/>
      <c r="M34" s="32"/>
    </row>
    <row r="35" spans="1:13" ht="15">
      <c r="A35" s="33"/>
      <c r="B35" s="38">
        <f>DATE(109,2,1)</f>
        <v>39845</v>
      </c>
      <c r="C35" s="35">
        <f t="shared" si="1"/>
        <v>12.227527777777778</v>
      </c>
      <c r="D35">
        <v>-16.895287</v>
      </c>
      <c r="E35" s="36">
        <v>-13.391</v>
      </c>
      <c r="F35" s="32"/>
      <c r="H35" s="33"/>
      <c r="I35" s="38">
        <f>DATE(108,2,1)</f>
        <v>39479</v>
      </c>
      <c r="J35" s="35">
        <f t="shared" si="3"/>
        <v>12.225944444444444</v>
      </c>
      <c r="K35">
        <v>-17.112931</v>
      </c>
      <c r="L35" s="36">
        <v>-13.334</v>
      </c>
      <c r="M35" s="32"/>
    </row>
    <row r="36" spans="1:13" ht="15">
      <c r="A36" s="33"/>
      <c r="B36" s="34">
        <f aca="true" t="shared" si="4" ref="B36:B62">B35+1</f>
        <v>39846</v>
      </c>
      <c r="C36" s="35">
        <f t="shared" si="1"/>
        <v>12.229527777777777</v>
      </c>
      <c r="D36">
        <v>-16.604744</v>
      </c>
      <c r="E36" s="36">
        <v>-13.463</v>
      </c>
      <c r="F36" s="32"/>
      <c r="H36" s="33"/>
      <c r="I36" s="34">
        <f aca="true" t="shared" si="5" ref="I36:I62">I35+1</f>
        <v>39480</v>
      </c>
      <c r="J36" s="35">
        <f t="shared" si="3"/>
        <v>12.228111111111112</v>
      </c>
      <c r="K36">
        <v>-16.826053</v>
      </c>
      <c r="L36" s="36">
        <v>-13.412</v>
      </c>
      <c r="M36" s="32"/>
    </row>
    <row r="37" spans="1:13" ht="15">
      <c r="A37" s="33"/>
      <c r="B37" s="34">
        <f t="shared" si="4"/>
        <v>39847</v>
      </c>
      <c r="C37" s="35">
        <f t="shared" si="1"/>
        <v>12.231277777777779</v>
      </c>
      <c r="D37">
        <v>-16.309407</v>
      </c>
      <c r="E37" s="36">
        <v>-13.526</v>
      </c>
      <c r="F37" s="32"/>
      <c r="H37" s="33"/>
      <c r="I37" s="34">
        <f t="shared" si="5"/>
        <v>39481</v>
      </c>
      <c r="J37" s="35">
        <f t="shared" si="3"/>
        <v>12.230055555555555</v>
      </c>
      <c r="K37">
        <v>-16.534243</v>
      </c>
      <c r="L37" s="36">
        <v>-13.482</v>
      </c>
      <c r="M37" s="32"/>
    </row>
    <row r="38" spans="1:13" ht="15">
      <c r="A38" s="33"/>
      <c r="B38" s="34">
        <f t="shared" si="4"/>
        <v>39848</v>
      </c>
      <c r="C38" s="35">
        <f t="shared" si="1"/>
        <v>12.232777777777779</v>
      </c>
      <c r="D38">
        <v>-16.009394</v>
      </c>
      <c r="E38" s="36">
        <v>-13.58</v>
      </c>
      <c r="F38" s="32"/>
      <c r="H38" s="33"/>
      <c r="I38" s="34">
        <f t="shared" si="5"/>
        <v>39482</v>
      </c>
      <c r="J38" s="35">
        <f t="shared" si="3"/>
        <v>12.231777777777777</v>
      </c>
      <c r="K38">
        <v>-16.237618</v>
      </c>
      <c r="L38" s="36">
        <v>-13.544</v>
      </c>
      <c r="M38" s="32"/>
    </row>
    <row r="39" spans="1:13" ht="15">
      <c r="A39" s="33"/>
      <c r="B39" s="34">
        <f t="shared" si="4"/>
        <v>39849</v>
      </c>
      <c r="C39" s="35">
        <f t="shared" si="1"/>
        <v>12.234055555555555</v>
      </c>
      <c r="D39">
        <v>-15.704821</v>
      </c>
      <c r="E39" s="36">
        <v>-14.026</v>
      </c>
      <c r="F39" s="32"/>
      <c r="H39" s="33"/>
      <c r="I39" s="34">
        <f t="shared" si="5"/>
        <v>39483</v>
      </c>
      <c r="J39" s="35">
        <f t="shared" si="3"/>
        <v>12.233277777777777</v>
      </c>
      <c r="K39">
        <v>-15.936298</v>
      </c>
      <c r="L39" s="36">
        <v>-13.598</v>
      </c>
      <c r="M39" s="32"/>
    </row>
    <row r="40" spans="1:13" ht="15">
      <c r="A40" s="33"/>
      <c r="B40" s="34">
        <f t="shared" si="4"/>
        <v>39850</v>
      </c>
      <c r="C40" s="35">
        <f t="shared" si="1"/>
        <v>12.235138888888889</v>
      </c>
      <c r="D40">
        <v>-15.395805</v>
      </c>
      <c r="E40" s="36">
        <v>-14.065</v>
      </c>
      <c r="F40" s="32"/>
      <c r="H40" s="33"/>
      <c r="I40" s="34">
        <f t="shared" si="5"/>
        <v>39484</v>
      </c>
      <c r="J40" s="35">
        <f t="shared" si="3"/>
        <v>12.234527777777778</v>
      </c>
      <c r="K40">
        <v>-15.630404</v>
      </c>
      <c r="L40" s="36">
        <v>-14.043</v>
      </c>
      <c r="M40" s="32"/>
    </row>
    <row r="41" spans="1:13" ht="15">
      <c r="A41" s="33"/>
      <c r="B41" s="34">
        <f t="shared" si="4"/>
        <v>39851</v>
      </c>
      <c r="C41" s="35">
        <f t="shared" si="1"/>
        <v>12.235972222222223</v>
      </c>
      <c r="D41">
        <v>-15.082456</v>
      </c>
      <c r="E41" s="36">
        <v>-14.095</v>
      </c>
      <c r="F41" s="32"/>
      <c r="H41" s="33"/>
      <c r="I41" s="34">
        <f t="shared" si="5"/>
        <v>39485</v>
      </c>
      <c r="J41" s="35">
        <f t="shared" si="3"/>
        <v>12.235583333333333</v>
      </c>
      <c r="K41">
        <v>-15.320055</v>
      </c>
      <c r="L41" s="36">
        <v>-14.081</v>
      </c>
      <c r="M41" s="32"/>
    </row>
    <row r="42" spans="1:13" ht="15">
      <c r="A42" s="33"/>
      <c r="B42" s="34">
        <f t="shared" si="4"/>
        <v>39852</v>
      </c>
      <c r="C42" s="35">
        <f t="shared" si="1"/>
        <v>12.236583333333334</v>
      </c>
      <c r="D42">
        <v>-14.764885</v>
      </c>
      <c r="E42" s="36">
        <v>-14.117</v>
      </c>
      <c r="F42" s="32"/>
      <c r="H42" s="33"/>
      <c r="I42" s="34">
        <f t="shared" si="5"/>
        <v>39486</v>
      </c>
      <c r="J42" s="35">
        <f t="shared" si="3"/>
        <v>12.236416666666667</v>
      </c>
      <c r="K42">
        <v>-15.005372</v>
      </c>
      <c r="L42" s="36">
        <v>-14.111</v>
      </c>
      <c r="M42" s="32"/>
    </row>
    <row r="43" spans="1:13" ht="15">
      <c r="A43" s="33"/>
      <c r="B43" s="34">
        <f t="shared" si="4"/>
        <v>39853</v>
      </c>
      <c r="C43" s="35">
        <f t="shared" si="1"/>
        <v>12.236972222222223</v>
      </c>
      <c r="D43">
        <v>-14.443195</v>
      </c>
      <c r="E43" s="36">
        <v>-14.131</v>
      </c>
      <c r="F43" s="32"/>
      <c r="H43" s="33"/>
      <c r="I43" s="34">
        <f t="shared" si="5"/>
        <v>39487</v>
      </c>
      <c r="J43" s="35">
        <f t="shared" si="3"/>
        <v>12.237</v>
      </c>
      <c r="K43">
        <v>-14.686477</v>
      </c>
      <c r="L43" s="36">
        <v>-14.132</v>
      </c>
      <c r="M43" s="32"/>
    </row>
    <row r="44" spans="1:13" ht="15">
      <c r="A44" s="33"/>
      <c r="B44" s="34">
        <f t="shared" si="4"/>
        <v>39854</v>
      </c>
      <c r="C44" s="35">
        <f t="shared" si="1"/>
        <v>12.23713888888889</v>
      </c>
      <c r="D44">
        <v>-14.117491</v>
      </c>
      <c r="E44" s="36">
        <v>-14.137</v>
      </c>
      <c r="F44" s="32"/>
      <c r="H44" s="33"/>
      <c r="I44" s="34">
        <f t="shared" si="5"/>
        <v>39488</v>
      </c>
      <c r="J44" s="35">
        <f t="shared" si="3"/>
        <v>12.237388888888889</v>
      </c>
      <c r="K44">
        <v>-14.363489</v>
      </c>
      <c r="L44" s="36">
        <v>-14.146</v>
      </c>
      <c r="M44" s="32"/>
    </row>
    <row r="45" spans="1:13" ht="15">
      <c r="A45" s="33"/>
      <c r="B45" s="34">
        <f t="shared" si="4"/>
        <v>39855</v>
      </c>
      <c r="C45" s="35">
        <f t="shared" si="1"/>
        <v>12.237111111111112</v>
      </c>
      <c r="D45">
        <v>-13.787876</v>
      </c>
      <c r="E45" s="36">
        <v>-14.136</v>
      </c>
      <c r="F45" s="32"/>
      <c r="H45" s="33"/>
      <c r="I45" s="34">
        <f t="shared" si="5"/>
        <v>39489</v>
      </c>
      <c r="J45" s="35">
        <f t="shared" si="3"/>
        <v>12.237555555555556</v>
      </c>
      <c r="K45">
        <v>-14.036531</v>
      </c>
      <c r="L45" s="36">
        <v>-14.152</v>
      </c>
      <c r="M45" s="32"/>
    </row>
    <row r="46" spans="1:13" ht="15">
      <c r="A46" s="33"/>
      <c r="B46" s="34">
        <f t="shared" si="4"/>
        <v>39856</v>
      </c>
      <c r="C46" s="35">
        <f t="shared" si="1"/>
        <v>12.23686111111111</v>
      </c>
      <c r="D46">
        <v>-13.454454</v>
      </c>
      <c r="E46" s="36">
        <v>-14.127</v>
      </c>
      <c r="F46" s="32"/>
      <c r="H46" s="33"/>
      <c r="I46" s="34">
        <f t="shared" si="5"/>
        <v>39490</v>
      </c>
      <c r="J46" s="35">
        <f t="shared" si="3"/>
        <v>12.2375</v>
      </c>
      <c r="K46">
        <v>-13.705724</v>
      </c>
      <c r="L46" s="36">
        <v>-14.15</v>
      </c>
      <c r="M46" s="32"/>
    </row>
    <row r="47" spans="1:13" ht="15">
      <c r="A47" s="33"/>
      <c r="B47" s="34">
        <f t="shared" si="4"/>
        <v>39857</v>
      </c>
      <c r="C47" s="35">
        <f t="shared" si="1"/>
        <v>12.236416666666667</v>
      </c>
      <c r="D47">
        <v>-13.117334</v>
      </c>
      <c r="E47" s="36">
        <v>-14.111</v>
      </c>
      <c r="F47" s="32"/>
      <c r="H47" s="33"/>
      <c r="I47" s="34">
        <f t="shared" si="5"/>
        <v>39491</v>
      </c>
      <c r="J47" s="35">
        <f t="shared" si="3"/>
        <v>12.237222222222222</v>
      </c>
      <c r="K47">
        <v>-13.371189</v>
      </c>
      <c r="L47" s="36">
        <v>-14.14</v>
      </c>
      <c r="M47" s="32"/>
    </row>
    <row r="48" spans="1:13" ht="15">
      <c r="A48" s="33"/>
      <c r="B48" s="34">
        <f t="shared" si="4"/>
        <v>39858</v>
      </c>
      <c r="C48" s="35">
        <f t="shared" si="1"/>
        <v>12.23575</v>
      </c>
      <c r="D48">
        <v>-12.776627</v>
      </c>
      <c r="E48" s="36">
        <v>-14.087</v>
      </c>
      <c r="F48" s="32"/>
      <c r="H48" s="33"/>
      <c r="I48" s="34">
        <f t="shared" si="5"/>
        <v>39492</v>
      </c>
      <c r="J48" s="35">
        <f t="shared" si="3"/>
        <v>12.23675</v>
      </c>
      <c r="K48">
        <v>-13.033046</v>
      </c>
      <c r="L48" s="36">
        <v>-14.123</v>
      </c>
      <c r="M48" s="32"/>
    </row>
    <row r="49" spans="1:13" ht="15">
      <c r="A49" s="33"/>
      <c r="B49" s="34">
        <f t="shared" si="4"/>
        <v>39859</v>
      </c>
      <c r="C49" s="35">
        <f t="shared" si="1"/>
        <v>12.234916666666667</v>
      </c>
      <c r="D49">
        <v>-12.432445</v>
      </c>
      <c r="E49" s="36">
        <v>-14.057</v>
      </c>
      <c r="F49" s="32"/>
      <c r="H49" s="33"/>
      <c r="I49" s="34">
        <f t="shared" si="5"/>
        <v>39493</v>
      </c>
      <c r="J49" s="35">
        <f t="shared" si="3"/>
        <v>12.236055555555556</v>
      </c>
      <c r="K49">
        <v>-12.691415</v>
      </c>
      <c r="L49" s="36">
        <v>-14.098</v>
      </c>
      <c r="M49" s="32"/>
    </row>
    <row r="50" spans="1:13" ht="15">
      <c r="A50" s="33"/>
      <c r="B50" s="34">
        <f t="shared" si="4"/>
        <v>39860</v>
      </c>
      <c r="C50" s="35">
        <f t="shared" si="1"/>
        <v>12.23386111111111</v>
      </c>
      <c r="D50">
        <v>-12.084904</v>
      </c>
      <c r="E50" s="36">
        <v>-14.019</v>
      </c>
      <c r="F50" s="32"/>
      <c r="H50" s="33"/>
      <c r="I50" s="34">
        <f t="shared" si="5"/>
        <v>39494</v>
      </c>
      <c r="J50" s="35">
        <f t="shared" si="3"/>
        <v>12.235138888888889</v>
      </c>
      <c r="K50">
        <v>-12.346414</v>
      </c>
      <c r="L50" s="36">
        <v>-14.065</v>
      </c>
      <c r="M50" s="32"/>
    </row>
    <row r="51" spans="1:13" ht="15">
      <c r="A51" s="33"/>
      <c r="B51" s="34">
        <f t="shared" si="4"/>
        <v>39861</v>
      </c>
      <c r="C51" s="35">
        <f t="shared" si="1"/>
        <v>12.23263888888889</v>
      </c>
      <c r="D51">
        <v>-11.734121</v>
      </c>
      <c r="E51" s="36">
        <v>-13.575</v>
      </c>
      <c r="F51" s="32"/>
      <c r="H51" s="33"/>
      <c r="I51" s="34">
        <f t="shared" si="5"/>
        <v>39495</v>
      </c>
      <c r="J51" s="35">
        <f t="shared" si="3"/>
        <v>12.234055555555555</v>
      </c>
      <c r="K51">
        <v>-11.998156</v>
      </c>
      <c r="L51" s="36">
        <v>-14.026</v>
      </c>
      <c r="M51" s="32"/>
    </row>
    <row r="52" spans="1:13" ht="15">
      <c r="A52" s="33"/>
      <c r="B52" s="34">
        <f t="shared" si="4"/>
        <v>39862</v>
      </c>
      <c r="C52" s="35">
        <f t="shared" si="1"/>
        <v>12.231222222222222</v>
      </c>
      <c r="D52">
        <v>-11.380213</v>
      </c>
      <c r="E52" s="36">
        <v>-13.524</v>
      </c>
      <c r="F52" s="32"/>
      <c r="H52" s="33"/>
      <c r="I52" s="34">
        <f t="shared" si="5"/>
        <v>39496</v>
      </c>
      <c r="J52" s="35">
        <f t="shared" si="3"/>
        <v>12.23275</v>
      </c>
      <c r="K52">
        <v>-11.646754</v>
      </c>
      <c r="L52" s="36">
        <v>-13.579</v>
      </c>
      <c r="M52" s="32"/>
    </row>
    <row r="53" spans="1:13" ht="15">
      <c r="A53" s="33"/>
      <c r="B53" s="34">
        <f t="shared" si="4"/>
        <v>39863</v>
      </c>
      <c r="C53" s="35">
        <f t="shared" si="1"/>
        <v>12.229611111111112</v>
      </c>
      <c r="D53">
        <v>-11.023298</v>
      </c>
      <c r="E53" s="36">
        <v>-13.466</v>
      </c>
      <c r="F53" s="32"/>
      <c r="H53" s="33"/>
      <c r="I53" s="34">
        <f t="shared" si="5"/>
        <v>39497</v>
      </c>
      <c r="J53" s="35">
        <f t="shared" si="3"/>
        <v>12.23125</v>
      </c>
      <c r="K53">
        <v>-11.292315</v>
      </c>
      <c r="L53" s="36">
        <v>-13.525</v>
      </c>
      <c r="M53" s="32"/>
    </row>
    <row r="54" spans="1:13" ht="15">
      <c r="A54" s="33"/>
      <c r="B54" s="34">
        <f t="shared" si="4"/>
        <v>39864</v>
      </c>
      <c r="C54" s="35">
        <f t="shared" si="1"/>
        <v>12.227833333333333</v>
      </c>
      <c r="D54">
        <v>-10.663494</v>
      </c>
      <c r="E54" s="36">
        <v>-13.402</v>
      </c>
      <c r="F54" s="32"/>
      <c r="H54" s="33"/>
      <c r="I54" s="34">
        <f t="shared" si="5"/>
        <v>39498</v>
      </c>
      <c r="J54" s="35">
        <f t="shared" si="3"/>
        <v>12.229583333333334</v>
      </c>
      <c r="K54">
        <v>-10.934945</v>
      </c>
      <c r="L54" s="36">
        <v>-13.465</v>
      </c>
      <c r="M54" s="32"/>
    </row>
    <row r="55" spans="1:13" ht="15">
      <c r="A55" s="33"/>
      <c r="B55" s="34">
        <f t="shared" si="4"/>
        <v>39865</v>
      </c>
      <c r="C55" s="35">
        <f t="shared" si="1"/>
        <v>12.225888888888889</v>
      </c>
      <c r="D55">
        <v>-10.300921</v>
      </c>
      <c r="E55" s="36">
        <v>-13.332</v>
      </c>
      <c r="F55" s="32"/>
      <c r="H55" s="33"/>
      <c r="I55" s="34">
        <f t="shared" si="5"/>
        <v>39499</v>
      </c>
      <c r="J55" s="35">
        <f t="shared" si="3"/>
        <v>12.227694444444445</v>
      </c>
      <c r="K55">
        <v>-10.574746</v>
      </c>
      <c r="L55" s="36">
        <v>-13.397</v>
      </c>
      <c r="M55" s="32"/>
    </row>
    <row r="56" spans="1:13" ht="15">
      <c r="A56" s="33"/>
      <c r="B56" s="34">
        <f t="shared" si="4"/>
        <v>39866</v>
      </c>
      <c r="C56" s="35">
        <f t="shared" si="1"/>
        <v>12.22375</v>
      </c>
      <c r="D56">
        <v>-9.935696</v>
      </c>
      <c r="E56" s="36">
        <v>-13.255</v>
      </c>
      <c r="F56" s="32"/>
      <c r="H56" s="33"/>
      <c r="I56" s="34">
        <f t="shared" si="5"/>
        <v>39500</v>
      </c>
      <c r="J56" s="35">
        <f t="shared" si="3"/>
        <v>12.225666666666667</v>
      </c>
      <c r="K56">
        <v>-10.211823</v>
      </c>
      <c r="L56" s="36">
        <v>-13.324</v>
      </c>
      <c r="M56" s="32"/>
    </row>
    <row r="57" spans="1:13" ht="15">
      <c r="A57" s="33"/>
      <c r="B57" s="34">
        <f t="shared" si="4"/>
        <v>39867</v>
      </c>
      <c r="C57" s="35">
        <f t="shared" si="1"/>
        <v>12.221444444444444</v>
      </c>
      <c r="D57">
        <v>-9.567939</v>
      </c>
      <c r="E57" s="36">
        <v>-13.172</v>
      </c>
      <c r="F57" s="32"/>
      <c r="H57" s="33"/>
      <c r="I57" s="34">
        <f t="shared" si="5"/>
        <v>39501</v>
      </c>
      <c r="J57" s="35">
        <f t="shared" si="3"/>
        <v>12.223444444444445</v>
      </c>
      <c r="K57">
        <v>-9.846279</v>
      </c>
      <c r="L57" s="36">
        <v>-13.244</v>
      </c>
      <c r="M57" s="32"/>
    </row>
    <row r="58" spans="1:13" ht="15">
      <c r="A58" s="33"/>
      <c r="B58" s="34">
        <f t="shared" si="4"/>
        <v>39868</v>
      </c>
      <c r="C58" s="35">
        <f t="shared" si="1"/>
        <v>12.218972222222222</v>
      </c>
      <c r="D58">
        <v>-9.197768</v>
      </c>
      <c r="E58" s="36">
        <v>-13.083</v>
      </c>
      <c r="F58" s="32"/>
      <c r="H58" s="33"/>
      <c r="I58" s="34">
        <f t="shared" si="5"/>
        <v>39502</v>
      </c>
      <c r="J58" s="35">
        <f t="shared" si="3"/>
        <v>12.221055555555555</v>
      </c>
      <c r="K58">
        <v>-9.478219</v>
      </c>
      <c r="L58" s="36">
        <v>-13.158</v>
      </c>
      <c r="M58" s="32"/>
    </row>
    <row r="59" spans="1:13" ht="15">
      <c r="A59" s="33"/>
      <c r="B59" s="34">
        <f t="shared" si="4"/>
        <v>39869</v>
      </c>
      <c r="C59" s="35">
        <f t="shared" si="1"/>
        <v>12.21636111111111</v>
      </c>
      <c r="D59">
        <v>-8.825302</v>
      </c>
      <c r="E59" s="36">
        <v>-12.589</v>
      </c>
      <c r="F59" s="32"/>
      <c r="H59" s="33"/>
      <c r="I59" s="34">
        <f t="shared" si="5"/>
        <v>39503</v>
      </c>
      <c r="J59" s="35">
        <f t="shared" si="3"/>
        <v>12.218527777777778</v>
      </c>
      <c r="K59">
        <v>-9.107749</v>
      </c>
      <c r="L59" s="36">
        <v>-13.067</v>
      </c>
      <c r="M59" s="32"/>
    </row>
    <row r="60" spans="1:13" ht="15">
      <c r="A60" s="33"/>
      <c r="B60" s="34">
        <f t="shared" si="4"/>
        <v>39870</v>
      </c>
      <c r="C60" s="35">
        <f t="shared" si="1"/>
        <v>12.213555555555555</v>
      </c>
      <c r="D60">
        <v>-8.450657</v>
      </c>
      <c r="E60" s="36">
        <v>-12.488</v>
      </c>
      <c r="F60" s="32"/>
      <c r="H60" s="33"/>
      <c r="I60" s="34">
        <f t="shared" si="5"/>
        <v>39504</v>
      </c>
      <c r="J60" s="35">
        <f t="shared" si="3"/>
        <v>12.215805555555555</v>
      </c>
      <c r="K60">
        <v>-8.734977</v>
      </c>
      <c r="L60" s="36">
        <v>-12.569</v>
      </c>
      <c r="M60" s="32"/>
    </row>
    <row r="61" spans="1:13" ht="15">
      <c r="A61" s="33"/>
      <c r="B61" s="34">
        <f t="shared" si="4"/>
        <v>39871</v>
      </c>
      <c r="C61" s="35">
        <f t="shared" si="1"/>
        <v>12.210638888888889</v>
      </c>
      <c r="D61">
        <v>-8.073952</v>
      </c>
      <c r="E61" s="36">
        <v>-12.383</v>
      </c>
      <c r="F61" s="32"/>
      <c r="H61" s="33"/>
      <c r="I61" s="34">
        <f t="shared" si="5"/>
        <v>39505</v>
      </c>
      <c r="J61" s="35">
        <f t="shared" si="3"/>
        <v>12.212972222222222</v>
      </c>
      <c r="K61">
        <v>-8.360012</v>
      </c>
      <c r="L61" s="36">
        <v>-12.467</v>
      </c>
      <c r="M61" s="32"/>
    </row>
    <row r="62" spans="1:13" ht="15">
      <c r="A62" s="33"/>
      <c r="B62" s="38">
        <f t="shared" si="4"/>
        <v>39872</v>
      </c>
      <c r="C62" s="37">
        <f t="shared" si="1"/>
        <v>12.207527777777777</v>
      </c>
      <c r="D62">
        <v>-7.695302</v>
      </c>
      <c r="E62" s="36">
        <v>-12.271</v>
      </c>
      <c r="F62" s="32"/>
      <c r="H62" s="33"/>
      <c r="I62" s="38">
        <f t="shared" si="5"/>
        <v>39506</v>
      </c>
      <c r="J62" s="37">
        <f t="shared" si="3"/>
        <v>12.209972222222222</v>
      </c>
      <c r="K62">
        <v>-7.982964</v>
      </c>
      <c r="L62" s="36">
        <v>-12.359</v>
      </c>
      <c r="M62" s="32"/>
    </row>
    <row r="63" spans="1:13" ht="15">
      <c r="A63" s="33"/>
      <c r="B63" s="38"/>
      <c r="C63" s="37"/>
      <c r="E63" s="36"/>
      <c r="F63" s="32"/>
      <c r="H63" s="33"/>
      <c r="I63" s="38">
        <f>I62+1</f>
        <v>39507</v>
      </c>
      <c r="J63" s="37">
        <f>12-(TRUNC(L63,0)+MOD(L63,1)*5/3)/60</f>
        <v>12.206833333333334</v>
      </c>
      <c r="K63">
        <v>-7.603945</v>
      </c>
      <c r="L63" s="36">
        <v>-12.246</v>
      </c>
      <c r="M63" s="32"/>
    </row>
    <row r="64" spans="1:13" ht="15">
      <c r="A64" s="33"/>
      <c r="B64" s="33"/>
      <c r="C64" s="33"/>
      <c r="D64" s="33"/>
      <c r="E64" s="37"/>
      <c r="F64" s="32"/>
      <c r="H64" s="33"/>
      <c r="I64" s="33"/>
      <c r="J64" s="33"/>
      <c r="K64" s="33"/>
      <c r="L64" s="37"/>
      <c r="M64" s="32"/>
    </row>
    <row r="65" spans="1:13" ht="15">
      <c r="A65" s="33"/>
      <c r="B65" s="33"/>
      <c r="C65" s="33"/>
      <c r="D65" s="33"/>
      <c r="E65" s="37"/>
      <c r="F65" s="32"/>
      <c r="H65" s="33"/>
      <c r="I65" s="33"/>
      <c r="J65" s="33"/>
      <c r="K65" s="33"/>
      <c r="L65" s="37"/>
      <c r="M65" s="32"/>
    </row>
    <row r="66" spans="1:13" ht="15">
      <c r="A66" s="33"/>
      <c r="B66" s="33"/>
      <c r="C66" s="33"/>
      <c r="D66" s="33"/>
      <c r="E66" s="37"/>
      <c r="F66" s="32"/>
      <c r="H66" s="33"/>
      <c r="I66" s="33"/>
      <c r="J66" s="33"/>
      <c r="K66" s="33"/>
      <c r="L66" s="37"/>
      <c r="M66" s="32"/>
    </row>
    <row r="67" spans="1:13" ht="15">
      <c r="A67" s="33"/>
      <c r="B67" s="38">
        <f>DATE(109,3,1)</f>
        <v>39873</v>
      </c>
      <c r="C67" s="35">
        <f aca="true" t="shared" si="6" ref="C67:C128">12-(TRUNC(E67,0)+MOD(E67,1)*5/3)/60</f>
        <v>12.204305555555555</v>
      </c>
      <c r="D67">
        <v>-7.314823</v>
      </c>
      <c r="E67" s="36">
        <v>-12.155</v>
      </c>
      <c r="F67" s="32"/>
      <c r="H67" s="33"/>
      <c r="I67" s="38">
        <f>DATE(108,3,1)</f>
        <v>39508</v>
      </c>
      <c r="J67" s="35">
        <f aca="true" t="shared" si="7" ref="J67:J128">12-(TRUNC(L67,0)+MOD(L67,1)*5/3)/60</f>
        <v>12.203555555555555</v>
      </c>
      <c r="K67">
        <v>-7.223064</v>
      </c>
      <c r="L67" s="36">
        <v>-12.128</v>
      </c>
      <c r="M67" s="32"/>
    </row>
    <row r="68" spans="1:13" ht="15">
      <c r="A68" s="33"/>
      <c r="B68" s="34">
        <f aca="true" t="shared" si="8" ref="B68:B97">B67+1</f>
        <v>39874</v>
      </c>
      <c r="C68" s="35">
        <f t="shared" si="6"/>
        <v>12.200916666666666</v>
      </c>
      <c r="D68">
        <v>-6.932631</v>
      </c>
      <c r="E68" s="36">
        <v>-12.033</v>
      </c>
      <c r="F68" s="32"/>
      <c r="H68" s="33"/>
      <c r="I68" s="34">
        <f aca="true" t="shared" si="9" ref="I68:I97">I67+1</f>
        <v>39509</v>
      </c>
      <c r="J68" s="35">
        <f t="shared" si="7"/>
        <v>12.200138888888889</v>
      </c>
      <c r="K68">
        <v>-6.840436</v>
      </c>
      <c r="L68" s="36">
        <v>-12.005</v>
      </c>
      <c r="M68" s="32"/>
    </row>
    <row r="69" spans="1:13" ht="15">
      <c r="A69" s="33"/>
      <c r="B69" s="34">
        <f t="shared" si="8"/>
        <v>39875</v>
      </c>
      <c r="C69" s="35">
        <f t="shared" si="6"/>
        <v>12.197416666666667</v>
      </c>
      <c r="D69">
        <v>-6.54884</v>
      </c>
      <c r="E69" s="36">
        <v>-11.507</v>
      </c>
      <c r="F69" s="32"/>
      <c r="H69" s="33"/>
      <c r="I69" s="34">
        <f t="shared" si="9"/>
        <v>39510</v>
      </c>
      <c r="J69" s="35">
        <f t="shared" si="7"/>
        <v>12.196583333333333</v>
      </c>
      <c r="K69">
        <v>-6.456173</v>
      </c>
      <c r="L69" s="36">
        <v>-11.477</v>
      </c>
      <c r="M69" s="32"/>
    </row>
    <row r="70" spans="1:13" ht="15">
      <c r="A70" s="33"/>
      <c r="B70" s="34">
        <f t="shared" si="8"/>
        <v>39876</v>
      </c>
      <c r="C70" s="35">
        <f t="shared" si="6"/>
        <v>12.193777777777777</v>
      </c>
      <c r="D70">
        <v>-6.163564</v>
      </c>
      <c r="E70" s="36">
        <v>-11.376</v>
      </c>
      <c r="F70" s="32"/>
      <c r="H70" s="33"/>
      <c r="I70" s="34">
        <f t="shared" si="9"/>
        <v>39511</v>
      </c>
      <c r="J70" s="35">
        <f t="shared" si="7"/>
        <v>12.192916666666667</v>
      </c>
      <c r="K70">
        <v>-6.070389</v>
      </c>
      <c r="L70" s="36">
        <v>-11.345</v>
      </c>
      <c r="M70" s="32"/>
    </row>
    <row r="71" spans="1:13" ht="15">
      <c r="A71" s="33"/>
      <c r="B71" s="34">
        <f t="shared" si="8"/>
        <v>39877</v>
      </c>
      <c r="C71" s="35">
        <f t="shared" si="6"/>
        <v>12.19</v>
      </c>
      <c r="D71">
        <v>-5.776912</v>
      </c>
      <c r="E71" s="36">
        <v>-11.24</v>
      </c>
      <c r="F71" s="32"/>
      <c r="H71" s="33"/>
      <c r="I71" s="34">
        <f t="shared" si="9"/>
        <v>39512</v>
      </c>
      <c r="J71" s="35">
        <f t="shared" si="7"/>
        <v>12.18913888888889</v>
      </c>
      <c r="K71">
        <v>-5.683199</v>
      </c>
      <c r="L71" s="36">
        <v>-11.209</v>
      </c>
      <c r="M71" s="32"/>
    </row>
    <row r="72" spans="1:13" ht="15">
      <c r="A72" s="33"/>
      <c r="B72" s="34">
        <f t="shared" si="8"/>
        <v>39878</v>
      </c>
      <c r="C72" s="35">
        <f t="shared" si="6"/>
        <v>12.186111111111112</v>
      </c>
      <c r="D72">
        <v>-5.388995</v>
      </c>
      <c r="E72" s="36">
        <v>-11.1</v>
      </c>
      <c r="F72" s="32"/>
      <c r="H72" s="33"/>
      <c r="I72" s="34">
        <f t="shared" si="9"/>
        <v>39513</v>
      </c>
      <c r="J72" s="35">
        <f t="shared" si="7"/>
        <v>12.18525</v>
      </c>
      <c r="K72">
        <v>-5.294718</v>
      </c>
      <c r="L72" s="36">
        <v>-11.069</v>
      </c>
      <c r="M72" s="32"/>
    </row>
    <row r="73" spans="1:13" ht="15">
      <c r="A73" s="33"/>
      <c r="B73" s="34">
        <f t="shared" si="8"/>
        <v>39879</v>
      </c>
      <c r="C73" s="35">
        <f t="shared" si="6"/>
        <v>12.182083333333333</v>
      </c>
      <c r="D73">
        <v>-4.999918</v>
      </c>
      <c r="E73" s="36">
        <v>-10.555</v>
      </c>
      <c r="F73" s="32"/>
      <c r="H73" s="33"/>
      <c r="I73" s="34">
        <f t="shared" si="9"/>
        <v>39514</v>
      </c>
      <c r="J73" s="35">
        <f t="shared" si="7"/>
        <v>12.18125</v>
      </c>
      <c r="K73">
        <v>-4.90506</v>
      </c>
      <c r="L73" s="36">
        <v>-10.525</v>
      </c>
      <c r="M73" s="32"/>
    </row>
    <row r="74" spans="1:13" ht="15">
      <c r="A74" s="33"/>
      <c r="B74" s="34">
        <f t="shared" si="8"/>
        <v>39880</v>
      </c>
      <c r="C74" s="35">
        <f t="shared" si="6"/>
        <v>12.177972222222222</v>
      </c>
      <c r="D74">
        <v>-4.609781</v>
      </c>
      <c r="E74" s="36">
        <v>-10.407</v>
      </c>
      <c r="F74" s="32"/>
      <c r="H74" s="33"/>
      <c r="I74" s="34">
        <f t="shared" si="9"/>
        <v>39515</v>
      </c>
      <c r="J74" s="35">
        <f t="shared" si="7"/>
        <v>12.177166666666666</v>
      </c>
      <c r="K74">
        <v>-4.514339</v>
      </c>
      <c r="L74" s="36">
        <v>-10.378</v>
      </c>
      <c r="M74" s="32"/>
    </row>
    <row r="75" spans="1:13" ht="15">
      <c r="A75" s="33"/>
      <c r="B75" s="34">
        <f t="shared" si="8"/>
        <v>39881</v>
      </c>
      <c r="C75" s="35">
        <f t="shared" si="6"/>
        <v>12.17375</v>
      </c>
      <c r="D75">
        <v>-4.218681</v>
      </c>
      <c r="E75" s="36">
        <v>-10.255</v>
      </c>
      <c r="F75" s="32"/>
      <c r="H75" s="33"/>
      <c r="I75" s="34">
        <f t="shared" si="9"/>
        <v>39516</v>
      </c>
      <c r="J75" s="35">
        <f t="shared" si="7"/>
        <v>12.172944444444445</v>
      </c>
      <c r="K75">
        <v>-4.122668</v>
      </c>
      <c r="L75" s="36">
        <v>-10.226</v>
      </c>
      <c r="M75" s="32"/>
    </row>
    <row r="76" spans="1:13" ht="15">
      <c r="A76" s="33"/>
      <c r="B76" s="34">
        <f t="shared" si="8"/>
        <v>39882</v>
      </c>
      <c r="C76" s="35">
        <f t="shared" si="6"/>
        <v>12.169416666666667</v>
      </c>
      <c r="D76">
        <v>-3.826713</v>
      </c>
      <c r="E76" s="36">
        <v>-10.099</v>
      </c>
      <c r="F76" s="32"/>
      <c r="H76" s="33"/>
      <c r="I76" s="34">
        <f t="shared" si="9"/>
        <v>39517</v>
      </c>
      <c r="J76" s="35">
        <f t="shared" si="7"/>
        <v>12.16863888888889</v>
      </c>
      <c r="K76">
        <v>-3.730159</v>
      </c>
      <c r="L76" s="36">
        <v>-10.071</v>
      </c>
      <c r="M76" s="32"/>
    </row>
    <row r="77" spans="1:13" ht="15">
      <c r="A77" s="33"/>
      <c r="B77" s="34">
        <f t="shared" si="8"/>
        <v>39883</v>
      </c>
      <c r="C77" s="35">
        <f t="shared" si="6"/>
        <v>12.165027777777778</v>
      </c>
      <c r="D77">
        <v>-3.43397</v>
      </c>
      <c r="E77" s="36">
        <v>-9.541</v>
      </c>
      <c r="F77" s="32"/>
      <c r="H77" s="33"/>
      <c r="I77" s="34">
        <f t="shared" si="9"/>
        <v>39518</v>
      </c>
      <c r="J77" s="35">
        <f t="shared" si="7"/>
        <v>12.16425</v>
      </c>
      <c r="K77">
        <v>-3.336926</v>
      </c>
      <c r="L77" s="36">
        <v>-9.513</v>
      </c>
      <c r="M77" s="32"/>
    </row>
    <row r="78" spans="1:13" ht="15">
      <c r="A78" s="33"/>
      <c r="B78" s="34">
        <f t="shared" si="8"/>
        <v>39884</v>
      </c>
      <c r="C78" s="35">
        <f t="shared" si="6"/>
        <v>12.160527777777778</v>
      </c>
      <c r="D78">
        <v>-3.040544</v>
      </c>
      <c r="E78" s="36">
        <v>-9.379</v>
      </c>
      <c r="F78" s="32"/>
      <c r="H78" s="33"/>
      <c r="I78" s="34">
        <f t="shared" si="9"/>
        <v>39519</v>
      </c>
      <c r="J78" s="35">
        <f t="shared" si="7"/>
        <v>12.159777777777778</v>
      </c>
      <c r="K78">
        <v>-2.943079</v>
      </c>
      <c r="L78" s="36">
        <v>-9.352</v>
      </c>
      <c r="M78" s="32"/>
    </row>
    <row r="79" spans="1:13" ht="15">
      <c r="A79" s="33"/>
      <c r="B79" s="34">
        <f t="shared" si="8"/>
        <v>39885</v>
      </c>
      <c r="C79" s="35">
        <f t="shared" si="6"/>
        <v>12.155944444444444</v>
      </c>
      <c r="D79">
        <v>-2.64653</v>
      </c>
      <c r="E79" s="36">
        <v>-9.214</v>
      </c>
      <c r="F79" s="32"/>
      <c r="H79" s="33"/>
      <c r="I79" s="34">
        <f t="shared" si="9"/>
        <v>39520</v>
      </c>
      <c r="J79" s="35">
        <f t="shared" si="7"/>
        <v>12.155222222222223</v>
      </c>
      <c r="K79">
        <v>-2.548728</v>
      </c>
      <c r="L79" s="36">
        <v>-9.188</v>
      </c>
      <c r="M79" s="32"/>
    </row>
    <row r="80" spans="1:13" ht="15">
      <c r="A80" s="33"/>
      <c r="B80" s="34">
        <f t="shared" si="8"/>
        <v>39886</v>
      </c>
      <c r="C80" s="35">
        <f t="shared" si="6"/>
        <v>12.151305555555556</v>
      </c>
      <c r="D80">
        <v>-2.252025</v>
      </c>
      <c r="E80" s="36">
        <v>-9.047</v>
      </c>
      <c r="F80" s="32"/>
      <c r="H80" s="33"/>
      <c r="I80" s="34">
        <f t="shared" si="9"/>
        <v>39521</v>
      </c>
      <c r="J80" s="35">
        <f t="shared" si="7"/>
        <v>12.150583333333334</v>
      </c>
      <c r="K80">
        <v>-2.153983</v>
      </c>
      <c r="L80" s="36">
        <v>-9.021</v>
      </c>
      <c r="M80" s="32"/>
    </row>
    <row r="81" spans="1:13" ht="15">
      <c r="A81" s="33"/>
      <c r="B81" s="34">
        <f t="shared" si="8"/>
        <v>39887</v>
      </c>
      <c r="C81" s="35">
        <f t="shared" si="6"/>
        <v>12.146611111111111</v>
      </c>
      <c r="D81">
        <v>-1.857127</v>
      </c>
      <c r="E81" s="36">
        <v>-8.478</v>
      </c>
      <c r="F81" s="32"/>
      <c r="H81" s="33"/>
      <c r="I81" s="34">
        <f t="shared" si="9"/>
        <v>39522</v>
      </c>
      <c r="J81" s="35">
        <f t="shared" si="7"/>
        <v>12.145888888888889</v>
      </c>
      <c r="K81">
        <v>-1.758948</v>
      </c>
      <c r="L81" s="36">
        <v>-8.452</v>
      </c>
      <c r="M81" s="32"/>
    </row>
    <row r="82" spans="1:13" ht="15">
      <c r="A82" s="33"/>
      <c r="B82" s="34">
        <f t="shared" si="8"/>
        <v>39888</v>
      </c>
      <c r="C82" s="35">
        <f t="shared" si="6"/>
        <v>12.141861111111112</v>
      </c>
      <c r="D82">
        <v>-1.461938</v>
      </c>
      <c r="E82" s="36">
        <v>-8.307</v>
      </c>
      <c r="F82" s="32"/>
      <c r="H82" s="33"/>
      <c r="I82" s="34">
        <f t="shared" si="9"/>
        <v>39523</v>
      </c>
      <c r="J82" s="35">
        <f t="shared" si="7"/>
        <v>12.141111111111112</v>
      </c>
      <c r="K82">
        <v>-1.363727</v>
      </c>
      <c r="L82" s="36">
        <v>-8.28</v>
      </c>
      <c r="M82" s="32"/>
    </row>
    <row r="83" spans="1:13" ht="15">
      <c r="A83" s="33"/>
      <c r="B83" s="34">
        <f t="shared" si="8"/>
        <v>39889</v>
      </c>
      <c r="C83" s="35">
        <f t="shared" si="6"/>
        <v>12.137055555555555</v>
      </c>
      <c r="D83">
        <v>-1.06656</v>
      </c>
      <c r="E83" s="36">
        <v>-8.134</v>
      </c>
      <c r="F83" s="32"/>
      <c r="H83" s="33"/>
      <c r="I83" s="34">
        <f t="shared" si="9"/>
        <v>39524</v>
      </c>
      <c r="J83" s="35">
        <f t="shared" si="7"/>
        <v>12.136277777777778</v>
      </c>
      <c r="K83">
        <v>-0.968417</v>
      </c>
      <c r="L83" s="36">
        <v>-8.106</v>
      </c>
      <c r="M83" s="32"/>
    </row>
    <row r="84" spans="1:13" ht="15">
      <c r="A84" s="33"/>
      <c r="B84" s="34">
        <f t="shared" si="8"/>
        <v>39890</v>
      </c>
      <c r="C84" s="35">
        <f t="shared" si="6"/>
        <v>12.132194444444444</v>
      </c>
      <c r="D84">
        <v>-0.671095</v>
      </c>
      <c r="E84" s="36">
        <v>-7.559</v>
      </c>
      <c r="F84" s="32"/>
      <c r="H84" s="33"/>
      <c r="I84" s="34">
        <f t="shared" si="9"/>
        <v>39525</v>
      </c>
      <c r="J84" s="35">
        <f t="shared" si="7"/>
        <v>12.131388888888889</v>
      </c>
      <c r="K84">
        <v>-0.573115</v>
      </c>
      <c r="L84" s="36">
        <v>-7.53</v>
      </c>
      <c r="M84" s="32"/>
    </row>
    <row r="85" spans="1:13" ht="15">
      <c r="A85" s="33"/>
      <c r="B85" s="34">
        <f t="shared" si="8"/>
        <v>39891</v>
      </c>
      <c r="C85" s="35">
        <f t="shared" si="6"/>
        <v>12.127305555555555</v>
      </c>
      <c r="D85">
        <v>-0.275649</v>
      </c>
      <c r="E85" s="36">
        <v>-7.383</v>
      </c>
      <c r="F85" s="32"/>
      <c r="H85" s="33"/>
      <c r="I85" s="34">
        <f t="shared" si="9"/>
        <v>39526</v>
      </c>
      <c r="J85" s="35">
        <f t="shared" si="7"/>
        <v>12.126472222222223</v>
      </c>
      <c r="K85">
        <v>-0.177913</v>
      </c>
      <c r="L85" s="36">
        <v>-7.353</v>
      </c>
      <c r="M85" s="32"/>
    </row>
    <row r="86" spans="1:13" ht="15">
      <c r="A86" s="33"/>
      <c r="B86" s="34">
        <f t="shared" si="8"/>
        <v>39892</v>
      </c>
      <c r="C86" s="35">
        <f t="shared" si="6"/>
        <v>12.122361111111111</v>
      </c>
      <c r="D86">
        <v>0.119675</v>
      </c>
      <c r="E86" s="36">
        <v>-7.205</v>
      </c>
      <c r="F86" s="32"/>
      <c r="H86" s="33"/>
      <c r="I86" s="34">
        <f t="shared" si="9"/>
        <v>39527</v>
      </c>
      <c r="J86" s="35">
        <f t="shared" si="7"/>
        <v>12.1215</v>
      </c>
      <c r="K86">
        <v>0.217096</v>
      </c>
      <c r="L86" s="36">
        <v>-7.174</v>
      </c>
      <c r="M86" s="32"/>
    </row>
    <row r="87" spans="1:13" ht="15">
      <c r="A87" s="33"/>
      <c r="B87" s="34">
        <f t="shared" si="8"/>
        <v>39893</v>
      </c>
      <c r="C87" s="35">
        <f t="shared" si="6"/>
        <v>12.117416666666667</v>
      </c>
      <c r="D87">
        <v>0.514772</v>
      </c>
      <c r="E87" s="36">
        <v>-7.027</v>
      </c>
      <c r="F87" s="32"/>
      <c r="H87" s="33"/>
      <c r="I87" s="34">
        <f t="shared" si="9"/>
        <v>39528</v>
      </c>
      <c r="J87" s="35">
        <f t="shared" si="7"/>
        <v>12.1165</v>
      </c>
      <c r="K87">
        <v>0.611822</v>
      </c>
      <c r="L87" s="36">
        <v>-6.594</v>
      </c>
      <c r="M87" s="32"/>
    </row>
    <row r="88" spans="1:13" ht="15">
      <c r="A88" s="33"/>
      <c r="B88" s="34">
        <f t="shared" si="8"/>
        <v>39894</v>
      </c>
      <c r="C88" s="35">
        <f t="shared" si="6"/>
        <v>12.112444444444444</v>
      </c>
      <c r="D88">
        <v>0.909537</v>
      </c>
      <c r="E88" s="36">
        <v>-6.448</v>
      </c>
      <c r="F88" s="32"/>
      <c r="H88" s="33"/>
      <c r="I88" s="34">
        <f t="shared" si="9"/>
        <v>39529</v>
      </c>
      <c r="J88" s="35">
        <f t="shared" si="7"/>
        <v>12.1115</v>
      </c>
      <c r="K88">
        <v>1.006175</v>
      </c>
      <c r="L88" s="36">
        <v>-6.414</v>
      </c>
      <c r="M88" s="32"/>
    </row>
    <row r="89" spans="1:13" ht="15">
      <c r="A89" s="33"/>
      <c r="B89" s="34">
        <f t="shared" si="8"/>
        <v>39895</v>
      </c>
      <c r="C89" s="35">
        <f t="shared" si="6"/>
        <v>12.107444444444445</v>
      </c>
      <c r="D89">
        <v>1.303864</v>
      </c>
      <c r="E89" s="36">
        <v>-6.268</v>
      </c>
      <c r="F89" s="32"/>
      <c r="H89" s="33"/>
      <c r="I89" s="34">
        <f t="shared" si="9"/>
        <v>39530</v>
      </c>
      <c r="J89" s="35">
        <f t="shared" si="7"/>
        <v>12.106444444444444</v>
      </c>
      <c r="K89">
        <v>1.400064</v>
      </c>
      <c r="L89" s="36">
        <v>-6.232</v>
      </c>
      <c r="M89" s="32"/>
    </row>
    <row r="90" spans="1:13" ht="15">
      <c r="A90" s="33"/>
      <c r="B90" s="34">
        <f t="shared" si="8"/>
        <v>39896</v>
      </c>
      <c r="C90" s="35">
        <f t="shared" si="6"/>
        <v>12.102444444444444</v>
      </c>
      <c r="D90">
        <v>1.697648</v>
      </c>
      <c r="E90" s="36">
        <v>-6.088</v>
      </c>
      <c r="F90" s="32"/>
      <c r="H90" s="33"/>
      <c r="I90" s="34">
        <f t="shared" si="9"/>
        <v>39531</v>
      </c>
      <c r="J90" s="35">
        <f t="shared" si="7"/>
        <v>12.10138888888889</v>
      </c>
      <c r="K90">
        <v>1.793397</v>
      </c>
      <c r="L90" s="36">
        <v>-6.05</v>
      </c>
      <c r="M90" s="32"/>
    </row>
    <row r="91" spans="1:13" ht="15">
      <c r="A91" s="33"/>
      <c r="B91" s="34">
        <f t="shared" si="8"/>
        <v>39897</v>
      </c>
      <c r="C91" s="35">
        <f t="shared" si="6"/>
        <v>12.097416666666666</v>
      </c>
      <c r="D91">
        <v>2.090785</v>
      </c>
      <c r="E91" s="36">
        <v>-5.507</v>
      </c>
      <c r="F91" s="32"/>
      <c r="H91" s="33"/>
      <c r="I91" s="34">
        <f t="shared" si="9"/>
        <v>39532</v>
      </c>
      <c r="J91" s="35">
        <f t="shared" si="7"/>
        <v>12.096333333333334</v>
      </c>
      <c r="K91">
        <v>2.186081</v>
      </c>
      <c r="L91" s="36">
        <v>-5.468</v>
      </c>
      <c r="M91" s="32"/>
    </row>
    <row r="92" spans="1:13" ht="15">
      <c r="A92" s="33"/>
      <c r="B92" s="34">
        <f t="shared" si="8"/>
        <v>39898</v>
      </c>
      <c r="C92" s="35">
        <f t="shared" si="6"/>
        <v>12.09238888888889</v>
      </c>
      <c r="D92">
        <v>2.48317</v>
      </c>
      <c r="E92" s="36">
        <v>-5.326</v>
      </c>
      <c r="F92" s="32"/>
      <c r="H92" s="33"/>
      <c r="I92" s="34">
        <f t="shared" si="9"/>
        <v>39533</v>
      </c>
      <c r="J92" s="35">
        <f t="shared" si="7"/>
        <v>12.091277777777778</v>
      </c>
      <c r="K92">
        <v>2.578021</v>
      </c>
      <c r="L92" s="36">
        <v>-5.286</v>
      </c>
      <c r="M92" s="32"/>
    </row>
    <row r="93" spans="1:13" ht="15">
      <c r="A93" s="33"/>
      <c r="B93" s="34">
        <f t="shared" si="8"/>
        <v>39899</v>
      </c>
      <c r="C93" s="35">
        <f t="shared" si="6"/>
        <v>12.087388888888889</v>
      </c>
      <c r="D93">
        <v>2.874698</v>
      </c>
      <c r="E93" s="36">
        <v>-5.146</v>
      </c>
      <c r="F93" s="32"/>
      <c r="H93" s="33"/>
      <c r="I93" s="34">
        <f t="shared" si="9"/>
        <v>39534</v>
      </c>
      <c r="J93" s="35">
        <f t="shared" si="7"/>
        <v>12.086222222222222</v>
      </c>
      <c r="K93">
        <v>2.969122</v>
      </c>
      <c r="L93" s="36">
        <v>-5.104</v>
      </c>
      <c r="M93" s="32"/>
    </row>
    <row r="94" spans="1:13" ht="15">
      <c r="A94" s="33"/>
      <c r="B94" s="34">
        <f t="shared" si="8"/>
        <v>39900</v>
      </c>
      <c r="C94" s="35">
        <f t="shared" si="6"/>
        <v>12.082361111111112</v>
      </c>
      <c r="D94">
        <v>3.265266</v>
      </c>
      <c r="E94" s="36">
        <v>-4.565</v>
      </c>
      <c r="F94" s="32"/>
      <c r="H94" s="33"/>
      <c r="I94" s="34">
        <f t="shared" si="9"/>
        <v>39535</v>
      </c>
      <c r="J94" s="35">
        <f t="shared" si="7"/>
        <v>12.081166666666666</v>
      </c>
      <c r="K94">
        <v>3.359287</v>
      </c>
      <c r="L94" s="36">
        <v>-4.522</v>
      </c>
      <c r="M94" s="32"/>
    </row>
    <row r="95" spans="1:13" ht="15">
      <c r="A95" s="33"/>
      <c r="B95" s="34">
        <f t="shared" si="8"/>
        <v>39901</v>
      </c>
      <c r="C95" s="35">
        <f t="shared" si="6"/>
        <v>12.077361111111111</v>
      </c>
      <c r="D95">
        <v>3.654769</v>
      </c>
      <c r="E95" s="36">
        <v>-4.385</v>
      </c>
      <c r="F95" s="32"/>
      <c r="H95" s="33"/>
      <c r="I95" s="34">
        <f t="shared" si="9"/>
        <v>39536</v>
      </c>
      <c r="J95" s="35">
        <f t="shared" si="7"/>
        <v>12.076166666666667</v>
      </c>
      <c r="K95">
        <v>3.748418</v>
      </c>
      <c r="L95" s="36">
        <v>-4.342</v>
      </c>
      <c r="M95" s="32"/>
    </row>
    <row r="96" spans="1:13" ht="15">
      <c r="A96" s="33"/>
      <c r="B96" s="34">
        <f t="shared" si="8"/>
        <v>39902</v>
      </c>
      <c r="C96" s="35">
        <f t="shared" si="6"/>
        <v>12.07236111111111</v>
      </c>
      <c r="D96">
        <v>4.043105</v>
      </c>
      <c r="E96" s="36">
        <v>-4.205</v>
      </c>
      <c r="F96" s="32"/>
      <c r="H96" s="33"/>
      <c r="I96" s="34">
        <f t="shared" si="9"/>
        <v>39537</v>
      </c>
      <c r="J96" s="35">
        <f t="shared" si="7"/>
        <v>12.071166666666667</v>
      </c>
      <c r="K96">
        <v>4.136416</v>
      </c>
      <c r="L96" s="36">
        <v>-4.162</v>
      </c>
      <c r="M96" s="32"/>
    </row>
    <row r="97" spans="1:13" ht="15">
      <c r="A97" s="33"/>
      <c r="B97" s="34">
        <f t="shared" si="8"/>
        <v>39903</v>
      </c>
      <c r="C97" s="35">
        <f t="shared" si="6"/>
        <v>12.067388888888889</v>
      </c>
      <c r="D97">
        <v>4.430169</v>
      </c>
      <c r="E97" s="36">
        <v>-4.026</v>
      </c>
      <c r="F97" s="32"/>
      <c r="H97" s="33"/>
      <c r="I97" s="34">
        <f t="shared" si="9"/>
        <v>39538</v>
      </c>
      <c r="J97" s="35">
        <f t="shared" si="7"/>
        <v>12.066194444444445</v>
      </c>
      <c r="K97">
        <v>4.523182</v>
      </c>
      <c r="L97" s="36">
        <v>-3.583</v>
      </c>
      <c r="M97" s="32"/>
    </row>
    <row r="98" spans="1:13" ht="15">
      <c r="A98" s="33"/>
      <c r="B98" s="33"/>
      <c r="C98" s="33"/>
      <c r="D98" s="33"/>
      <c r="E98" s="37"/>
      <c r="F98" s="32"/>
      <c r="H98" s="33"/>
      <c r="I98" s="33"/>
      <c r="J98" s="33"/>
      <c r="K98" s="33"/>
      <c r="L98" s="37"/>
      <c r="M98" s="32"/>
    </row>
    <row r="99" spans="1:13" ht="15">
      <c r="A99" s="33"/>
      <c r="B99" s="38">
        <f>DATE(109,4,1)</f>
        <v>39904</v>
      </c>
      <c r="C99" s="35">
        <f t="shared" si="6"/>
        <v>12.062444444444445</v>
      </c>
      <c r="D99">
        <v>4.815861</v>
      </c>
      <c r="E99" s="36">
        <v>-3.448</v>
      </c>
      <c r="F99" s="32"/>
      <c r="H99" s="33"/>
      <c r="I99" s="38">
        <f>DATE(108,4,1)</f>
        <v>39539</v>
      </c>
      <c r="J99" s="35">
        <f t="shared" si="7"/>
        <v>12.06125</v>
      </c>
      <c r="K99">
        <v>4.908614</v>
      </c>
      <c r="L99" s="36">
        <v>-3.405</v>
      </c>
      <c r="M99" s="32"/>
    </row>
    <row r="100" spans="1:13" ht="15">
      <c r="A100" s="33"/>
      <c r="B100" s="34">
        <f aca="true" t="shared" si="10" ref="B100:B128">B99+1</f>
        <v>39905</v>
      </c>
      <c r="C100" s="35">
        <f t="shared" si="6"/>
        <v>12.057527777777779</v>
      </c>
      <c r="D100">
        <v>5.20008</v>
      </c>
      <c r="E100" s="36">
        <v>-3.271</v>
      </c>
      <c r="F100" s="32"/>
      <c r="H100" s="33"/>
      <c r="I100" s="34">
        <f aca="true" t="shared" si="11" ref="I100:I128">I99+1</f>
        <v>39540</v>
      </c>
      <c r="J100" s="35">
        <f t="shared" si="7"/>
        <v>12.056333333333333</v>
      </c>
      <c r="K100">
        <v>5.29261</v>
      </c>
      <c r="L100" s="36">
        <v>-3.228</v>
      </c>
      <c r="M100" s="32"/>
    </row>
    <row r="101" spans="1:13" ht="15">
      <c r="A101" s="33"/>
      <c r="B101" s="34">
        <f t="shared" si="10"/>
        <v>39906</v>
      </c>
      <c r="C101" s="35">
        <f t="shared" si="6"/>
        <v>12.05263888888889</v>
      </c>
      <c r="D101">
        <v>5.582726</v>
      </c>
      <c r="E101" s="36">
        <v>-3.095</v>
      </c>
      <c r="F101" s="32"/>
      <c r="H101" s="33"/>
      <c r="I101" s="34">
        <f t="shared" si="11"/>
        <v>39541</v>
      </c>
      <c r="J101" s="35">
        <f t="shared" si="7"/>
        <v>12.0515</v>
      </c>
      <c r="K101">
        <v>5.675068</v>
      </c>
      <c r="L101" s="36">
        <v>-3.054</v>
      </c>
      <c r="M101" s="32"/>
    </row>
    <row r="102" spans="1:13" ht="15">
      <c r="A102" s="33"/>
      <c r="B102" s="34">
        <f t="shared" si="10"/>
        <v>39907</v>
      </c>
      <c r="C102" s="35">
        <f t="shared" si="6"/>
        <v>12.047805555555556</v>
      </c>
      <c r="D102">
        <v>5.963707</v>
      </c>
      <c r="E102" s="36">
        <v>-2.521</v>
      </c>
      <c r="F102" s="32"/>
      <c r="H102" s="33"/>
      <c r="I102" s="34">
        <f t="shared" si="11"/>
        <v>39542</v>
      </c>
      <c r="J102" s="35">
        <f t="shared" si="7"/>
        <v>12.046694444444444</v>
      </c>
      <c r="K102">
        <v>6.055886</v>
      </c>
      <c r="L102" s="36">
        <v>-2.481</v>
      </c>
      <c r="M102" s="32"/>
    </row>
    <row r="103" spans="1:13" ht="15">
      <c r="A103" s="33"/>
      <c r="B103" s="34">
        <f t="shared" si="10"/>
        <v>39908</v>
      </c>
      <c r="C103" s="35">
        <f t="shared" si="6"/>
        <v>12.043</v>
      </c>
      <c r="D103">
        <v>6.342929</v>
      </c>
      <c r="E103" s="36">
        <v>-2.348</v>
      </c>
      <c r="F103" s="32"/>
      <c r="H103" s="33"/>
      <c r="I103" s="34">
        <f t="shared" si="11"/>
        <v>39543</v>
      </c>
      <c r="J103" s="35">
        <f t="shared" si="7"/>
        <v>12.041944444444445</v>
      </c>
      <c r="K103">
        <v>6.43496</v>
      </c>
      <c r="L103" s="36">
        <v>-2.31</v>
      </c>
      <c r="M103" s="32"/>
    </row>
    <row r="104" spans="1:13" ht="15">
      <c r="A104" s="33"/>
      <c r="B104" s="34">
        <f t="shared" si="10"/>
        <v>39909</v>
      </c>
      <c r="C104" s="35">
        <f t="shared" si="6"/>
        <v>12.03825</v>
      </c>
      <c r="D104">
        <v>6.720304</v>
      </c>
      <c r="E104" s="36">
        <v>-2.177</v>
      </c>
      <c r="F104" s="32"/>
      <c r="H104" s="33"/>
      <c r="I104" s="34">
        <f t="shared" si="11"/>
        <v>39544</v>
      </c>
      <c r="J104" s="35">
        <f t="shared" si="7"/>
        <v>12.037222222222223</v>
      </c>
      <c r="K104">
        <v>6.812189</v>
      </c>
      <c r="L104" s="36">
        <v>-2.14</v>
      </c>
      <c r="M104" s="32"/>
    </row>
    <row r="105" spans="1:13" ht="15">
      <c r="A105" s="33"/>
      <c r="B105" s="34">
        <f t="shared" si="10"/>
        <v>39910</v>
      </c>
      <c r="C105" s="35">
        <f t="shared" si="6"/>
        <v>12.033555555555555</v>
      </c>
      <c r="D105">
        <v>7.095747</v>
      </c>
      <c r="E105" s="36">
        <v>-2.008</v>
      </c>
      <c r="F105" s="32"/>
      <c r="H105" s="33"/>
      <c r="I105" s="34">
        <f t="shared" si="11"/>
        <v>39545</v>
      </c>
      <c r="J105" s="35">
        <f t="shared" si="7"/>
        <v>12.03261111111111</v>
      </c>
      <c r="K105">
        <v>7.18747</v>
      </c>
      <c r="L105" s="36">
        <v>-1.574</v>
      </c>
      <c r="M105" s="32"/>
    </row>
    <row r="106" spans="1:13" ht="15">
      <c r="A106" s="33"/>
      <c r="B106" s="34">
        <f t="shared" si="10"/>
        <v>39911</v>
      </c>
      <c r="C106" s="35">
        <f t="shared" si="6"/>
        <v>12.028944444444445</v>
      </c>
      <c r="D106">
        <v>7.469172</v>
      </c>
      <c r="E106" s="36">
        <v>-1.442</v>
      </c>
      <c r="F106" s="32"/>
      <c r="H106" s="33"/>
      <c r="I106" s="34">
        <f t="shared" si="11"/>
        <v>39546</v>
      </c>
      <c r="J106" s="35">
        <f t="shared" si="7"/>
        <v>12.028027777777778</v>
      </c>
      <c r="K106">
        <v>7.560703</v>
      </c>
      <c r="L106" s="36">
        <v>-1.409</v>
      </c>
      <c r="M106" s="32"/>
    </row>
    <row r="107" spans="1:13" ht="15">
      <c r="A107" s="33"/>
      <c r="B107" s="34">
        <f t="shared" si="10"/>
        <v>39912</v>
      </c>
      <c r="C107" s="35">
        <f t="shared" si="6"/>
        <v>12.02436111111111</v>
      </c>
      <c r="D107">
        <v>7.840497</v>
      </c>
      <c r="E107" s="36">
        <v>-1.277</v>
      </c>
      <c r="F107" s="32"/>
      <c r="H107" s="33"/>
      <c r="I107" s="34">
        <f t="shared" si="11"/>
        <v>39547</v>
      </c>
      <c r="J107" s="35">
        <f t="shared" si="7"/>
        <v>12.023527777777778</v>
      </c>
      <c r="K107">
        <v>7.931784</v>
      </c>
      <c r="L107" s="36">
        <v>-1.247</v>
      </c>
      <c r="M107" s="32"/>
    </row>
    <row r="108" spans="1:13" ht="15">
      <c r="A108" s="33"/>
      <c r="B108" s="34">
        <f t="shared" si="10"/>
        <v>39913</v>
      </c>
      <c r="C108" s="35">
        <f t="shared" si="6"/>
        <v>12.01988888888889</v>
      </c>
      <c r="D108">
        <v>8.209635</v>
      </c>
      <c r="E108" s="36">
        <v>-1.116</v>
      </c>
      <c r="F108" s="32"/>
      <c r="H108" s="33"/>
      <c r="I108" s="34">
        <f t="shared" si="11"/>
        <v>39548</v>
      </c>
      <c r="J108" s="35">
        <f t="shared" si="7"/>
        <v>12.019083333333333</v>
      </c>
      <c r="K108">
        <v>8.300612</v>
      </c>
      <c r="L108" s="36">
        <v>-1.087</v>
      </c>
      <c r="M108" s="32"/>
    </row>
    <row r="109" spans="1:13" ht="15">
      <c r="A109" s="33"/>
      <c r="B109" s="34">
        <f t="shared" si="10"/>
        <v>39914</v>
      </c>
      <c r="C109" s="35">
        <f t="shared" si="6"/>
        <v>12.015472222222222</v>
      </c>
      <c r="D109">
        <v>8.576501</v>
      </c>
      <c r="E109" s="36">
        <v>-0.557</v>
      </c>
      <c r="F109" s="32"/>
      <c r="H109" s="33"/>
      <c r="I109" s="34">
        <f t="shared" si="11"/>
        <v>39549</v>
      </c>
      <c r="J109" s="35">
        <f t="shared" si="7"/>
        <v>12.014722222222222</v>
      </c>
      <c r="K109">
        <v>8.667088</v>
      </c>
      <c r="L109" s="36">
        <v>-0.53</v>
      </c>
      <c r="M109" s="32"/>
    </row>
    <row r="110" spans="1:13" ht="15">
      <c r="A110" s="33"/>
      <c r="B110" s="34">
        <f t="shared" si="10"/>
        <v>39915</v>
      </c>
      <c r="C110" s="35">
        <f t="shared" si="6"/>
        <v>12.011138888888889</v>
      </c>
      <c r="D110">
        <v>8.941004</v>
      </c>
      <c r="E110" s="36">
        <v>-0.401</v>
      </c>
      <c r="F110" s="32"/>
      <c r="H110" s="33"/>
      <c r="I110" s="34">
        <f t="shared" si="11"/>
        <v>39550</v>
      </c>
      <c r="J110" s="35">
        <f t="shared" si="7"/>
        <v>12.010444444444444</v>
      </c>
      <c r="K110">
        <v>9.031112</v>
      </c>
      <c r="L110" s="36">
        <v>-0.376</v>
      </c>
      <c r="M110" s="32"/>
    </row>
    <row r="111" spans="1:13" ht="15">
      <c r="A111" s="33"/>
      <c r="B111" s="34">
        <f t="shared" si="10"/>
        <v>39916</v>
      </c>
      <c r="C111" s="35">
        <f t="shared" si="6"/>
        <v>12.006916666666667</v>
      </c>
      <c r="D111">
        <v>9.303055</v>
      </c>
      <c r="E111" s="36">
        <v>-0.249</v>
      </c>
      <c r="F111" s="32"/>
      <c r="H111" s="33"/>
      <c r="I111" s="34">
        <f t="shared" si="11"/>
        <v>39551</v>
      </c>
      <c r="J111" s="35">
        <f t="shared" si="7"/>
        <v>12.00625</v>
      </c>
      <c r="K111">
        <v>9.392591</v>
      </c>
      <c r="L111" s="36">
        <v>-0.225</v>
      </c>
      <c r="M111" s="32"/>
    </row>
    <row r="112" spans="1:13" ht="15">
      <c r="A112" s="33"/>
      <c r="B112" s="34">
        <f t="shared" si="10"/>
        <v>39917</v>
      </c>
      <c r="C112" s="35">
        <f t="shared" si="6"/>
        <v>12.002777777777778</v>
      </c>
      <c r="D112">
        <v>9.662561</v>
      </c>
      <c r="E112" s="36">
        <v>-0.1</v>
      </c>
      <c r="F112" s="32"/>
      <c r="H112" s="33"/>
      <c r="I112" s="34">
        <f t="shared" si="11"/>
        <v>39552</v>
      </c>
      <c r="J112" s="35">
        <f t="shared" si="7"/>
        <v>12.002138888888888</v>
      </c>
      <c r="K112">
        <v>9.751434</v>
      </c>
      <c r="L112" s="36">
        <v>-0.077</v>
      </c>
      <c r="M112" s="32"/>
    </row>
    <row r="113" spans="1:13" ht="15">
      <c r="A113" s="33"/>
      <c r="B113" s="34">
        <f t="shared" si="10"/>
        <v>39918</v>
      </c>
      <c r="C113" s="35">
        <f t="shared" si="6"/>
        <v>11.99875</v>
      </c>
      <c r="D113">
        <v>10.019429</v>
      </c>
      <c r="E113" s="36">
        <v>0.045</v>
      </c>
      <c r="F113" s="32"/>
      <c r="H113" s="33"/>
      <c r="I113" s="34">
        <f t="shared" si="11"/>
        <v>39553</v>
      </c>
      <c r="J113" s="35">
        <f t="shared" si="7"/>
        <v>11.998138888888889</v>
      </c>
      <c r="K113">
        <v>10.107551</v>
      </c>
      <c r="L113" s="36">
        <v>0.067</v>
      </c>
      <c r="M113" s="32"/>
    </row>
    <row r="114" spans="1:13" ht="15">
      <c r="A114" s="33"/>
      <c r="B114" s="34">
        <f t="shared" si="10"/>
        <v>39919</v>
      </c>
      <c r="C114" s="35">
        <f t="shared" si="6"/>
        <v>11.994805555555555</v>
      </c>
      <c r="D114">
        <v>10.373563</v>
      </c>
      <c r="E114" s="36">
        <v>0.187</v>
      </c>
      <c r="F114" s="32"/>
      <c r="H114" s="33"/>
      <c r="I114" s="34">
        <f t="shared" si="11"/>
        <v>39554</v>
      </c>
      <c r="J114" s="35">
        <f t="shared" si="7"/>
        <v>11.994222222222222</v>
      </c>
      <c r="K114">
        <v>10.460856</v>
      </c>
      <c r="L114" s="36">
        <v>0.208</v>
      </c>
      <c r="M114" s="32"/>
    </row>
    <row r="115" spans="1:13" ht="15">
      <c r="A115" s="33"/>
      <c r="B115" s="34">
        <f t="shared" si="10"/>
        <v>39920</v>
      </c>
      <c r="C115" s="35">
        <f t="shared" si="6"/>
        <v>11.990972222222222</v>
      </c>
      <c r="D115">
        <v>10.724869</v>
      </c>
      <c r="E115" s="36">
        <v>0.325</v>
      </c>
      <c r="F115" s="32"/>
      <c r="H115" s="33"/>
      <c r="I115" s="34">
        <f t="shared" si="11"/>
        <v>39555</v>
      </c>
      <c r="J115" s="35">
        <f t="shared" si="7"/>
        <v>11.990388888888889</v>
      </c>
      <c r="K115">
        <v>10.811264</v>
      </c>
      <c r="L115" s="36">
        <v>0.346</v>
      </c>
      <c r="M115" s="32"/>
    </row>
    <row r="116" spans="1:13" ht="15">
      <c r="A116" s="33"/>
      <c r="B116" s="34">
        <f t="shared" si="10"/>
        <v>39921</v>
      </c>
      <c r="C116" s="35">
        <f t="shared" si="6"/>
        <v>11.987277777777777</v>
      </c>
      <c r="D116">
        <v>11.073251</v>
      </c>
      <c r="E116" s="36">
        <v>0.458</v>
      </c>
      <c r="F116" s="32"/>
      <c r="H116" s="33"/>
      <c r="I116" s="34">
        <f t="shared" si="11"/>
        <v>39556</v>
      </c>
      <c r="J116" s="35">
        <f t="shared" si="7"/>
        <v>11.986694444444444</v>
      </c>
      <c r="K116">
        <v>11.15869</v>
      </c>
      <c r="L116" s="36">
        <v>0.479</v>
      </c>
      <c r="M116" s="32"/>
    </row>
    <row r="117" spans="1:13" ht="15">
      <c r="A117" s="33"/>
      <c r="B117" s="34">
        <f t="shared" si="10"/>
        <v>39922</v>
      </c>
      <c r="C117" s="35">
        <f t="shared" si="6"/>
        <v>11.983694444444444</v>
      </c>
      <c r="D117">
        <v>11.418612</v>
      </c>
      <c r="E117" s="36">
        <v>0.587</v>
      </c>
      <c r="F117" s="32"/>
      <c r="H117" s="33"/>
      <c r="I117" s="34">
        <f t="shared" si="11"/>
        <v>39557</v>
      </c>
      <c r="J117" s="35">
        <f t="shared" si="7"/>
        <v>11.983083333333333</v>
      </c>
      <c r="K117">
        <v>11.50305</v>
      </c>
      <c r="L117" s="36">
        <v>1.009</v>
      </c>
      <c r="M117" s="32"/>
    </row>
    <row r="118" spans="1:13" ht="15">
      <c r="A118" s="33"/>
      <c r="B118" s="34">
        <f t="shared" si="10"/>
        <v>39923</v>
      </c>
      <c r="C118" s="35">
        <f t="shared" si="6"/>
        <v>11.980222222222222</v>
      </c>
      <c r="D118">
        <v>11.760856</v>
      </c>
      <c r="E118" s="36">
        <v>1.112</v>
      </c>
      <c r="F118" s="32"/>
      <c r="H118" s="33"/>
      <c r="I118" s="34">
        <f t="shared" si="11"/>
        <v>39558</v>
      </c>
      <c r="J118" s="35">
        <f t="shared" si="7"/>
        <v>11.979611111111112</v>
      </c>
      <c r="K118">
        <v>11.844262</v>
      </c>
      <c r="L118" s="36">
        <v>1.134</v>
      </c>
      <c r="M118" s="32"/>
    </row>
    <row r="119" spans="1:13" ht="15">
      <c r="A119" s="33"/>
      <c r="B119" s="34">
        <f t="shared" si="10"/>
        <v>39924</v>
      </c>
      <c r="C119" s="35">
        <f t="shared" si="6"/>
        <v>11.976861111111111</v>
      </c>
      <c r="D119">
        <v>12.099887</v>
      </c>
      <c r="E119" s="36">
        <v>1.233</v>
      </c>
      <c r="F119" s="32"/>
      <c r="H119" s="33"/>
      <c r="I119" s="34">
        <f t="shared" si="11"/>
        <v>39559</v>
      </c>
      <c r="J119" s="35">
        <f t="shared" si="7"/>
        <v>11.97625</v>
      </c>
      <c r="K119">
        <v>12.182238</v>
      </c>
      <c r="L119" s="36">
        <v>1.255</v>
      </c>
      <c r="M119" s="32"/>
    </row>
    <row r="120" spans="1:13" ht="15">
      <c r="A120" s="33"/>
      <c r="B120" s="34">
        <f t="shared" si="10"/>
        <v>39925</v>
      </c>
      <c r="C120" s="35">
        <f t="shared" si="6"/>
        <v>11.973638888888889</v>
      </c>
      <c r="D120">
        <v>12.435607</v>
      </c>
      <c r="E120" s="36">
        <v>1.349</v>
      </c>
      <c r="F120" s="32"/>
      <c r="H120" s="33"/>
      <c r="I120" s="34">
        <f t="shared" si="11"/>
        <v>39560</v>
      </c>
      <c r="J120" s="35">
        <f t="shared" si="7"/>
        <v>11.973027777777778</v>
      </c>
      <c r="K120">
        <v>12.516895</v>
      </c>
      <c r="L120" s="36">
        <v>1.371</v>
      </c>
      <c r="M120" s="32"/>
    </row>
    <row r="121" spans="1:13" ht="15">
      <c r="A121" s="33"/>
      <c r="B121" s="34">
        <f t="shared" si="10"/>
        <v>39926</v>
      </c>
      <c r="C121" s="35">
        <f t="shared" si="6"/>
        <v>11.970555555555556</v>
      </c>
      <c r="D121">
        <v>12.767922</v>
      </c>
      <c r="E121" s="36">
        <v>1.46</v>
      </c>
      <c r="F121" s="32"/>
      <c r="H121" s="33"/>
      <c r="I121" s="34">
        <f t="shared" si="11"/>
        <v>39561</v>
      </c>
      <c r="J121" s="35">
        <f t="shared" si="7"/>
        <v>11.969916666666666</v>
      </c>
      <c r="K121">
        <v>12.848144</v>
      </c>
      <c r="L121" s="36">
        <v>1.483</v>
      </c>
      <c r="M121" s="32"/>
    </row>
    <row r="122" spans="1:13" ht="15">
      <c r="A122" s="33"/>
      <c r="B122" s="34">
        <f t="shared" si="10"/>
        <v>39927</v>
      </c>
      <c r="C122" s="35">
        <f t="shared" si="6"/>
        <v>11.967611111111111</v>
      </c>
      <c r="D122">
        <v>13.096735</v>
      </c>
      <c r="E122" s="36">
        <v>1.566</v>
      </c>
      <c r="F122" s="32"/>
      <c r="H122" s="33"/>
      <c r="I122" s="34">
        <f t="shared" si="11"/>
        <v>39562</v>
      </c>
      <c r="J122" s="35">
        <f t="shared" si="7"/>
        <v>11.966944444444444</v>
      </c>
      <c r="K122">
        <v>13.175898</v>
      </c>
      <c r="L122" s="36">
        <v>1.59</v>
      </c>
      <c r="M122" s="32"/>
    </row>
    <row r="123" spans="1:13" ht="15">
      <c r="A123" s="33"/>
      <c r="B123" s="34">
        <f t="shared" si="10"/>
        <v>39928</v>
      </c>
      <c r="C123" s="35">
        <f t="shared" si="6"/>
        <v>11.964777777777778</v>
      </c>
      <c r="D123">
        <v>13.421952</v>
      </c>
      <c r="E123" s="36">
        <v>2.068</v>
      </c>
      <c r="F123" s="32"/>
      <c r="H123" s="33"/>
      <c r="I123" s="34">
        <f t="shared" si="11"/>
        <v>39563</v>
      </c>
      <c r="J123" s="35">
        <f t="shared" si="7"/>
        <v>11.96411111111111</v>
      </c>
      <c r="K123">
        <v>13.500069</v>
      </c>
      <c r="L123" s="36">
        <v>2.092</v>
      </c>
      <c r="M123" s="32"/>
    </row>
    <row r="124" spans="1:13" ht="15">
      <c r="A124" s="33"/>
      <c r="B124" s="34">
        <f t="shared" si="10"/>
        <v>39929</v>
      </c>
      <c r="C124" s="35">
        <f t="shared" si="6"/>
        <v>11.962083333333334</v>
      </c>
      <c r="D124">
        <v>13.743478</v>
      </c>
      <c r="E124" s="36">
        <v>2.165</v>
      </c>
      <c r="F124" s="32"/>
      <c r="H124" s="33"/>
      <c r="I124" s="34">
        <f t="shared" si="11"/>
        <v>39564</v>
      </c>
      <c r="J124" s="35">
        <f t="shared" si="7"/>
        <v>11.961444444444444</v>
      </c>
      <c r="K124">
        <v>13.820566</v>
      </c>
      <c r="L124" s="36">
        <v>2.188</v>
      </c>
      <c r="M124" s="32"/>
    </row>
    <row r="125" spans="1:13" ht="15">
      <c r="A125" s="33"/>
      <c r="B125" s="34">
        <f t="shared" si="10"/>
        <v>39930</v>
      </c>
      <c r="C125" s="35">
        <f t="shared" si="6"/>
        <v>11.959555555555555</v>
      </c>
      <c r="D125">
        <v>14.061219</v>
      </c>
      <c r="E125" s="36">
        <v>2.256</v>
      </c>
      <c r="F125" s="32"/>
      <c r="H125" s="33"/>
      <c r="I125" s="34">
        <f t="shared" si="11"/>
        <v>39565</v>
      </c>
      <c r="J125" s="35">
        <f t="shared" si="7"/>
        <v>11.95888888888889</v>
      </c>
      <c r="K125">
        <v>14.137299</v>
      </c>
      <c r="L125" s="36">
        <v>2.28</v>
      </c>
      <c r="M125" s="32"/>
    </row>
    <row r="126" spans="1:13" ht="15">
      <c r="A126" s="33"/>
      <c r="B126" s="34">
        <f t="shared" si="10"/>
        <v>39931</v>
      </c>
      <c r="C126" s="35">
        <f t="shared" si="6"/>
        <v>11.957138888888888</v>
      </c>
      <c r="D126">
        <v>14.375078</v>
      </c>
      <c r="E126" s="36">
        <v>2.343</v>
      </c>
      <c r="F126" s="32"/>
      <c r="H126" s="33"/>
      <c r="I126" s="34">
        <f t="shared" si="11"/>
        <v>39566</v>
      </c>
      <c r="J126" s="35">
        <f t="shared" si="7"/>
        <v>11.956472222222223</v>
      </c>
      <c r="K126">
        <v>14.450175</v>
      </c>
      <c r="L126" s="36">
        <v>2.367</v>
      </c>
      <c r="M126" s="32"/>
    </row>
    <row r="127" spans="1:13" ht="15">
      <c r="A127" s="33"/>
      <c r="B127" s="34">
        <f t="shared" si="10"/>
        <v>39932</v>
      </c>
      <c r="C127" s="35">
        <f t="shared" si="6"/>
        <v>11.95486111111111</v>
      </c>
      <c r="D127">
        <v>14.684961</v>
      </c>
      <c r="E127" s="36">
        <v>2.425</v>
      </c>
      <c r="F127" s="32"/>
      <c r="H127" s="33"/>
      <c r="I127" s="34">
        <f t="shared" si="11"/>
        <v>39567</v>
      </c>
      <c r="J127" s="35">
        <f t="shared" si="7"/>
        <v>11.954222222222223</v>
      </c>
      <c r="K127">
        <v>14.759102</v>
      </c>
      <c r="L127" s="36">
        <v>2.448</v>
      </c>
      <c r="M127" s="32"/>
    </row>
    <row r="128" spans="1:13" ht="15">
      <c r="A128" s="33"/>
      <c r="B128" s="34">
        <f t="shared" si="10"/>
        <v>39933</v>
      </c>
      <c r="C128" s="35">
        <f t="shared" si="6"/>
        <v>11.95275</v>
      </c>
      <c r="D128">
        <v>14.990776</v>
      </c>
      <c r="E128" s="36">
        <v>2.501</v>
      </c>
      <c r="F128" s="32"/>
      <c r="H128" s="33"/>
      <c r="I128" s="34">
        <f t="shared" si="11"/>
        <v>39568</v>
      </c>
      <c r="J128" s="35">
        <f t="shared" si="7"/>
        <v>11.95213888888889</v>
      </c>
      <c r="K128">
        <v>15.063988</v>
      </c>
      <c r="L128" s="36">
        <v>2.523</v>
      </c>
      <c r="M128" s="32"/>
    </row>
    <row r="129" spans="1:13" ht="15">
      <c r="A129" s="33"/>
      <c r="B129" s="33"/>
      <c r="C129" s="33"/>
      <c r="D129" s="33"/>
      <c r="E129" s="37"/>
      <c r="F129" s="32"/>
      <c r="H129" s="33"/>
      <c r="I129" s="33"/>
      <c r="J129" s="33"/>
      <c r="K129" s="33"/>
      <c r="L129" s="37"/>
      <c r="M129" s="32"/>
    </row>
    <row r="130" spans="1:13" ht="15">
      <c r="A130" s="33"/>
      <c r="B130" s="33"/>
      <c r="C130" s="33"/>
      <c r="D130" s="33"/>
      <c r="E130" s="37"/>
      <c r="F130" s="32"/>
      <c r="H130" s="33"/>
      <c r="I130" s="33"/>
      <c r="J130" s="33"/>
      <c r="K130" s="33"/>
      <c r="L130" s="37"/>
      <c r="M130" s="32"/>
    </row>
    <row r="131" spans="1:13" ht="15">
      <c r="A131" s="33"/>
      <c r="B131" s="38">
        <f>DATE(109,5,1)</f>
        <v>39934</v>
      </c>
      <c r="C131" s="35">
        <f aca="true" t="shared" si="12" ref="C131:C192">12-(TRUNC(E131,0)+MOD(E131,1)*5/3)/60</f>
        <v>11.95075</v>
      </c>
      <c r="D131">
        <v>15.29243</v>
      </c>
      <c r="E131" s="36">
        <v>2.573</v>
      </c>
      <c r="F131" s="32"/>
      <c r="H131" s="33"/>
      <c r="I131" s="38">
        <f>DATE(108,5,1)</f>
        <v>39569</v>
      </c>
      <c r="J131" s="35">
        <f aca="true" t="shared" si="13" ref="J131:J192">12-(TRUNC(L131,0)+MOD(L131,1)*5/3)/60</f>
        <v>11.950194444444444</v>
      </c>
      <c r="K131">
        <v>15.364738</v>
      </c>
      <c r="L131" s="36">
        <v>2.593</v>
      </c>
      <c r="M131" s="32"/>
    </row>
    <row r="132" spans="1:13" ht="15">
      <c r="A132" s="33"/>
      <c r="B132" s="34">
        <f aca="true" t="shared" si="14" ref="B132:B161">B131+1</f>
        <v>39935</v>
      </c>
      <c r="C132" s="35">
        <f t="shared" si="12"/>
        <v>11.948916666666667</v>
      </c>
      <c r="D132">
        <v>15.589837</v>
      </c>
      <c r="E132" s="36">
        <v>3.039</v>
      </c>
      <c r="F132" s="32"/>
      <c r="H132" s="33"/>
      <c r="I132" s="34">
        <f aca="true" t="shared" si="15" ref="I132:I161">I131+1</f>
        <v>39570</v>
      </c>
      <c r="J132" s="35">
        <f t="shared" si="13"/>
        <v>11.948416666666667</v>
      </c>
      <c r="K132">
        <v>15.661262</v>
      </c>
      <c r="L132" s="36">
        <v>3.057</v>
      </c>
      <c r="M132" s="32"/>
    </row>
    <row r="133" spans="1:13" ht="15">
      <c r="A133" s="33"/>
      <c r="B133" s="34">
        <f t="shared" si="14"/>
        <v>39936</v>
      </c>
      <c r="C133" s="35">
        <f t="shared" si="12"/>
        <v>11.947222222222223</v>
      </c>
      <c r="D133">
        <v>15.882913</v>
      </c>
      <c r="E133" s="36">
        <v>3.1</v>
      </c>
      <c r="F133" s="32"/>
      <c r="H133" s="33"/>
      <c r="I133" s="34">
        <f t="shared" si="15"/>
        <v>39571</v>
      </c>
      <c r="J133" s="35">
        <f t="shared" si="13"/>
        <v>11.946777777777777</v>
      </c>
      <c r="K133">
        <v>15.953466</v>
      </c>
      <c r="L133" s="36">
        <v>3.116</v>
      </c>
      <c r="M133" s="32"/>
    </row>
    <row r="134" spans="1:13" ht="15">
      <c r="A134" s="33"/>
      <c r="B134" s="34">
        <f t="shared" si="14"/>
        <v>39937</v>
      </c>
      <c r="C134" s="35">
        <f t="shared" si="12"/>
        <v>11.945666666666666</v>
      </c>
      <c r="D134">
        <v>16.171575</v>
      </c>
      <c r="E134" s="36">
        <v>3.156</v>
      </c>
      <c r="F134" s="32"/>
      <c r="H134" s="33"/>
      <c r="I134" s="34">
        <f t="shared" si="15"/>
        <v>39572</v>
      </c>
      <c r="J134" s="35">
        <f t="shared" si="13"/>
        <v>11.945305555555555</v>
      </c>
      <c r="K134">
        <v>16.24126</v>
      </c>
      <c r="L134" s="36">
        <v>3.169</v>
      </c>
      <c r="M134" s="32"/>
    </row>
    <row r="135" spans="1:13" ht="15">
      <c r="A135" s="33"/>
      <c r="B135" s="34">
        <f t="shared" si="14"/>
        <v>39938</v>
      </c>
      <c r="C135" s="35">
        <f t="shared" si="12"/>
        <v>11.944277777777778</v>
      </c>
      <c r="D135">
        <v>16.455744</v>
      </c>
      <c r="E135" s="36">
        <v>3.206</v>
      </c>
      <c r="F135" s="32"/>
      <c r="H135" s="33"/>
      <c r="I135" s="34">
        <f t="shared" si="15"/>
        <v>39573</v>
      </c>
      <c r="J135" s="35">
        <f t="shared" si="13"/>
        <v>11.943972222222222</v>
      </c>
      <c r="K135">
        <v>16.524554</v>
      </c>
      <c r="L135" s="36">
        <v>3.217</v>
      </c>
      <c r="M135" s="32"/>
    </row>
    <row r="136" spans="1:13" ht="15">
      <c r="A136" s="33"/>
      <c r="B136" s="34">
        <f t="shared" si="14"/>
        <v>39939</v>
      </c>
      <c r="C136" s="35">
        <f t="shared" si="12"/>
        <v>11.943027777777777</v>
      </c>
      <c r="D136">
        <v>16.735344</v>
      </c>
      <c r="E136" s="36">
        <v>3.251</v>
      </c>
      <c r="F136" s="32"/>
      <c r="H136" s="33"/>
      <c r="I136" s="34">
        <f t="shared" si="15"/>
        <v>39574</v>
      </c>
      <c r="J136" s="35">
        <f t="shared" si="13"/>
        <v>11.942805555555555</v>
      </c>
      <c r="K136">
        <v>16.803259</v>
      </c>
      <c r="L136" s="36">
        <v>3.259</v>
      </c>
      <c r="M136" s="32"/>
    </row>
    <row r="137" spans="1:13" ht="15">
      <c r="A137" s="33"/>
      <c r="B137" s="34">
        <f t="shared" si="14"/>
        <v>39940</v>
      </c>
      <c r="C137" s="35">
        <f t="shared" si="12"/>
        <v>11.941944444444445</v>
      </c>
      <c r="D137">
        <v>17.010297</v>
      </c>
      <c r="E137" s="36">
        <v>3.29</v>
      </c>
      <c r="F137" s="32"/>
      <c r="H137" s="33"/>
      <c r="I137" s="34">
        <f t="shared" si="15"/>
        <v>39575</v>
      </c>
      <c r="J137" s="35">
        <f t="shared" si="13"/>
        <v>11.941805555555556</v>
      </c>
      <c r="K137">
        <v>17.077286</v>
      </c>
      <c r="L137" s="36">
        <v>3.295</v>
      </c>
      <c r="M137" s="32"/>
    </row>
    <row r="138" spans="1:13" ht="15">
      <c r="A138" s="33"/>
      <c r="B138" s="34">
        <f t="shared" si="14"/>
        <v>39941</v>
      </c>
      <c r="C138" s="35">
        <f t="shared" si="12"/>
        <v>11.941</v>
      </c>
      <c r="D138">
        <v>17.280527</v>
      </c>
      <c r="E138" s="36">
        <v>3.324</v>
      </c>
      <c r="F138" s="32"/>
      <c r="H138" s="33"/>
      <c r="I138" s="34">
        <f t="shared" si="15"/>
        <v>39576</v>
      </c>
      <c r="J138" s="35">
        <f t="shared" si="13"/>
        <v>11.940972222222221</v>
      </c>
      <c r="K138">
        <v>17.346544</v>
      </c>
      <c r="L138" s="36">
        <v>3.325</v>
      </c>
      <c r="M138" s="32"/>
    </row>
    <row r="139" spans="1:13" ht="15">
      <c r="A139" s="33"/>
      <c r="B139" s="34">
        <f t="shared" si="14"/>
        <v>39942</v>
      </c>
      <c r="C139" s="35">
        <f t="shared" si="12"/>
        <v>11.940222222222221</v>
      </c>
      <c r="D139">
        <v>17.545958</v>
      </c>
      <c r="E139" s="36">
        <v>3.352</v>
      </c>
      <c r="F139" s="32"/>
      <c r="H139" s="33"/>
      <c r="I139" s="34">
        <f t="shared" si="15"/>
        <v>39577</v>
      </c>
      <c r="J139" s="35">
        <f t="shared" si="13"/>
        <v>11.940277777777778</v>
      </c>
      <c r="K139">
        <v>17.610944</v>
      </c>
      <c r="L139" s="36">
        <v>3.35</v>
      </c>
      <c r="M139" s="32"/>
    </row>
    <row r="140" spans="1:13" ht="15">
      <c r="A140" s="33"/>
      <c r="B140" s="34">
        <f t="shared" si="14"/>
        <v>39943</v>
      </c>
      <c r="C140" s="35">
        <f t="shared" si="12"/>
        <v>11.93961111111111</v>
      </c>
      <c r="D140">
        <v>17.80651</v>
      </c>
      <c r="E140" s="36">
        <v>3.374</v>
      </c>
      <c r="F140" s="32"/>
      <c r="H140" s="33"/>
      <c r="I140" s="34">
        <f t="shared" si="15"/>
        <v>39578</v>
      </c>
      <c r="J140" s="35">
        <f t="shared" si="13"/>
        <v>11.939722222222223</v>
      </c>
      <c r="K140">
        <v>17.870401</v>
      </c>
      <c r="L140" s="36">
        <v>3.37</v>
      </c>
      <c r="M140" s="32"/>
    </row>
    <row r="141" spans="1:13" ht="15">
      <c r="A141" s="33"/>
      <c r="B141" s="34">
        <f t="shared" si="14"/>
        <v>39944</v>
      </c>
      <c r="C141" s="35">
        <f t="shared" si="12"/>
        <v>11.939166666666667</v>
      </c>
      <c r="D141">
        <v>18.062106</v>
      </c>
      <c r="E141" s="36">
        <v>3.39</v>
      </c>
      <c r="F141" s="32"/>
      <c r="H141" s="33"/>
      <c r="I141" s="34">
        <f t="shared" si="15"/>
        <v>39579</v>
      </c>
      <c r="J141" s="35">
        <f t="shared" si="13"/>
        <v>11.939333333333334</v>
      </c>
      <c r="K141">
        <v>18.124831</v>
      </c>
      <c r="L141" s="36">
        <v>3.384</v>
      </c>
      <c r="M141" s="32"/>
    </row>
    <row r="142" spans="1:13" ht="15">
      <c r="A142" s="33"/>
      <c r="B142" s="34">
        <f t="shared" si="14"/>
        <v>39945</v>
      </c>
      <c r="C142" s="35">
        <f t="shared" si="12"/>
        <v>11.93886111111111</v>
      </c>
      <c r="D142">
        <v>18.312666</v>
      </c>
      <c r="E142" s="36">
        <v>3.401</v>
      </c>
      <c r="F142" s="32"/>
      <c r="H142" s="33"/>
      <c r="I142" s="34">
        <f t="shared" si="15"/>
        <v>39580</v>
      </c>
      <c r="J142" s="35">
        <f t="shared" si="13"/>
        <v>11.939083333333333</v>
      </c>
      <c r="K142">
        <v>18.374156</v>
      </c>
      <c r="L142" s="36">
        <v>3.393</v>
      </c>
      <c r="M142" s="32"/>
    </row>
    <row r="143" spans="1:13" ht="15">
      <c r="A143" s="33"/>
      <c r="B143" s="34">
        <f t="shared" si="14"/>
        <v>39946</v>
      </c>
      <c r="C143" s="35">
        <f t="shared" si="12"/>
        <v>11.938722222222221</v>
      </c>
      <c r="D143">
        <v>18.558109</v>
      </c>
      <c r="E143" s="36">
        <v>3.406</v>
      </c>
      <c r="F143" s="32"/>
      <c r="H143" s="33"/>
      <c r="I143" s="34">
        <f t="shared" si="15"/>
        <v>39581</v>
      </c>
      <c r="J143" s="35">
        <f t="shared" si="13"/>
        <v>11.939027777777778</v>
      </c>
      <c r="K143">
        <v>18.618298</v>
      </c>
      <c r="L143" s="36">
        <v>3.395</v>
      </c>
      <c r="M143" s="32"/>
    </row>
    <row r="144" spans="1:13" ht="15">
      <c r="A144" s="33"/>
      <c r="B144" s="34">
        <f t="shared" si="14"/>
        <v>39947</v>
      </c>
      <c r="C144" s="35">
        <f t="shared" si="12"/>
        <v>11.93875</v>
      </c>
      <c r="D144">
        <v>18.798357</v>
      </c>
      <c r="E144" s="36">
        <v>3.405</v>
      </c>
      <c r="F144" s="32"/>
      <c r="H144" s="33"/>
      <c r="I144" s="34">
        <f t="shared" si="15"/>
        <v>39582</v>
      </c>
      <c r="J144" s="35">
        <f t="shared" si="13"/>
        <v>11.939083333333333</v>
      </c>
      <c r="K144">
        <v>18.857186</v>
      </c>
      <c r="L144" s="36">
        <v>3.393</v>
      </c>
      <c r="M144" s="32"/>
    </row>
    <row r="145" spans="1:13" ht="15">
      <c r="A145" s="33"/>
      <c r="B145" s="34">
        <f t="shared" si="14"/>
        <v>39948</v>
      </c>
      <c r="C145" s="35">
        <f t="shared" si="12"/>
        <v>11.938944444444445</v>
      </c>
      <c r="D145">
        <v>19.03333</v>
      </c>
      <c r="E145" s="36">
        <v>3.398</v>
      </c>
      <c r="F145" s="32"/>
      <c r="H145" s="33"/>
      <c r="I145" s="34">
        <f t="shared" si="15"/>
        <v>39583</v>
      </c>
      <c r="J145" s="35">
        <f t="shared" si="13"/>
        <v>11.939305555555556</v>
      </c>
      <c r="K145">
        <v>19.090746</v>
      </c>
      <c r="L145" s="36">
        <v>3.385</v>
      </c>
      <c r="M145" s="32"/>
    </row>
    <row r="146" spans="1:13" ht="15">
      <c r="A146" s="33"/>
      <c r="B146" s="34">
        <f t="shared" si="14"/>
        <v>39949</v>
      </c>
      <c r="C146" s="35">
        <f t="shared" si="12"/>
        <v>11.939305555555556</v>
      </c>
      <c r="D146">
        <v>19.262948</v>
      </c>
      <c r="E146" s="36">
        <v>3.385</v>
      </c>
      <c r="F146" s="32"/>
      <c r="H146" s="33"/>
      <c r="I146" s="34">
        <f t="shared" si="15"/>
        <v>39584</v>
      </c>
      <c r="J146" s="35">
        <f t="shared" si="13"/>
        <v>11.939694444444445</v>
      </c>
      <c r="K146">
        <v>19.31891</v>
      </c>
      <c r="L146" s="36">
        <v>3.371</v>
      </c>
      <c r="M146" s="32"/>
    </row>
    <row r="147" spans="1:13" ht="15">
      <c r="A147" s="33"/>
      <c r="B147" s="34">
        <f t="shared" si="14"/>
        <v>39950</v>
      </c>
      <c r="C147" s="35">
        <f t="shared" si="12"/>
        <v>11.939833333333333</v>
      </c>
      <c r="D147">
        <v>19.487133</v>
      </c>
      <c r="E147" s="36">
        <v>3.366</v>
      </c>
      <c r="F147" s="32"/>
      <c r="H147" s="33"/>
      <c r="I147" s="34">
        <f t="shared" si="15"/>
        <v>39585</v>
      </c>
      <c r="J147" s="35">
        <f t="shared" si="13"/>
        <v>11.940222222222221</v>
      </c>
      <c r="K147">
        <v>19.541609</v>
      </c>
      <c r="L147" s="36">
        <v>3.352</v>
      </c>
      <c r="M147" s="32"/>
    </row>
    <row r="148" spans="1:13" ht="15">
      <c r="A148" s="33"/>
      <c r="B148" s="34">
        <f t="shared" si="14"/>
        <v>39951</v>
      </c>
      <c r="C148" s="35">
        <f t="shared" si="12"/>
        <v>11.9405</v>
      </c>
      <c r="D148">
        <v>19.705807</v>
      </c>
      <c r="E148" s="36">
        <v>3.342</v>
      </c>
      <c r="F148" s="32"/>
      <c r="H148" s="33"/>
      <c r="I148" s="34">
        <f t="shared" si="15"/>
        <v>39586</v>
      </c>
      <c r="J148" s="35">
        <f t="shared" si="13"/>
        <v>11.940888888888889</v>
      </c>
      <c r="K148">
        <v>19.758776</v>
      </c>
      <c r="L148" s="36">
        <v>3.328</v>
      </c>
      <c r="M148" s="32"/>
    </row>
    <row r="149" spans="1:13" ht="15">
      <c r="A149" s="33"/>
      <c r="B149" s="34">
        <f t="shared" si="14"/>
        <v>39952</v>
      </c>
      <c r="C149" s="35">
        <f t="shared" si="12"/>
        <v>11.941333333333333</v>
      </c>
      <c r="D149">
        <v>19.918894</v>
      </c>
      <c r="E149" s="36">
        <v>3.312</v>
      </c>
      <c r="F149" s="32"/>
      <c r="H149" s="33"/>
      <c r="I149" s="34">
        <f t="shared" si="15"/>
        <v>39587</v>
      </c>
      <c r="J149" s="35">
        <f t="shared" si="13"/>
        <v>11.941722222222221</v>
      </c>
      <c r="K149">
        <v>19.970344</v>
      </c>
      <c r="L149" s="36">
        <v>3.298</v>
      </c>
      <c r="M149" s="32"/>
    </row>
    <row r="150" spans="1:13" ht="15">
      <c r="A150" s="33"/>
      <c r="B150" s="34">
        <f t="shared" si="14"/>
        <v>39953</v>
      </c>
      <c r="C150" s="35">
        <f t="shared" si="12"/>
        <v>11.942305555555556</v>
      </c>
      <c r="D150">
        <v>20.126319</v>
      </c>
      <c r="E150" s="36">
        <v>3.277</v>
      </c>
      <c r="F150" s="32"/>
      <c r="H150" s="33"/>
      <c r="I150" s="34">
        <f t="shared" si="15"/>
        <v>39588</v>
      </c>
      <c r="J150" s="35">
        <f t="shared" si="13"/>
        <v>11.942694444444445</v>
      </c>
      <c r="K150">
        <v>20.176245</v>
      </c>
      <c r="L150" s="36">
        <v>3.263</v>
      </c>
      <c r="M150" s="32"/>
    </row>
    <row r="151" spans="1:13" ht="15">
      <c r="A151" s="33"/>
      <c r="B151" s="34">
        <f t="shared" si="14"/>
        <v>39954</v>
      </c>
      <c r="C151" s="35">
        <f t="shared" si="12"/>
        <v>11.943444444444445</v>
      </c>
      <c r="D151">
        <v>20.32801</v>
      </c>
      <c r="E151" s="36">
        <v>3.236</v>
      </c>
      <c r="F151" s="32"/>
      <c r="H151" s="33"/>
      <c r="I151" s="34">
        <f t="shared" si="15"/>
        <v>39589</v>
      </c>
      <c r="J151" s="35">
        <f t="shared" si="13"/>
        <v>11.943833333333334</v>
      </c>
      <c r="K151">
        <v>20.376415</v>
      </c>
      <c r="L151" s="36">
        <v>3.222</v>
      </c>
      <c r="M151" s="32"/>
    </row>
    <row r="152" spans="1:13" ht="15">
      <c r="A152" s="33"/>
      <c r="B152" s="34">
        <f t="shared" si="14"/>
        <v>39955</v>
      </c>
      <c r="C152" s="35">
        <f t="shared" si="12"/>
        <v>11.94475</v>
      </c>
      <c r="D152">
        <v>20.523897</v>
      </c>
      <c r="E152" s="36">
        <v>3.189</v>
      </c>
      <c r="F152" s="32"/>
      <c r="H152" s="33"/>
      <c r="I152" s="34">
        <f t="shared" si="15"/>
        <v>39590</v>
      </c>
      <c r="J152" s="35">
        <f t="shared" si="13"/>
        <v>11.94511111111111</v>
      </c>
      <c r="K152">
        <v>20.570786</v>
      </c>
      <c r="L152" s="36">
        <v>3.176</v>
      </c>
      <c r="M152" s="32"/>
    </row>
    <row r="153" spans="1:13" ht="15">
      <c r="A153" s="33"/>
      <c r="B153" s="34">
        <f t="shared" si="14"/>
        <v>39956</v>
      </c>
      <c r="C153" s="35">
        <f t="shared" si="12"/>
        <v>11.946194444444444</v>
      </c>
      <c r="D153">
        <v>20.713911</v>
      </c>
      <c r="E153" s="36">
        <v>3.137</v>
      </c>
      <c r="F153" s="32"/>
      <c r="H153" s="33"/>
      <c r="I153" s="34">
        <f t="shared" si="15"/>
        <v>39591</v>
      </c>
      <c r="J153" s="35">
        <f t="shared" si="13"/>
        <v>11.946527777777778</v>
      </c>
      <c r="K153">
        <v>20.759294</v>
      </c>
      <c r="L153" s="36">
        <v>3.125</v>
      </c>
      <c r="M153" s="32"/>
    </row>
    <row r="154" spans="1:13" ht="15">
      <c r="A154" s="33"/>
      <c r="B154" s="34">
        <f t="shared" si="14"/>
        <v>39957</v>
      </c>
      <c r="C154" s="35">
        <f t="shared" si="12"/>
        <v>11.947777777777778</v>
      </c>
      <c r="D154">
        <v>20.897987</v>
      </c>
      <c r="E154" s="36">
        <v>3.08</v>
      </c>
      <c r="F154" s="32"/>
      <c r="H154" s="33"/>
      <c r="I154" s="34">
        <f t="shared" si="15"/>
        <v>39592</v>
      </c>
      <c r="J154" s="35">
        <f t="shared" si="13"/>
        <v>11.948083333333333</v>
      </c>
      <c r="K154">
        <v>20.941872</v>
      </c>
      <c r="L154" s="36">
        <v>3.069</v>
      </c>
      <c r="M154" s="32"/>
    </row>
    <row r="155" spans="1:13" ht="15">
      <c r="A155" s="33"/>
      <c r="B155" s="34">
        <f t="shared" si="14"/>
        <v>39958</v>
      </c>
      <c r="C155" s="35">
        <f t="shared" si="12"/>
        <v>11.949472222222223</v>
      </c>
      <c r="D155">
        <v>21.07606</v>
      </c>
      <c r="E155" s="36">
        <v>3.019</v>
      </c>
      <c r="F155" s="32"/>
      <c r="H155" s="33"/>
      <c r="I155" s="34">
        <f t="shared" si="15"/>
        <v>39593</v>
      </c>
      <c r="J155" s="35">
        <f t="shared" si="13"/>
        <v>11.949805555555555</v>
      </c>
      <c r="K155">
        <v>21.118456</v>
      </c>
      <c r="L155" s="36">
        <v>3.007</v>
      </c>
      <c r="M155" s="32"/>
    </row>
    <row r="156" spans="1:13" ht="15">
      <c r="A156" s="33"/>
      <c r="B156" s="34">
        <f t="shared" si="14"/>
        <v>39959</v>
      </c>
      <c r="C156" s="35">
        <f t="shared" si="12"/>
        <v>11.951333333333332</v>
      </c>
      <c r="D156">
        <v>21.248065</v>
      </c>
      <c r="E156" s="36">
        <v>2.552</v>
      </c>
      <c r="F156" s="32"/>
      <c r="H156" s="33"/>
      <c r="I156" s="34">
        <f t="shared" si="15"/>
        <v>39594</v>
      </c>
      <c r="J156" s="35">
        <f t="shared" si="13"/>
        <v>11.951638888888889</v>
      </c>
      <c r="K156">
        <v>21.288981</v>
      </c>
      <c r="L156" s="36">
        <v>2.541</v>
      </c>
      <c r="M156" s="32"/>
    </row>
    <row r="157" spans="1:13" ht="15">
      <c r="A157" s="33"/>
      <c r="B157" s="34">
        <f t="shared" si="14"/>
        <v>39960</v>
      </c>
      <c r="C157" s="35">
        <f t="shared" si="12"/>
        <v>11.953305555555556</v>
      </c>
      <c r="D157">
        <v>21.413939</v>
      </c>
      <c r="E157" s="36">
        <v>2.481</v>
      </c>
      <c r="F157" s="32"/>
      <c r="H157" s="33"/>
      <c r="I157" s="34">
        <f t="shared" si="15"/>
        <v>39595</v>
      </c>
      <c r="J157" s="35">
        <f t="shared" si="13"/>
        <v>11.95363888888889</v>
      </c>
      <c r="K157">
        <v>21.453383</v>
      </c>
      <c r="L157" s="36">
        <v>2.469</v>
      </c>
      <c r="M157" s="32"/>
    </row>
    <row r="158" spans="1:13" ht="15">
      <c r="A158" s="33"/>
      <c r="B158" s="34">
        <f t="shared" si="14"/>
        <v>39961</v>
      </c>
      <c r="C158" s="35">
        <f t="shared" si="12"/>
        <v>11.955416666666666</v>
      </c>
      <c r="D158">
        <v>21.57362</v>
      </c>
      <c r="E158" s="36">
        <v>2.405</v>
      </c>
      <c r="F158" s="32"/>
      <c r="H158" s="33"/>
      <c r="I158" s="34">
        <f t="shared" si="15"/>
        <v>39596</v>
      </c>
      <c r="J158" s="35">
        <f t="shared" si="13"/>
        <v>11.95575</v>
      </c>
      <c r="K158">
        <v>21.611602</v>
      </c>
      <c r="L158" s="36">
        <v>2.393</v>
      </c>
      <c r="M158" s="32"/>
    </row>
    <row r="159" spans="1:13" ht="15">
      <c r="A159" s="33"/>
      <c r="B159" s="34">
        <f t="shared" si="14"/>
        <v>39962</v>
      </c>
      <c r="C159" s="35">
        <f t="shared" si="12"/>
        <v>11.957638888888889</v>
      </c>
      <c r="D159">
        <v>21.727049</v>
      </c>
      <c r="E159" s="36">
        <v>2.325</v>
      </c>
      <c r="F159" s="32"/>
      <c r="H159" s="33"/>
      <c r="I159" s="34">
        <f t="shared" si="15"/>
        <v>39597</v>
      </c>
      <c r="J159" s="35">
        <f t="shared" si="13"/>
        <v>11.958</v>
      </c>
      <c r="K159">
        <v>21.763576</v>
      </c>
      <c r="L159" s="36">
        <v>2.312</v>
      </c>
      <c r="M159" s="32"/>
    </row>
    <row r="160" spans="1:13" ht="15">
      <c r="A160" s="33"/>
      <c r="B160" s="34">
        <f t="shared" si="14"/>
        <v>39963</v>
      </c>
      <c r="C160" s="35">
        <f t="shared" si="12"/>
        <v>11.959972222222222</v>
      </c>
      <c r="D160">
        <v>21.874172</v>
      </c>
      <c r="E160" s="36">
        <v>2.241</v>
      </c>
      <c r="F160" s="32"/>
      <c r="H160" s="33"/>
      <c r="I160" s="34">
        <f t="shared" si="15"/>
        <v>39598</v>
      </c>
      <c r="J160" s="35">
        <f t="shared" si="13"/>
        <v>11.96036111111111</v>
      </c>
      <c r="K160">
        <v>21.909247</v>
      </c>
      <c r="L160" s="36">
        <v>2.227</v>
      </c>
      <c r="M160" s="32"/>
    </row>
    <row r="161" spans="1:13" ht="15">
      <c r="A161" s="33"/>
      <c r="B161" s="34">
        <f t="shared" si="14"/>
        <v>39964</v>
      </c>
      <c r="C161" s="35">
        <f t="shared" si="12"/>
        <v>11.962416666666666</v>
      </c>
      <c r="D161">
        <v>22.014939</v>
      </c>
      <c r="E161" s="36">
        <v>2.153</v>
      </c>
      <c r="F161" s="32"/>
      <c r="H161" s="33"/>
      <c r="I161" s="34">
        <f t="shared" si="15"/>
        <v>39599</v>
      </c>
      <c r="J161" s="35">
        <f t="shared" si="13"/>
        <v>11.962833333333334</v>
      </c>
      <c r="K161">
        <v>22.048561</v>
      </c>
      <c r="L161" s="36">
        <v>2.138</v>
      </c>
      <c r="M161" s="32"/>
    </row>
    <row r="162" spans="1:13" ht="15">
      <c r="A162" s="33"/>
      <c r="B162" s="33"/>
      <c r="C162" s="33"/>
      <c r="D162" s="33"/>
      <c r="E162" s="37"/>
      <c r="F162" s="32"/>
      <c r="H162" s="33"/>
      <c r="I162" s="33"/>
      <c r="J162" s="33"/>
      <c r="K162" s="33"/>
      <c r="L162" s="37"/>
      <c r="M162" s="32"/>
    </row>
    <row r="163" spans="1:13" ht="15">
      <c r="A163" s="33"/>
      <c r="B163" s="38">
        <f>DATE(109,6,1)</f>
        <v>39965</v>
      </c>
      <c r="C163" s="35">
        <f t="shared" si="12"/>
        <v>11.964972222222222</v>
      </c>
      <c r="D163">
        <v>22.149302</v>
      </c>
      <c r="E163" s="36">
        <v>2.061</v>
      </c>
      <c r="F163" s="32"/>
      <c r="H163" s="33"/>
      <c r="I163" s="38">
        <f>DATE(108,6,1)</f>
        <v>39600</v>
      </c>
      <c r="J163" s="35">
        <f t="shared" si="13"/>
        <v>11.965444444444444</v>
      </c>
      <c r="K163">
        <v>22.181466</v>
      </c>
      <c r="L163" s="36">
        <v>2.044</v>
      </c>
      <c r="M163" s="32"/>
    </row>
    <row r="164" spans="1:13" ht="15">
      <c r="A164" s="33"/>
      <c r="B164" s="34">
        <f aca="true" t="shared" si="16" ref="B164:B192">B163+1</f>
        <v>39966</v>
      </c>
      <c r="C164" s="35">
        <f t="shared" si="12"/>
        <v>11.967638888888889</v>
      </c>
      <c r="D164">
        <v>22.277219</v>
      </c>
      <c r="E164" s="36">
        <v>1.565</v>
      </c>
      <c r="F164" s="32"/>
      <c r="H164" s="33"/>
      <c r="I164" s="34">
        <f aca="true" t="shared" si="17" ref="I164:I192">I163+1</f>
        <v>39601</v>
      </c>
      <c r="J164" s="35">
        <f t="shared" si="13"/>
        <v>11.968166666666667</v>
      </c>
      <c r="K164">
        <v>22.307916</v>
      </c>
      <c r="L164" s="36">
        <v>1.546</v>
      </c>
      <c r="M164" s="32"/>
    </row>
    <row r="165" spans="1:13" ht="15">
      <c r="A165" s="33"/>
      <c r="B165" s="34">
        <f t="shared" si="16"/>
        <v>39967</v>
      </c>
      <c r="C165" s="35">
        <f t="shared" si="12"/>
        <v>11.97038888888889</v>
      </c>
      <c r="D165">
        <v>22.398649</v>
      </c>
      <c r="E165" s="36">
        <v>1.466</v>
      </c>
      <c r="F165" s="32"/>
      <c r="H165" s="33"/>
      <c r="I165" s="34">
        <f t="shared" si="17"/>
        <v>39602</v>
      </c>
      <c r="J165" s="35">
        <f t="shared" si="13"/>
        <v>11.970972222222223</v>
      </c>
      <c r="K165">
        <v>22.427864</v>
      </c>
      <c r="L165" s="36">
        <v>1.445</v>
      </c>
      <c r="M165" s="32"/>
    </row>
    <row r="166" spans="1:13" ht="15">
      <c r="A166" s="33"/>
      <c r="B166" s="34">
        <f t="shared" si="16"/>
        <v>39968</v>
      </c>
      <c r="C166" s="35">
        <f t="shared" si="12"/>
        <v>11.973222222222223</v>
      </c>
      <c r="D166">
        <v>22.513553</v>
      </c>
      <c r="E166" s="36">
        <v>1.364</v>
      </c>
      <c r="F166" s="32"/>
      <c r="H166" s="33"/>
      <c r="I166" s="34">
        <f t="shared" si="17"/>
        <v>39603</v>
      </c>
      <c r="J166" s="35">
        <f t="shared" si="13"/>
        <v>11.973888888888888</v>
      </c>
      <c r="K166">
        <v>22.541267</v>
      </c>
      <c r="L166" s="36">
        <v>1.34</v>
      </c>
      <c r="M166" s="32"/>
    </row>
    <row r="167" spans="1:13" ht="15">
      <c r="A167" s="33"/>
      <c r="B167" s="34">
        <f t="shared" si="16"/>
        <v>39969</v>
      </c>
      <c r="C167" s="35">
        <f t="shared" si="12"/>
        <v>11.976166666666666</v>
      </c>
      <c r="D167">
        <v>22.621895</v>
      </c>
      <c r="E167" s="36">
        <v>1.258</v>
      </c>
      <c r="F167" s="32"/>
      <c r="H167" s="33"/>
      <c r="I167" s="34">
        <f t="shared" si="17"/>
        <v>39604</v>
      </c>
      <c r="J167" s="35">
        <f t="shared" si="13"/>
        <v>11.976888888888888</v>
      </c>
      <c r="K167">
        <v>22.648083</v>
      </c>
      <c r="L167" s="36">
        <v>1.232</v>
      </c>
      <c r="M167" s="32"/>
    </row>
    <row r="168" spans="1:13" ht="15">
      <c r="A168" s="33"/>
      <c r="B168" s="34">
        <f t="shared" si="16"/>
        <v>39970</v>
      </c>
      <c r="C168" s="35">
        <f t="shared" si="12"/>
        <v>11.979194444444444</v>
      </c>
      <c r="D168">
        <v>22.723638</v>
      </c>
      <c r="E168" s="36">
        <v>1.149</v>
      </c>
      <c r="F168" s="32"/>
      <c r="H168" s="33"/>
      <c r="I168" s="34">
        <f t="shared" si="17"/>
        <v>39605</v>
      </c>
      <c r="J168" s="35">
        <f t="shared" si="13"/>
        <v>11.979972222222223</v>
      </c>
      <c r="K168">
        <v>22.748269</v>
      </c>
      <c r="L168" s="36">
        <v>1.121</v>
      </c>
      <c r="M168" s="32"/>
    </row>
    <row r="169" spans="1:13" ht="15">
      <c r="A169" s="33"/>
      <c r="B169" s="34">
        <f t="shared" si="16"/>
        <v>39971</v>
      </c>
      <c r="C169" s="35">
        <f t="shared" si="12"/>
        <v>11.982277777777778</v>
      </c>
      <c r="D169">
        <v>22.818749</v>
      </c>
      <c r="E169" s="36">
        <v>1.038</v>
      </c>
      <c r="F169" s="32"/>
      <c r="H169" s="33"/>
      <c r="I169" s="34">
        <f t="shared" si="17"/>
        <v>39606</v>
      </c>
      <c r="J169" s="35">
        <f t="shared" si="13"/>
        <v>11.983138888888888</v>
      </c>
      <c r="K169">
        <v>22.841788</v>
      </c>
      <c r="L169" s="36">
        <v>1.007</v>
      </c>
      <c r="M169" s="32"/>
    </row>
    <row r="170" spans="1:13" ht="15">
      <c r="A170" s="33"/>
      <c r="B170" s="34">
        <f t="shared" si="16"/>
        <v>39972</v>
      </c>
      <c r="C170" s="35">
        <f t="shared" si="12"/>
        <v>11.985444444444445</v>
      </c>
      <c r="D170">
        <v>22.907194</v>
      </c>
      <c r="E170" s="36">
        <v>0.524</v>
      </c>
      <c r="F170" s="32"/>
      <c r="H170" s="33"/>
      <c r="I170" s="34">
        <f t="shared" si="17"/>
        <v>39607</v>
      </c>
      <c r="J170" s="35">
        <f t="shared" si="13"/>
        <v>11.986361111111112</v>
      </c>
      <c r="K170">
        <v>22.928603</v>
      </c>
      <c r="L170" s="36">
        <v>0.491</v>
      </c>
      <c r="M170" s="32"/>
    </row>
    <row r="171" spans="1:13" ht="15">
      <c r="A171" s="33"/>
      <c r="B171" s="34">
        <f t="shared" si="16"/>
        <v>39973</v>
      </c>
      <c r="C171" s="35">
        <f t="shared" si="12"/>
        <v>11.988694444444445</v>
      </c>
      <c r="D171">
        <v>22.988939</v>
      </c>
      <c r="E171" s="36">
        <v>0.407</v>
      </c>
      <c r="F171" s="32"/>
      <c r="H171" s="33"/>
      <c r="I171" s="34">
        <f t="shared" si="17"/>
        <v>39608</v>
      </c>
      <c r="J171" s="35">
        <f t="shared" si="13"/>
        <v>11.989666666666666</v>
      </c>
      <c r="K171">
        <v>23.008686</v>
      </c>
      <c r="L171" s="36">
        <v>0.372</v>
      </c>
      <c r="M171" s="32"/>
    </row>
    <row r="172" spans="1:13" ht="15">
      <c r="A172" s="33"/>
      <c r="B172" s="34">
        <f t="shared" si="16"/>
        <v>39974</v>
      </c>
      <c r="C172" s="35">
        <f t="shared" si="12"/>
        <v>11.992027777777778</v>
      </c>
      <c r="D172">
        <v>23.063955</v>
      </c>
      <c r="E172" s="36">
        <v>0.287</v>
      </c>
      <c r="F172" s="32"/>
      <c r="H172" s="33"/>
      <c r="I172" s="34">
        <f t="shared" si="17"/>
        <v>39609</v>
      </c>
      <c r="J172" s="35">
        <f t="shared" si="13"/>
        <v>11.993027777777778</v>
      </c>
      <c r="K172">
        <v>23.082008</v>
      </c>
      <c r="L172" s="36">
        <v>0.251</v>
      </c>
      <c r="M172" s="32"/>
    </row>
    <row r="173" spans="1:13" ht="15">
      <c r="A173" s="33"/>
      <c r="B173" s="34">
        <f t="shared" si="16"/>
        <v>39975</v>
      </c>
      <c r="C173" s="35">
        <f t="shared" si="12"/>
        <v>11.99538888888889</v>
      </c>
      <c r="D173">
        <v>23.132212</v>
      </c>
      <c r="E173" s="36">
        <v>0.166</v>
      </c>
      <c r="F173" s="32"/>
      <c r="H173" s="33"/>
      <c r="I173" s="34">
        <f t="shared" si="17"/>
        <v>39610</v>
      </c>
      <c r="J173" s="35">
        <f t="shared" si="13"/>
        <v>11.996416666666667</v>
      </c>
      <c r="K173">
        <v>23.148548</v>
      </c>
      <c r="L173" s="36">
        <v>0.129</v>
      </c>
      <c r="M173" s="32"/>
    </row>
    <row r="174" spans="1:13" ht="15">
      <c r="A174" s="33"/>
      <c r="B174" s="34">
        <f t="shared" si="16"/>
        <v>39976</v>
      </c>
      <c r="C174" s="35">
        <f t="shared" si="12"/>
        <v>11.998805555555556</v>
      </c>
      <c r="D174">
        <v>23.193682</v>
      </c>
      <c r="E174" s="36">
        <v>0.043</v>
      </c>
      <c r="F174" s="32"/>
      <c r="H174" s="33"/>
      <c r="I174" s="34">
        <f t="shared" si="17"/>
        <v>39611</v>
      </c>
      <c r="J174" s="35">
        <f t="shared" si="13"/>
        <v>11.99986111111111</v>
      </c>
      <c r="K174">
        <v>23.208287</v>
      </c>
      <c r="L174" s="36">
        <v>0.005</v>
      </c>
      <c r="M174" s="32"/>
    </row>
    <row r="175" spans="1:13" ht="15">
      <c r="A175" s="33"/>
      <c r="B175" s="34">
        <f t="shared" si="16"/>
        <v>39977</v>
      </c>
      <c r="C175" s="35">
        <f t="shared" si="12"/>
        <v>12.002305555555555</v>
      </c>
      <c r="D175">
        <v>23.24834</v>
      </c>
      <c r="E175" s="36">
        <v>-0.083</v>
      </c>
      <c r="F175" s="32"/>
      <c r="H175" s="33"/>
      <c r="I175" s="34">
        <f t="shared" si="17"/>
        <v>39612</v>
      </c>
      <c r="J175" s="35">
        <f t="shared" si="13"/>
        <v>12.003361111111111</v>
      </c>
      <c r="K175">
        <v>23.261207</v>
      </c>
      <c r="L175" s="36">
        <v>-0.121</v>
      </c>
      <c r="M175" s="32"/>
    </row>
    <row r="176" spans="1:13" ht="15">
      <c r="A176" s="33"/>
      <c r="B176" s="34">
        <f t="shared" si="16"/>
        <v>39978</v>
      </c>
      <c r="C176" s="35">
        <f t="shared" si="12"/>
        <v>12.005833333333333</v>
      </c>
      <c r="D176">
        <v>23.296162</v>
      </c>
      <c r="E176" s="36">
        <v>-0.21</v>
      </c>
      <c r="F176" s="32"/>
      <c r="H176" s="33"/>
      <c r="I176" s="34">
        <f t="shared" si="17"/>
        <v>39613</v>
      </c>
      <c r="J176" s="35">
        <f t="shared" si="13"/>
        <v>12.00686111111111</v>
      </c>
      <c r="K176">
        <v>23.307295</v>
      </c>
      <c r="L176" s="36">
        <v>-0.247</v>
      </c>
      <c r="M176" s="32"/>
    </row>
    <row r="177" spans="1:13" ht="15">
      <c r="A177" s="33"/>
      <c r="B177" s="34">
        <f t="shared" si="16"/>
        <v>39979</v>
      </c>
      <c r="C177" s="35">
        <f t="shared" si="12"/>
        <v>12.00938888888889</v>
      </c>
      <c r="D177">
        <v>23.337129</v>
      </c>
      <c r="E177" s="36">
        <v>-0.338</v>
      </c>
      <c r="F177" s="32"/>
      <c r="H177" s="33"/>
      <c r="I177" s="34">
        <f t="shared" si="17"/>
        <v>39614</v>
      </c>
      <c r="J177" s="35">
        <f t="shared" si="13"/>
        <v>12.010416666666666</v>
      </c>
      <c r="K177">
        <v>23.34654</v>
      </c>
      <c r="L177" s="36">
        <v>-0.375</v>
      </c>
      <c r="M177" s="32"/>
    </row>
    <row r="178" spans="1:13" ht="15">
      <c r="A178" s="33"/>
      <c r="B178" s="34">
        <f t="shared" si="16"/>
        <v>39980</v>
      </c>
      <c r="C178" s="35">
        <f t="shared" si="12"/>
        <v>12.012972222222222</v>
      </c>
      <c r="D178">
        <v>23.371224</v>
      </c>
      <c r="E178" s="36">
        <v>-0.467</v>
      </c>
      <c r="F178" s="32"/>
      <c r="H178" s="33"/>
      <c r="I178" s="34">
        <f t="shared" si="17"/>
        <v>39615</v>
      </c>
      <c r="J178" s="35">
        <f t="shared" si="13"/>
        <v>12.014</v>
      </c>
      <c r="K178">
        <v>23.37893</v>
      </c>
      <c r="L178" s="36">
        <v>-0.504</v>
      </c>
      <c r="M178" s="32"/>
    </row>
    <row r="179" spans="1:13" ht="15">
      <c r="A179" s="33"/>
      <c r="B179" s="34">
        <f t="shared" si="16"/>
        <v>39981</v>
      </c>
      <c r="C179" s="35">
        <f t="shared" si="12"/>
        <v>12.01661111111111</v>
      </c>
      <c r="D179">
        <v>23.398431</v>
      </c>
      <c r="E179" s="36">
        <v>-0.598</v>
      </c>
      <c r="F179" s="32"/>
      <c r="H179" s="33"/>
      <c r="I179" s="34">
        <f t="shared" si="17"/>
        <v>39616</v>
      </c>
      <c r="J179" s="35">
        <f t="shared" si="13"/>
        <v>12.017583333333333</v>
      </c>
      <c r="K179">
        <v>23.404459</v>
      </c>
      <c r="L179" s="36">
        <v>-1.033</v>
      </c>
      <c r="M179" s="32"/>
    </row>
    <row r="180" spans="1:13" ht="15">
      <c r="A180" s="33"/>
      <c r="B180" s="34">
        <f t="shared" si="16"/>
        <v>39982</v>
      </c>
      <c r="C180" s="35">
        <f t="shared" si="12"/>
        <v>12.02025</v>
      </c>
      <c r="D180">
        <v>23.418742</v>
      </c>
      <c r="E180" s="36">
        <v>-1.129</v>
      </c>
      <c r="F180" s="32"/>
      <c r="H180" s="33"/>
      <c r="I180" s="34">
        <f t="shared" si="17"/>
        <v>39617</v>
      </c>
      <c r="J180" s="35">
        <f t="shared" si="13"/>
        <v>12.021166666666666</v>
      </c>
      <c r="K180">
        <v>23.423119</v>
      </c>
      <c r="L180" s="36">
        <v>-1.162</v>
      </c>
      <c r="M180" s="32"/>
    </row>
    <row r="181" spans="1:13" ht="15">
      <c r="A181" s="33"/>
      <c r="B181" s="34">
        <f t="shared" si="16"/>
        <v>39983</v>
      </c>
      <c r="C181" s="35">
        <f t="shared" si="12"/>
        <v>12.023888888888889</v>
      </c>
      <c r="D181">
        <v>23.432151</v>
      </c>
      <c r="E181" s="36">
        <v>-1.26</v>
      </c>
      <c r="F181" s="32"/>
      <c r="H181" s="33"/>
      <c r="I181" s="34">
        <f t="shared" si="17"/>
        <v>39618</v>
      </c>
      <c r="J181" s="35">
        <f t="shared" si="13"/>
        <v>12.024777777777778</v>
      </c>
      <c r="K181">
        <v>23.434906</v>
      </c>
      <c r="L181" s="36">
        <v>-1.292</v>
      </c>
      <c r="M181" s="32"/>
    </row>
    <row r="182" spans="1:13" ht="15">
      <c r="A182" s="33"/>
      <c r="B182" s="34">
        <f t="shared" si="16"/>
        <v>39984</v>
      </c>
      <c r="C182" s="35">
        <f t="shared" si="12"/>
        <v>12.027555555555555</v>
      </c>
      <c r="D182">
        <v>23.438658</v>
      </c>
      <c r="E182" s="36">
        <v>-1.392</v>
      </c>
      <c r="F182" s="32"/>
      <c r="H182" s="33"/>
      <c r="I182" s="34">
        <f t="shared" si="17"/>
        <v>39619</v>
      </c>
      <c r="J182" s="35">
        <f t="shared" si="13"/>
        <v>12.02838888888889</v>
      </c>
      <c r="K182">
        <v>23.439817</v>
      </c>
      <c r="L182" s="36">
        <v>-1.422</v>
      </c>
      <c r="M182" s="32"/>
    </row>
    <row r="183" spans="1:13" ht="15">
      <c r="A183" s="33"/>
      <c r="B183" s="34">
        <f t="shared" si="16"/>
        <v>39985</v>
      </c>
      <c r="C183" s="35">
        <f t="shared" si="12"/>
        <v>12.031194444444445</v>
      </c>
      <c r="D183">
        <v>23.438265</v>
      </c>
      <c r="E183" s="36">
        <v>-1.523</v>
      </c>
      <c r="F183" s="32"/>
      <c r="H183" s="33"/>
      <c r="I183" s="34">
        <f t="shared" si="17"/>
        <v>39620</v>
      </c>
      <c r="J183" s="35">
        <f t="shared" si="13"/>
        <v>12.031972222222223</v>
      </c>
      <c r="K183">
        <v>23.437849</v>
      </c>
      <c r="L183" s="36">
        <v>-1.551</v>
      </c>
      <c r="M183" s="32"/>
    </row>
    <row r="184" spans="1:13" ht="15">
      <c r="A184" s="33"/>
      <c r="B184" s="34">
        <f t="shared" si="16"/>
        <v>39986</v>
      </c>
      <c r="C184" s="35">
        <f t="shared" si="12"/>
        <v>12.03486111111111</v>
      </c>
      <c r="D184">
        <v>23.430978</v>
      </c>
      <c r="E184" s="36">
        <v>-2.055</v>
      </c>
      <c r="F184" s="32"/>
      <c r="H184" s="33"/>
      <c r="I184" s="34">
        <f t="shared" si="17"/>
        <v>39621</v>
      </c>
      <c r="J184" s="35">
        <f t="shared" si="13"/>
        <v>12.035583333333333</v>
      </c>
      <c r="K184">
        <v>23.429002</v>
      </c>
      <c r="L184" s="36">
        <v>-2.081</v>
      </c>
      <c r="M184" s="32"/>
    </row>
    <row r="185" spans="1:13" ht="15">
      <c r="A185" s="33"/>
      <c r="B185" s="34">
        <f t="shared" si="16"/>
        <v>39987</v>
      </c>
      <c r="C185" s="35">
        <f t="shared" si="12"/>
        <v>12.038472222222222</v>
      </c>
      <c r="D185">
        <v>23.416807</v>
      </c>
      <c r="E185" s="36">
        <v>-2.185</v>
      </c>
      <c r="F185" s="32"/>
      <c r="H185" s="33"/>
      <c r="I185" s="34">
        <f t="shared" si="17"/>
        <v>39622</v>
      </c>
      <c r="J185" s="35">
        <f t="shared" si="13"/>
        <v>12.039138888888889</v>
      </c>
      <c r="K185">
        <v>23.413277</v>
      </c>
      <c r="L185" s="36">
        <v>-2.209</v>
      </c>
      <c r="M185" s="32"/>
    </row>
    <row r="186" spans="1:13" ht="15">
      <c r="A186" s="33"/>
      <c r="B186" s="34">
        <f t="shared" si="16"/>
        <v>39988</v>
      </c>
      <c r="C186" s="35">
        <f t="shared" si="12"/>
        <v>12.042083333333334</v>
      </c>
      <c r="D186">
        <v>23.39576</v>
      </c>
      <c r="E186" s="36">
        <v>-2.315</v>
      </c>
      <c r="F186" s="32"/>
      <c r="H186" s="33"/>
      <c r="I186" s="34">
        <f t="shared" si="17"/>
        <v>39623</v>
      </c>
      <c r="J186" s="35">
        <f t="shared" si="13"/>
        <v>12.042694444444445</v>
      </c>
      <c r="K186">
        <v>23.390677</v>
      </c>
      <c r="L186" s="36">
        <v>-2.337</v>
      </c>
      <c r="M186" s="32"/>
    </row>
    <row r="187" spans="1:13" ht="15">
      <c r="A187" s="33"/>
      <c r="B187" s="34">
        <f t="shared" si="16"/>
        <v>39989</v>
      </c>
      <c r="C187" s="35">
        <f t="shared" si="12"/>
        <v>12.045638888888888</v>
      </c>
      <c r="D187">
        <v>23.367848</v>
      </c>
      <c r="E187" s="36">
        <v>-2.443</v>
      </c>
      <c r="F187" s="32"/>
      <c r="H187" s="33"/>
      <c r="I187" s="34">
        <f t="shared" si="17"/>
        <v>39624</v>
      </c>
      <c r="J187" s="35">
        <f t="shared" si="13"/>
        <v>12.046222222222223</v>
      </c>
      <c r="K187">
        <v>23.361209</v>
      </c>
      <c r="L187" s="36">
        <v>-2.464</v>
      </c>
      <c r="M187" s="32"/>
    </row>
    <row r="188" spans="1:13" ht="15">
      <c r="A188" s="33"/>
      <c r="B188" s="34">
        <f t="shared" si="16"/>
        <v>39990</v>
      </c>
      <c r="C188" s="35">
        <f t="shared" si="12"/>
        <v>12.049166666666666</v>
      </c>
      <c r="D188">
        <v>23.333085</v>
      </c>
      <c r="E188" s="36">
        <v>-2.57</v>
      </c>
      <c r="F188" s="32"/>
      <c r="H188" s="33"/>
      <c r="I188" s="34">
        <f t="shared" si="17"/>
        <v>39625</v>
      </c>
      <c r="J188" s="35">
        <f t="shared" si="13"/>
        <v>12.049694444444444</v>
      </c>
      <c r="K188">
        <v>23.324882</v>
      </c>
      <c r="L188" s="36">
        <v>-2.589</v>
      </c>
      <c r="M188" s="32"/>
    </row>
    <row r="189" spans="1:13" ht="15">
      <c r="A189" s="33"/>
      <c r="B189" s="34">
        <f t="shared" si="16"/>
        <v>39991</v>
      </c>
      <c r="C189" s="35">
        <f t="shared" si="12"/>
        <v>12.05263888888889</v>
      </c>
      <c r="D189">
        <v>23.291488</v>
      </c>
      <c r="E189" s="36">
        <v>-3.095</v>
      </c>
      <c r="F189" s="32"/>
      <c r="H189" s="33"/>
      <c r="I189" s="34">
        <f t="shared" si="17"/>
        <v>39626</v>
      </c>
      <c r="J189" s="35">
        <f t="shared" si="13"/>
        <v>12.053138888888888</v>
      </c>
      <c r="K189">
        <v>23.281707</v>
      </c>
      <c r="L189" s="36">
        <v>-3.113</v>
      </c>
      <c r="M189" s="32"/>
    </row>
    <row r="190" spans="1:13" ht="15">
      <c r="A190" s="33"/>
      <c r="B190" s="34">
        <f t="shared" si="16"/>
        <v>39992</v>
      </c>
      <c r="C190" s="35">
        <f t="shared" si="12"/>
        <v>12.056027777777778</v>
      </c>
      <c r="D190">
        <v>23.243077</v>
      </c>
      <c r="E190" s="36">
        <v>-3.217</v>
      </c>
      <c r="F190" s="32"/>
      <c r="H190" s="33"/>
      <c r="I190" s="34">
        <f t="shared" si="17"/>
        <v>39627</v>
      </c>
      <c r="J190" s="35">
        <f t="shared" si="13"/>
        <v>12.056555555555555</v>
      </c>
      <c r="K190">
        <v>23.231704</v>
      </c>
      <c r="L190" s="36">
        <v>-3.236</v>
      </c>
      <c r="M190" s="32"/>
    </row>
    <row r="191" spans="1:13" ht="15">
      <c r="A191" s="33"/>
      <c r="B191" s="34">
        <f t="shared" si="16"/>
        <v>39993</v>
      </c>
      <c r="C191" s="35">
        <f t="shared" si="12"/>
        <v>12.059388888888888</v>
      </c>
      <c r="D191">
        <v>23.187878</v>
      </c>
      <c r="E191" s="36">
        <v>-3.338</v>
      </c>
      <c r="F191" s="32"/>
      <c r="H191" s="33"/>
      <c r="I191" s="34">
        <f t="shared" si="17"/>
        <v>39628</v>
      </c>
      <c r="J191" s="35">
        <f t="shared" si="13"/>
        <v>12.059888888888889</v>
      </c>
      <c r="K191">
        <v>23.174895</v>
      </c>
      <c r="L191" s="36">
        <v>-3.356</v>
      </c>
      <c r="M191" s="32"/>
    </row>
    <row r="192" spans="1:13" ht="15">
      <c r="A192" s="33"/>
      <c r="B192" s="34">
        <f t="shared" si="16"/>
        <v>39994</v>
      </c>
      <c r="C192" s="35">
        <f t="shared" si="12"/>
        <v>12.062666666666667</v>
      </c>
      <c r="D192">
        <v>23.125918</v>
      </c>
      <c r="E192" s="36">
        <v>-3.456</v>
      </c>
      <c r="F192" s="32"/>
      <c r="H192" s="33"/>
      <c r="I192" s="34">
        <f t="shared" si="17"/>
        <v>39629</v>
      </c>
      <c r="J192" s="35">
        <f t="shared" si="13"/>
        <v>12.063166666666667</v>
      </c>
      <c r="K192">
        <v>23.111307</v>
      </c>
      <c r="L192" s="36">
        <v>-3.474</v>
      </c>
      <c r="M192" s="32"/>
    </row>
    <row r="193" spans="1:13" ht="15">
      <c r="A193" s="33"/>
      <c r="B193" s="33"/>
      <c r="C193" s="33"/>
      <c r="D193" s="33"/>
      <c r="E193" s="37"/>
      <c r="F193" s="32"/>
      <c r="H193" s="33"/>
      <c r="I193" s="33"/>
      <c r="J193" s="33"/>
      <c r="K193" s="33"/>
      <c r="L193" s="37"/>
      <c r="M193" s="32"/>
    </row>
    <row r="194" spans="1:13" ht="15">
      <c r="A194" s="33"/>
      <c r="B194" s="33"/>
      <c r="C194" s="33"/>
      <c r="D194" s="33"/>
      <c r="E194" s="37"/>
      <c r="F194" s="32"/>
      <c r="H194" s="33"/>
      <c r="I194" s="33"/>
      <c r="J194" s="33"/>
      <c r="K194" s="33"/>
      <c r="L194" s="37"/>
      <c r="M194" s="32"/>
    </row>
    <row r="195" spans="1:13" ht="15">
      <c r="A195" s="33"/>
      <c r="B195" s="38">
        <f>DATE(109,7,1)</f>
        <v>39995</v>
      </c>
      <c r="C195" s="35">
        <f aca="true" t="shared" si="18" ref="C195:C259">12-(TRUNC(E195,0)+MOD(E195,1)*5/3)/60</f>
        <v>12.065861111111111</v>
      </c>
      <c r="D195">
        <v>23.057228</v>
      </c>
      <c r="E195" s="36">
        <v>-3.571</v>
      </c>
      <c r="F195" s="32"/>
      <c r="H195" s="33"/>
      <c r="I195" s="38">
        <f>DATE(108,7,1)</f>
        <v>39630</v>
      </c>
      <c r="J195" s="35">
        <f aca="true" t="shared" si="19" ref="J195:J259">12-(TRUNC(L195,0)+MOD(L195,1)*5/3)/60</f>
        <v>12.06638888888889</v>
      </c>
      <c r="K195">
        <v>23.040972</v>
      </c>
      <c r="L195" s="36">
        <v>-3.59</v>
      </c>
      <c r="M195" s="32"/>
    </row>
    <row r="196" spans="1:13" ht="15">
      <c r="A196" s="33"/>
      <c r="B196" s="34">
        <f aca="true" t="shared" si="20" ref="B196:B225">B195+1</f>
        <v>39996</v>
      </c>
      <c r="C196" s="35">
        <f t="shared" si="18"/>
        <v>12.069</v>
      </c>
      <c r="D196">
        <v>22.98184</v>
      </c>
      <c r="E196" s="36">
        <v>-4.084</v>
      </c>
      <c r="F196" s="32"/>
      <c r="H196" s="33"/>
      <c r="I196" s="34">
        <f aca="true" t="shared" si="21" ref="I196:I225">I195+1</f>
        <v>39631</v>
      </c>
      <c r="J196" s="35">
        <f t="shared" si="19"/>
        <v>12.069527777777777</v>
      </c>
      <c r="K196">
        <v>22.963924</v>
      </c>
      <c r="L196" s="36">
        <v>-4.103</v>
      </c>
      <c r="M196" s="32"/>
    </row>
    <row r="197" spans="1:13" ht="15">
      <c r="A197" s="33"/>
      <c r="B197" s="34">
        <f t="shared" si="20"/>
        <v>39997</v>
      </c>
      <c r="C197" s="35">
        <f t="shared" si="18"/>
        <v>12.072027777777778</v>
      </c>
      <c r="D197">
        <v>22.899786</v>
      </c>
      <c r="E197" s="36">
        <v>-4.193</v>
      </c>
      <c r="F197" s="32"/>
      <c r="H197" s="33"/>
      <c r="I197" s="34">
        <f t="shared" si="21"/>
        <v>39632</v>
      </c>
      <c r="J197" s="35">
        <f t="shared" si="19"/>
        <v>12.072583333333334</v>
      </c>
      <c r="K197">
        <v>22.8802</v>
      </c>
      <c r="L197" s="36">
        <v>-4.213</v>
      </c>
      <c r="M197" s="32"/>
    </row>
    <row r="198" spans="1:13" ht="15">
      <c r="A198" s="33"/>
      <c r="B198" s="34">
        <f t="shared" si="20"/>
        <v>39998</v>
      </c>
      <c r="C198" s="35">
        <f t="shared" si="18"/>
        <v>12.074972222222222</v>
      </c>
      <c r="D198">
        <v>22.811104</v>
      </c>
      <c r="E198" s="36">
        <v>-4.299</v>
      </c>
      <c r="F198" s="32"/>
      <c r="H198" s="33"/>
      <c r="I198" s="34">
        <f t="shared" si="21"/>
        <v>39633</v>
      </c>
      <c r="J198" s="35">
        <f t="shared" si="19"/>
        <v>12.075555555555555</v>
      </c>
      <c r="K198">
        <v>22.789836</v>
      </c>
      <c r="L198" s="36">
        <v>-4.32</v>
      </c>
      <c r="M198" s="32"/>
    </row>
    <row r="199" spans="1:13" ht="15">
      <c r="A199" s="33"/>
      <c r="B199" s="34">
        <f t="shared" si="20"/>
        <v>39999</v>
      </c>
      <c r="C199" s="35">
        <f t="shared" si="18"/>
        <v>12.077833333333333</v>
      </c>
      <c r="D199">
        <v>22.715828</v>
      </c>
      <c r="E199" s="36">
        <v>-4.402</v>
      </c>
      <c r="F199" s="32"/>
      <c r="H199" s="33"/>
      <c r="I199" s="34">
        <f t="shared" si="21"/>
        <v>39634</v>
      </c>
      <c r="J199" s="35">
        <f t="shared" si="19"/>
        <v>12.078444444444445</v>
      </c>
      <c r="K199">
        <v>22.692871</v>
      </c>
      <c r="L199" s="36">
        <v>-4.424</v>
      </c>
      <c r="M199" s="32"/>
    </row>
    <row r="200" spans="1:13" ht="15">
      <c r="A200" s="33"/>
      <c r="B200" s="34">
        <f t="shared" si="20"/>
        <v>40000</v>
      </c>
      <c r="C200" s="35">
        <f t="shared" si="18"/>
        <v>12.080583333333333</v>
      </c>
      <c r="D200">
        <v>22.613996</v>
      </c>
      <c r="E200" s="36">
        <v>-4.501</v>
      </c>
      <c r="F200" s="32"/>
      <c r="H200" s="33"/>
      <c r="I200" s="34">
        <f t="shared" si="21"/>
        <v>39635</v>
      </c>
      <c r="J200" s="35">
        <f t="shared" si="19"/>
        <v>12.081222222222221</v>
      </c>
      <c r="K200">
        <v>22.589344</v>
      </c>
      <c r="L200" s="36">
        <v>-4.524</v>
      </c>
      <c r="M200" s="32"/>
    </row>
    <row r="201" spans="1:13" ht="15">
      <c r="A201" s="33"/>
      <c r="B201" s="34">
        <f t="shared" si="20"/>
        <v>40001</v>
      </c>
      <c r="C201" s="35">
        <f t="shared" si="18"/>
        <v>12.083222222222222</v>
      </c>
      <c r="D201">
        <v>22.505647</v>
      </c>
      <c r="E201" s="36">
        <v>-4.596</v>
      </c>
      <c r="F201" s="32"/>
      <c r="H201" s="33"/>
      <c r="I201" s="34">
        <f t="shared" si="21"/>
        <v>39636</v>
      </c>
      <c r="J201" s="35">
        <f t="shared" si="19"/>
        <v>12.08386111111111</v>
      </c>
      <c r="K201">
        <v>22.479301</v>
      </c>
      <c r="L201" s="36">
        <v>-5.019</v>
      </c>
      <c r="M201" s="32"/>
    </row>
    <row r="202" spans="1:13" ht="15">
      <c r="A202" s="33"/>
      <c r="B202" s="34">
        <f t="shared" si="20"/>
        <v>40002</v>
      </c>
      <c r="C202" s="35">
        <f t="shared" si="18"/>
        <v>12.085777777777778</v>
      </c>
      <c r="D202">
        <v>22.39082</v>
      </c>
      <c r="E202" s="36">
        <v>-5.088</v>
      </c>
      <c r="F202" s="32"/>
      <c r="H202" s="33"/>
      <c r="I202" s="34">
        <f t="shared" si="21"/>
        <v>39637</v>
      </c>
      <c r="J202" s="35">
        <f t="shared" si="19"/>
        <v>12.086416666666667</v>
      </c>
      <c r="K202">
        <v>22.362787</v>
      </c>
      <c r="L202" s="36">
        <v>-5.111</v>
      </c>
      <c r="M202" s="32"/>
    </row>
    <row r="203" spans="1:13" ht="15">
      <c r="A203" s="33"/>
      <c r="B203" s="34">
        <f t="shared" si="20"/>
        <v>40003</v>
      </c>
      <c r="C203" s="35">
        <f t="shared" si="18"/>
        <v>12.088194444444444</v>
      </c>
      <c r="D203">
        <v>22.269557</v>
      </c>
      <c r="E203" s="36">
        <v>-5.175</v>
      </c>
      <c r="F203" s="32"/>
      <c r="H203" s="33"/>
      <c r="I203" s="34">
        <f t="shared" si="21"/>
        <v>39638</v>
      </c>
      <c r="J203" s="35">
        <f t="shared" si="19"/>
        <v>12.088833333333334</v>
      </c>
      <c r="K203">
        <v>22.239852</v>
      </c>
      <c r="L203" s="36">
        <v>-5.198</v>
      </c>
      <c r="M203" s="32"/>
    </row>
    <row r="204" spans="1:13" ht="15">
      <c r="A204" s="33"/>
      <c r="B204" s="34">
        <f t="shared" si="20"/>
        <v>40004</v>
      </c>
      <c r="C204" s="35">
        <f t="shared" si="18"/>
        <v>12.090527777777778</v>
      </c>
      <c r="D204">
        <v>22.141901</v>
      </c>
      <c r="E204" s="36">
        <v>-5.259</v>
      </c>
      <c r="F204" s="32"/>
      <c r="H204" s="33"/>
      <c r="I204" s="34">
        <f t="shared" si="21"/>
        <v>39639</v>
      </c>
      <c r="J204" s="35">
        <f t="shared" si="19"/>
        <v>12.091138888888889</v>
      </c>
      <c r="K204">
        <v>22.110547</v>
      </c>
      <c r="L204" s="36">
        <v>-5.281</v>
      </c>
      <c r="M204" s="32"/>
    </row>
    <row r="205" spans="1:13" ht="15">
      <c r="A205" s="33"/>
      <c r="B205" s="34">
        <f t="shared" si="20"/>
        <v>40005</v>
      </c>
      <c r="C205" s="35">
        <f t="shared" si="18"/>
        <v>12.092722222222223</v>
      </c>
      <c r="D205">
        <v>22.007894</v>
      </c>
      <c r="E205" s="36">
        <v>-5.338</v>
      </c>
      <c r="F205" s="32"/>
      <c r="H205" s="33"/>
      <c r="I205" s="34">
        <f t="shared" si="21"/>
        <v>39640</v>
      </c>
      <c r="J205" s="35">
        <f t="shared" si="19"/>
        <v>12.093305555555556</v>
      </c>
      <c r="K205">
        <v>21.974927</v>
      </c>
      <c r="L205" s="36">
        <v>-5.359</v>
      </c>
      <c r="M205" s="32"/>
    </row>
    <row r="206" spans="1:13" ht="15">
      <c r="A206" s="33"/>
      <c r="B206" s="34">
        <f t="shared" si="20"/>
        <v>40006</v>
      </c>
      <c r="C206" s="35">
        <f t="shared" si="18"/>
        <v>12.094777777777777</v>
      </c>
      <c r="D206">
        <v>21.867584</v>
      </c>
      <c r="E206" s="36">
        <v>-5.412</v>
      </c>
      <c r="F206" s="32"/>
      <c r="H206" s="33"/>
      <c r="I206" s="34">
        <f t="shared" si="21"/>
        <v>39641</v>
      </c>
      <c r="J206" s="35">
        <f t="shared" si="19"/>
        <v>12.095361111111112</v>
      </c>
      <c r="K206">
        <v>21.833046</v>
      </c>
      <c r="L206" s="36">
        <v>-5.433</v>
      </c>
      <c r="M206" s="32"/>
    </row>
    <row r="207" spans="1:13" ht="15">
      <c r="A207" s="33"/>
      <c r="B207" s="34">
        <f t="shared" si="20"/>
        <v>40007</v>
      </c>
      <c r="C207" s="35">
        <f t="shared" si="18"/>
        <v>12.096722222222223</v>
      </c>
      <c r="D207">
        <v>21.721019</v>
      </c>
      <c r="E207" s="36">
        <v>-5.482</v>
      </c>
      <c r="F207" s="32"/>
      <c r="H207" s="33"/>
      <c r="I207" s="34">
        <f t="shared" si="21"/>
        <v>39642</v>
      </c>
      <c r="J207" s="35">
        <f t="shared" si="19"/>
        <v>12.09725</v>
      </c>
      <c r="K207">
        <v>21.684962</v>
      </c>
      <c r="L207" s="36">
        <v>-5.501</v>
      </c>
      <c r="M207" s="32"/>
    </row>
    <row r="208" spans="1:13" ht="15">
      <c r="A208" s="33"/>
      <c r="B208" s="34">
        <f t="shared" si="20"/>
        <v>40008</v>
      </c>
      <c r="C208" s="35">
        <f t="shared" si="18"/>
        <v>12.098527777777777</v>
      </c>
      <c r="D208">
        <v>21.56825</v>
      </c>
      <c r="E208" s="36">
        <v>-5.547</v>
      </c>
      <c r="F208" s="32"/>
      <c r="H208" s="33"/>
      <c r="I208" s="34">
        <f t="shared" si="21"/>
        <v>39643</v>
      </c>
      <c r="J208" s="35">
        <f t="shared" si="19"/>
        <v>12.099027777777778</v>
      </c>
      <c r="K208">
        <v>21.530731</v>
      </c>
      <c r="L208" s="36">
        <v>-5.565</v>
      </c>
      <c r="M208" s="32"/>
    </row>
    <row r="209" spans="1:13" ht="15">
      <c r="A209" s="33"/>
      <c r="B209" s="34">
        <f t="shared" si="20"/>
        <v>40009</v>
      </c>
      <c r="C209" s="35">
        <f t="shared" si="18"/>
        <v>12.100222222222222</v>
      </c>
      <c r="D209">
        <v>21.409332</v>
      </c>
      <c r="E209" s="36">
        <v>-6.008</v>
      </c>
      <c r="F209" s="32"/>
      <c r="H209" s="33"/>
      <c r="I209" s="34">
        <f t="shared" si="21"/>
        <v>39644</v>
      </c>
      <c r="J209" s="35">
        <f t="shared" si="19"/>
        <v>12.10063888888889</v>
      </c>
      <c r="K209">
        <v>21.370411</v>
      </c>
      <c r="L209" s="36">
        <v>-6.023</v>
      </c>
      <c r="M209" s="32"/>
    </row>
    <row r="210" spans="1:13" ht="15">
      <c r="A210" s="33"/>
      <c r="B210" s="34">
        <f t="shared" si="20"/>
        <v>40010</v>
      </c>
      <c r="C210" s="35">
        <f t="shared" si="18"/>
        <v>12.101777777777778</v>
      </c>
      <c r="D210">
        <v>21.244321</v>
      </c>
      <c r="E210" s="36">
        <v>-6.064</v>
      </c>
      <c r="F210" s="32"/>
      <c r="H210" s="33"/>
      <c r="I210" s="34">
        <f t="shared" si="21"/>
        <v>39645</v>
      </c>
      <c r="J210" s="35">
        <f t="shared" si="19"/>
        <v>12.10211111111111</v>
      </c>
      <c r="K210">
        <v>21.204063</v>
      </c>
      <c r="L210" s="36">
        <v>-6.076</v>
      </c>
      <c r="M210" s="32"/>
    </row>
    <row r="211" spans="1:13" ht="15">
      <c r="A211" s="33"/>
      <c r="B211" s="34">
        <f t="shared" si="20"/>
        <v>40011</v>
      </c>
      <c r="C211" s="35">
        <f t="shared" si="18"/>
        <v>12.103166666666667</v>
      </c>
      <c r="D211">
        <v>21.073279</v>
      </c>
      <c r="E211" s="36">
        <v>-6.114</v>
      </c>
      <c r="F211" s="32"/>
      <c r="H211" s="33"/>
      <c r="I211" s="34">
        <f t="shared" si="21"/>
        <v>39646</v>
      </c>
      <c r="J211" s="35">
        <f t="shared" si="19"/>
        <v>12.103444444444444</v>
      </c>
      <c r="K211">
        <v>21.031746</v>
      </c>
      <c r="L211" s="36">
        <v>-6.124</v>
      </c>
      <c r="M211" s="32"/>
    </row>
    <row r="212" spans="1:13" ht="15">
      <c r="A212" s="33"/>
      <c r="B212" s="34">
        <f t="shared" si="20"/>
        <v>40012</v>
      </c>
      <c r="C212" s="35">
        <f t="shared" si="18"/>
        <v>12.104416666666667</v>
      </c>
      <c r="D212">
        <v>20.896271</v>
      </c>
      <c r="E212" s="36">
        <v>-6.159</v>
      </c>
      <c r="F212" s="32"/>
      <c r="H212" s="33"/>
      <c r="I212" s="34">
        <f t="shared" si="21"/>
        <v>39647</v>
      </c>
      <c r="J212" s="35">
        <f t="shared" si="19"/>
        <v>12.104611111111112</v>
      </c>
      <c r="K212">
        <v>20.853518</v>
      </c>
      <c r="L212" s="36">
        <v>-6.166</v>
      </c>
      <c r="M212" s="32"/>
    </row>
    <row r="213" spans="1:13" ht="15">
      <c r="A213" s="33"/>
      <c r="B213" s="34">
        <f t="shared" si="20"/>
        <v>40013</v>
      </c>
      <c r="C213" s="35">
        <f t="shared" si="18"/>
        <v>12.105527777777779</v>
      </c>
      <c r="D213">
        <v>20.713369</v>
      </c>
      <c r="E213" s="36">
        <v>-6.199</v>
      </c>
      <c r="F213" s="32"/>
      <c r="H213" s="33"/>
      <c r="I213" s="34">
        <f t="shared" si="21"/>
        <v>39648</v>
      </c>
      <c r="J213" s="35">
        <f t="shared" si="19"/>
        <v>12.105638888888889</v>
      </c>
      <c r="K213">
        <v>20.66944</v>
      </c>
      <c r="L213" s="36">
        <v>-6.203</v>
      </c>
      <c r="M213" s="32"/>
    </row>
    <row r="214" spans="1:13" ht="15">
      <c r="A214" s="33"/>
      <c r="B214" s="34">
        <f t="shared" si="20"/>
        <v>40014</v>
      </c>
      <c r="C214" s="35">
        <f t="shared" si="18"/>
        <v>12.1065</v>
      </c>
      <c r="D214">
        <v>20.524644</v>
      </c>
      <c r="E214" s="36">
        <v>-6.234</v>
      </c>
      <c r="F214" s="32"/>
      <c r="H214" s="33"/>
      <c r="I214" s="34">
        <f t="shared" si="21"/>
        <v>39649</v>
      </c>
      <c r="J214" s="35">
        <f t="shared" si="19"/>
        <v>12.106527777777778</v>
      </c>
      <c r="K214">
        <v>20.479572</v>
      </c>
      <c r="L214" s="36">
        <v>-6.235</v>
      </c>
      <c r="M214" s="32"/>
    </row>
    <row r="215" spans="1:13" ht="15">
      <c r="A215" s="33"/>
      <c r="B215" s="34">
        <f t="shared" si="20"/>
        <v>40015</v>
      </c>
      <c r="C215" s="35">
        <f t="shared" si="18"/>
        <v>12.107305555555556</v>
      </c>
      <c r="D215">
        <v>20.33017</v>
      </c>
      <c r="E215" s="36">
        <v>-6.263</v>
      </c>
      <c r="F215" s="32"/>
      <c r="H215" s="33"/>
      <c r="I215" s="34">
        <f t="shared" si="21"/>
        <v>39650</v>
      </c>
      <c r="J215" s="35">
        <f t="shared" si="19"/>
        <v>12.107222222222223</v>
      </c>
      <c r="K215">
        <v>20.283974</v>
      </c>
      <c r="L215" s="36">
        <v>-6.26</v>
      </c>
      <c r="M215" s="32"/>
    </row>
    <row r="216" spans="1:13" ht="15">
      <c r="A216" s="33"/>
      <c r="B216" s="34">
        <f t="shared" si="20"/>
        <v>40016</v>
      </c>
      <c r="C216" s="35">
        <f t="shared" si="18"/>
        <v>12.107972222222223</v>
      </c>
      <c r="D216">
        <v>20.130024</v>
      </c>
      <c r="E216" s="36">
        <v>-6.287</v>
      </c>
      <c r="F216" s="32"/>
      <c r="H216" s="33"/>
      <c r="I216" s="34">
        <f t="shared" si="21"/>
        <v>39651</v>
      </c>
      <c r="J216" s="35">
        <f t="shared" si="19"/>
        <v>12.107805555555556</v>
      </c>
      <c r="K216">
        <v>20.082707</v>
      </c>
      <c r="L216" s="36">
        <v>-6.281</v>
      </c>
      <c r="M216" s="32"/>
    </row>
    <row r="217" spans="1:13" ht="15">
      <c r="A217" s="33"/>
      <c r="B217" s="34">
        <f t="shared" si="20"/>
        <v>40017</v>
      </c>
      <c r="C217" s="35">
        <f t="shared" si="18"/>
        <v>12.108444444444444</v>
      </c>
      <c r="D217">
        <v>19.924278</v>
      </c>
      <c r="E217" s="36">
        <v>-6.304</v>
      </c>
      <c r="F217" s="32"/>
      <c r="H217" s="33"/>
      <c r="I217" s="34">
        <f t="shared" si="21"/>
        <v>39652</v>
      </c>
      <c r="J217" s="35">
        <f t="shared" si="19"/>
        <v>12.108194444444445</v>
      </c>
      <c r="K217">
        <v>19.875833</v>
      </c>
      <c r="L217" s="36">
        <v>-6.295</v>
      </c>
      <c r="M217" s="32"/>
    </row>
    <row r="218" spans="1:13" ht="15">
      <c r="A218" s="33"/>
      <c r="B218" s="34">
        <f t="shared" si="20"/>
        <v>40018</v>
      </c>
      <c r="C218" s="35">
        <f t="shared" si="18"/>
        <v>12.108777777777778</v>
      </c>
      <c r="D218">
        <v>19.71301</v>
      </c>
      <c r="E218" s="36">
        <v>-6.316</v>
      </c>
      <c r="F218" s="32"/>
      <c r="H218" s="33"/>
      <c r="I218" s="34">
        <f t="shared" si="21"/>
        <v>39653</v>
      </c>
      <c r="J218" s="35">
        <f t="shared" si="19"/>
        <v>12.108444444444444</v>
      </c>
      <c r="K218">
        <v>19.663419</v>
      </c>
      <c r="L218" s="36">
        <v>-6.304</v>
      </c>
      <c r="M218" s="32"/>
    </row>
    <row r="219" spans="1:13" ht="15">
      <c r="A219" s="33"/>
      <c r="B219" s="34">
        <f t="shared" si="20"/>
        <v>40019</v>
      </c>
      <c r="C219" s="35">
        <f t="shared" si="18"/>
        <v>12.108916666666667</v>
      </c>
      <c r="D219">
        <v>19.496294</v>
      </c>
      <c r="E219" s="36">
        <v>-6.321</v>
      </c>
      <c r="F219" s="32"/>
      <c r="H219" s="33"/>
      <c r="I219" s="34">
        <f t="shared" si="21"/>
        <v>39654</v>
      </c>
      <c r="J219" s="35">
        <f t="shared" si="19"/>
        <v>12.108527777777779</v>
      </c>
      <c r="K219">
        <v>19.445532</v>
      </c>
      <c r="L219" s="36">
        <v>-6.307</v>
      </c>
      <c r="M219" s="32"/>
    </row>
    <row r="220" spans="1:13" ht="15">
      <c r="A220" s="33"/>
      <c r="B220" s="34">
        <f t="shared" si="20"/>
        <v>40020</v>
      </c>
      <c r="C220" s="35">
        <f t="shared" si="18"/>
        <v>12.108888888888888</v>
      </c>
      <c r="D220">
        <v>19.274207</v>
      </c>
      <c r="E220" s="36">
        <v>-6.32</v>
      </c>
      <c r="F220" s="32"/>
      <c r="H220" s="33"/>
      <c r="I220" s="34">
        <f t="shared" si="21"/>
        <v>39655</v>
      </c>
      <c r="J220" s="35">
        <f t="shared" si="19"/>
        <v>12.108472222222222</v>
      </c>
      <c r="K220">
        <v>19.222243</v>
      </c>
      <c r="L220" s="36">
        <v>-6.305</v>
      </c>
      <c r="M220" s="32"/>
    </row>
    <row r="221" spans="1:13" ht="15">
      <c r="A221" s="33"/>
      <c r="B221" s="34">
        <f t="shared" si="20"/>
        <v>40021</v>
      </c>
      <c r="C221" s="35">
        <f t="shared" si="18"/>
        <v>12.108722222222223</v>
      </c>
      <c r="D221">
        <v>19.046828</v>
      </c>
      <c r="E221" s="36">
        <v>-6.314</v>
      </c>
      <c r="F221" s="32"/>
      <c r="H221" s="33"/>
      <c r="I221" s="34">
        <f t="shared" si="21"/>
        <v>39656</v>
      </c>
      <c r="J221" s="35">
        <f t="shared" si="19"/>
        <v>12.108222222222222</v>
      </c>
      <c r="K221">
        <v>18.99363</v>
      </c>
      <c r="L221" s="36">
        <v>-6.296</v>
      </c>
      <c r="M221" s="32"/>
    </row>
    <row r="222" spans="1:13" ht="15">
      <c r="A222" s="33"/>
      <c r="B222" s="34">
        <f t="shared" si="20"/>
        <v>40022</v>
      </c>
      <c r="C222" s="35">
        <f t="shared" si="18"/>
        <v>12.108361111111112</v>
      </c>
      <c r="D222">
        <v>18.814237</v>
      </c>
      <c r="E222" s="36">
        <v>-6.301</v>
      </c>
      <c r="F222" s="32"/>
      <c r="H222" s="33"/>
      <c r="I222" s="34">
        <f t="shared" si="21"/>
        <v>39657</v>
      </c>
      <c r="J222" s="35">
        <f t="shared" si="19"/>
        <v>12.107833333333334</v>
      </c>
      <c r="K222">
        <v>18.759772</v>
      </c>
      <c r="L222" s="36">
        <v>-6.282</v>
      </c>
      <c r="M222" s="32"/>
    </row>
    <row r="223" spans="1:13" ht="15">
      <c r="A223" s="33"/>
      <c r="B223" s="34">
        <f t="shared" si="20"/>
        <v>40023</v>
      </c>
      <c r="C223" s="35">
        <f t="shared" si="18"/>
        <v>12.107805555555556</v>
      </c>
      <c r="D223">
        <v>18.576513</v>
      </c>
      <c r="E223" s="36">
        <v>-6.281</v>
      </c>
      <c r="F223" s="32"/>
      <c r="H223" s="33"/>
      <c r="I223" s="34">
        <f t="shared" si="21"/>
        <v>39658</v>
      </c>
      <c r="J223" s="35">
        <f t="shared" si="19"/>
        <v>12.107277777777778</v>
      </c>
      <c r="K223">
        <v>18.520752</v>
      </c>
      <c r="L223" s="36">
        <v>-6.262</v>
      </c>
      <c r="M223" s="32"/>
    </row>
    <row r="224" spans="1:13" ht="15">
      <c r="A224" s="33"/>
      <c r="B224" s="34">
        <f t="shared" si="20"/>
        <v>40024</v>
      </c>
      <c r="C224" s="35">
        <f t="shared" si="18"/>
        <v>12.107111111111111</v>
      </c>
      <c r="D224">
        <v>18.333736</v>
      </c>
      <c r="E224" s="36">
        <v>-6.256</v>
      </c>
      <c r="F224" s="32"/>
      <c r="H224" s="33"/>
      <c r="I224" s="34">
        <f t="shared" si="21"/>
        <v>39659</v>
      </c>
      <c r="J224" s="35">
        <f t="shared" si="19"/>
        <v>12.106555555555556</v>
      </c>
      <c r="K224">
        <v>18.276655</v>
      </c>
      <c r="L224" s="36">
        <v>-6.236</v>
      </c>
      <c r="M224" s="32"/>
    </row>
    <row r="225" spans="1:13" ht="15">
      <c r="A225" s="33"/>
      <c r="B225" s="34">
        <f t="shared" si="20"/>
        <v>40025</v>
      </c>
      <c r="C225" s="35">
        <f t="shared" si="18"/>
        <v>12.106222222222222</v>
      </c>
      <c r="D225">
        <v>18.085986</v>
      </c>
      <c r="E225" s="36">
        <v>-6.224</v>
      </c>
      <c r="F225" s="32"/>
      <c r="H225" s="33"/>
      <c r="I225" s="34">
        <f t="shared" si="21"/>
        <v>39660</v>
      </c>
      <c r="J225" s="35">
        <f t="shared" si="19"/>
        <v>12.105666666666666</v>
      </c>
      <c r="K225">
        <v>18.027568</v>
      </c>
      <c r="L225" s="36">
        <v>-6.204</v>
      </c>
      <c r="M225" s="32"/>
    </row>
    <row r="226" spans="1:13" ht="15">
      <c r="A226" s="33"/>
      <c r="B226" s="33"/>
      <c r="C226" s="33"/>
      <c r="D226" s="33"/>
      <c r="E226" s="37"/>
      <c r="F226" s="32"/>
      <c r="H226" s="33"/>
      <c r="I226" s="33"/>
      <c r="J226" s="33"/>
      <c r="K226" s="33"/>
      <c r="L226" s="37"/>
      <c r="M226" s="32"/>
    </row>
    <row r="227" spans="1:13" ht="15">
      <c r="A227" s="33"/>
      <c r="B227" s="38">
        <f>DATE(109,8,1)</f>
        <v>40026</v>
      </c>
      <c r="C227" s="35">
        <f t="shared" si="18"/>
        <v>12.105166666666667</v>
      </c>
      <c r="D227">
        <v>17.833341</v>
      </c>
      <c r="E227" s="36">
        <v>-6.186</v>
      </c>
      <c r="F227" s="32"/>
      <c r="H227" s="33"/>
      <c r="I227" s="38">
        <f>DATE(108,8,1)</f>
        <v>39661</v>
      </c>
      <c r="J227" s="35">
        <f t="shared" si="19"/>
        <v>12.104611111111112</v>
      </c>
      <c r="K227">
        <v>17.773577</v>
      </c>
      <c r="L227" s="36">
        <v>-6.166</v>
      </c>
      <c r="M227" s="32"/>
    </row>
    <row r="228" spans="1:13" ht="15">
      <c r="A228" s="33"/>
      <c r="B228" s="34">
        <f aca="true" t="shared" si="22" ref="B228:B257">B227+1</f>
        <v>40027</v>
      </c>
      <c r="C228" s="35">
        <f t="shared" si="18"/>
        <v>12.103944444444444</v>
      </c>
      <c r="D228">
        <v>17.575881</v>
      </c>
      <c r="E228" s="36">
        <v>-6.142</v>
      </c>
      <c r="F228" s="32"/>
      <c r="H228" s="33"/>
      <c r="I228" s="34">
        <f aca="true" t="shared" si="23" ref="I228:I257">I227+1</f>
        <v>39662</v>
      </c>
      <c r="J228" s="35">
        <f t="shared" si="19"/>
        <v>12.103361111111111</v>
      </c>
      <c r="K228">
        <v>17.514767</v>
      </c>
      <c r="L228" s="36">
        <v>-6.121</v>
      </c>
      <c r="M228" s="32"/>
    </row>
    <row r="229" spans="1:13" ht="15">
      <c r="A229" s="33"/>
      <c r="B229" s="34">
        <f t="shared" si="22"/>
        <v>40028</v>
      </c>
      <c r="C229" s="35">
        <f t="shared" si="18"/>
        <v>12.102527777777778</v>
      </c>
      <c r="D229">
        <v>17.313683</v>
      </c>
      <c r="E229" s="36">
        <v>-6.091</v>
      </c>
      <c r="F229" s="32"/>
      <c r="H229" s="33"/>
      <c r="I229" s="34">
        <f t="shared" si="23"/>
        <v>39663</v>
      </c>
      <c r="J229" s="35">
        <f t="shared" si="19"/>
        <v>12.101972222222223</v>
      </c>
      <c r="K229">
        <v>17.251224</v>
      </c>
      <c r="L229" s="36">
        <v>-6.071</v>
      </c>
      <c r="M229" s="32"/>
    </row>
    <row r="230" spans="1:13" ht="15">
      <c r="A230" s="33"/>
      <c r="B230" s="34">
        <f t="shared" si="22"/>
        <v>40029</v>
      </c>
      <c r="C230" s="35">
        <f t="shared" si="18"/>
        <v>12.100972222222222</v>
      </c>
      <c r="D230">
        <v>17.046825</v>
      </c>
      <c r="E230" s="36">
        <v>-6.035</v>
      </c>
      <c r="F230" s="32"/>
      <c r="H230" s="33"/>
      <c r="I230" s="34">
        <f t="shared" si="23"/>
        <v>39664</v>
      </c>
      <c r="J230" s="35">
        <f t="shared" si="19"/>
        <v>12.100388888888888</v>
      </c>
      <c r="K230">
        <v>16.983034</v>
      </c>
      <c r="L230" s="36">
        <v>-6.014</v>
      </c>
      <c r="M230" s="32"/>
    </row>
    <row r="231" spans="1:13" ht="15">
      <c r="A231" s="33"/>
      <c r="B231" s="34">
        <f t="shared" si="22"/>
        <v>40030</v>
      </c>
      <c r="C231" s="35">
        <f t="shared" si="18"/>
        <v>12.09925</v>
      </c>
      <c r="D231">
        <v>16.775385</v>
      </c>
      <c r="E231" s="36">
        <v>-5.573</v>
      </c>
      <c r="F231" s="32"/>
      <c r="H231" s="33"/>
      <c r="I231" s="34">
        <f t="shared" si="23"/>
        <v>39665</v>
      </c>
      <c r="J231" s="35">
        <f t="shared" si="19"/>
        <v>12.098666666666666</v>
      </c>
      <c r="K231">
        <v>16.710284</v>
      </c>
      <c r="L231" s="36">
        <v>-5.552</v>
      </c>
      <c r="M231" s="32"/>
    </row>
    <row r="232" spans="1:13" ht="15">
      <c r="A232" s="33"/>
      <c r="B232" s="34">
        <f t="shared" si="22"/>
        <v>40031</v>
      </c>
      <c r="C232" s="35">
        <f t="shared" si="18"/>
        <v>12.097333333333333</v>
      </c>
      <c r="D232">
        <v>16.499439</v>
      </c>
      <c r="E232" s="36">
        <v>-5.504</v>
      </c>
      <c r="F232" s="32"/>
      <c r="H232" s="33"/>
      <c r="I232" s="34">
        <f t="shared" si="23"/>
        <v>39666</v>
      </c>
      <c r="J232" s="35">
        <f t="shared" si="19"/>
        <v>12.09675</v>
      </c>
      <c r="K232">
        <v>16.433061</v>
      </c>
      <c r="L232" s="36">
        <v>-5.483</v>
      </c>
      <c r="M232" s="32"/>
    </row>
    <row r="233" spans="1:13" ht="15">
      <c r="A233" s="33"/>
      <c r="B233" s="34">
        <f t="shared" si="22"/>
        <v>40032</v>
      </c>
      <c r="C233" s="35">
        <f t="shared" si="18"/>
        <v>12.095277777777778</v>
      </c>
      <c r="D233">
        <v>16.219065</v>
      </c>
      <c r="E233" s="36">
        <v>-5.43</v>
      </c>
      <c r="F233" s="32"/>
      <c r="H233" s="33"/>
      <c r="I233" s="34">
        <f t="shared" si="23"/>
        <v>39667</v>
      </c>
      <c r="J233" s="35">
        <f t="shared" si="19"/>
        <v>12.094666666666667</v>
      </c>
      <c r="K233">
        <v>16.151452</v>
      </c>
      <c r="L233" s="36">
        <v>-5.408</v>
      </c>
      <c r="M233" s="32"/>
    </row>
    <row r="234" spans="1:13" ht="15">
      <c r="A234" s="33"/>
      <c r="B234" s="34">
        <f t="shared" si="22"/>
        <v>40033</v>
      </c>
      <c r="C234" s="35">
        <f t="shared" si="18"/>
        <v>12.093055555555555</v>
      </c>
      <c r="D234">
        <v>15.934338</v>
      </c>
      <c r="E234" s="36">
        <v>-5.35</v>
      </c>
      <c r="F234" s="32"/>
      <c r="H234" s="33"/>
      <c r="I234" s="34">
        <f t="shared" si="23"/>
        <v>39668</v>
      </c>
      <c r="J234" s="35">
        <f t="shared" si="19"/>
        <v>12.092416666666667</v>
      </c>
      <c r="K234">
        <v>15.865544</v>
      </c>
      <c r="L234" s="36">
        <v>-5.327</v>
      </c>
      <c r="M234" s="32"/>
    </row>
    <row r="235" spans="1:13" ht="15">
      <c r="A235" s="33"/>
      <c r="B235" s="34">
        <f t="shared" si="22"/>
        <v>40034</v>
      </c>
      <c r="C235" s="35">
        <f t="shared" si="18"/>
        <v>12.090666666666667</v>
      </c>
      <c r="D235">
        <v>15.645336</v>
      </c>
      <c r="E235" s="36">
        <v>-5.264</v>
      </c>
      <c r="F235" s="32"/>
      <c r="H235" s="33"/>
      <c r="I235" s="34">
        <f t="shared" si="23"/>
        <v>39669</v>
      </c>
      <c r="J235" s="35">
        <f t="shared" si="19"/>
        <v>12.09</v>
      </c>
      <c r="K235">
        <v>15.575426</v>
      </c>
      <c r="L235" s="36">
        <v>-5.24</v>
      </c>
      <c r="M235" s="32"/>
    </row>
    <row r="236" spans="1:13" ht="15">
      <c r="A236" s="33"/>
      <c r="B236" s="34">
        <f t="shared" si="22"/>
        <v>40035</v>
      </c>
      <c r="C236" s="35">
        <f t="shared" si="18"/>
        <v>12.088111111111111</v>
      </c>
      <c r="D236">
        <v>15.352137</v>
      </c>
      <c r="E236" s="36">
        <v>-5.172</v>
      </c>
      <c r="F236" s="32"/>
      <c r="H236" s="33"/>
      <c r="I236" s="34">
        <f t="shared" si="23"/>
        <v>39670</v>
      </c>
      <c r="J236" s="35">
        <f t="shared" si="19"/>
        <v>12.087444444444444</v>
      </c>
      <c r="K236">
        <v>15.281183</v>
      </c>
      <c r="L236" s="36">
        <v>-5.148</v>
      </c>
      <c r="M236" s="32"/>
    </row>
    <row r="237" spans="1:13" ht="15">
      <c r="A237" s="33"/>
      <c r="B237" s="34">
        <f t="shared" si="22"/>
        <v>40036</v>
      </c>
      <c r="C237" s="35">
        <f t="shared" si="18"/>
        <v>12.085416666666667</v>
      </c>
      <c r="D237">
        <v>15.05482</v>
      </c>
      <c r="E237" s="36">
        <v>-5.075</v>
      </c>
      <c r="F237" s="32"/>
      <c r="H237" s="33"/>
      <c r="I237" s="34">
        <f t="shared" si="23"/>
        <v>39671</v>
      </c>
      <c r="J237" s="35">
        <f t="shared" si="19"/>
        <v>12.084694444444445</v>
      </c>
      <c r="K237">
        <v>14.982901</v>
      </c>
      <c r="L237" s="36">
        <v>-5.049</v>
      </c>
      <c r="M237" s="32"/>
    </row>
    <row r="238" spans="1:13" ht="15">
      <c r="A238" s="33"/>
      <c r="B238" s="34">
        <f t="shared" si="22"/>
        <v>40037</v>
      </c>
      <c r="C238" s="35">
        <f t="shared" si="18"/>
        <v>12.082555555555556</v>
      </c>
      <c r="D238">
        <v>14.753466</v>
      </c>
      <c r="E238" s="36">
        <v>-4.572</v>
      </c>
      <c r="F238" s="32"/>
      <c r="H238" s="33"/>
      <c r="I238" s="34">
        <f t="shared" si="23"/>
        <v>39672</v>
      </c>
      <c r="J238" s="35">
        <f t="shared" si="19"/>
        <v>12.081805555555556</v>
      </c>
      <c r="K238">
        <v>14.680667</v>
      </c>
      <c r="L238" s="36">
        <v>-4.545</v>
      </c>
      <c r="M238" s="32"/>
    </row>
    <row r="239" spans="1:13" ht="15">
      <c r="A239" s="33"/>
      <c r="B239" s="34">
        <f t="shared" si="22"/>
        <v>40038</v>
      </c>
      <c r="C239" s="35">
        <f t="shared" si="18"/>
        <v>12.079583333333334</v>
      </c>
      <c r="D239">
        <v>14.448156</v>
      </c>
      <c r="E239" s="36">
        <v>-4.465</v>
      </c>
      <c r="F239" s="32"/>
      <c r="H239" s="33"/>
      <c r="I239" s="34">
        <f t="shared" si="23"/>
        <v>39673</v>
      </c>
      <c r="J239" s="35">
        <f t="shared" si="19"/>
        <v>12.07875</v>
      </c>
      <c r="K239">
        <v>14.374566</v>
      </c>
      <c r="L239" s="36">
        <v>-4.435</v>
      </c>
      <c r="M239" s="32"/>
    </row>
    <row r="240" spans="1:13" ht="15">
      <c r="A240" s="33"/>
      <c r="B240" s="34">
        <f t="shared" si="22"/>
        <v>40039</v>
      </c>
      <c r="C240" s="35">
        <f t="shared" si="18"/>
        <v>12.076416666666667</v>
      </c>
      <c r="D240">
        <v>14.138979</v>
      </c>
      <c r="E240" s="36">
        <v>-4.351</v>
      </c>
      <c r="F240" s="32"/>
      <c r="H240" s="33"/>
      <c r="I240" s="34">
        <f t="shared" si="23"/>
        <v>39674</v>
      </c>
      <c r="J240" s="35">
        <f t="shared" si="19"/>
        <v>12.075527777777777</v>
      </c>
      <c r="K240">
        <v>14.06468</v>
      </c>
      <c r="L240" s="36">
        <v>-4.319</v>
      </c>
      <c r="M240" s="32"/>
    </row>
    <row r="241" spans="1:13" ht="15">
      <c r="A241" s="33"/>
      <c r="B241" s="34">
        <f t="shared" si="22"/>
        <v>40040</v>
      </c>
      <c r="C241" s="35">
        <f t="shared" si="18"/>
        <v>12.07313888888889</v>
      </c>
      <c r="D241">
        <v>13.826022</v>
      </c>
      <c r="E241" s="36">
        <v>-4.233</v>
      </c>
      <c r="F241" s="32"/>
      <c r="H241" s="33"/>
      <c r="I241" s="34">
        <f t="shared" si="23"/>
        <v>39675</v>
      </c>
      <c r="J241" s="35">
        <f t="shared" si="19"/>
        <v>12.072194444444444</v>
      </c>
      <c r="K241">
        <v>13.751091</v>
      </c>
      <c r="L241" s="36">
        <v>-4.199</v>
      </c>
      <c r="M241" s="32"/>
    </row>
    <row r="242" spans="1:13" ht="15">
      <c r="A242" s="33"/>
      <c r="B242" s="34">
        <f t="shared" si="22"/>
        <v>40041</v>
      </c>
      <c r="C242" s="35">
        <f t="shared" si="18"/>
        <v>12.069722222222222</v>
      </c>
      <c r="D242">
        <v>13.509377</v>
      </c>
      <c r="E242" s="36">
        <v>-4.11</v>
      </c>
      <c r="F242" s="32"/>
      <c r="H242" s="33"/>
      <c r="I242" s="34">
        <f t="shared" si="23"/>
        <v>39676</v>
      </c>
      <c r="J242" s="35">
        <f t="shared" si="19"/>
        <v>12.068666666666667</v>
      </c>
      <c r="K242">
        <v>13.433882</v>
      </c>
      <c r="L242" s="36">
        <v>-4.072</v>
      </c>
      <c r="M242" s="32"/>
    </row>
    <row r="243" spans="1:13" ht="15">
      <c r="A243" s="33"/>
      <c r="B243" s="34">
        <f t="shared" si="22"/>
        <v>40042</v>
      </c>
      <c r="C243" s="35">
        <f t="shared" si="18"/>
        <v>12.066138888888888</v>
      </c>
      <c r="D243">
        <v>13.189139</v>
      </c>
      <c r="E243" s="36">
        <v>-3.581</v>
      </c>
      <c r="F243" s="32"/>
      <c r="H243" s="33"/>
      <c r="I243" s="34">
        <f t="shared" si="23"/>
        <v>39677</v>
      </c>
      <c r="J243" s="35">
        <f t="shared" si="19"/>
        <v>12.065027777777777</v>
      </c>
      <c r="K243">
        <v>13.11313</v>
      </c>
      <c r="L243" s="36">
        <v>-3.541</v>
      </c>
      <c r="M243" s="32"/>
    </row>
    <row r="244" spans="1:13" ht="15">
      <c r="A244" s="33"/>
      <c r="B244" s="34">
        <f t="shared" si="22"/>
        <v>40043</v>
      </c>
      <c r="C244" s="35">
        <f t="shared" si="18"/>
        <v>12.062444444444445</v>
      </c>
      <c r="D244">
        <v>12.865405</v>
      </c>
      <c r="E244" s="36">
        <v>-3.448</v>
      </c>
      <c r="F244" s="32"/>
      <c r="H244" s="33"/>
      <c r="I244" s="34">
        <f t="shared" si="23"/>
        <v>39678</v>
      </c>
      <c r="J244" s="35">
        <f t="shared" si="19"/>
        <v>12.06125</v>
      </c>
      <c r="K244">
        <v>12.788914</v>
      </c>
      <c r="L244" s="36">
        <v>-3.405</v>
      </c>
      <c r="M244" s="32"/>
    </row>
    <row r="245" spans="1:13" ht="15">
      <c r="A245" s="33"/>
      <c r="B245" s="34">
        <f t="shared" si="22"/>
        <v>40044</v>
      </c>
      <c r="C245" s="35">
        <f t="shared" si="18"/>
        <v>12.05861111111111</v>
      </c>
      <c r="D245">
        <v>12.53827</v>
      </c>
      <c r="E245" s="36">
        <v>-3.31</v>
      </c>
      <c r="F245" s="32"/>
      <c r="H245" s="33"/>
      <c r="I245" s="34">
        <f t="shared" si="23"/>
        <v>39679</v>
      </c>
      <c r="J245" s="35">
        <f t="shared" si="19"/>
        <v>12.057333333333334</v>
      </c>
      <c r="K245">
        <v>12.46131</v>
      </c>
      <c r="L245" s="36">
        <v>-3.264</v>
      </c>
      <c r="M245" s="32"/>
    </row>
    <row r="246" spans="1:13" ht="15">
      <c r="A246" s="33"/>
      <c r="B246" s="34">
        <f t="shared" si="22"/>
        <v>40045</v>
      </c>
      <c r="C246" s="35">
        <f t="shared" si="18"/>
        <v>12.054638888888888</v>
      </c>
      <c r="D246">
        <v>12.20783</v>
      </c>
      <c r="E246" s="36">
        <v>-3.167</v>
      </c>
      <c r="F246" s="32"/>
      <c r="H246" s="33"/>
      <c r="I246" s="34">
        <f t="shared" si="23"/>
        <v>39680</v>
      </c>
      <c r="J246" s="35">
        <f t="shared" si="19"/>
        <v>12.053277777777778</v>
      </c>
      <c r="K246">
        <v>12.130398</v>
      </c>
      <c r="L246" s="36">
        <v>-3.118</v>
      </c>
      <c r="M246" s="32"/>
    </row>
    <row r="247" spans="1:13" ht="15">
      <c r="A247" s="33"/>
      <c r="B247" s="34">
        <f t="shared" si="22"/>
        <v>40046</v>
      </c>
      <c r="C247" s="35">
        <f t="shared" si="18"/>
        <v>12.050555555555556</v>
      </c>
      <c r="D247">
        <v>11.87418</v>
      </c>
      <c r="E247" s="36">
        <v>-3.02</v>
      </c>
      <c r="F247" s="32"/>
      <c r="H247" s="33"/>
      <c r="I247" s="34">
        <f t="shared" si="23"/>
        <v>39681</v>
      </c>
      <c r="J247" s="35">
        <f t="shared" si="19"/>
        <v>12.049111111111111</v>
      </c>
      <c r="K247">
        <v>11.796256</v>
      </c>
      <c r="L247" s="36">
        <v>-2.568</v>
      </c>
      <c r="M247" s="32"/>
    </row>
    <row r="248" spans="1:13" ht="15">
      <c r="A248" s="33"/>
      <c r="B248" s="34">
        <f t="shared" si="22"/>
        <v>40047</v>
      </c>
      <c r="C248" s="35">
        <f t="shared" si="18"/>
        <v>12.046305555555556</v>
      </c>
      <c r="D248">
        <v>11.537414</v>
      </c>
      <c r="E248" s="36">
        <v>-2.467</v>
      </c>
      <c r="F248" s="32"/>
      <c r="H248" s="33"/>
      <c r="I248" s="34">
        <f t="shared" si="23"/>
        <v>39682</v>
      </c>
      <c r="J248" s="35">
        <f t="shared" si="19"/>
        <v>12.044833333333333</v>
      </c>
      <c r="K248">
        <v>11.458965</v>
      </c>
      <c r="L248" s="36">
        <v>-2.414</v>
      </c>
      <c r="M248" s="32"/>
    </row>
    <row r="249" spans="1:13" ht="15">
      <c r="A249" s="33"/>
      <c r="B249" s="34">
        <f t="shared" si="22"/>
        <v>40048</v>
      </c>
      <c r="C249" s="35">
        <f t="shared" si="18"/>
        <v>12.041972222222222</v>
      </c>
      <c r="D249">
        <v>11.197624</v>
      </c>
      <c r="E249" s="36">
        <v>-2.311</v>
      </c>
      <c r="F249" s="32"/>
      <c r="H249" s="33"/>
      <c r="I249" s="34">
        <f t="shared" si="23"/>
        <v>39683</v>
      </c>
      <c r="J249" s="35">
        <f t="shared" si="19"/>
        <v>12.040416666666667</v>
      </c>
      <c r="K249">
        <v>11.118612</v>
      </c>
      <c r="L249" s="36">
        <v>-2.255</v>
      </c>
      <c r="M249" s="32"/>
    </row>
    <row r="250" spans="1:13" ht="15">
      <c r="A250" s="33"/>
      <c r="B250" s="34">
        <f t="shared" si="22"/>
        <v>40049</v>
      </c>
      <c r="C250" s="35">
        <f t="shared" si="18"/>
        <v>12.037472222222222</v>
      </c>
      <c r="D250">
        <v>10.854905</v>
      </c>
      <c r="E250" s="36">
        <v>-2.149</v>
      </c>
      <c r="F250" s="32"/>
      <c r="H250" s="33"/>
      <c r="I250" s="34">
        <f t="shared" si="23"/>
        <v>39684</v>
      </c>
      <c r="J250" s="35">
        <f t="shared" si="19"/>
        <v>12.03588888888889</v>
      </c>
      <c r="K250">
        <v>10.775285</v>
      </c>
      <c r="L250" s="36">
        <v>-2.092</v>
      </c>
      <c r="M250" s="32"/>
    </row>
    <row r="251" spans="1:13" ht="15">
      <c r="A251" s="33"/>
      <c r="B251" s="34">
        <f t="shared" si="22"/>
        <v>40050</v>
      </c>
      <c r="C251" s="35">
        <f t="shared" si="18"/>
        <v>12.03288888888889</v>
      </c>
      <c r="D251">
        <v>10.50935</v>
      </c>
      <c r="E251" s="36">
        <v>-1.584</v>
      </c>
      <c r="F251" s="32"/>
      <c r="H251" s="33"/>
      <c r="I251" s="34">
        <f t="shared" si="23"/>
        <v>39685</v>
      </c>
      <c r="J251" s="35">
        <f t="shared" si="19"/>
        <v>12.031277777777778</v>
      </c>
      <c r="K251">
        <v>10.429076</v>
      </c>
      <c r="L251" s="36">
        <v>-1.526</v>
      </c>
      <c r="M251" s="32"/>
    </row>
    <row r="252" spans="1:13" ht="15">
      <c r="A252" s="33"/>
      <c r="B252" s="34">
        <f t="shared" si="22"/>
        <v>40051</v>
      </c>
      <c r="C252" s="35">
        <f t="shared" si="18"/>
        <v>12.028166666666667</v>
      </c>
      <c r="D252">
        <v>10.16105</v>
      </c>
      <c r="E252" s="36">
        <v>-1.414</v>
      </c>
      <c r="F252" s="32"/>
      <c r="H252" s="33"/>
      <c r="I252" s="34">
        <f t="shared" si="23"/>
        <v>39686</v>
      </c>
      <c r="J252" s="35">
        <f t="shared" si="19"/>
        <v>12.026527777777778</v>
      </c>
      <c r="K252">
        <v>10.080079</v>
      </c>
      <c r="L252" s="36">
        <v>-1.355</v>
      </c>
      <c r="M252" s="32"/>
    </row>
    <row r="253" spans="1:13" ht="15">
      <c r="A253" s="33"/>
      <c r="B253" s="34">
        <f t="shared" si="22"/>
        <v>40052</v>
      </c>
      <c r="C253" s="35">
        <f t="shared" si="18"/>
        <v>12.023361111111111</v>
      </c>
      <c r="D253">
        <v>9.810096</v>
      </c>
      <c r="E253" s="36">
        <v>-1.241</v>
      </c>
      <c r="F253" s="32"/>
      <c r="H253" s="33"/>
      <c r="I253" s="34">
        <f t="shared" si="23"/>
        <v>39687</v>
      </c>
      <c r="J253" s="35">
        <f t="shared" si="19"/>
        <v>12.021694444444444</v>
      </c>
      <c r="K253">
        <v>9.728391</v>
      </c>
      <c r="L253" s="36">
        <v>-1.181</v>
      </c>
      <c r="M253" s="32"/>
    </row>
    <row r="254" spans="1:13" ht="15">
      <c r="A254" s="33"/>
      <c r="B254" s="34">
        <f t="shared" si="22"/>
        <v>40053</v>
      </c>
      <c r="C254" s="35">
        <f t="shared" si="18"/>
        <v>12.018444444444444</v>
      </c>
      <c r="D254">
        <v>9.456579</v>
      </c>
      <c r="E254" s="36">
        <v>-1.064</v>
      </c>
      <c r="F254" s="32"/>
      <c r="H254" s="33"/>
      <c r="I254" s="34">
        <f t="shared" si="23"/>
        <v>39688</v>
      </c>
      <c r="J254" s="35">
        <f t="shared" si="19"/>
        <v>12.01675</v>
      </c>
      <c r="K254">
        <v>9.374109</v>
      </c>
      <c r="L254" s="36">
        <v>-1.003</v>
      </c>
      <c r="M254" s="32"/>
    </row>
    <row r="255" spans="1:13" ht="15">
      <c r="A255" s="33"/>
      <c r="B255" s="34">
        <f t="shared" si="22"/>
        <v>40054</v>
      </c>
      <c r="C255" s="35">
        <f t="shared" si="18"/>
        <v>12.013388888888889</v>
      </c>
      <c r="D255">
        <v>9.100588</v>
      </c>
      <c r="E255" s="36">
        <v>-0.482</v>
      </c>
      <c r="F255" s="32"/>
      <c r="H255" s="33"/>
      <c r="I255" s="34">
        <f t="shared" si="23"/>
        <v>39689</v>
      </c>
      <c r="J255" s="35">
        <f t="shared" si="19"/>
        <v>12.011722222222222</v>
      </c>
      <c r="K255">
        <v>9.017329</v>
      </c>
      <c r="L255" s="36">
        <v>-0.422</v>
      </c>
      <c r="M255" s="32"/>
    </row>
    <row r="256" spans="1:13" ht="15">
      <c r="A256" s="33"/>
      <c r="B256" s="34">
        <f t="shared" si="22"/>
        <v>40055</v>
      </c>
      <c r="C256" s="35">
        <f t="shared" si="18"/>
        <v>12.008277777777778</v>
      </c>
      <c r="D256">
        <v>8.742209</v>
      </c>
      <c r="E256" s="36">
        <v>-0.298</v>
      </c>
      <c r="F256" s="32"/>
      <c r="H256" s="33"/>
      <c r="I256" s="34">
        <f t="shared" si="23"/>
        <v>39690</v>
      </c>
      <c r="J256" s="35">
        <f t="shared" si="19"/>
        <v>12.006611111111111</v>
      </c>
      <c r="K256">
        <v>8.658148</v>
      </c>
      <c r="L256" s="36">
        <v>-0.238</v>
      </c>
      <c r="M256" s="32"/>
    </row>
    <row r="257" spans="1:13" ht="15">
      <c r="A257" s="33"/>
      <c r="B257" s="34">
        <f t="shared" si="22"/>
        <v>40056</v>
      </c>
      <c r="C257" s="35">
        <f t="shared" si="18"/>
        <v>12.003055555555555</v>
      </c>
      <c r="D257">
        <v>8.38153</v>
      </c>
      <c r="E257" s="36">
        <v>-0.11</v>
      </c>
      <c r="F257" s="32"/>
      <c r="H257" s="33"/>
      <c r="I257" s="34">
        <f t="shared" si="23"/>
        <v>39691</v>
      </c>
      <c r="J257" s="35">
        <f t="shared" si="19"/>
        <v>12.001416666666668</v>
      </c>
      <c r="K257">
        <v>8.296661</v>
      </c>
      <c r="L257" s="36">
        <v>-0.051</v>
      </c>
      <c r="M257" s="32"/>
    </row>
    <row r="258" spans="1:13" ht="15">
      <c r="A258" s="33"/>
      <c r="B258" s="33"/>
      <c r="C258" s="33"/>
      <c r="D258" s="33"/>
      <c r="E258" s="37"/>
      <c r="F258" s="32"/>
      <c r="H258" s="33"/>
      <c r="I258" s="33"/>
      <c r="J258" s="33"/>
      <c r="K258" s="33"/>
      <c r="L258" s="37"/>
      <c r="M258" s="32"/>
    </row>
    <row r="259" spans="1:13" ht="15">
      <c r="A259" s="33"/>
      <c r="B259" s="38">
        <f>DATE(109,9,1)</f>
        <v>40057</v>
      </c>
      <c r="C259" s="35">
        <f t="shared" si="18"/>
        <v>11.99775</v>
      </c>
      <c r="D259">
        <v>8.018635</v>
      </c>
      <c r="E259" s="36">
        <v>0.081</v>
      </c>
      <c r="F259" s="32"/>
      <c r="H259" s="33"/>
      <c r="I259" s="38">
        <f>DATE(108,9,1)</f>
        <v>39692</v>
      </c>
      <c r="J259" s="35">
        <f t="shared" si="19"/>
        <v>11.99611111111111</v>
      </c>
      <c r="K259">
        <v>7.932964</v>
      </c>
      <c r="L259" s="36">
        <v>0.14</v>
      </c>
      <c r="M259" s="32"/>
    </row>
    <row r="260" spans="1:13" ht="15">
      <c r="A260" s="33"/>
      <c r="B260" s="34">
        <f aca="true" t="shared" si="24" ref="B260:B288">B259+1</f>
        <v>40058</v>
      </c>
      <c r="C260" s="35">
        <f aca="true" t="shared" si="25" ref="C260:C288">12-(TRUNC(E260,0)+MOD(E260,1)*5/3)/60</f>
        <v>11.99236111111111</v>
      </c>
      <c r="D260">
        <v>7.653609</v>
      </c>
      <c r="E260" s="36">
        <v>0.275</v>
      </c>
      <c r="F260" s="32"/>
      <c r="H260" s="33"/>
      <c r="I260" s="34">
        <f aca="true" t="shared" si="26" ref="I260:I288">I259+1</f>
        <v>39693</v>
      </c>
      <c r="J260" s="35">
        <f aca="true" t="shared" si="27" ref="J260:J288">12-(TRUNC(L260,0)+MOD(L260,1)*5/3)/60</f>
        <v>11.99075</v>
      </c>
      <c r="K260">
        <v>7.567152</v>
      </c>
      <c r="L260" s="36">
        <v>0.333</v>
      </c>
      <c r="M260" s="32"/>
    </row>
    <row r="261" spans="1:13" ht="15">
      <c r="A261" s="33"/>
      <c r="B261" s="34">
        <f t="shared" si="24"/>
        <v>40059</v>
      </c>
      <c r="C261" s="35">
        <f t="shared" si="25"/>
        <v>11.986888888888888</v>
      </c>
      <c r="D261">
        <v>7.286536</v>
      </c>
      <c r="E261" s="36">
        <v>0.472</v>
      </c>
      <c r="F261" s="32"/>
      <c r="H261" s="33"/>
      <c r="I261" s="34">
        <f t="shared" si="26"/>
        <v>39694</v>
      </c>
      <c r="J261" s="35">
        <f t="shared" si="27"/>
        <v>11.985305555555556</v>
      </c>
      <c r="K261">
        <v>7.199319</v>
      </c>
      <c r="L261" s="36">
        <v>0.529</v>
      </c>
      <c r="M261" s="32"/>
    </row>
    <row r="262" spans="1:13" ht="15">
      <c r="A262" s="33"/>
      <c r="B262" s="34">
        <f t="shared" si="24"/>
        <v>40060</v>
      </c>
      <c r="C262" s="35">
        <f t="shared" si="25"/>
        <v>11.981361111111111</v>
      </c>
      <c r="D262">
        <v>6.917497</v>
      </c>
      <c r="E262" s="36">
        <v>1.071</v>
      </c>
      <c r="F262" s="32"/>
      <c r="H262" s="33"/>
      <c r="I262" s="34">
        <f t="shared" si="26"/>
        <v>39695</v>
      </c>
      <c r="J262" s="35">
        <f t="shared" si="27"/>
        <v>11.979777777777779</v>
      </c>
      <c r="K262">
        <v>6.82956</v>
      </c>
      <c r="L262" s="36">
        <v>1.128</v>
      </c>
      <c r="M262" s="32"/>
    </row>
    <row r="263" spans="1:13" ht="15">
      <c r="A263" s="33"/>
      <c r="B263" s="34">
        <f t="shared" si="24"/>
        <v>40061</v>
      </c>
      <c r="C263" s="35">
        <f t="shared" si="25"/>
        <v>11.97575</v>
      </c>
      <c r="D263">
        <v>6.546574</v>
      </c>
      <c r="E263" s="36">
        <v>1.273</v>
      </c>
      <c r="F263" s="32"/>
      <c r="H263" s="33"/>
      <c r="I263" s="34">
        <f t="shared" si="26"/>
        <v>39696</v>
      </c>
      <c r="J263" s="35">
        <f t="shared" si="27"/>
        <v>11.974194444444445</v>
      </c>
      <c r="K263">
        <v>6.457969</v>
      </c>
      <c r="L263" s="36">
        <v>1.329</v>
      </c>
      <c r="M263" s="32"/>
    </row>
    <row r="264" spans="1:13" ht="15">
      <c r="A264" s="33"/>
      <c r="B264" s="34">
        <f t="shared" si="24"/>
        <v>40062</v>
      </c>
      <c r="C264" s="35">
        <f t="shared" si="25"/>
        <v>11.970083333333333</v>
      </c>
      <c r="D264">
        <v>6.173849</v>
      </c>
      <c r="E264" s="36">
        <v>1.477</v>
      </c>
      <c r="F264" s="32"/>
      <c r="H264" s="33"/>
      <c r="I264" s="34">
        <f t="shared" si="26"/>
        <v>39697</v>
      </c>
      <c r="J264" s="35">
        <f t="shared" si="27"/>
        <v>11.968527777777778</v>
      </c>
      <c r="K264">
        <v>6.08464</v>
      </c>
      <c r="L264" s="36">
        <v>1.533</v>
      </c>
      <c r="M264" s="32"/>
    </row>
    <row r="265" spans="1:13" ht="15">
      <c r="A265" s="33"/>
      <c r="B265" s="34">
        <f t="shared" si="24"/>
        <v>40063</v>
      </c>
      <c r="C265" s="35">
        <f t="shared" si="25"/>
        <v>11.96438888888889</v>
      </c>
      <c r="D265">
        <v>5.799402</v>
      </c>
      <c r="E265" s="36">
        <v>2.082</v>
      </c>
      <c r="F265" s="32"/>
      <c r="H265" s="33"/>
      <c r="I265" s="34">
        <f t="shared" si="26"/>
        <v>39698</v>
      </c>
      <c r="J265" s="35">
        <f t="shared" si="27"/>
        <v>11.962833333333334</v>
      </c>
      <c r="K265">
        <v>5.709664</v>
      </c>
      <c r="L265" s="36">
        <v>2.138</v>
      </c>
      <c r="M265" s="32"/>
    </row>
    <row r="266" spans="1:13" ht="15">
      <c r="A266" s="33"/>
      <c r="B266" s="34">
        <f t="shared" si="24"/>
        <v>40064</v>
      </c>
      <c r="C266" s="35">
        <f t="shared" si="25"/>
        <v>11.95861111111111</v>
      </c>
      <c r="D266">
        <v>5.423316</v>
      </c>
      <c r="E266" s="36">
        <v>2.29</v>
      </c>
      <c r="F266" s="32"/>
      <c r="H266" s="33"/>
      <c r="I266" s="34">
        <f t="shared" si="26"/>
        <v>39699</v>
      </c>
      <c r="J266" s="35">
        <f t="shared" si="27"/>
        <v>11.957055555555556</v>
      </c>
      <c r="K266">
        <v>5.333134</v>
      </c>
      <c r="L266" s="36">
        <v>2.346</v>
      </c>
      <c r="M266" s="32"/>
    </row>
    <row r="267" spans="1:13" ht="15">
      <c r="A267" s="33"/>
      <c r="B267" s="34">
        <f t="shared" si="24"/>
        <v>40065</v>
      </c>
      <c r="C267" s="35">
        <f t="shared" si="25"/>
        <v>11.952805555555555</v>
      </c>
      <c r="D267">
        <v>5.045676</v>
      </c>
      <c r="E267" s="36">
        <v>2.499</v>
      </c>
      <c r="F267" s="32"/>
      <c r="H267" s="33"/>
      <c r="I267" s="34">
        <f t="shared" si="26"/>
        <v>39700</v>
      </c>
      <c r="J267" s="35">
        <f t="shared" si="27"/>
        <v>11.95125</v>
      </c>
      <c r="K267">
        <v>4.95514</v>
      </c>
      <c r="L267" s="36">
        <v>2.555</v>
      </c>
      <c r="M267" s="32"/>
    </row>
    <row r="268" spans="1:13" ht="15">
      <c r="A268" s="33"/>
      <c r="B268" s="34">
        <f t="shared" si="24"/>
        <v>40066</v>
      </c>
      <c r="C268" s="35">
        <f t="shared" si="25"/>
        <v>11.946972222222222</v>
      </c>
      <c r="D268">
        <v>4.666567</v>
      </c>
      <c r="E268" s="36">
        <v>3.109</v>
      </c>
      <c r="F268" s="32"/>
      <c r="H268" s="33"/>
      <c r="I268" s="34">
        <f t="shared" si="26"/>
        <v>39701</v>
      </c>
      <c r="J268" s="35">
        <f t="shared" si="27"/>
        <v>11.945416666666667</v>
      </c>
      <c r="K268">
        <v>4.575773</v>
      </c>
      <c r="L268" s="36">
        <v>3.165</v>
      </c>
      <c r="M268" s="32"/>
    </row>
    <row r="269" spans="1:13" ht="15">
      <c r="A269" s="33"/>
      <c r="B269" s="34">
        <f t="shared" si="24"/>
        <v>40067</v>
      </c>
      <c r="C269" s="35">
        <f t="shared" si="25"/>
        <v>11.94111111111111</v>
      </c>
      <c r="D269">
        <v>4.286079</v>
      </c>
      <c r="E269" s="36">
        <v>3.32</v>
      </c>
      <c r="F269" s="32"/>
      <c r="H269" s="33"/>
      <c r="I269" s="34">
        <f t="shared" si="26"/>
        <v>39702</v>
      </c>
      <c r="J269" s="35">
        <f t="shared" si="27"/>
        <v>11.939527777777778</v>
      </c>
      <c r="K269">
        <v>4.195121</v>
      </c>
      <c r="L269" s="36">
        <v>3.377</v>
      </c>
      <c r="M269" s="32"/>
    </row>
    <row r="270" spans="1:13" ht="15">
      <c r="A270" s="33"/>
      <c r="B270" s="34">
        <f t="shared" si="24"/>
        <v>40068</v>
      </c>
      <c r="C270" s="35">
        <f t="shared" si="25"/>
        <v>11.935222222222222</v>
      </c>
      <c r="D270">
        <v>3.904303</v>
      </c>
      <c r="E270" s="36">
        <v>3.532</v>
      </c>
      <c r="F270" s="32"/>
      <c r="H270" s="33"/>
      <c r="I270" s="34">
        <f t="shared" si="26"/>
        <v>39703</v>
      </c>
      <c r="J270" s="35">
        <f t="shared" si="27"/>
        <v>11.93361111111111</v>
      </c>
      <c r="K270">
        <v>3.813272</v>
      </c>
      <c r="L270" s="36">
        <v>3.59</v>
      </c>
      <c r="M270" s="32"/>
    </row>
    <row r="271" spans="1:13" ht="15">
      <c r="A271" s="33"/>
      <c r="B271" s="34">
        <f t="shared" si="24"/>
        <v>40069</v>
      </c>
      <c r="C271" s="35">
        <f t="shared" si="25"/>
        <v>11.929305555555555</v>
      </c>
      <c r="D271">
        <v>3.521336</v>
      </c>
      <c r="E271" s="36">
        <v>4.145</v>
      </c>
      <c r="F271" s="32"/>
      <c r="H271" s="33"/>
      <c r="I271" s="34">
        <f t="shared" si="26"/>
        <v>39704</v>
      </c>
      <c r="J271" s="35">
        <f t="shared" si="27"/>
        <v>11.927666666666667</v>
      </c>
      <c r="K271">
        <v>3.430311</v>
      </c>
      <c r="L271" s="36">
        <v>4.204</v>
      </c>
      <c r="M271" s="32"/>
    </row>
    <row r="272" spans="1:13" ht="15">
      <c r="A272" s="33"/>
      <c r="B272" s="34">
        <f t="shared" si="24"/>
        <v>40070</v>
      </c>
      <c r="C272" s="35">
        <f t="shared" si="25"/>
        <v>11.923388888888889</v>
      </c>
      <c r="D272">
        <v>3.137274</v>
      </c>
      <c r="E272" s="36">
        <v>4.358</v>
      </c>
      <c r="F272" s="32"/>
      <c r="H272" s="33"/>
      <c r="I272" s="34">
        <f t="shared" si="26"/>
        <v>39705</v>
      </c>
      <c r="J272" s="35">
        <f t="shared" si="27"/>
        <v>11.921722222222222</v>
      </c>
      <c r="K272">
        <v>3.046322</v>
      </c>
      <c r="L272" s="36">
        <v>4.418</v>
      </c>
      <c r="M272" s="32"/>
    </row>
    <row r="273" spans="1:13" ht="15">
      <c r="A273" s="33"/>
      <c r="B273" s="34">
        <f t="shared" si="24"/>
        <v>40071</v>
      </c>
      <c r="C273" s="35">
        <f t="shared" si="25"/>
        <v>11.917472222222223</v>
      </c>
      <c r="D273">
        <v>2.752218</v>
      </c>
      <c r="E273" s="36">
        <v>4.571</v>
      </c>
      <c r="F273" s="32"/>
      <c r="H273" s="33"/>
      <c r="I273" s="34">
        <f t="shared" si="26"/>
        <v>39706</v>
      </c>
      <c r="J273" s="35">
        <f t="shared" si="27"/>
        <v>11.91575</v>
      </c>
      <c r="K273">
        <v>2.661387</v>
      </c>
      <c r="L273" s="36">
        <v>5.033</v>
      </c>
      <c r="M273" s="32"/>
    </row>
    <row r="274" spans="1:13" ht="15">
      <c r="A274" s="33"/>
      <c r="B274" s="34">
        <f t="shared" si="24"/>
        <v>40072</v>
      </c>
      <c r="C274" s="35">
        <f t="shared" si="25"/>
        <v>11.911527777777778</v>
      </c>
      <c r="D274">
        <v>2.366268</v>
      </c>
      <c r="E274" s="36">
        <v>5.185</v>
      </c>
      <c r="F274" s="32"/>
      <c r="H274" s="33"/>
      <c r="I274" s="34">
        <f t="shared" si="26"/>
        <v>39707</v>
      </c>
      <c r="J274" s="35">
        <f t="shared" si="27"/>
        <v>11.909777777777778</v>
      </c>
      <c r="K274">
        <v>2.275584</v>
      </c>
      <c r="L274" s="36">
        <v>5.248</v>
      </c>
      <c r="M274" s="32"/>
    </row>
    <row r="275" spans="1:13" ht="15">
      <c r="A275" s="33"/>
      <c r="B275" s="34">
        <f t="shared" si="24"/>
        <v>40073</v>
      </c>
      <c r="C275" s="35">
        <f t="shared" si="25"/>
        <v>11.905611111111112</v>
      </c>
      <c r="D275">
        <v>1.979524</v>
      </c>
      <c r="E275" s="36">
        <v>5.398</v>
      </c>
      <c r="F275" s="32"/>
      <c r="H275" s="33"/>
      <c r="I275" s="34">
        <f t="shared" si="26"/>
        <v>39708</v>
      </c>
      <c r="J275" s="35">
        <f t="shared" si="27"/>
        <v>11.903805555555556</v>
      </c>
      <c r="K275">
        <v>1.888996</v>
      </c>
      <c r="L275" s="36">
        <v>5.463</v>
      </c>
      <c r="M275" s="32"/>
    </row>
    <row r="276" spans="1:13" ht="15">
      <c r="A276" s="33"/>
      <c r="B276" s="34">
        <f t="shared" si="24"/>
        <v>40074</v>
      </c>
      <c r="C276" s="35">
        <f t="shared" si="25"/>
        <v>11.899694444444444</v>
      </c>
      <c r="D276">
        <v>1.592086</v>
      </c>
      <c r="E276" s="36">
        <v>6.011</v>
      </c>
      <c r="F276" s="32"/>
      <c r="H276" s="33"/>
      <c r="I276" s="34">
        <f t="shared" si="26"/>
        <v>39709</v>
      </c>
      <c r="J276" s="35">
        <f t="shared" si="27"/>
        <v>11.897833333333333</v>
      </c>
      <c r="K276">
        <v>1.501704</v>
      </c>
      <c r="L276" s="36">
        <v>6.078</v>
      </c>
      <c r="M276" s="32"/>
    </row>
    <row r="277" spans="1:13" ht="15">
      <c r="A277" s="33"/>
      <c r="B277" s="34">
        <f t="shared" si="24"/>
        <v>40075</v>
      </c>
      <c r="C277" s="35">
        <f t="shared" si="25"/>
        <v>11.893777777777778</v>
      </c>
      <c r="D277">
        <v>1.204054</v>
      </c>
      <c r="E277" s="36">
        <v>6.224</v>
      </c>
      <c r="F277" s="32"/>
      <c r="H277" s="33"/>
      <c r="I277" s="34">
        <f t="shared" si="26"/>
        <v>39710</v>
      </c>
      <c r="J277" s="35">
        <f t="shared" si="27"/>
        <v>11.89188888888889</v>
      </c>
      <c r="K277">
        <v>1.113793</v>
      </c>
      <c r="L277" s="36">
        <v>6.292</v>
      </c>
      <c r="M277" s="32"/>
    </row>
    <row r="278" spans="1:13" ht="15">
      <c r="A278" s="33"/>
      <c r="B278" s="34">
        <f t="shared" si="24"/>
        <v>40076</v>
      </c>
      <c r="C278" s="35">
        <f t="shared" si="25"/>
        <v>11.887888888888888</v>
      </c>
      <c r="D278">
        <v>0.815526</v>
      </c>
      <c r="E278" s="36">
        <v>6.436</v>
      </c>
      <c r="F278" s="32"/>
      <c r="H278" s="33"/>
      <c r="I278" s="34">
        <f t="shared" si="26"/>
        <v>39711</v>
      </c>
      <c r="J278" s="35">
        <f t="shared" si="27"/>
        <v>11.885944444444444</v>
      </c>
      <c r="K278">
        <v>0.725351</v>
      </c>
      <c r="L278" s="36">
        <v>6.506</v>
      </c>
      <c r="M278" s="32"/>
    </row>
    <row r="279" spans="1:13" ht="15">
      <c r="A279" s="33"/>
      <c r="B279" s="34">
        <f t="shared" si="24"/>
        <v>40077</v>
      </c>
      <c r="C279" s="35">
        <f t="shared" si="25"/>
        <v>11.882</v>
      </c>
      <c r="D279">
        <v>0.426603</v>
      </c>
      <c r="E279" s="36">
        <v>7.048</v>
      </c>
      <c r="F279" s="32"/>
      <c r="H279" s="33"/>
      <c r="I279" s="34">
        <f t="shared" si="26"/>
        <v>39712</v>
      </c>
      <c r="J279" s="35">
        <f t="shared" si="27"/>
        <v>11.880055555555556</v>
      </c>
      <c r="K279">
        <v>0.336472</v>
      </c>
      <c r="L279" s="36">
        <v>7.118</v>
      </c>
      <c r="M279" s="32"/>
    </row>
    <row r="280" spans="1:13" ht="15">
      <c r="A280" s="33"/>
      <c r="B280" s="34">
        <f t="shared" si="24"/>
        <v>40078</v>
      </c>
      <c r="C280" s="35">
        <f t="shared" si="25"/>
        <v>11.876138888888889</v>
      </c>
      <c r="D280">
        <v>0.037383</v>
      </c>
      <c r="E280" s="36">
        <v>7.259</v>
      </c>
      <c r="F280" s="32"/>
      <c r="H280" s="33"/>
      <c r="I280" s="34">
        <f t="shared" si="26"/>
        <v>39713</v>
      </c>
      <c r="J280" s="35">
        <f t="shared" si="27"/>
        <v>11.874194444444445</v>
      </c>
      <c r="K280">
        <v>-0.052748</v>
      </c>
      <c r="L280" s="36">
        <v>7.329</v>
      </c>
      <c r="M280" s="32"/>
    </row>
    <row r="281" spans="1:13" ht="15">
      <c r="A281" s="33"/>
      <c r="B281" s="34">
        <f t="shared" si="24"/>
        <v>40079</v>
      </c>
      <c r="C281" s="35">
        <f t="shared" si="25"/>
        <v>11.870333333333333</v>
      </c>
      <c r="D281">
        <v>-0.352035</v>
      </c>
      <c r="E281" s="36">
        <v>7.468</v>
      </c>
      <c r="F281" s="32"/>
      <c r="H281" s="33"/>
      <c r="I281" s="34">
        <f t="shared" si="26"/>
        <v>39714</v>
      </c>
      <c r="J281" s="35">
        <f t="shared" si="27"/>
        <v>11.868361111111112</v>
      </c>
      <c r="K281">
        <v>-0.44221</v>
      </c>
      <c r="L281" s="36">
        <v>7.539</v>
      </c>
      <c r="M281" s="32"/>
    </row>
    <row r="282" spans="1:13" ht="15">
      <c r="A282" s="33"/>
      <c r="B282" s="34">
        <f t="shared" si="24"/>
        <v>40080</v>
      </c>
      <c r="C282" s="35">
        <f t="shared" si="25"/>
        <v>11.864527777777777</v>
      </c>
      <c r="D282">
        <v>-0.741553</v>
      </c>
      <c r="E282" s="36">
        <v>8.077</v>
      </c>
      <c r="F282" s="32"/>
      <c r="H282" s="33"/>
      <c r="I282" s="34">
        <f t="shared" si="26"/>
        <v>39715</v>
      </c>
      <c r="J282" s="35">
        <f t="shared" si="27"/>
        <v>11.862583333333333</v>
      </c>
      <c r="K282">
        <v>-0.831813</v>
      </c>
      <c r="L282" s="36">
        <v>8.147</v>
      </c>
      <c r="M282" s="32"/>
    </row>
    <row r="283" spans="1:13" ht="15">
      <c r="A283" s="33"/>
      <c r="B283" s="34">
        <f t="shared" si="24"/>
        <v>40081</v>
      </c>
      <c r="C283" s="35">
        <f t="shared" si="25"/>
        <v>11.858777777777778</v>
      </c>
      <c r="D283">
        <v>-1.131074</v>
      </c>
      <c r="E283" s="36">
        <v>8.284</v>
      </c>
      <c r="F283" s="32"/>
      <c r="H283" s="33"/>
      <c r="I283" s="34">
        <f t="shared" si="26"/>
        <v>39716</v>
      </c>
      <c r="J283" s="35">
        <f t="shared" si="27"/>
        <v>11.856833333333334</v>
      </c>
      <c r="K283">
        <v>-1.221454</v>
      </c>
      <c r="L283" s="36">
        <v>8.354</v>
      </c>
      <c r="M283" s="32"/>
    </row>
    <row r="284" spans="1:13" ht="15">
      <c r="A284" s="33"/>
      <c r="B284" s="34">
        <f t="shared" si="24"/>
        <v>40082</v>
      </c>
      <c r="C284" s="35">
        <f t="shared" si="25"/>
        <v>11.853083333333334</v>
      </c>
      <c r="D284">
        <v>-1.520502</v>
      </c>
      <c r="E284" s="36">
        <v>8.489</v>
      </c>
      <c r="F284" s="32"/>
      <c r="H284" s="33"/>
      <c r="I284" s="34">
        <f t="shared" si="26"/>
        <v>39717</v>
      </c>
      <c r="J284" s="35">
        <f t="shared" si="27"/>
        <v>11.851166666666666</v>
      </c>
      <c r="K284">
        <v>-1.61103</v>
      </c>
      <c r="L284" s="36">
        <v>8.558</v>
      </c>
      <c r="M284" s="32"/>
    </row>
    <row r="285" spans="1:13" ht="15">
      <c r="A285" s="33"/>
      <c r="B285" s="34">
        <f t="shared" si="24"/>
        <v>40083</v>
      </c>
      <c r="C285" s="35">
        <f t="shared" si="25"/>
        <v>11.847416666666666</v>
      </c>
      <c r="D285">
        <v>-1.909741</v>
      </c>
      <c r="E285" s="36">
        <v>9.093</v>
      </c>
      <c r="F285" s="32"/>
      <c r="H285" s="33"/>
      <c r="I285" s="34">
        <f t="shared" si="26"/>
        <v>39718</v>
      </c>
      <c r="J285" s="35">
        <f t="shared" si="27"/>
        <v>11.845555555555556</v>
      </c>
      <c r="K285">
        <v>-2.000439</v>
      </c>
      <c r="L285" s="36">
        <v>9.16</v>
      </c>
      <c r="M285" s="32"/>
    </row>
    <row r="286" spans="1:13" ht="15">
      <c r="A286" s="33"/>
      <c r="B286" s="34">
        <f t="shared" si="24"/>
        <v>40084</v>
      </c>
      <c r="C286" s="35">
        <f t="shared" si="25"/>
        <v>11.841833333333334</v>
      </c>
      <c r="D286">
        <v>-2.298696</v>
      </c>
      <c r="E286" s="36">
        <v>9.294</v>
      </c>
      <c r="F286" s="32"/>
      <c r="H286" s="33"/>
      <c r="I286" s="34">
        <f t="shared" si="26"/>
        <v>39719</v>
      </c>
      <c r="J286" s="35">
        <f t="shared" si="27"/>
        <v>11.84</v>
      </c>
      <c r="K286">
        <v>-2.389579</v>
      </c>
      <c r="L286" s="36">
        <v>9.36</v>
      </c>
      <c r="M286" s="32"/>
    </row>
    <row r="287" spans="1:13" ht="15">
      <c r="A287" s="33"/>
      <c r="B287" s="34">
        <f t="shared" si="24"/>
        <v>40085</v>
      </c>
      <c r="C287" s="35">
        <f t="shared" si="25"/>
        <v>11.836277777777777</v>
      </c>
      <c r="D287">
        <v>-2.687274</v>
      </c>
      <c r="E287" s="36">
        <v>9.494</v>
      </c>
      <c r="F287" s="32"/>
      <c r="H287" s="33"/>
      <c r="I287" s="34">
        <f t="shared" si="26"/>
        <v>39720</v>
      </c>
      <c r="J287" s="35">
        <f t="shared" si="27"/>
        <v>11.8345</v>
      </c>
      <c r="K287">
        <v>-2.778345</v>
      </c>
      <c r="L287" s="36">
        <v>9.558</v>
      </c>
      <c r="M287" s="32"/>
    </row>
    <row r="288" spans="1:13" ht="15">
      <c r="A288" s="33"/>
      <c r="B288" s="34">
        <f t="shared" si="24"/>
        <v>40086</v>
      </c>
      <c r="C288" s="35">
        <f t="shared" si="25"/>
        <v>11.830833333333333</v>
      </c>
      <c r="D288">
        <v>-3.075381</v>
      </c>
      <c r="E288" s="36">
        <v>10.09</v>
      </c>
      <c r="F288" s="32"/>
      <c r="H288" s="33"/>
      <c r="I288" s="34">
        <f t="shared" si="26"/>
        <v>39721</v>
      </c>
      <c r="J288" s="35">
        <f t="shared" si="27"/>
        <v>11.829083333333333</v>
      </c>
      <c r="K288">
        <v>-3.166636</v>
      </c>
      <c r="L288" s="36">
        <v>10.153</v>
      </c>
      <c r="M288" s="32"/>
    </row>
    <row r="289" spans="1:13" ht="15">
      <c r="A289" s="33"/>
      <c r="B289" s="33"/>
      <c r="C289" s="33"/>
      <c r="D289" s="33"/>
      <c r="E289" s="37"/>
      <c r="F289" s="32"/>
      <c r="H289" s="33"/>
      <c r="I289" s="33"/>
      <c r="J289" s="33"/>
      <c r="K289" s="33"/>
      <c r="L289" s="37"/>
      <c r="M289" s="32"/>
    </row>
    <row r="290" spans="1:13" ht="15">
      <c r="A290" s="33"/>
      <c r="B290" s="33"/>
      <c r="C290" s="33"/>
      <c r="D290" s="33"/>
      <c r="E290" s="37"/>
      <c r="F290" s="32"/>
      <c r="H290" s="33"/>
      <c r="I290" s="33"/>
      <c r="J290" s="33"/>
      <c r="K290" s="33"/>
      <c r="L290" s="37"/>
      <c r="M290" s="32"/>
    </row>
    <row r="291" spans="1:13" ht="15">
      <c r="A291" s="33"/>
      <c r="B291" s="38">
        <f>DATE(109,10,1)</f>
        <v>40087</v>
      </c>
      <c r="C291" s="35">
        <f aca="true" t="shared" si="28" ref="C291:C352">12-(TRUNC(E291,0)+MOD(E291,1)*5/3)/60</f>
        <v>11.825444444444445</v>
      </c>
      <c r="D291">
        <v>-3.462925</v>
      </c>
      <c r="E291" s="36">
        <v>10.284</v>
      </c>
      <c r="F291" s="32"/>
      <c r="H291" s="33"/>
      <c r="I291" s="38">
        <f>DATE(108,10,1)</f>
        <v>39722</v>
      </c>
      <c r="J291" s="35">
        <f aca="true" t="shared" si="29" ref="J291:J352">12-(TRUNC(L291,0)+MOD(L291,1)*5/3)/60</f>
        <v>11.823777777777778</v>
      </c>
      <c r="K291">
        <v>-3.554348</v>
      </c>
      <c r="L291" s="36">
        <v>10.344</v>
      </c>
      <c r="M291" s="32"/>
    </row>
    <row r="292" spans="1:13" ht="15">
      <c r="A292" s="33"/>
      <c r="B292" s="34">
        <f aca="true" t="shared" si="30" ref="B292:B321">B291+1</f>
        <v>40088</v>
      </c>
      <c r="C292" s="35">
        <f t="shared" si="28"/>
        <v>11.82013888888889</v>
      </c>
      <c r="D292">
        <v>-3.849815</v>
      </c>
      <c r="E292" s="36">
        <v>10.475</v>
      </c>
      <c r="F292" s="32"/>
      <c r="H292" s="33"/>
      <c r="I292" s="34">
        <f aca="true" t="shared" si="31" ref="I292:I321">I291+1</f>
        <v>39723</v>
      </c>
      <c r="J292" s="35">
        <f t="shared" si="29"/>
        <v>11.818527777777778</v>
      </c>
      <c r="K292">
        <v>-3.941377</v>
      </c>
      <c r="L292" s="36">
        <v>10.533</v>
      </c>
      <c r="M292" s="32"/>
    </row>
    <row r="293" spans="1:13" ht="15">
      <c r="A293" s="33"/>
      <c r="B293" s="34">
        <f t="shared" si="30"/>
        <v>40089</v>
      </c>
      <c r="C293" s="35">
        <f t="shared" si="28"/>
        <v>11.814916666666667</v>
      </c>
      <c r="D293">
        <v>-4.23596</v>
      </c>
      <c r="E293" s="36">
        <v>11.063</v>
      </c>
      <c r="F293" s="32"/>
      <c r="H293" s="33"/>
      <c r="I293" s="34">
        <f t="shared" si="31"/>
        <v>39724</v>
      </c>
      <c r="J293" s="35">
        <f t="shared" si="29"/>
        <v>11.813361111111112</v>
      </c>
      <c r="K293">
        <v>-4.327621</v>
      </c>
      <c r="L293" s="36">
        <v>11.119</v>
      </c>
      <c r="M293" s="32"/>
    </row>
    <row r="294" spans="1:13" ht="15">
      <c r="A294" s="33"/>
      <c r="B294" s="34">
        <f t="shared" si="30"/>
        <v>40090</v>
      </c>
      <c r="C294" s="35">
        <f t="shared" si="28"/>
        <v>11.809777777777779</v>
      </c>
      <c r="D294">
        <v>-4.62127</v>
      </c>
      <c r="E294" s="36">
        <v>11.248</v>
      </c>
      <c r="F294" s="32"/>
      <c r="H294" s="33"/>
      <c r="I294" s="34">
        <f t="shared" si="31"/>
        <v>39725</v>
      </c>
      <c r="J294" s="35">
        <f t="shared" si="29"/>
        <v>11.808277777777779</v>
      </c>
      <c r="K294">
        <v>-4.712977</v>
      </c>
      <c r="L294" s="36">
        <v>11.302</v>
      </c>
      <c r="M294" s="32"/>
    </row>
    <row r="295" spans="1:13" ht="15">
      <c r="A295" s="33"/>
      <c r="B295" s="34">
        <f t="shared" si="30"/>
        <v>40091</v>
      </c>
      <c r="C295" s="35">
        <f t="shared" si="28"/>
        <v>11.80475</v>
      </c>
      <c r="D295">
        <v>-5.005654</v>
      </c>
      <c r="E295" s="36">
        <v>11.429</v>
      </c>
      <c r="F295" s="32"/>
      <c r="H295" s="33"/>
      <c r="I295" s="34">
        <f t="shared" si="31"/>
        <v>39726</v>
      </c>
      <c r="J295" s="35">
        <f t="shared" si="29"/>
        <v>11.803333333333333</v>
      </c>
      <c r="K295">
        <v>-5.09734</v>
      </c>
      <c r="L295" s="36">
        <v>11.48</v>
      </c>
      <c r="M295" s="32"/>
    </row>
    <row r="296" spans="1:13" ht="15">
      <c r="A296" s="33"/>
      <c r="B296" s="34">
        <f t="shared" si="30"/>
        <v>40092</v>
      </c>
      <c r="C296" s="35">
        <f t="shared" si="28"/>
        <v>11.799833333333334</v>
      </c>
      <c r="D296">
        <v>-5.389022</v>
      </c>
      <c r="E296" s="36">
        <v>12.006</v>
      </c>
      <c r="F296" s="32"/>
      <c r="H296" s="33"/>
      <c r="I296" s="34">
        <f t="shared" si="31"/>
        <v>39727</v>
      </c>
      <c r="J296" s="35">
        <f t="shared" si="29"/>
        <v>11.798444444444444</v>
      </c>
      <c r="K296">
        <v>-5.480609</v>
      </c>
      <c r="L296" s="36">
        <v>12.056</v>
      </c>
      <c r="M296" s="32"/>
    </row>
    <row r="297" spans="1:13" ht="15">
      <c r="A297" s="33"/>
      <c r="B297" s="34">
        <f t="shared" si="30"/>
        <v>40093</v>
      </c>
      <c r="C297" s="35">
        <f t="shared" si="28"/>
        <v>11.795027777777777</v>
      </c>
      <c r="D297">
        <v>-5.771279</v>
      </c>
      <c r="E297" s="36">
        <v>12.179</v>
      </c>
      <c r="F297" s="32"/>
      <c r="H297" s="33"/>
      <c r="I297" s="34">
        <f t="shared" si="31"/>
        <v>39728</v>
      </c>
      <c r="J297" s="35">
        <f t="shared" si="29"/>
        <v>11.793694444444444</v>
      </c>
      <c r="K297">
        <v>-5.86268</v>
      </c>
      <c r="L297" s="36">
        <v>12.227</v>
      </c>
      <c r="M297" s="32"/>
    </row>
    <row r="298" spans="1:13" ht="15">
      <c r="A298" s="33"/>
      <c r="B298" s="34">
        <f t="shared" si="30"/>
        <v>40094</v>
      </c>
      <c r="C298" s="35">
        <f t="shared" si="28"/>
        <v>11.790333333333333</v>
      </c>
      <c r="D298">
        <v>-6.15233</v>
      </c>
      <c r="E298" s="36">
        <v>12.348</v>
      </c>
      <c r="F298" s="32"/>
      <c r="H298" s="33"/>
      <c r="I298" s="34">
        <f t="shared" si="31"/>
        <v>39729</v>
      </c>
      <c r="J298" s="35">
        <f t="shared" si="29"/>
        <v>11.789055555555555</v>
      </c>
      <c r="K298">
        <v>-6.243452</v>
      </c>
      <c r="L298" s="36">
        <v>12.394</v>
      </c>
      <c r="M298" s="32"/>
    </row>
    <row r="299" spans="1:13" ht="15">
      <c r="A299" s="33"/>
      <c r="B299" s="34">
        <f t="shared" si="30"/>
        <v>40095</v>
      </c>
      <c r="C299" s="35">
        <f t="shared" si="28"/>
        <v>11.785777777777778</v>
      </c>
      <c r="D299">
        <v>-6.532075</v>
      </c>
      <c r="E299" s="36">
        <v>12.512</v>
      </c>
      <c r="F299" s="32"/>
      <c r="H299" s="33"/>
      <c r="I299" s="34">
        <f t="shared" si="31"/>
        <v>39730</v>
      </c>
      <c r="J299" s="35">
        <f t="shared" si="29"/>
        <v>11.784527777777777</v>
      </c>
      <c r="K299">
        <v>-6.622823</v>
      </c>
      <c r="L299" s="36">
        <v>12.557</v>
      </c>
      <c r="M299" s="32"/>
    </row>
    <row r="300" spans="1:13" ht="15">
      <c r="A300" s="33"/>
      <c r="B300" s="34">
        <f t="shared" si="30"/>
        <v>40096</v>
      </c>
      <c r="C300" s="35">
        <f t="shared" si="28"/>
        <v>11.781361111111112</v>
      </c>
      <c r="D300">
        <v>-6.910411</v>
      </c>
      <c r="E300" s="36">
        <v>13.071</v>
      </c>
      <c r="F300" s="32"/>
      <c r="H300" s="33"/>
      <c r="I300" s="34">
        <f t="shared" si="31"/>
        <v>39731</v>
      </c>
      <c r="J300" s="35">
        <f t="shared" si="29"/>
        <v>11.780138888888889</v>
      </c>
      <c r="K300">
        <v>-7.000693</v>
      </c>
      <c r="L300" s="36">
        <v>13.115</v>
      </c>
      <c r="M300" s="32"/>
    </row>
    <row r="301" spans="1:13" ht="15">
      <c r="A301" s="33"/>
      <c r="B301" s="34">
        <f t="shared" si="30"/>
        <v>40097</v>
      </c>
      <c r="C301" s="35">
        <f t="shared" si="28"/>
        <v>11.777083333333334</v>
      </c>
      <c r="D301">
        <v>-7.287233</v>
      </c>
      <c r="E301" s="36">
        <v>13.225</v>
      </c>
      <c r="F301" s="32"/>
      <c r="H301" s="33"/>
      <c r="I301" s="34">
        <f t="shared" si="31"/>
        <v>39732</v>
      </c>
      <c r="J301" s="35">
        <f t="shared" si="29"/>
        <v>11.77586111111111</v>
      </c>
      <c r="K301">
        <v>-7.376962</v>
      </c>
      <c r="L301" s="36">
        <v>13.269</v>
      </c>
      <c r="M301" s="32"/>
    </row>
    <row r="302" spans="1:13" ht="15">
      <c r="A302" s="33"/>
      <c r="B302" s="34">
        <f t="shared" si="30"/>
        <v>40098</v>
      </c>
      <c r="C302" s="35">
        <f t="shared" si="28"/>
        <v>11.772944444444445</v>
      </c>
      <c r="D302">
        <v>-7.66243</v>
      </c>
      <c r="E302" s="36">
        <v>13.374</v>
      </c>
      <c r="F302" s="32"/>
      <c r="H302" s="33"/>
      <c r="I302" s="34">
        <f t="shared" si="31"/>
        <v>39733</v>
      </c>
      <c r="J302" s="35">
        <f t="shared" si="29"/>
        <v>11.771722222222222</v>
      </c>
      <c r="K302">
        <v>-7.751533</v>
      </c>
      <c r="L302" s="36">
        <v>13.418</v>
      </c>
      <c r="M302" s="32"/>
    </row>
    <row r="303" spans="1:13" ht="15">
      <c r="A303" s="33"/>
      <c r="B303" s="34">
        <f t="shared" si="30"/>
        <v>40099</v>
      </c>
      <c r="C303" s="35">
        <f t="shared" si="28"/>
        <v>11.768944444444445</v>
      </c>
      <c r="D303">
        <v>-8.035894</v>
      </c>
      <c r="E303" s="36">
        <v>13.518</v>
      </c>
      <c r="F303" s="32"/>
      <c r="H303" s="33"/>
      <c r="I303" s="34">
        <f t="shared" si="31"/>
        <v>39734</v>
      </c>
      <c r="J303" s="35">
        <f t="shared" si="29"/>
        <v>11.76775</v>
      </c>
      <c r="K303">
        <v>-8.124311</v>
      </c>
      <c r="L303" s="36">
        <v>13.561</v>
      </c>
      <c r="M303" s="32"/>
    </row>
    <row r="304" spans="1:13" ht="15">
      <c r="A304" s="33"/>
      <c r="B304" s="34">
        <f t="shared" si="30"/>
        <v>40100</v>
      </c>
      <c r="C304" s="35">
        <f t="shared" si="28"/>
        <v>11.76511111111111</v>
      </c>
      <c r="D304">
        <v>-8.407513</v>
      </c>
      <c r="E304" s="36">
        <v>14.056</v>
      </c>
      <c r="F304" s="32"/>
      <c r="H304" s="33"/>
      <c r="I304" s="34">
        <f t="shared" si="31"/>
        <v>39735</v>
      </c>
      <c r="J304" s="35">
        <f t="shared" si="29"/>
        <v>11.763916666666667</v>
      </c>
      <c r="K304">
        <v>-8.4952</v>
      </c>
      <c r="L304" s="36">
        <v>14.099</v>
      </c>
      <c r="M304" s="32"/>
    </row>
    <row r="305" spans="1:13" ht="15">
      <c r="A305" s="33"/>
      <c r="B305" s="34">
        <f t="shared" si="30"/>
        <v>40101</v>
      </c>
      <c r="C305" s="35">
        <f t="shared" si="28"/>
        <v>11.761416666666667</v>
      </c>
      <c r="D305">
        <v>-8.777175</v>
      </c>
      <c r="E305" s="36">
        <v>14.189</v>
      </c>
      <c r="F305" s="32"/>
      <c r="H305" s="33"/>
      <c r="I305" s="34">
        <f t="shared" si="31"/>
        <v>39736</v>
      </c>
      <c r="J305" s="35">
        <f t="shared" si="29"/>
        <v>11.760222222222222</v>
      </c>
      <c r="K305">
        <v>-8.86411</v>
      </c>
      <c r="L305" s="36">
        <v>14.232</v>
      </c>
      <c r="M305" s="32"/>
    </row>
    <row r="306" spans="1:13" ht="15">
      <c r="A306" s="33"/>
      <c r="B306" s="34">
        <f t="shared" si="30"/>
        <v>40102</v>
      </c>
      <c r="C306" s="35">
        <f t="shared" si="28"/>
        <v>11.757888888888889</v>
      </c>
      <c r="D306">
        <v>-9.144767</v>
      </c>
      <c r="E306" s="36">
        <v>14.316</v>
      </c>
      <c r="F306" s="32"/>
      <c r="H306" s="33"/>
      <c r="I306" s="34">
        <f t="shared" si="31"/>
        <v>39737</v>
      </c>
      <c r="J306" s="35">
        <f t="shared" si="29"/>
        <v>11.756694444444445</v>
      </c>
      <c r="K306">
        <v>-9.230944</v>
      </c>
      <c r="L306" s="36">
        <v>14.359</v>
      </c>
      <c r="M306" s="32"/>
    </row>
    <row r="307" spans="1:13" ht="15">
      <c r="A307" s="33"/>
      <c r="B307" s="34">
        <f t="shared" si="30"/>
        <v>40103</v>
      </c>
      <c r="C307" s="35">
        <f t="shared" si="28"/>
        <v>11.754555555555555</v>
      </c>
      <c r="D307">
        <v>-9.51018</v>
      </c>
      <c r="E307" s="36">
        <v>14.436</v>
      </c>
      <c r="F307" s="32"/>
      <c r="H307" s="33"/>
      <c r="I307" s="34">
        <f t="shared" si="31"/>
        <v>39738</v>
      </c>
      <c r="J307" s="35">
        <f t="shared" si="29"/>
        <v>11.753333333333334</v>
      </c>
      <c r="K307">
        <v>-9.595606</v>
      </c>
      <c r="L307" s="36">
        <v>14.48</v>
      </c>
      <c r="M307" s="32"/>
    </row>
    <row r="308" spans="1:13" ht="15">
      <c r="A308" s="33"/>
      <c r="B308" s="34">
        <f t="shared" si="30"/>
        <v>40104</v>
      </c>
      <c r="C308" s="35">
        <f t="shared" si="28"/>
        <v>11.75136111111111</v>
      </c>
      <c r="D308">
        <v>-9.8733</v>
      </c>
      <c r="E308" s="36">
        <v>14.551</v>
      </c>
      <c r="F308" s="32"/>
      <c r="H308" s="33"/>
      <c r="I308" s="34">
        <f t="shared" si="31"/>
        <v>39739</v>
      </c>
      <c r="J308" s="35">
        <f t="shared" si="29"/>
        <v>11.75013888888889</v>
      </c>
      <c r="K308">
        <v>-9.957995</v>
      </c>
      <c r="L308" s="36">
        <v>14.595</v>
      </c>
      <c r="M308" s="32"/>
    </row>
    <row r="309" spans="1:13" ht="15">
      <c r="A309" s="33"/>
      <c r="B309" s="34">
        <f t="shared" si="30"/>
        <v>40105</v>
      </c>
      <c r="C309" s="35">
        <f t="shared" si="28"/>
        <v>11.748333333333333</v>
      </c>
      <c r="D309">
        <v>-10.234016</v>
      </c>
      <c r="E309" s="36">
        <v>15.06</v>
      </c>
      <c r="F309" s="32"/>
      <c r="H309" s="33"/>
      <c r="I309" s="34">
        <f t="shared" si="31"/>
        <v>39740</v>
      </c>
      <c r="J309" s="35">
        <f t="shared" si="29"/>
        <v>11.74713888888889</v>
      </c>
      <c r="K309">
        <v>-10.318003</v>
      </c>
      <c r="L309" s="36">
        <v>15.103</v>
      </c>
      <c r="M309" s="32"/>
    </row>
    <row r="310" spans="1:13" ht="15">
      <c r="A310" s="33"/>
      <c r="B310" s="34">
        <f t="shared" si="30"/>
        <v>40106</v>
      </c>
      <c r="C310" s="35">
        <f t="shared" si="28"/>
        <v>11.7455</v>
      </c>
      <c r="D310">
        <v>-10.592215</v>
      </c>
      <c r="E310" s="36">
        <v>15.162</v>
      </c>
      <c r="F310" s="32"/>
      <c r="H310" s="33"/>
      <c r="I310" s="34">
        <f t="shared" si="31"/>
        <v>39741</v>
      </c>
      <c r="J310" s="35">
        <f t="shared" si="29"/>
        <v>11.744305555555556</v>
      </c>
      <c r="K310">
        <v>-10.675521</v>
      </c>
      <c r="L310" s="36">
        <v>15.205</v>
      </c>
      <c r="M310" s="32"/>
    </row>
    <row r="311" spans="1:13" ht="15">
      <c r="A311" s="33"/>
      <c r="B311" s="34">
        <f t="shared" si="30"/>
        <v>40107</v>
      </c>
      <c r="C311" s="35">
        <f t="shared" si="28"/>
        <v>11.742861111111111</v>
      </c>
      <c r="D311">
        <v>-10.947783</v>
      </c>
      <c r="E311" s="36">
        <v>15.257</v>
      </c>
      <c r="F311" s="32"/>
      <c r="H311" s="33"/>
      <c r="I311" s="34">
        <f t="shared" si="31"/>
        <v>39742</v>
      </c>
      <c r="J311" s="35">
        <f t="shared" si="29"/>
        <v>11.741666666666667</v>
      </c>
      <c r="K311">
        <v>-11.030435</v>
      </c>
      <c r="L311" s="36">
        <v>15.3</v>
      </c>
      <c r="M311" s="32"/>
    </row>
    <row r="312" spans="1:13" ht="15">
      <c r="A312" s="33"/>
      <c r="B312" s="34">
        <f t="shared" si="30"/>
        <v>40108</v>
      </c>
      <c r="C312" s="35">
        <f t="shared" si="28"/>
        <v>11.740388888888889</v>
      </c>
      <c r="D312">
        <v>-11.300608</v>
      </c>
      <c r="E312" s="36">
        <v>15.346</v>
      </c>
      <c r="F312" s="32"/>
      <c r="H312" s="33"/>
      <c r="I312" s="34">
        <f t="shared" si="31"/>
        <v>39743</v>
      </c>
      <c r="J312" s="35">
        <f t="shared" si="29"/>
        <v>11.739222222222223</v>
      </c>
      <c r="K312">
        <v>-11.382631</v>
      </c>
      <c r="L312" s="36">
        <v>15.388</v>
      </c>
      <c r="M312" s="32"/>
    </row>
    <row r="313" spans="1:13" ht="15">
      <c r="A313" s="33"/>
      <c r="B313" s="34">
        <f t="shared" si="30"/>
        <v>40109</v>
      </c>
      <c r="C313" s="35">
        <f t="shared" si="28"/>
        <v>11.738083333333334</v>
      </c>
      <c r="D313">
        <v>-11.650577</v>
      </c>
      <c r="E313" s="36">
        <v>15.429</v>
      </c>
      <c r="F313" s="32"/>
      <c r="H313" s="33"/>
      <c r="I313" s="34">
        <f t="shared" si="31"/>
        <v>39744</v>
      </c>
      <c r="J313" s="35">
        <f t="shared" si="29"/>
        <v>11.737</v>
      </c>
      <c r="K313">
        <v>-11.731993</v>
      </c>
      <c r="L313" s="36">
        <v>15.468</v>
      </c>
      <c r="M313" s="32"/>
    </row>
    <row r="314" spans="1:13" ht="15">
      <c r="A314" s="33"/>
      <c r="B314" s="34">
        <f t="shared" si="30"/>
        <v>40110</v>
      </c>
      <c r="C314" s="35">
        <f t="shared" si="28"/>
        <v>11.736</v>
      </c>
      <c r="D314">
        <v>-11.997578</v>
      </c>
      <c r="E314" s="36">
        <v>15.504</v>
      </c>
      <c r="F314" s="32"/>
      <c r="H314" s="33"/>
      <c r="I314" s="34">
        <f t="shared" si="31"/>
        <v>39745</v>
      </c>
      <c r="J314" s="35">
        <f t="shared" si="29"/>
        <v>11.734944444444444</v>
      </c>
      <c r="K314">
        <v>-12.078406</v>
      </c>
      <c r="L314" s="36">
        <v>15.542</v>
      </c>
      <c r="M314" s="32"/>
    </row>
    <row r="315" spans="1:13" ht="15">
      <c r="A315" s="33"/>
      <c r="B315" s="34">
        <f t="shared" si="30"/>
        <v>40111</v>
      </c>
      <c r="C315" s="35">
        <f t="shared" si="28"/>
        <v>11.734083333333333</v>
      </c>
      <c r="D315">
        <v>-12.341501</v>
      </c>
      <c r="E315" s="36">
        <v>15.573</v>
      </c>
      <c r="F315" s="32"/>
      <c r="H315" s="33"/>
      <c r="I315" s="34">
        <f t="shared" si="31"/>
        <v>39746</v>
      </c>
      <c r="J315" s="35">
        <f t="shared" si="29"/>
        <v>11.733083333333333</v>
      </c>
      <c r="K315">
        <v>-12.421753</v>
      </c>
      <c r="L315" s="36">
        <v>16.009</v>
      </c>
      <c r="M315" s="32"/>
    </row>
    <row r="316" spans="1:13" ht="15">
      <c r="A316" s="33"/>
      <c r="B316" s="34">
        <f t="shared" si="30"/>
        <v>40112</v>
      </c>
      <c r="C316" s="35">
        <f t="shared" si="28"/>
        <v>11.73236111111111</v>
      </c>
      <c r="D316">
        <v>-12.682235</v>
      </c>
      <c r="E316" s="36">
        <v>16.035</v>
      </c>
      <c r="F316" s="32"/>
      <c r="H316" s="33"/>
      <c r="I316" s="34">
        <f t="shared" si="31"/>
        <v>39747</v>
      </c>
      <c r="J316" s="35">
        <f t="shared" si="29"/>
        <v>11.731472222222223</v>
      </c>
      <c r="K316">
        <v>-12.76192</v>
      </c>
      <c r="L316" s="36">
        <v>16.067</v>
      </c>
      <c r="M316" s="32"/>
    </row>
    <row r="317" spans="1:13" ht="15">
      <c r="A317" s="33"/>
      <c r="B317" s="34">
        <f t="shared" si="30"/>
        <v>40113</v>
      </c>
      <c r="C317" s="35">
        <f t="shared" si="28"/>
        <v>11.73086111111111</v>
      </c>
      <c r="D317">
        <v>-13.01967</v>
      </c>
      <c r="E317" s="36">
        <v>16.089</v>
      </c>
      <c r="F317" s="32"/>
      <c r="H317" s="33"/>
      <c r="I317" s="34">
        <f t="shared" si="31"/>
        <v>39748</v>
      </c>
      <c r="J317" s="35">
        <f t="shared" si="29"/>
        <v>11.730027777777778</v>
      </c>
      <c r="K317">
        <v>-13.098789</v>
      </c>
      <c r="L317" s="36">
        <v>16.119</v>
      </c>
      <c r="M317" s="32"/>
    </row>
    <row r="318" spans="1:13" ht="15">
      <c r="A318" s="33"/>
      <c r="B318" s="34">
        <f t="shared" si="30"/>
        <v>40114</v>
      </c>
      <c r="C318" s="35">
        <f t="shared" si="28"/>
        <v>11.729555555555555</v>
      </c>
      <c r="D318">
        <v>-13.353697</v>
      </c>
      <c r="E318" s="36">
        <v>16.136</v>
      </c>
      <c r="F318" s="32"/>
      <c r="H318" s="33"/>
      <c r="I318" s="34">
        <f t="shared" si="31"/>
        <v>39749</v>
      </c>
      <c r="J318" s="35">
        <f t="shared" si="29"/>
        <v>11.728805555555555</v>
      </c>
      <c r="K318">
        <v>-13.432246</v>
      </c>
      <c r="L318" s="36">
        <v>16.163</v>
      </c>
      <c r="M318" s="32"/>
    </row>
    <row r="319" spans="1:13" ht="15">
      <c r="A319" s="33"/>
      <c r="B319" s="34">
        <f t="shared" si="30"/>
        <v>40115</v>
      </c>
      <c r="C319" s="35">
        <f t="shared" si="28"/>
        <v>11.728472222222223</v>
      </c>
      <c r="D319">
        <v>-13.684208</v>
      </c>
      <c r="E319" s="36">
        <v>16.175</v>
      </c>
      <c r="F319" s="32"/>
      <c r="H319" s="33"/>
      <c r="I319" s="34">
        <f t="shared" si="31"/>
        <v>39750</v>
      </c>
      <c r="J319" s="35">
        <f t="shared" si="29"/>
        <v>11.727805555555555</v>
      </c>
      <c r="K319">
        <v>-13.762174</v>
      </c>
      <c r="L319" s="36">
        <v>16.199</v>
      </c>
      <c r="M319" s="32"/>
    </row>
    <row r="320" spans="1:13" ht="15">
      <c r="A320" s="33"/>
      <c r="B320" s="34">
        <f t="shared" si="30"/>
        <v>40116</v>
      </c>
      <c r="C320" s="35">
        <f t="shared" si="28"/>
        <v>11.727583333333333</v>
      </c>
      <c r="D320">
        <v>-14.011095</v>
      </c>
      <c r="E320" s="36">
        <v>16.207</v>
      </c>
      <c r="F320" s="32"/>
      <c r="H320" s="33"/>
      <c r="I320" s="34">
        <f t="shared" si="31"/>
        <v>39751</v>
      </c>
      <c r="J320" s="35">
        <f t="shared" si="29"/>
        <v>11.727027777777778</v>
      </c>
      <c r="K320">
        <v>-14.088458</v>
      </c>
      <c r="L320" s="36">
        <v>16.227</v>
      </c>
      <c r="M320" s="32"/>
    </row>
    <row r="321" spans="1:13" ht="15">
      <c r="A321" s="33"/>
      <c r="B321" s="34">
        <f t="shared" si="30"/>
        <v>40117</v>
      </c>
      <c r="C321" s="35">
        <f t="shared" si="28"/>
        <v>11.726916666666666</v>
      </c>
      <c r="D321">
        <v>-14.334252</v>
      </c>
      <c r="E321" s="36">
        <v>16.231</v>
      </c>
      <c r="F321" s="32"/>
      <c r="H321" s="33"/>
      <c r="I321" s="34">
        <f t="shared" si="31"/>
        <v>39752</v>
      </c>
      <c r="J321" s="35">
        <f t="shared" si="29"/>
        <v>11.726444444444445</v>
      </c>
      <c r="K321">
        <v>-14.410981</v>
      </c>
      <c r="L321" s="36">
        <v>16.248</v>
      </c>
      <c r="M321" s="32"/>
    </row>
    <row r="322" spans="1:13" ht="15">
      <c r="A322" s="33"/>
      <c r="B322" s="33"/>
      <c r="C322" s="33"/>
      <c r="D322" s="41"/>
      <c r="E322" s="37"/>
      <c r="F322" s="32"/>
      <c r="H322" s="33"/>
      <c r="I322" s="33"/>
      <c r="J322" s="33"/>
      <c r="K322" s="41"/>
      <c r="L322" s="37"/>
      <c r="M322" s="32"/>
    </row>
    <row r="323" spans="1:13" ht="15">
      <c r="A323" s="33"/>
      <c r="B323" s="38">
        <f>DATE(109,11,1)</f>
        <v>40118</v>
      </c>
      <c r="C323" s="35">
        <f t="shared" si="28"/>
        <v>11.726444444444445</v>
      </c>
      <c r="D323">
        <v>-14.653575</v>
      </c>
      <c r="E323" s="36">
        <v>16.248</v>
      </c>
      <c r="F323" s="32"/>
      <c r="H323" s="33"/>
      <c r="I323" s="38">
        <f>DATE(108,11,1)</f>
        <v>39753</v>
      </c>
      <c r="J323" s="35">
        <f t="shared" si="29"/>
        <v>11.726111111111111</v>
      </c>
      <c r="K323">
        <v>-14.729627</v>
      </c>
      <c r="L323" s="36">
        <v>16.26</v>
      </c>
      <c r="M323" s="32"/>
    </row>
    <row r="324" spans="1:13" ht="15">
      <c r="A324" s="33"/>
      <c r="B324" s="34">
        <f aca="true" t="shared" si="32" ref="B324:B352">B323+1</f>
        <v>40119</v>
      </c>
      <c r="C324" s="35">
        <f t="shared" si="28"/>
        <v>11.726222222222223</v>
      </c>
      <c r="D324">
        <v>-14.96896</v>
      </c>
      <c r="E324" s="36">
        <v>16.256</v>
      </c>
      <c r="F324" s="32"/>
      <c r="H324" s="33"/>
      <c r="I324" s="34">
        <f aca="true" t="shared" si="33" ref="I324:I352">I323+1</f>
        <v>39754</v>
      </c>
      <c r="J324" s="35">
        <f t="shared" si="29"/>
        <v>11.725972222222222</v>
      </c>
      <c r="K324">
        <v>-15.04428</v>
      </c>
      <c r="L324" s="36">
        <v>16.265</v>
      </c>
      <c r="M324" s="32"/>
    </row>
    <row r="325" spans="1:13" ht="15">
      <c r="A325" s="33"/>
      <c r="B325" s="34">
        <f t="shared" si="32"/>
        <v>40120</v>
      </c>
      <c r="C325" s="35">
        <f t="shared" si="28"/>
        <v>11.726222222222223</v>
      </c>
      <c r="D325">
        <v>-15.280301</v>
      </c>
      <c r="E325" s="36">
        <v>16.256</v>
      </c>
      <c r="F325" s="32"/>
      <c r="H325" s="33"/>
      <c r="I325" s="34">
        <f t="shared" si="33"/>
        <v>39755</v>
      </c>
      <c r="J325" s="35">
        <f t="shared" si="29"/>
        <v>11.726055555555556</v>
      </c>
      <c r="K325">
        <v>-15.354826</v>
      </c>
      <c r="L325" s="36">
        <v>16.262</v>
      </c>
      <c r="M325" s="32"/>
    </row>
    <row r="326" spans="1:13" ht="15">
      <c r="A326" s="33"/>
      <c r="B326" s="34">
        <f t="shared" si="32"/>
        <v>40121</v>
      </c>
      <c r="C326" s="35">
        <f t="shared" si="28"/>
        <v>11.726444444444445</v>
      </c>
      <c r="D326">
        <v>-15.587495</v>
      </c>
      <c r="E326" s="36">
        <v>16.248</v>
      </c>
      <c r="F326" s="32"/>
      <c r="H326" s="33"/>
      <c r="I326" s="34">
        <f t="shared" si="33"/>
        <v>39756</v>
      </c>
      <c r="J326" s="35">
        <f t="shared" si="29"/>
        <v>11.72638888888889</v>
      </c>
      <c r="K326">
        <v>-15.661149</v>
      </c>
      <c r="L326" s="36">
        <v>16.25</v>
      </c>
      <c r="M326" s="32"/>
    </row>
    <row r="327" spans="1:13" ht="15">
      <c r="A327" s="33"/>
      <c r="B327" s="34">
        <f t="shared" si="32"/>
        <v>40122</v>
      </c>
      <c r="C327" s="35">
        <f t="shared" si="28"/>
        <v>11.726888888888888</v>
      </c>
      <c r="D327">
        <v>-15.890432</v>
      </c>
      <c r="E327" s="36">
        <v>16.232</v>
      </c>
      <c r="F327" s="32"/>
      <c r="H327" s="33"/>
      <c r="I327" s="34">
        <f t="shared" si="33"/>
        <v>39757</v>
      </c>
      <c r="J327" s="35">
        <f t="shared" si="29"/>
        <v>11.726916666666666</v>
      </c>
      <c r="K327">
        <v>-15.963136</v>
      </c>
      <c r="L327" s="36">
        <v>16.231</v>
      </c>
      <c r="M327" s="32"/>
    </row>
    <row r="328" spans="1:13" ht="15">
      <c r="A328" s="33"/>
      <c r="B328" s="34">
        <f t="shared" si="32"/>
        <v>40123</v>
      </c>
      <c r="C328" s="35">
        <f t="shared" si="28"/>
        <v>11.727583333333333</v>
      </c>
      <c r="D328">
        <v>-16.189003</v>
      </c>
      <c r="E328" s="36">
        <v>16.207</v>
      </c>
      <c r="F328" s="32"/>
      <c r="H328" s="33"/>
      <c r="I328" s="34">
        <f t="shared" si="33"/>
        <v>39758</v>
      </c>
      <c r="J328" s="35">
        <f t="shared" si="29"/>
        <v>11.727694444444445</v>
      </c>
      <c r="K328">
        <v>-16.260674</v>
      </c>
      <c r="L328" s="36">
        <v>16.203</v>
      </c>
      <c r="M328" s="32"/>
    </row>
    <row r="329" spans="1:13" ht="15">
      <c r="A329" s="33"/>
      <c r="B329" s="34">
        <f t="shared" si="32"/>
        <v>40124</v>
      </c>
      <c r="C329" s="35">
        <f t="shared" si="28"/>
        <v>11.728527777777778</v>
      </c>
      <c r="D329">
        <v>-16.483094</v>
      </c>
      <c r="E329" s="36">
        <v>16.173</v>
      </c>
      <c r="F329" s="32"/>
      <c r="H329" s="33"/>
      <c r="I329" s="34">
        <f t="shared" si="33"/>
        <v>39759</v>
      </c>
      <c r="J329" s="35">
        <f t="shared" si="29"/>
        <v>11.728694444444445</v>
      </c>
      <c r="K329">
        <v>-16.55365</v>
      </c>
      <c r="L329" s="36">
        <v>16.167</v>
      </c>
      <c r="M329" s="32"/>
    </row>
    <row r="330" spans="1:13" ht="15">
      <c r="A330" s="33"/>
      <c r="B330" s="34">
        <f t="shared" si="32"/>
        <v>40125</v>
      </c>
      <c r="C330" s="35">
        <f t="shared" si="28"/>
        <v>11.729694444444444</v>
      </c>
      <c r="D330">
        <v>-16.77259</v>
      </c>
      <c r="E330" s="36">
        <v>16.131</v>
      </c>
      <c r="F330" s="32"/>
      <c r="H330" s="33"/>
      <c r="I330" s="34">
        <f t="shared" si="33"/>
        <v>39760</v>
      </c>
      <c r="J330" s="35">
        <f t="shared" si="29"/>
        <v>11.729916666666666</v>
      </c>
      <c r="K330">
        <v>-16.841956</v>
      </c>
      <c r="L330" s="36">
        <v>16.123</v>
      </c>
      <c r="M330" s="32"/>
    </row>
    <row r="331" spans="1:13" ht="15">
      <c r="A331" s="33"/>
      <c r="B331" s="34">
        <f t="shared" si="32"/>
        <v>40126</v>
      </c>
      <c r="C331" s="35">
        <f t="shared" si="28"/>
        <v>11.731083333333334</v>
      </c>
      <c r="D331">
        <v>-17.057374</v>
      </c>
      <c r="E331" s="36">
        <v>16.081</v>
      </c>
      <c r="F331" s="32"/>
      <c r="H331" s="33"/>
      <c r="I331" s="34">
        <f t="shared" si="33"/>
        <v>39761</v>
      </c>
      <c r="J331" s="35">
        <f t="shared" si="29"/>
        <v>11.731361111111111</v>
      </c>
      <c r="K331">
        <v>-17.125483</v>
      </c>
      <c r="L331" s="36">
        <v>16.071</v>
      </c>
      <c r="M331" s="32"/>
    </row>
    <row r="332" spans="1:13" ht="15">
      <c r="A332" s="33"/>
      <c r="B332" s="34">
        <f t="shared" si="32"/>
        <v>40127</v>
      </c>
      <c r="C332" s="35">
        <f t="shared" si="28"/>
        <v>11.73275</v>
      </c>
      <c r="D332">
        <v>-17.337329</v>
      </c>
      <c r="E332" s="36">
        <v>16.021</v>
      </c>
      <c r="F332" s="32"/>
      <c r="H332" s="33"/>
      <c r="I332" s="34">
        <f t="shared" si="33"/>
        <v>39762</v>
      </c>
      <c r="J332" s="35">
        <f t="shared" si="29"/>
        <v>11.733055555555556</v>
      </c>
      <c r="K332">
        <v>-17.404126</v>
      </c>
      <c r="L332" s="36">
        <v>16.01</v>
      </c>
      <c r="M332" s="32"/>
    </row>
    <row r="333" spans="1:13" ht="15">
      <c r="A333" s="33"/>
      <c r="B333" s="34">
        <f t="shared" si="32"/>
        <v>40128</v>
      </c>
      <c r="C333" s="35">
        <f t="shared" si="28"/>
        <v>11.734638888888888</v>
      </c>
      <c r="D333">
        <v>-17.61234</v>
      </c>
      <c r="E333" s="36">
        <v>15.553</v>
      </c>
      <c r="F333" s="32"/>
      <c r="H333" s="33"/>
      <c r="I333" s="34">
        <f t="shared" si="33"/>
        <v>39763</v>
      </c>
      <c r="J333" s="35">
        <f t="shared" si="29"/>
        <v>11.734972222222222</v>
      </c>
      <c r="K333">
        <v>-17.677782</v>
      </c>
      <c r="L333" s="36">
        <v>15.541</v>
      </c>
      <c r="M333" s="32"/>
    </row>
    <row r="334" spans="1:13" ht="15">
      <c r="A334" s="33"/>
      <c r="B334" s="34">
        <f t="shared" si="32"/>
        <v>40129</v>
      </c>
      <c r="C334" s="35">
        <f t="shared" si="28"/>
        <v>11.736777777777778</v>
      </c>
      <c r="D334">
        <v>-17.882291</v>
      </c>
      <c r="E334" s="36">
        <v>15.476</v>
      </c>
      <c r="F334" s="32"/>
      <c r="H334" s="33"/>
      <c r="I334" s="34">
        <f t="shared" si="33"/>
        <v>39764</v>
      </c>
      <c r="J334" s="35">
        <f t="shared" si="29"/>
        <v>11.73713888888889</v>
      </c>
      <c r="K334">
        <v>-17.946352</v>
      </c>
      <c r="L334" s="36">
        <v>15.463</v>
      </c>
      <c r="M334" s="32"/>
    </row>
    <row r="335" spans="1:13" ht="15">
      <c r="A335" s="33"/>
      <c r="B335" s="34">
        <f t="shared" si="32"/>
        <v>40130</v>
      </c>
      <c r="C335" s="35">
        <f t="shared" si="28"/>
        <v>11.739138888888888</v>
      </c>
      <c r="D335">
        <v>-18.147071</v>
      </c>
      <c r="E335" s="36">
        <v>15.391</v>
      </c>
      <c r="F335" s="32"/>
      <c r="H335" s="33"/>
      <c r="I335" s="34">
        <f t="shared" si="33"/>
        <v>39765</v>
      </c>
      <c r="J335" s="35">
        <f t="shared" si="29"/>
        <v>11.739527777777777</v>
      </c>
      <c r="K335">
        <v>-18.209735</v>
      </c>
      <c r="L335" s="36">
        <v>15.377</v>
      </c>
      <c r="M335" s="32"/>
    </row>
    <row r="336" spans="1:13" ht="15">
      <c r="A336" s="33"/>
      <c r="B336" s="34">
        <f t="shared" si="32"/>
        <v>40131</v>
      </c>
      <c r="C336" s="35">
        <f t="shared" si="28"/>
        <v>11.74175</v>
      </c>
      <c r="D336">
        <v>-18.406568</v>
      </c>
      <c r="E336" s="36">
        <v>15.297</v>
      </c>
      <c r="F336" s="32"/>
      <c r="H336" s="33"/>
      <c r="I336" s="34">
        <f t="shared" si="33"/>
        <v>39766</v>
      </c>
      <c r="J336" s="35">
        <f t="shared" si="29"/>
        <v>11.742138888888888</v>
      </c>
      <c r="K336">
        <v>-18.467833</v>
      </c>
      <c r="L336" s="36">
        <v>15.283</v>
      </c>
      <c r="M336" s="32"/>
    </row>
    <row r="337" spans="1:13" ht="15">
      <c r="A337" s="33"/>
      <c r="B337" s="34">
        <f t="shared" si="32"/>
        <v>40132</v>
      </c>
      <c r="C337" s="35">
        <f t="shared" si="28"/>
        <v>11.74461111111111</v>
      </c>
      <c r="D337">
        <v>-18.66067</v>
      </c>
      <c r="E337" s="36">
        <v>15.194</v>
      </c>
      <c r="F337" s="32"/>
      <c r="H337" s="33"/>
      <c r="I337" s="34">
        <f t="shared" si="33"/>
        <v>39767</v>
      </c>
      <c r="J337" s="35">
        <f t="shared" si="29"/>
        <v>11.745</v>
      </c>
      <c r="K337">
        <v>-18.720541</v>
      </c>
      <c r="L337" s="36">
        <v>15.18</v>
      </c>
      <c r="M337" s="32"/>
    </row>
    <row r="338" spans="1:13" ht="15">
      <c r="A338" s="33"/>
      <c r="B338" s="34">
        <f t="shared" si="32"/>
        <v>40133</v>
      </c>
      <c r="C338" s="35">
        <f t="shared" si="28"/>
        <v>11.747694444444445</v>
      </c>
      <c r="D338">
        <v>-18.909269</v>
      </c>
      <c r="E338" s="36">
        <v>15.083</v>
      </c>
      <c r="F338" s="32"/>
      <c r="H338" s="33"/>
      <c r="I338" s="34">
        <f t="shared" si="33"/>
        <v>39768</v>
      </c>
      <c r="J338" s="35">
        <f t="shared" si="29"/>
        <v>11.748111111111111</v>
      </c>
      <c r="K338">
        <v>-18.967754</v>
      </c>
      <c r="L338" s="36">
        <v>15.068</v>
      </c>
      <c r="M338" s="32"/>
    </row>
    <row r="339" spans="1:13" ht="15">
      <c r="A339" s="33"/>
      <c r="B339" s="34">
        <f t="shared" si="32"/>
        <v>40134</v>
      </c>
      <c r="C339" s="35">
        <f t="shared" si="28"/>
        <v>11.751</v>
      </c>
      <c r="D339">
        <v>-19.152256</v>
      </c>
      <c r="E339" s="36">
        <v>14.564</v>
      </c>
      <c r="F339" s="32"/>
      <c r="H339" s="33"/>
      <c r="I339" s="34">
        <f t="shared" si="33"/>
        <v>39769</v>
      </c>
      <c r="J339" s="35">
        <f t="shared" si="29"/>
        <v>11.751444444444445</v>
      </c>
      <c r="K339">
        <v>-19.209361</v>
      </c>
      <c r="L339" s="36">
        <v>14.548</v>
      </c>
      <c r="M339" s="32"/>
    </row>
    <row r="340" spans="1:13" ht="15">
      <c r="A340" s="33"/>
      <c r="B340" s="34">
        <f t="shared" si="32"/>
        <v>40135</v>
      </c>
      <c r="C340" s="35">
        <f t="shared" si="28"/>
        <v>11.754555555555555</v>
      </c>
      <c r="D340">
        <v>-19.389523</v>
      </c>
      <c r="E340" s="36">
        <v>14.436</v>
      </c>
      <c r="F340" s="32"/>
      <c r="H340" s="33"/>
      <c r="I340" s="34">
        <f t="shared" si="33"/>
        <v>39770</v>
      </c>
      <c r="J340" s="35">
        <f t="shared" si="29"/>
        <v>11.755</v>
      </c>
      <c r="K340">
        <v>-19.445253</v>
      </c>
      <c r="L340" s="36">
        <v>14.42</v>
      </c>
      <c r="M340" s="32"/>
    </row>
    <row r="341" spans="1:13" ht="15">
      <c r="A341" s="33"/>
      <c r="B341" s="34">
        <f t="shared" si="32"/>
        <v>40136</v>
      </c>
      <c r="C341" s="35">
        <f t="shared" si="28"/>
        <v>11.758333333333333</v>
      </c>
      <c r="D341">
        <v>-19.620963</v>
      </c>
      <c r="E341" s="36">
        <v>14.3</v>
      </c>
      <c r="F341" s="32"/>
      <c r="H341" s="33"/>
      <c r="I341" s="34">
        <f t="shared" si="33"/>
        <v>39771</v>
      </c>
      <c r="J341" s="35">
        <f t="shared" si="29"/>
        <v>11.758805555555556</v>
      </c>
      <c r="K341">
        <v>-19.675322</v>
      </c>
      <c r="L341" s="36">
        <v>14.283</v>
      </c>
      <c r="M341" s="32"/>
    </row>
    <row r="342" spans="1:13" ht="15">
      <c r="A342" s="33"/>
      <c r="B342" s="34">
        <f t="shared" si="32"/>
        <v>40137</v>
      </c>
      <c r="C342" s="35">
        <f t="shared" si="28"/>
        <v>11.762333333333334</v>
      </c>
      <c r="D342">
        <v>-19.846473</v>
      </c>
      <c r="E342" s="36">
        <v>14.156</v>
      </c>
      <c r="F342" s="32"/>
      <c r="H342" s="33"/>
      <c r="I342" s="34">
        <f t="shared" si="33"/>
        <v>39772</v>
      </c>
      <c r="J342" s="35">
        <f t="shared" si="29"/>
        <v>11.76286111111111</v>
      </c>
      <c r="K342">
        <v>-19.899459</v>
      </c>
      <c r="L342" s="36">
        <v>14.137</v>
      </c>
      <c r="M342" s="32"/>
    </row>
    <row r="343" spans="1:13" ht="15">
      <c r="A343" s="33"/>
      <c r="B343" s="34">
        <f t="shared" si="32"/>
        <v>40138</v>
      </c>
      <c r="C343" s="35">
        <f t="shared" si="28"/>
        <v>11.766527777777778</v>
      </c>
      <c r="D343">
        <v>-20.06595</v>
      </c>
      <c r="E343" s="36">
        <v>14.005</v>
      </c>
      <c r="F343" s="32"/>
      <c r="H343" s="33"/>
      <c r="I343" s="34">
        <f t="shared" si="33"/>
        <v>39773</v>
      </c>
      <c r="J343" s="35">
        <f t="shared" si="29"/>
        <v>11.767111111111111</v>
      </c>
      <c r="K343">
        <v>-20.11756</v>
      </c>
      <c r="L343" s="36">
        <v>13.584</v>
      </c>
      <c r="M343" s="32"/>
    </row>
    <row r="344" spans="1:13" ht="15">
      <c r="A344" s="33"/>
      <c r="B344" s="34">
        <f t="shared" si="32"/>
        <v>40139</v>
      </c>
      <c r="C344" s="35">
        <f t="shared" si="28"/>
        <v>11.770972222222222</v>
      </c>
      <c r="D344">
        <v>-20.279292</v>
      </c>
      <c r="E344" s="36">
        <v>13.445</v>
      </c>
      <c r="F344" s="32"/>
      <c r="H344" s="33"/>
      <c r="I344" s="34">
        <f t="shared" si="33"/>
        <v>39774</v>
      </c>
      <c r="J344" s="35">
        <f t="shared" si="29"/>
        <v>11.771611111111111</v>
      </c>
      <c r="K344">
        <v>-20.329522</v>
      </c>
      <c r="L344" s="36">
        <v>13.422</v>
      </c>
      <c r="M344" s="32"/>
    </row>
    <row r="345" spans="1:13" ht="15">
      <c r="A345" s="33"/>
      <c r="B345" s="34">
        <f t="shared" si="32"/>
        <v>40140</v>
      </c>
      <c r="C345" s="35">
        <f t="shared" si="28"/>
        <v>11.775611111111111</v>
      </c>
      <c r="D345">
        <v>-20.486403</v>
      </c>
      <c r="E345" s="36">
        <v>13.278</v>
      </c>
      <c r="F345" s="32"/>
      <c r="H345" s="33"/>
      <c r="I345" s="34">
        <f t="shared" si="33"/>
        <v>39775</v>
      </c>
      <c r="J345" s="35">
        <f t="shared" si="29"/>
        <v>11.776333333333334</v>
      </c>
      <c r="K345">
        <v>-20.535244</v>
      </c>
      <c r="L345" s="36">
        <v>13.252</v>
      </c>
      <c r="M345" s="32"/>
    </row>
    <row r="346" spans="1:13" ht="15">
      <c r="A346" s="33"/>
      <c r="B346" s="34">
        <f t="shared" si="32"/>
        <v>40141</v>
      </c>
      <c r="C346" s="35">
        <f t="shared" si="28"/>
        <v>11.780472222222222</v>
      </c>
      <c r="D346">
        <v>-20.687185</v>
      </c>
      <c r="E346" s="36">
        <v>13.103</v>
      </c>
      <c r="F346" s="32"/>
      <c r="H346" s="33"/>
      <c r="I346" s="34">
        <f t="shared" si="33"/>
        <v>39776</v>
      </c>
      <c r="J346" s="35">
        <f t="shared" si="29"/>
        <v>11.78125</v>
      </c>
      <c r="K346">
        <v>-20.734628</v>
      </c>
      <c r="L346" s="36">
        <v>13.075</v>
      </c>
      <c r="M346" s="32"/>
    </row>
    <row r="347" spans="1:13" ht="15">
      <c r="A347" s="33"/>
      <c r="B347" s="34">
        <f t="shared" si="32"/>
        <v>40142</v>
      </c>
      <c r="C347" s="35">
        <f t="shared" si="28"/>
        <v>11.785555555555556</v>
      </c>
      <c r="D347">
        <v>-20.881547</v>
      </c>
      <c r="E347" s="36">
        <v>12.52</v>
      </c>
      <c r="F347" s="32"/>
      <c r="H347" s="33"/>
      <c r="I347" s="34">
        <f t="shared" si="33"/>
        <v>39777</v>
      </c>
      <c r="J347" s="35">
        <f t="shared" si="29"/>
        <v>11.786416666666666</v>
      </c>
      <c r="K347">
        <v>-20.927579</v>
      </c>
      <c r="L347" s="36">
        <v>12.489</v>
      </c>
      <c r="M347" s="32"/>
    </row>
    <row r="348" spans="1:13" ht="15">
      <c r="A348" s="33"/>
      <c r="B348" s="34">
        <f t="shared" si="32"/>
        <v>40143</v>
      </c>
      <c r="C348" s="35">
        <f t="shared" si="28"/>
        <v>11.790805555555556</v>
      </c>
      <c r="D348">
        <v>-21.069398</v>
      </c>
      <c r="E348" s="36">
        <v>12.331</v>
      </c>
      <c r="F348" s="32"/>
      <c r="H348" s="33"/>
      <c r="I348" s="34">
        <f t="shared" si="33"/>
        <v>39778</v>
      </c>
      <c r="J348" s="35">
        <f t="shared" si="29"/>
        <v>11.79175</v>
      </c>
      <c r="K348">
        <v>-21.114003</v>
      </c>
      <c r="L348" s="36">
        <v>12.297</v>
      </c>
      <c r="M348" s="32"/>
    </row>
    <row r="349" spans="1:13" ht="15">
      <c r="A349" s="33"/>
      <c r="B349" s="34">
        <f t="shared" si="32"/>
        <v>40144</v>
      </c>
      <c r="C349" s="35">
        <f t="shared" si="28"/>
        <v>11.796277777777778</v>
      </c>
      <c r="D349">
        <v>-21.25065</v>
      </c>
      <c r="E349" s="36">
        <v>12.134</v>
      </c>
      <c r="F349" s="32"/>
      <c r="H349" s="33"/>
      <c r="I349" s="34">
        <f t="shared" si="33"/>
        <v>39779</v>
      </c>
      <c r="J349" s="35">
        <f t="shared" si="29"/>
        <v>11.797305555555555</v>
      </c>
      <c r="K349">
        <v>-21.293809</v>
      </c>
      <c r="L349" s="36">
        <v>12.097</v>
      </c>
      <c r="M349" s="32"/>
    </row>
    <row r="350" spans="1:13" ht="15">
      <c r="A350" s="33"/>
      <c r="B350" s="34">
        <f t="shared" si="32"/>
        <v>40145</v>
      </c>
      <c r="C350" s="35">
        <f t="shared" si="28"/>
        <v>11.801916666666667</v>
      </c>
      <c r="D350">
        <v>-21.42522</v>
      </c>
      <c r="E350" s="36">
        <v>11.531</v>
      </c>
      <c r="F350" s="32"/>
      <c r="H350" s="33"/>
      <c r="I350" s="34">
        <f t="shared" si="33"/>
        <v>39780</v>
      </c>
      <c r="J350" s="35">
        <f t="shared" si="29"/>
        <v>11.803083333333333</v>
      </c>
      <c r="K350">
        <v>-21.466908</v>
      </c>
      <c r="L350" s="36">
        <v>11.489</v>
      </c>
      <c r="M350" s="32"/>
    </row>
    <row r="351" spans="1:13" ht="15">
      <c r="A351" s="33"/>
      <c r="B351" s="34">
        <f t="shared" si="32"/>
        <v>40146</v>
      </c>
      <c r="C351" s="35">
        <f t="shared" si="28"/>
        <v>11.80775</v>
      </c>
      <c r="D351">
        <v>-21.593028</v>
      </c>
      <c r="E351" s="36">
        <v>11.321</v>
      </c>
      <c r="F351" s="32"/>
      <c r="H351" s="33"/>
      <c r="I351" s="34">
        <f t="shared" si="33"/>
        <v>39781</v>
      </c>
      <c r="J351" s="35">
        <f t="shared" si="29"/>
        <v>11.809</v>
      </c>
      <c r="K351">
        <v>-21.633213</v>
      </c>
      <c r="L351" s="36">
        <v>11.276</v>
      </c>
      <c r="M351" s="32"/>
    </row>
    <row r="352" spans="1:13" ht="15">
      <c r="A352" s="33"/>
      <c r="B352" s="34">
        <f t="shared" si="32"/>
        <v>40147</v>
      </c>
      <c r="C352" s="35">
        <f t="shared" si="28"/>
        <v>11.813777777777778</v>
      </c>
      <c r="D352">
        <v>-21.753995</v>
      </c>
      <c r="E352" s="36">
        <v>11.104</v>
      </c>
      <c r="F352" s="32"/>
      <c r="H352" s="33"/>
      <c r="I352" s="34">
        <f t="shared" si="33"/>
        <v>39782</v>
      </c>
      <c r="J352" s="35">
        <f t="shared" si="29"/>
        <v>11.815138888888889</v>
      </c>
      <c r="K352">
        <v>-21.79264</v>
      </c>
      <c r="L352" s="36">
        <v>11.055</v>
      </c>
      <c r="M352" s="32"/>
    </row>
    <row r="353" spans="1:13" ht="15">
      <c r="A353" s="33"/>
      <c r="B353" s="33"/>
      <c r="C353" s="33"/>
      <c r="D353" s="33"/>
      <c r="E353" s="37"/>
      <c r="F353" s="32"/>
      <c r="H353" s="33"/>
      <c r="I353" s="33"/>
      <c r="J353" s="33"/>
      <c r="K353" s="33"/>
      <c r="L353" s="37"/>
      <c r="M353" s="32"/>
    </row>
    <row r="354" spans="1:13" ht="15">
      <c r="A354" s="33"/>
      <c r="B354" s="33"/>
      <c r="C354" s="33"/>
      <c r="D354" s="33"/>
      <c r="E354" s="37"/>
      <c r="F354" s="32"/>
      <c r="H354" s="33"/>
      <c r="I354" s="33"/>
      <c r="J354" s="33"/>
      <c r="K354" s="33"/>
      <c r="L354" s="37"/>
      <c r="M354" s="32"/>
    </row>
    <row r="355" spans="1:13" ht="15">
      <c r="A355" s="33"/>
      <c r="B355" s="38">
        <f>DATE(109,12,1)</f>
        <v>40148</v>
      </c>
      <c r="C355" s="35">
        <f aca="true" t="shared" si="34" ref="C355:C387">12-(TRUNC(E355,0)+MOD(E355,1)*5/3)/60</f>
        <v>11.82</v>
      </c>
      <c r="D355">
        <v>-21.908048</v>
      </c>
      <c r="E355" s="36">
        <v>10.48</v>
      </c>
      <c r="F355" s="32"/>
      <c r="H355" s="33"/>
      <c r="I355" s="38">
        <f>DATE(108,12,1)</f>
        <v>39783</v>
      </c>
      <c r="J355" s="35">
        <f aca="true" t="shared" si="35" ref="J355:J387">12-(TRUNC(L355,0)+MOD(L355,1)*5/3)/60</f>
        <v>11.821444444444445</v>
      </c>
      <c r="K355">
        <v>-21.945109</v>
      </c>
      <c r="L355" s="36">
        <v>10.428</v>
      </c>
      <c r="M355" s="32"/>
    </row>
    <row r="356" spans="1:13" ht="15">
      <c r="A356" s="33"/>
      <c r="B356" s="34">
        <f aca="true" t="shared" si="36" ref="B356:B385">B355+1</f>
        <v>40149</v>
      </c>
      <c r="C356" s="35">
        <f t="shared" si="34"/>
        <v>11.826361111111112</v>
      </c>
      <c r="D356">
        <v>-22.055113</v>
      </c>
      <c r="E356" s="36">
        <v>10.251</v>
      </c>
      <c r="F356" s="32"/>
      <c r="H356" s="33"/>
      <c r="I356" s="34">
        <f aca="true" t="shared" si="37" ref="I356:I385">I355+1</f>
        <v>39784</v>
      </c>
      <c r="J356" s="35">
        <f t="shared" si="35"/>
        <v>11.827916666666667</v>
      </c>
      <c r="K356">
        <v>-22.090541</v>
      </c>
      <c r="L356" s="36">
        <v>10.195</v>
      </c>
      <c r="M356" s="32"/>
    </row>
    <row r="357" spans="1:13" ht="15">
      <c r="A357" s="33"/>
      <c r="B357" s="34">
        <f t="shared" si="36"/>
        <v>40150</v>
      </c>
      <c r="C357" s="35">
        <f t="shared" si="34"/>
        <v>11.832916666666666</v>
      </c>
      <c r="D357">
        <v>-22.195119</v>
      </c>
      <c r="E357" s="36">
        <v>10.015</v>
      </c>
      <c r="F357" s="32"/>
      <c r="H357" s="33"/>
      <c r="I357" s="34">
        <f t="shared" si="37"/>
        <v>39785</v>
      </c>
      <c r="J357" s="35">
        <f t="shared" si="35"/>
        <v>11.834555555555555</v>
      </c>
      <c r="K357">
        <v>-22.228861</v>
      </c>
      <c r="L357" s="36">
        <v>9.556</v>
      </c>
      <c r="M357" s="32"/>
    </row>
    <row r="358" spans="1:13" ht="15">
      <c r="A358" s="33"/>
      <c r="B358" s="34">
        <f t="shared" si="36"/>
        <v>40151</v>
      </c>
      <c r="C358" s="35">
        <f t="shared" si="34"/>
        <v>11.839638888888889</v>
      </c>
      <c r="D358">
        <v>-22.327991</v>
      </c>
      <c r="E358" s="36">
        <v>9.373</v>
      </c>
      <c r="F358" s="32"/>
      <c r="H358" s="33"/>
      <c r="I358" s="34">
        <f t="shared" si="37"/>
        <v>39786</v>
      </c>
      <c r="J358" s="35">
        <f t="shared" si="35"/>
        <v>11.84136111111111</v>
      </c>
      <c r="K358">
        <v>-22.359998</v>
      </c>
      <c r="L358" s="36">
        <v>9.311</v>
      </c>
      <c r="M358" s="32"/>
    </row>
    <row r="359" spans="1:13" ht="15">
      <c r="A359" s="33"/>
      <c r="B359" s="34">
        <f t="shared" si="36"/>
        <v>40152</v>
      </c>
      <c r="C359" s="35">
        <f t="shared" si="34"/>
        <v>11.8465</v>
      </c>
      <c r="D359">
        <v>-22.453659</v>
      </c>
      <c r="E359" s="36">
        <v>9.126</v>
      </c>
      <c r="F359" s="32"/>
      <c r="H359" s="33"/>
      <c r="I359" s="34">
        <f t="shared" si="37"/>
        <v>39787</v>
      </c>
      <c r="J359" s="35">
        <f t="shared" si="35"/>
        <v>11.848277777777778</v>
      </c>
      <c r="K359">
        <v>-22.483884</v>
      </c>
      <c r="L359" s="36">
        <v>9.062</v>
      </c>
      <c r="M359" s="32"/>
    </row>
    <row r="360" spans="1:13" ht="15">
      <c r="A360" s="33"/>
      <c r="B360" s="34">
        <f t="shared" si="36"/>
        <v>40153</v>
      </c>
      <c r="C360" s="35">
        <f t="shared" si="34"/>
        <v>11.853527777777778</v>
      </c>
      <c r="D360">
        <v>-22.57205</v>
      </c>
      <c r="E360" s="36">
        <v>8.473</v>
      </c>
      <c r="F360" s="32"/>
      <c r="H360" s="33"/>
      <c r="I360" s="34">
        <f t="shared" si="37"/>
        <v>39788</v>
      </c>
      <c r="J360" s="35">
        <f t="shared" si="35"/>
        <v>11.855361111111112</v>
      </c>
      <c r="K360">
        <v>-22.600455</v>
      </c>
      <c r="L360" s="36">
        <v>8.407</v>
      </c>
      <c r="M360" s="32"/>
    </row>
    <row r="361" spans="1:13" ht="15">
      <c r="A361" s="33"/>
      <c r="B361" s="34">
        <f t="shared" si="36"/>
        <v>40154</v>
      </c>
      <c r="C361" s="35">
        <f t="shared" si="34"/>
        <v>11.860722222222222</v>
      </c>
      <c r="D361">
        <v>-22.683096</v>
      </c>
      <c r="E361" s="36">
        <v>8.214</v>
      </c>
      <c r="F361" s="32"/>
      <c r="H361" s="33"/>
      <c r="I361" s="34">
        <f t="shared" si="37"/>
        <v>39789</v>
      </c>
      <c r="J361" s="35">
        <f t="shared" si="35"/>
        <v>11.862583333333333</v>
      </c>
      <c r="K361">
        <v>-22.709652</v>
      </c>
      <c r="L361" s="36">
        <v>8.147</v>
      </c>
      <c r="M361" s="32"/>
    </row>
    <row r="362" spans="1:13" ht="15">
      <c r="A362" s="33"/>
      <c r="B362" s="34">
        <f t="shared" si="36"/>
        <v>40155</v>
      </c>
      <c r="C362" s="35">
        <f t="shared" si="34"/>
        <v>11.868027777777778</v>
      </c>
      <c r="D362">
        <v>-22.786731</v>
      </c>
      <c r="E362" s="36">
        <v>7.551</v>
      </c>
      <c r="F362" s="32"/>
      <c r="H362" s="33"/>
      <c r="I362" s="34">
        <f t="shared" si="37"/>
        <v>39790</v>
      </c>
      <c r="J362" s="35">
        <f t="shared" si="35"/>
        <v>11.869944444444444</v>
      </c>
      <c r="K362">
        <v>-22.81142</v>
      </c>
      <c r="L362" s="36">
        <v>7.482</v>
      </c>
      <c r="M362" s="32"/>
    </row>
    <row r="363" spans="1:13" ht="15">
      <c r="A363" s="33"/>
      <c r="B363" s="34">
        <f t="shared" si="36"/>
        <v>40156</v>
      </c>
      <c r="C363" s="35">
        <f t="shared" si="34"/>
        <v>11.875472222222221</v>
      </c>
      <c r="D363">
        <v>-22.882895</v>
      </c>
      <c r="E363" s="36">
        <v>7.283</v>
      </c>
      <c r="F363" s="32"/>
      <c r="H363" s="33"/>
      <c r="I363" s="34">
        <f t="shared" si="37"/>
        <v>39791</v>
      </c>
      <c r="J363" s="35">
        <f t="shared" si="35"/>
        <v>11.87738888888889</v>
      </c>
      <c r="K363">
        <v>-22.905709</v>
      </c>
      <c r="L363" s="36">
        <v>7.214</v>
      </c>
      <c r="M363" s="32"/>
    </row>
    <row r="364" spans="1:13" ht="15">
      <c r="A364" s="33"/>
      <c r="B364" s="34">
        <f t="shared" si="36"/>
        <v>40157</v>
      </c>
      <c r="C364" s="35">
        <f t="shared" si="34"/>
        <v>11.883027777777778</v>
      </c>
      <c r="D364">
        <v>-22.971535</v>
      </c>
      <c r="E364" s="36">
        <v>7.011</v>
      </c>
      <c r="F364" s="32"/>
      <c r="H364" s="33"/>
      <c r="I364" s="34">
        <f t="shared" si="37"/>
        <v>39792</v>
      </c>
      <c r="J364" s="35">
        <f t="shared" si="35"/>
        <v>11.884972222222222</v>
      </c>
      <c r="K364">
        <v>-22.992475</v>
      </c>
      <c r="L364" s="36">
        <v>6.541</v>
      </c>
      <c r="M364" s="32"/>
    </row>
    <row r="365" spans="1:13" ht="15">
      <c r="A365" s="33"/>
      <c r="B365" s="34">
        <f t="shared" si="36"/>
        <v>40158</v>
      </c>
      <c r="C365" s="35">
        <f t="shared" si="34"/>
        <v>11.890722222222223</v>
      </c>
      <c r="D365">
        <v>-23.052599</v>
      </c>
      <c r="E365" s="36">
        <v>6.334</v>
      </c>
      <c r="F365" s="32"/>
      <c r="H365" s="33"/>
      <c r="I365" s="34">
        <f t="shared" si="37"/>
        <v>39793</v>
      </c>
      <c r="J365" s="35">
        <f t="shared" si="35"/>
        <v>11.89263888888889</v>
      </c>
      <c r="K365">
        <v>-23.071676</v>
      </c>
      <c r="L365" s="36">
        <v>6.265</v>
      </c>
      <c r="M365" s="32"/>
    </row>
    <row r="366" spans="1:13" ht="15">
      <c r="A366" s="33"/>
      <c r="B366" s="34">
        <f t="shared" si="36"/>
        <v>40159</v>
      </c>
      <c r="C366" s="35">
        <f t="shared" si="34"/>
        <v>11.8985</v>
      </c>
      <c r="D366">
        <v>-23.126043</v>
      </c>
      <c r="E366" s="36">
        <v>6.054</v>
      </c>
      <c r="F366" s="32"/>
      <c r="H366" s="33"/>
      <c r="I366" s="34">
        <f t="shared" si="37"/>
        <v>39794</v>
      </c>
      <c r="J366" s="35">
        <f t="shared" si="35"/>
        <v>11.900416666666667</v>
      </c>
      <c r="K366">
        <v>-23.143273</v>
      </c>
      <c r="L366" s="36">
        <v>5.585</v>
      </c>
      <c r="M366" s="32"/>
    </row>
    <row r="367" spans="1:13" ht="15">
      <c r="A367" s="33"/>
      <c r="B367" s="34">
        <f t="shared" si="36"/>
        <v>40160</v>
      </c>
      <c r="C367" s="35">
        <f t="shared" si="34"/>
        <v>11.90638888888889</v>
      </c>
      <c r="D367">
        <v>-23.191826</v>
      </c>
      <c r="E367" s="36">
        <v>5.37</v>
      </c>
      <c r="F367" s="32"/>
      <c r="H367" s="33"/>
      <c r="I367" s="34">
        <f t="shared" si="37"/>
        <v>39795</v>
      </c>
      <c r="J367" s="35">
        <f t="shared" si="35"/>
        <v>11.908305555555556</v>
      </c>
      <c r="K367">
        <v>-23.207228</v>
      </c>
      <c r="L367" s="36">
        <v>5.301</v>
      </c>
      <c r="M367" s="32"/>
    </row>
    <row r="368" spans="1:13" ht="15">
      <c r="A368" s="33"/>
      <c r="B368" s="34">
        <f t="shared" si="36"/>
        <v>40161</v>
      </c>
      <c r="C368" s="35">
        <f t="shared" si="34"/>
        <v>11.914388888888888</v>
      </c>
      <c r="D368">
        <v>-23.249911</v>
      </c>
      <c r="E368" s="36">
        <v>5.082</v>
      </c>
      <c r="F368" s="32"/>
      <c r="H368" s="33"/>
      <c r="I368" s="34">
        <f t="shared" si="37"/>
        <v>39796</v>
      </c>
      <c r="J368" s="35">
        <f t="shared" si="35"/>
        <v>11.91625</v>
      </c>
      <c r="K368">
        <v>-23.263502</v>
      </c>
      <c r="L368" s="36">
        <v>5.015</v>
      </c>
      <c r="M368" s="32"/>
    </row>
    <row r="369" spans="1:13" ht="15">
      <c r="A369" s="33"/>
      <c r="B369" s="34">
        <f t="shared" si="36"/>
        <v>40162</v>
      </c>
      <c r="C369" s="35">
        <f t="shared" si="34"/>
        <v>11.922416666666667</v>
      </c>
      <c r="D369">
        <v>-23.300265</v>
      </c>
      <c r="E369" s="36">
        <v>4.393</v>
      </c>
      <c r="F369" s="32"/>
      <c r="H369" s="33"/>
      <c r="I369" s="34">
        <f t="shared" si="37"/>
        <v>39797</v>
      </c>
      <c r="J369" s="35">
        <f t="shared" si="35"/>
        <v>11.924277777777778</v>
      </c>
      <c r="K369">
        <v>-23.312056</v>
      </c>
      <c r="L369" s="36">
        <v>4.326</v>
      </c>
      <c r="M369" s="32"/>
    </row>
    <row r="370" spans="1:13" ht="15">
      <c r="A370" s="33"/>
      <c r="B370" s="34">
        <f t="shared" si="36"/>
        <v>40163</v>
      </c>
      <c r="C370" s="35">
        <f t="shared" si="34"/>
        <v>11.930555555555555</v>
      </c>
      <c r="D370">
        <v>-23.34286</v>
      </c>
      <c r="E370" s="36">
        <v>4.1</v>
      </c>
      <c r="F370" s="32"/>
      <c r="H370" s="33"/>
      <c r="I370" s="34">
        <f t="shared" si="37"/>
        <v>39798</v>
      </c>
      <c r="J370" s="35">
        <f t="shared" si="35"/>
        <v>11.932361111111112</v>
      </c>
      <c r="K370">
        <v>-23.352855</v>
      </c>
      <c r="L370" s="36">
        <v>4.035</v>
      </c>
      <c r="M370" s="32"/>
    </row>
    <row r="371" spans="1:13" ht="15">
      <c r="A371" s="33"/>
      <c r="B371" s="34">
        <f t="shared" si="36"/>
        <v>40164</v>
      </c>
      <c r="C371" s="35">
        <f t="shared" si="34"/>
        <v>11.938722222222221</v>
      </c>
      <c r="D371">
        <v>-23.377671</v>
      </c>
      <c r="E371" s="36">
        <v>3.406</v>
      </c>
      <c r="F371" s="32"/>
      <c r="H371" s="33"/>
      <c r="I371" s="34">
        <f t="shared" si="37"/>
        <v>39799</v>
      </c>
      <c r="J371" s="35">
        <f t="shared" si="35"/>
        <v>11.940527777777778</v>
      </c>
      <c r="K371">
        <v>-23.385866</v>
      </c>
      <c r="L371" s="36">
        <v>3.341</v>
      </c>
      <c r="M371" s="32"/>
    </row>
    <row r="372" spans="1:13" ht="15">
      <c r="A372" s="33"/>
      <c r="B372" s="34">
        <f t="shared" si="36"/>
        <v>40165</v>
      </c>
      <c r="C372" s="35">
        <f t="shared" si="34"/>
        <v>11.946944444444444</v>
      </c>
      <c r="D372">
        <v>-23.404676</v>
      </c>
      <c r="E372" s="36">
        <v>3.11</v>
      </c>
      <c r="F372" s="32"/>
      <c r="H372" s="33"/>
      <c r="I372" s="34">
        <f t="shared" si="37"/>
        <v>39800</v>
      </c>
      <c r="J372" s="35">
        <f t="shared" si="35"/>
        <v>11.948722222222223</v>
      </c>
      <c r="K372">
        <v>-23.411064</v>
      </c>
      <c r="L372" s="36">
        <v>3.046</v>
      </c>
      <c r="M372" s="32"/>
    </row>
    <row r="373" spans="1:13" ht="15">
      <c r="A373" s="33"/>
      <c r="B373" s="34">
        <f t="shared" si="36"/>
        <v>40166</v>
      </c>
      <c r="C373" s="35">
        <f t="shared" si="34"/>
        <v>11.955194444444444</v>
      </c>
      <c r="D373">
        <v>-23.423858</v>
      </c>
      <c r="E373" s="36">
        <v>2.413</v>
      </c>
      <c r="F373" s="32"/>
      <c r="H373" s="33"/>
      <c r="I373" s="34">
        <f t="shared" si="37"/>
        <v>39801</v>
      </c>
      <c r="J373" s="35">
        <f t="shared" si="35"/>
        <v>11.956972222222221</v>
      </c>
      <c r="K373">
        <v>-23.428428</v>
      </c>
      <c r="L373" s="36">
        <v>2.349</v>
      </c>
      <c r="M373" s="32"/>
    </row>
    <row r="374" spans="1:13" ht="15">
      <c r="A374" s="33"/>
      <c r="B374" s="34">
        <f t="shared" si="36"/>
        <v>40167</v>
      </c>
      <c r="C374" s="35">
        <f t="shared" si="34"/>
        <v>11.963472222222222</v>
      </c>
      <c r="D374">
        <v>-23.435206</v>
      </c>
      <c r="E374" s="36">
        <v>2.115</v>
      </c>
      <c r="F374" s="32"/>
      <c r="H374" s="33"/>
      <c r="I374" s="34">
        <f t="shared" si="37"/>
        <v>39802</v>
      </c>
      <c r="J374" s="35">
        <f t="shared" si="35"/>
        <v>11.96525</v>
      </c>
      <c r="K374">
        <v>-23.437943</v>
      </c>
      <c r="L374" s="36">
        <v>2.051</v>
      </c>
      <c r="M374" s="32"/>
    </row>
    <row r="375" spans="1:13" ht="15">
      <c r="A375" s="33"/>
      <c r="B375" s="34">
        <f t="shared" si="36"/>
        <v>40168</v>
      </c>
      <c r="C375" s="35">
        <f t="shared" si="34"/>
        <v>11.971777777777778</v>
      </c>
      <c r="D375">
        <v>-23.438709</v>
      </c>
      <c r="E375" s="36">
        <v>1.416</v>
      </c>
      <c r="F375" s="32"/>
      <c r="H375" s="33"/>
      <c r="I375" s="34">
        <f t="shared" si="37"/>
        <v>39803</v>
      </c>
      <c r="J375" s="35">
        <f t="shared" si="35"/>
        <v>11.973555555555556</v>
      </c>
      <c r="K375">
        <v>-23.439601</v>
      </c>
      <c r="L375" s="36">
        <v>1.352</v>
      </c>
      <c r="M375" s="32"/>
    </row>
    <row r="376" spans="1:13" ht="15">
      <c r="A376" s="33"/>
      <c r="B376" s="34">
        <f t="shared" si="36"/>
        <v>40169</v>
      </c>
      <c r="C376" s="35">
        <f t="shared" si="34"/>
        <v>11.980083333333333</v>
      </c>
      <c r="D376">
        <v>-23.434366</v>
      </c>
      <c r="E376" s="36">
        <v>1.117</v>
      </c>
      <c r="F376" s="32"/>
      <c r="H376" s="33"/>
      <c r="I376" s="34">
        <f t="shared" si="37"/>
        <v>39804</v>
      </c>
      <c r="J376" s="35">
        <f t="shared" si="35"/>
        <v>11.981861111111112</v>
      </c>
      <c r="K376">
        <v>-23.433398</v>
      </c>
      <c r="L376" s="36">
        <v>1.053</v>
      </c>
      <c r="M376" s="32"/>
    </row>
    <row r="377" spans="1:13" ht="15">
      <c r="A377" s="33"/>
      <c r="B377" s="34">
        <f t="shared" si="36"/>
        <v>40170</v>
      </c>
      <c r="C377" s="35">
        <f t="shared" si="34"/>
        <v>11.98836111111111</v>
      </c>
      <c r="D377">
        <v>-23.422176</v>
      </c>
      <c r="E377" s="36">
        <v>0.419</v>
      </c>
      <c r="F377" s="32"/>
      <c r="H377" s="33"/>
      <c r="I377" s="34">
        <f t="shared" si="37"/>
        <v>39805</v>
      </c>
      <c r="J377" s="35">
        <f t="shared" si="35"/>
        <v>11.990166666666667</v>
      </c>
      <c r="K377">
        <v>-23.419333</v>
      </c>
      <c r="L377" s="36">
        <v>0.354</v>
      </c>
      <c r="M377" s="32"/>
    </row>
    <row r="378" spans="1:13" ht="15">
      <c r="A378" s="33"/>
      <c r="B378" s="34">
        <f t="shared" si="36"/>
        <v>40171</v>
      </c>
      <c r="C378" s="35">
        <f t="shared" si="34"/>
        <v>11.996638888888889</v>
      </c>
      <c r="D378">
        <v>-23.402144</v>
      </c>
      <c r="E378" s="36">
        <v>0.121</v>
      </c>
      <c r="F378" s="32"/>
      <c r="H378" s="33"/>
      <c r="I378" s="34">
        <f t="shared" si="37"/>
        <v>39806</v>
      </c>
      <c r="J378" s="35">
        <f t="shared" si="35"/>
        <v>11.998472222222222</v>
      </c>
      <c r="K378">
        <v>-23.397412</v>
      </c>
      <c r="L378" s="36">
        <v>0.055</v>
      </c>
      <c r="M378" s="32"/>
    </row>
    <row r="379" spans="1:13" ht="15">
      <c r="A379" s="33"/>
      <c r="B379" s="34">
        <f t="shared" si="36"/>
        <v>40172</v>
      </c>
      <c r="C379" s="35">
        <f t="shared" si="34"/>
        <v>12.004916666666666</v>
      </c>
      <c r="D379">
        <v>-23.374282</v>
      </c>
      <c r="E379" s="36">
        <v>-0.177</v>
      </c>
      <c r="F379" s="32"/>
      <c r="H379" s="33"/>
      <c r="I379" s="34">
        <f t="shared" si="37"/>
        <v>39807</v>
      </c>
      <c r="J379" s="35">
        <f t="shared" si="35"/>
        <v>12.006777777777778</v>
      </c>
      <c r="K379">
        <v>-23.367645</v>
      </c>
      <c r="L379" s="36">
        <v>-0.244</v>
      </c>
      <c r="M379" s="32"/>
    </row>
    <row r="380" spans="1:13" ht="15">
      <c r="A380" s="33"/>
      <c r="B380" s="34">
        <f t="shared" si="36"/>
        <v>40173</v>
      </c>
      <c r="C380" s="35">
        <f t="shared" si="34"/>
        <v>12.01313888888889</v>
      </c>
      <c r="D380">
        <v>-23.338602</v>
      </c>
      <c r="E380" s="36">
        <v>-0.473</v>
      </c>
      <c r="F380" s="32"/>
      <c r="H380" s="33"/>
      <c r="I380" s="34">
        <f t="shared" si="37"/>
        <v>39808</v>
      </c>
      <c r="J380" s="35">
        <f t="shared" si="35"/>
        <v>12.015027777777778</v>
      </c>
      <c r="K380">
        <v>-23.330046</v>
      </c>
      <c r="L380" s="36">
        <v>-0.541</v>
      </c>
      <c r="M380" s="32"/>
    </row>
    <row r="381" spans="1:13" ht="15">
      <c r="A381" s="33"/>
      <c r="B381" s="34">
        <f t="shared" si="36"/>
        <v>40174</v>
      </c>
      <c r="C381" s="35">
        <f t="shared" si="34"/>
        <v>12.021305555555555</v>
      </c>
      <c r="D381">
        <v>-23.295125</v>
      </c>
      <c r="E381" s="36">
        <v>-1.167</v>
      </c>
      <c r="F381" s="32"/>
      <c r="H381" s="33"/>
      <c r="I381" s="34">
        <f t="shared" si="37"/>
        <v>39809</v>
      </c>
      <c r="J381" s="35">
        <f t="shared" si="35"/>
        <v>12.02325</v>
      </c>
      <c r="K381">
        <v>-23.284634</v>
      </c>
      <c r="L381" s="36">
        <v>-1.237</v>
      </c>
      <c r="M381" s="32"/>
    </row>
    <row r="382" spans="1:13" ht="15">
      <c r="A382" s="33"/>
      <c r="B382" s="34">
        <f t="shared" si="36"/>
        <v>40175</v>
      </c>
      <c r="C382" s="35">
        <f t="shared" si="34"/>
        <v>12.029416666666666</v>
      </c>
      <c r="D382">
        <v>-23.243873</v>
      </c>
      <c r="E382" s="36">
        <v>-1.459</v>
      </c>
      <c r="F382" s="32"/>
      <c r="H382" s="33"/>
      <c r="I382" s="34">
        <f t="shared" si="37"/>
        <v>39810</v>
      </c>
      <c r="J382" s="35">
        <f t="shared" si="35"/>
        <v>12.031416666666667</v>
      </c>
      <c r="K382">
        <v>-23.231432</v>
      </c>
      <c r="L382" s="36">
        <v>-1.531</v>
      </c>
      <c r="M382" s="32"/>
    </row>
    <row r="383" spans="1:13" ht="15">
      <c r="A383" s="33"/>
      <c r="B383" s="34">
        <f t="shared" si="36"/>
        <v>40176</v>
      </c>
      <c r="C383" s="35">
        <f t="shared" si="34"/>
        <v>12.0375</v>
      </c>
      <c r="D383">
        <v>-23.184873</v>
      </c>
      <c r="E383" s="36">
        <v>-2.15</v>
      </c>
      <c r="F383" s="32"/>
      <c r="H383" s="33"/>
      <c r="I383" s="34">
        <f t="shared" si="37"/>
        <v>39811</v>
      </c>
      <c r="J383" s="35">
        <f t="shared" si="35"/>
        <v>12.039527777777778</v>
      </c>
      <c r="K383">
        <v>-23.170465</v>
      </c>
      <c r="L383" s="36">
        <v>-2.223</v>
      </c>
      <c r="M383" s="32"/>
    </row>
    <row r="384" spans="1:13" ht="15">
      <c r="A384" s="33"/>
      <c r="B384" s="34">
        <f t="shared" si="36"/>
        <v>40177</v>
      </c>
      <c r="C384" s="35">
        <f t="shared" si="34"/>
        <v>12.0455</v>
      </c>
      <c r="D384">
        <v>-23.118157</v>
      </c>
      <c r="E384" s="36">
        <v>-2.438</v>
      </c>
      <c r="F384" s="32"/>
      <c r="H384" s="33"/>
      <c r="I384" s="34">
        <f t="shared" si="37"/>
        <v>39812</v>
      </c>
      <c r="J384" s="35">
        <f t="shared" si="35"/>
        <v>12.047555555555556</v>
      </c>
      <c r="K384">
        <v>-23.101766</v>
      </c>
      <c r="L384" s="36">
        <v>-2.512</v>
      </c>
      <c r="M384" s="32"/>
    </row>
    <row r="385" spans="1:13" ht="15">
      <c r="A385" s="33"/>
      <c r="B385" s="34">
        <f t="shared" si="36"/>
        <v>40178</v>
      </c>
      <c r="C385" s="35">
        <f t="shared" si="34"/>
        <v>12.053416666666667</v>
      </c>
      <c r="D385">
        <v>-23.043755</v>
      </c>
      <c r="E385" s="36">
        <v>-3.123</v>
      </c>
      <c r="F385" s="32"/>
      <c r="H385" s="33"/>
      <c r="I385" s="34">
        <f t="shared" si="37"/>
        <v>39813</v>
      </c>
      <c r="J385" s="35">
        <f t="shared" si="35"/>
        <v>12.055527777777778</v>
      </c>
      <c r="K385">
        <v>-23.025368</v>
      </c>
      <c r="L385" s="36">
        <v>-3.199</v>
      </c>
      <c r="M385" s="32"/>
    </row>
    <row r="386" spans="1:13" ht="15">
      <c r="A386" s="33"/>
      <c r="B386" s="33"/>
      <c r="C386" s="33"/>
      <c r="D386" s="33"/>
      <c r="E386" s="37"/>
      <c r="F386" s="32"/>
      <c r="H386" s="33"/>
      <c r="I386" s="33"/>
      <c r="J386" s="33"/>
      <c r="K386" s="33"/>
      <c r="L386" s="37"/>
      <c r="M386" s="32"/>
    </row>
    <row r="387" spans="1:13" ht="15">
      <c r="A387" s="33"/>
      <c r="B387" s="38">
        <f>DATE(110,1,1)</f>
        <v>40179</v>
      </c>
      <c r="C387" s="35">
        <f t="shared" si="34"/>
        <v>12.06125</v>
      </c>
      <c r="D387">
        <v>-22.961701</v>
      </c>
      <c r="E387" s="36">
        <v>-3.405</v>
      </c>
      <c r="F387" s="32"/>
      <c r="H387" s="33"/>
      <c r="I387" s="38">
        <f>DATE(109,1,1)</f>
        <v>39814</v>
      </c>
      <c r="J387" s="35">
        <f t="shared" si="35"/>
        <v>12.06338888888889</v>
      </c>
      <c r="K387">
        <v>-22.941312</v>
      </c>
      <c r="L387" s="36">
        <v>-3.482</v>
      </c>
      <c r="M387" s="32"/>
    </row>
  </sheetData>
  <sheetProtection password="CB68" sheet="1" objects="1" scenarios="1" selectLockedCells="1" selectUnlockedCells="1"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USDA-FSA-APFO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mrcox</dc:creator>
  <cp:keywords/>
  <dc:description/>
  <cp:lastModifiedBy>mark.cox</cp:lastModifiedBy>
  <cp:lastPrinted>2006-05-18T20:15:10Z</cp:lastPrinted>
  <dcterms:created xsi:type="dcterms:W3CDTF">2004-12-22T14:26:51Z</dcterms:created>
  <dcterms:modified xsi:type="dcterms:W3CDTF">2009-01-13T14:16:45Z</dcterms:modified>
  <cp:category/>
  <cp:version/>
  <cp:contentType/>
  <cp:contentStatus/>
</cp:coreProperties>
</file>