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10" tabRatio="670" activeTab="0"/>
  </bookViews>
  <sheets>
    <sheet name="General" sheetId="1" r:id="rId1"/>
    <sheet name="CPIF" sheetId="2" r:id="rId2"/>
    <sheet name="T&amp;M" sheetId="3" r:id="rId3"/>
    <sheet name="Labor Hours" sheetId="4" r:id="rId4"/>
  </sheets>
  <externalReferences>
    <externalReference r:id="rId7"/>
  </externalReferences>
  <definedNames>
    <definedName name="GA">#REF!</definedName>
    <definedName name="GA_Fee">#REF!</definedName>
    <definedName name="_xlnm.Print_Area" localSheetId="0">'General'!$A$1:$E$152</definedName>
    <definedName name="_xlnm.Print_Area" localSheetId="3">'Labor Hours'!$A$1:$K$55</definedName>
    <definedName name="_xlnm.Print_Area" localSheetId="2">'T&amp;M'!$A$1:$K$103</definedName>
    <definedName name="_xlnm.Print_Titles" localSheetId="1">'CPIF'!$1:$2</definedName>
    <definedName name="_xlnm.Print_Titles" localSheetId="0">'General'!$1:$2</definedName>
    <definedName name="_xlnm.Print_Titles" localSheetId="3">'Labor Hours'!$1:$2</definedName>
    <definedName name="_xlnm.Print_Titles" localSheetId="2">'T&amp;M'!$1:$2</definedName>
    <definedName name="Rate">#REF!</definedName>
    <definedName name="Total_Cost">#REF!</definedName>
  </definedNames>
  <calcPr fullCalcOnLoad="1"/>
</workbook>
</file>

<file path=xl/sharedStrings.xml><?xml version="1.0" encoding="utf-8"?>
<sst xmlns="http://schemas.openxmlformats.org/spreadsheetml/2006/main" count="634" uniqueCount="121">
  <si>
    <t>CLIN</t>
  </si>
  <si>
    <t>Reproduction</t>
  </si>
  <si>
    <t>Travel and Per Diem</t>
  </si>
  <si>
    <t>Communications</t>
  </si>
  <si>
    <t>Other (not to exceed $100.00)</t>
  </si>
  <si>
    <t>Program Manager</t>
  </si>
  <si>
    <t>System Safety Specialist</t>
  </si>
  <si>
    <t>IT Specialist</t>
  </si>
  <si>
    <t>Technical Writer</t>
  </si>
  <si>
    <t>Sr. Training Specialist</t>
  </si>
  <si>
    <t>Functional Analyst</t>
  </si>
  <si>
    <t>Document Processor</t>
  </si>
  <si>
    <t>Regulatory Specialist</t>
  </si>
  <si>
    <t>Subject Matter Expert</t>
  </si>
  <si>
    <t>G&amp;A</t>
  </si>
  <si>
    <t>Other Direct Costs (ODCs)</t>
  </si>
  <si>
    <t>Material Handling Fee (MHF)</t>
  </si>
  <si>
    <t xml:space="preserve">          Total ODCs and MHF</t>
  </si>
  <si>
    <t>Materials</t>
  </si>
  <si>
    <t xml:space="preserve">Total Base Period Cost Estimate </t>
  </si>
  <si>
    <t xml:space="preserve">Total Option Period 1 Cost Estimate </t>
  </si>
  <si>
    <t xml:space="preserve">Total Option Period 2 Cost Estimate </t>
  </si>
  <si>
    <t xml:space="preserve"> Cost Estimate Summary for All Periods </t>
  </si>
  <si>
    <t>n/a</t>
  </si>
  <si>
    <t>Labor Category</t>
  </si>
  <si>
    <t>Brief Narrative (Please see attachment 1 for the full narrative)</t>
  </si>
  <si>
    <t>Estimated</t>
  </si>
  <si>
    <t>Hours</t>
  </si>
  <si>
    <t>Direct Labor</t>
  </si>
  <si>
    <t>Rate</t>
  </si>
  <si>
    <t>Applied</t>
  </si>
  <si>
    <t>Fringe Rate</t>
  </si>
  <si>
    <t>Overhead</t>
  </si>
  <si>
    <t>Before Fee</t>
  </si>
  <si>
    <t>Fee</t>
  </si>
  <si>
    <t>Burdened Rate</t>
  </si>
  <si>
    <t>Fully</t>
  </si>
  <si>
    <t>Cost</t>
  </si>
  <si>
    <t xml:space="preserve">1. The labor categories for this estimate are based on the history of the PDQ program (FAA contract DTFA-07-0-1987). </t>
  </si>
  <si>
    <t>2. Estimated hours for each labor category are based on history (contract DTFA-07-0-1987) and judgment of experienced computer programmers.</t>
  </si>
  <si>
    <t>3. Direct labor rates are based on GSA FREEDOM schedule, May 2017, market survey cost information May 2017, and compared to rates on contract DTFA-07-0-1987, June 2016.</t>
  </si>
  <si>
    <t>5. Overhead rate (26.9%) rate is based on BLS study of corporate overhead rates for Oklahoma, April 10, 2017.</t>
  </si>
  <si>
    <t>7. Fee of seven percent is based on our market analysis of average profits for this type of work in Oklahoma City.</t>
  </si>
  <si>
    <t xml:space="preserve">8. We estimate a total of 58 trips from Oklahoma City to Washington, D.C. averaging $1,500 per person per trip. </t>
  </si>
  <si>
    <t>9. The materials cost estimate is based on the history of the PDQ program (FAA contract DTFA-07-0-1987) and vendor quotations.</t>
  </si>
  <si>
    <t>10. The material handling fee is based on our market analysis, March 10, 2017.</t>
  </si>
  <si>
    <t>11. The escalation rate is based on the BLS Producer Price Index, Table 9, May 2017.</t>
  </si>
  <si>
    <t>4. Fringe benefit rate (36%) is based on Bureau of Labor Statistics (BLS) study on fringe benefit rates in Oklahoma, April 10, 2017.</t>
  </si>
  <si>
    <t>Labor Costs for All Periods</t>
  </si>
  <si>
    <t>Labor Costs for Base Period</t>
  </si>
  <si>
    <t>Labor Costs for Option 1 Period</t>
  </si>
  <si>
    <t>Labor Costs for Option 2 Period</t>
  </si>
  <si>
    <t xml:space="preserve">Subtotal </t>
  </si>
  <si>
    <t>Subtotal</t>
  </si>
  <si>
    <t>Labor Categories and ODC Items</t>
  </si>
  <si>
    <t>Fringe Benefit</t>
  </si>
  <si>
    <t>Est.- 36%</t>
  </si>
  <si>
    <t>Est. - 26.9%</t>
  </si>
  <si>
    <t>Est. - 12%</t>
  </si>
  <si>
    <t>Target Rate</t>
  </si>
  <si>
    <t>Minimum</t>
  </si>
  <si>
    <t>Fee - 4%</t>
  </si>
  <si>
    <t>Target</t>
  </si>
  <si>
    <t>Fee- 7%</t>
  </si>
  <si>
    <t>Maximum</t>
  </si>
  <si>
    <t>Fee - 10%</t>
  </si>
  <si>
    <t>Est. Cost</t>
  </si>
  <si>
    <t>Rates per hr.</t>
  </si>
  <si>
    <t xml:space="preserve">Option 1 Period Cost Estimate </t>
  </si>
  <si>
    <t xml:space="preserve">Option 2 Period Cost Estimate </t>
  </si>
  <si>
    <t>Summary All Periods Cost Est.</t>
  </si>
  <si>
    <t xml:space="preserve">Base Period Cost Estimate </t>
  </si>
  <si>
    <t>Other (not to exceed $100)</t>
  </si>
  <si>
    <t>Sources of Information (Please see Appendix 1 for full narrative)</t>
  </si>
  <si>
    <t>Subtotal (direct, indirect, and ODC)</t>
  </si>
  <si>
    <t xml:space="preserve">Total Option 1 Period Cost Estimate </t>
  </si>
  <si>
    <t xml:space="preserve">Total Option 2 Period Cost Estimate </t>
  </si>
  <si>
    <r>
      <t xml:space="preserve">Fringe Benefits </t>
    </r>
    <r>
      <rPr>
        <sz val="11"/>
        <rFont val="Times New Roman"/>
        <family val="1"/>
      </rPr>
      <t>(36% X $607,518.90)</t>
    </r>
  </si>
  <si>
    <r>
      <t xml:space="preserve">Overhead </t>
    </r>
    <r>
      <rPr>
        <sz val="11"/>
        <rFont val="Times New Roman"/>
        <family val="1"/>
      </rPr>
      <t>(26.9% X ($607,518.90 + $218,706.80))</t>
    </r>
  </si>
  <si>
    <r>
      <t xml:space="preserve">Subtotal </t>
    </r>
    <r>
      <rPr>
        <sz val="11"/>
        <rFont val="Times New Roman"/>
        <family val="1"/>
      </rPr>
      <t>(direct, indirect, and ODC)</t>
    </r>
  </si>
  <si>
    <r>
      <t xml:space="preserve">G&amp;A </t>
    </r>
    <r>
      <rPr>
        <sz val="11"/>
        <rFont val="Times New Roman"/>
        <family val="1"/>
      </rPr>
      <t>(12% X $1,050,518.17)</t>
    </r>
  </si>
  <si>
    <r>
      <t xml:space="preserve">Profit or Fee </t>
    </r>
    <r>
      <rPr>
        <sz val="11"/>
        <rFont val="Times New Roman"/>
        <family val="1"/>
      </rPr>
      <t>(5% X $1,050,518.17)</t>
    </r>
  </si>
  <si>
    <t xml:space="preserve">G&amp;A </t>
  </si>
  <si>
    <t>Direct Labor (3.1% escalation)</t>
  </si>
  <si>
    <t>G&amp;A (2.8% escalation)</t>
  </si>
  <si>
    <t>Overhead (2.8% escalation)</t>
  </si>
  <si>
    <t>Fringe Benefits (2.8% escalation)</t>
  </si>
  <si>
    <t>Direct Labor (2.8% escalation)</t>
  </si>
  <si>
    <t>Material Handling Fee (2.8% escalation)</t>
  </si>
  <si>
    <t>Fringe Benefits (3.1% escalation)</t>
  </si>
  <si>
    <t>Overhead (3.1% escalation)</t>
  </si>
  <si>
    <t>Material Handling Fee (3.1 escalation)</t>
  </si>
  <si>
    <t>G&amp;A (3.1 escalation)</t>
  </si>
  <si>
    <t>Profit or Fee (escluding G&amp;A and no escalation)</t>
  </si>
  <si>
    <t>Profit or Fee (excluding G&amp;A and no escalation)</t>
  </si>
  <si>
    <t xml:space="preserve">Fringe Benefits </t>
  </si>
  <si>
    <t xml:space="preserve">1. The labor categories for this estimate are based on the history of the PDQ program </t>
  </si>
  <si>
    <t xml:space="preserve">2. Estimated hours for each labor category are based on history (contract DTFA-07-0-1987) and </t>
  </si>
  <si>
    <t xml:space="preserve">    (FAA contract DTFA-07-0-1987). </t>
  </si>
  <si>
    <t xml:space="preserve">    judgment of experienced computer programmers.</t>
  </si>
  <si>
    <t xml:space="preserve">3. Direct labor rates are based on GSA FREEDOM schedule, May 2017, market survey cost information </t>
  </si>
  <si>
    <t xml:space="preserve">    May 2017, and compared to rates on contract DTFA-07-0-1987, June 2016.</t>
  </si>
  <si>
    <t xml:space="preserve">4. Fringe benefit rate (36%) is based on Bureau of Labor Statistics (BLS) study on fringe benefit rates </t>
  </si>
  <si>
    <t xml:space="preserve">    in Oklahoma, April 10, 2017.</t>
  </si>
  <si>
    <t xml:space="preserve">5. Overhead rate (26.9%) rate is based on BLS study of corporate overhead rates for Oklahoma, </t>
  </si>
  <si>
    <t xml:space="preserve">    April 10, 2017.</t>
  </si>
  <si>
    <t xml:space="preserve">7. Fee of seven percent is based on our market analysis of average profits for this type of work in </t>
  </si>
  <si>
    <t xml:space="preserve">    Oklahoma City.</t>
  </si>
  <si>
    <t>9. The materials cost estimate is based on the history of the PDQ program (FAA contract DTFA-07-0-</t>
  </si>
  <si>
    <t xml:space="preserve">    1987) and vendor quotations.</t>
  </si>
  <si>
    <t>Material Handling Fee (3.9% X $52,250)</t>
  </si>
  <si>
    <t>Profit or Fee (excluding G&amp;A)</t>
  </si>
  <si>
    <t>Base Year Period</t>
  </si>
  <si>
    <t>Summary All Periods</t>
  </si>
  <si>
    <t>Option 1 Period</t>
  </si>
  <si>
    <t>Option 2 Period</t>
  </si>
  <si>
    <t>Base Period</t>
  </si>
  <si>
    <t>8. The estimate is based on the experience with the PDQ program (FAA contract DTFA-07-0-1987).</t>
  </si>
  <si>
    <t xml:space="preserve">6. General and administrative (G&amp;A) rate (12%) is based on a study by the Foundation for G&amp;A </t>
  </si>
  <si>
    <t xml:space="preserve">    Excellence of G&amp;A rates for the Middle West, March 31, 2017.</t>
  </si>
  <si>
    <t>6. General and administrative (G&amp;A) rate (12%) is based on a study by the Foundation for G&amp;A Excellence of G&amp;A rates for the Middle West, March 31, 2017.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</si>
</sst>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mmmm\ d\,\ yyyy"/>
    <numFmt numFmtId="167" formatCode="#,##0.0_);\(#,##0.0\)"/>
    <numFmt numFmtId="168" formatCode="&quot;$&quot;#,##0.000_);\(&quot;$&quot;#,##0.000\)"/>
    <numFmt numFmtId="169" formatCode="0.0_);\(0.0\)"/>
    <numFmt numFmtId="170" formatCode="#,##0.0"/>
    <numFmt numFmtId="171" formatCode="&quot;$&quot;#,##0.0000_);\(&quot;$&quot;#,##0.0000\)"/>
    <numFmt numFmtId="172" formatCode="0.0000"/>
    <numFmt numFmtId="173" formatCode="&quot;$&quot;#,##0.00;[Red]&quot;$&quot;#,##0.00"/>
    <numFmt numFmtId="174" formatCode="mmm\-yyyy"/>
    <numFmt numFmtId="175" formatCode="0.0"/>
    <numFmt numFmtId="176" formatCode="0.000"/>
    <numFmt numFmtId="177" formatCode="&quot;$&quot;#,##0.00000_);\(&quot;$&quot;#,##0.0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.0%"/>
    <numFmt numFmtId="191" formatCode="mmmm\-yy"/>
    <numFmt numFmtId="192" formatCode="0.00_);[Red]\(0.00\)"/>
    <numFmt numFmtId="193" formatCode="_(* #,##0_);_(* \(#,##0\);_(* &quot;-&quot;??_);_(@_)"/>
    <numFmt numFmtId="194" formatCode="0.00000000"/>
    <numFmt numFmtId="195" formatCode="0.0000000"/>
    <numFmt numFmtId="196" formatCode="0.000000"/>
    <numFmt numFmtId="197" formatCode="0.00000"/>
    <numFmt numFmtId="198" formatCode="_(* #,##0.000_);_(* \(#,##0.000\);_(* &quot;-&quot;??_);_(@_)"/>
    <numFmt numFmtId="199" formatCode="_(* #,##0.0_);_(* \(#,##0.0\);_(* &quot;-&quot;??_);_(@_)"/>
    <numFmt numFmtId="200" formatCode="_(* #,##0.0000_);_(* \(#,##0.0000\);_(* &quot;-&quot;??_);_(@_)"/>
    <numFmt numFmtId="201" formatCode="0.000%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-* #,##0_-;\-* #,##0_-;_-* &quot;-&quot;??_-;_-@_-"/>
    <numFmt numFmtId="205" formatCode="mm/dd/yy"/>
    <numFmt numFmtId="206" formatCode="#,##0.0_);[Red]\(#,##0.0\)"/>
    <numFmt numFmtId="207" formatCode="0.0000%"/>
    <numFmt numFmtId="208" formatCode="0."/>
    <numFmt numFmtId="209" formatCode="00.0"/>
    <numFmt numFmtId="210" formatCode="&quot;$&quot;#,##0.0"/>
    <numFmt numFmtId="211" formatCode="General_)"/>
    <numFmt numFmtId="212" formatCode="0.00_)"/>
    <numFmt numFmtId="213" formatCode="d\-mmm\-yyyy"/>
    <numFmt numFmtId="214" formatCode="dd\-mmm\-yy"/>
    <numFmt numFmtId="215" formatCode="&quot;$&quot;#,##0"/>
    <numFmt numFmtId="216" formatCode="&quot;$&quot;#,##0.000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b/>
      <sz val="10"/>
      <name val="Arial"/>
      <family val="0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8" fontId="5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7" fontId="1" fillId="0" borderId="0" xfId="0" applyNumberFormat="1" applyFont="1" applyAlignment="1">
      <alignment horizontal="right"/>
    </xf>
    <xf numFmtId="193" fontId="1" fillId="0" borderId="0" xfId="15" applyNumberFormat="1" applyFont="1" applyAlignment="1">
      <alignment/>
    </xf>
    <xf numFmtId="193" fontId="2" fillId="0" borderId="0" xfId="15" applyNumberFormat="1" applyFont="1" applyAlignment="1">
      <alignment/>
    </xf>
    <xf numFmtId="190" fontId="1" fillId="0" borderId="0" xfId="21" applyNumberFormat="1" applyFont="1" applyFill="1" applyBorder="1" applyAlignment="1">
      <alignment/>
    </xf>
    <xf numFmtId="193" fontId="7" fillId="0" borderId="0" xfId="15" applyNumberFormat="1" applyFont="1" applyAlignment="1">
      <alignment/>
    </xf>
    <xf numFmtId="19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 wrapText="1"/>
    </xf>
    <xf numFmtId="7" fontId="1" fillId="0" borderId="0" xfId="0" applyNumberFormat="1" applyFont="1" applyBorder="1" applyAlignment="1">
      <alignment wrapText="1"/>
    </xf>
    <xf numFmtId="7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 vertical="top" wrapText="1"/>
    </xf>
    <xf numFmtId="164" fontId="1" fillId="0" borderId="0" xfId="21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7" fontId="1" fillId="0" borderId="1" xfId="0" applyNumberFormat="1" applyFont="1" applyBorder="1" applyAlignment="1">
      <alignment wrapText="1"/>
    </xf>
    <xf numFmtId="7" fontId="2" fillId="0" borderId="2" xfId="0" applyNumberFormat="1" applyFont="1" applyBorder="1" applyAlignment="1">
      <alignment wrapText="1"/>
    </xf>
    <xf numFmtId="7" fontId="2" fillId="0" borderId="3" xfId="0" applyNumberFormat="1" applyFont="1" applyBorder="1" applyAlignment="1">
      <alignment wrapText="1"/>
    </xf>
    <xf numFmtId="193" fontId="2" fillId="0" borderId="3" xfId="15" applyNumberFormat="1" applyFont="1" applyBorder="1" applyAlignment="1">
      <alignment/>
    </xf>
    <xf numFmtId="164" fontId="1" fillId="0" borderId="0" xfId="15" applyNumberFormat="1" applyFont="1" applyAlignment="1">
      <alignment horizontal="right"/>
    </xf>
    <xf numFmtId="0" fontId="0" fillId="2" borderId="0" xfId="0" applyFont="1" applyFill="1" applyAlignment="1">
      <alignment horizontal="center" vertical="top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64" fontId="1" fillId="0" borderId="0" xfId="15" applyNumberFormat="1" applyFont="1" applyAlignment="1">
      <alignment horizontal="center"/>
    </xf>
    <xf numFmtId="5" fontId="6" fillId="2" borderId="4" xfId="0" applyNumberFormat="1" applyFont="1" applyFill="1" applyBorder="1" applyAlignment="1">
      <alignment horizontal="center" wrapText="1"/>
    </xf>
    <xf numFmtId="5" fontId="6" fillId="2" borderId="5" xfId="0" applyNumberFormat="1" applyFont="1" applyFill="1" applyBorder="1" applyAlignment="1">
      <alignment horizontal="center" vertical="top" wrapText="1"/>
    </xf>
    <xf numFmtId="5" fontId="1" fillId="0" borderId="0" xfId="17" applyNumberFormat="1" applyFont="1" applyAlignment="1">
      <alignment wrapText="1"/>
    </xf>
    <xf numFmtId="5" fontId="8" fillId="0" borderId="0" xfId="17" applyNumberFormat="1" applyFont="1" applyAlignment="1">
      <alignment wrapText="1"/>
    </xf>
    <xf numFmtId="5" fontId="2" fillId="0" borderId="3" xfId="0" applyNumberFormat="1" applyFont="1" applyBorder="1" applyAlignment="1">
      <alignment wrapText="1"/>
    </xf>
    <xf numFmtId="5" fontId="2" fillId="0" borderId="0" xfId="0" applyNumberFormat="1" applyFont="1" applyAlignment="1">
      <alignment horizontal="right" wrapText="1"/>
    </xf>
    <xf numFmtId="5" fontId="2" fillId="0" borderId="0" xfId="0" applyNumberFormat="1" applyFont="1" applyAlignment="1">
      <alignment wrapText="1"/>
    </xf>
    <xf numFmtId="5" fontId="0" fillId="0" borderId="0" xfId="0" applyNumberFormat="1" applyAlignment="1">
      <alignment wrapText="1"/>
    </xf>
    <xf numFmtId="5" fontId="1" fillId="0" borderId="0" xfId="0" applyNumberFormat="1" applyFont="1" applyBorder="1" applyAlignment="1">
      <alignment wrapText="1"/>
    </xf>
    <xf numFmtId="5" fontId="8" fillId="0" borderId="0" xfId="0" applyNumberFormat="1" applyFont="1" applyBorder="1" applyAlignment="1">
      <alignment wrapText="1"/>
    </xf>
    <xf numFmtId="5" fontId="1" fillId="0" borderId="3" xfId="0" applyNumberFormat="1" applyFont="1" applyBorder="1" applyAlignment="1">
      <alignment wrapText="1"/>
    </xf>
    <xf numFmtId="5" fontId="2" fillId="0" borderId="0" xfId="0" applyNumberFormat="1" applyFont="1" applyBorder="1" applyAlignment="1">
      <alignment wrapText="1"/>
    </xf>
    <xf numFmtId="5" fontId="1" fillId="0" borderId="0" xfId="0" applyNumberFormat="1" applyFont="1" applyAlignment="1">
      <alignment wrapText="1"/>
    </xf>
    <xf numFmtId="5" fontId="8" fillId="0" borderId="0" xfId="0" applyNumberFormat="1" applyFont="1" applyAlignment="1">
      <alignment wrapText="1"/>
    </xf>
    <xf numFmtId="5" fontId="6" fillId="0" borderId="0" xfId="0" applyNumberFormat="1" applyFont="1" applyAlignment="1">
      <alignment wrapText="1"/>
    </xf>
    <xf numFmtId="193" fontId="2" fillId="0" borderId="0" xfId="15" applyNumberFormat="1" applyFont="1" applyBorder="1" applyAlignment="1">
      <alignment/>
    </xf>
    <xf numFmtId="193" fontId="1" fillId="0" borderId="3" xfId="15" applyNumberFormat="1" applyFont="1" applyBorder="1" applyAlignment="1">
      <alignment/>
    </xf>
    <xf numFmtId="7" fontId="1" fillId="0" borderId="2" xfId="0" applyNumberFormat="1" applyFont="1" applyBorder="1" applyAlignment="1">
      <alignment wrapText="1"/>
    </xf>
    <xf numFmtId="7" fontId="1" fillId="0" borderId="3" xfId="0" applyNumberFormat="1" applyFont="1" applyBorder="1" applyAlignment="1">
      <alignment wrapText="1"/>
    </xf>
    <xf numFmtId="190" fontId="1" fillId="0" borderId="0" xfId="15" applyNumberFormat="1" applyFont="1" applyAlignment="1">
      <alignment/>
    </xf>
    <xf numFmtId="193" fontId="1" fillId="0" borderId="1" xfId="15" applyNumberFormat="1" applyFont="1" applyBorder="1" applyAlignment="1">
      <alignment/>
    </xf>
    <xf numFmtId="190" fontId="1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CHAE~1\LOCALS~1\Temp\notes6030C8\MONTHLY\2000\Nov00\3278\TO15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 No. 15-APO-PR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showGridLines="0" tabSelected="1" workbookViewId="0" topLeftCell="A1">
      <pane ySplit="2" topLeftCell="BM3" activePane="bottomLeft" state="frozen"/>
      <selection pane="topLeft" activeCell="B1" sqref="B1"/>
      <selection pane="bottomLeft" activeCell="B4" sqref="B4"/>
    </sheetView>
  </sheetViews>
  <sheetFormatPr defaultColWidth="9.140625" defaultRowHeight="12.75"/>
  <cols>
    <col min="1" max="1" width="7.7109375" style="26" customWidth="1"/>
    <col min="2" max="2" width="39.7109375" style="0" bestFit="1" customWidth="1"/>
    <col min="3" max="3" width="15.7109375" style="0" bestFit="1" customWidth="1"/>
    <col min="4" max="4" width="12.140625" style="16" bestFit="1" customWidth="1"/>
    <col min="5" max="5" width="14.8515625" style="12" bestFit="1" customWidth="1"/>
  </cols>
  <sheetData>
    <row r="1" spans="1:5" s="33" customFormat="1" ht="19.5" customHeight="1">
      <c r="A1" s="34"/>
      <c r="B1" s="34"/>
      <c r="C1" s="34" t="s">
        <v>26</v>
      </c>
      <c r="D1" s="34"/>
      <c r="E1" s="34" t="s">
        <v>26</v>
      </c>
    </row>
    <row r="2" spans="1:5" s="33" customFormat="1" ht="19.5" customHeight="1">
      <c r="A2" s="35" t="s">
        <v>0</v>
      </c>
      <c r="B2" s="35" t="s">
        <v>24</v>
      </c>
      <c r="C2" s="35" t="s">
        <v>27</v>
      </c>
      <c r="D2" s="35" t="s">
        <v>29</v>
      </c>
      <c r="E2" s="35" t="s">
        <v>37</v>
      </c>
    </row>
    <row r="3" spans="1:8" ht="15">
      <c r="A3" s="24"/>
      <c r="B3" s="4" t="s">
        <v>113</v>
      </c>
      <c r="C3" s="6"/>
      <c r="D3" s="32"/>
      <c r="E3" s="13"/>
      <c r="G3" s="10"/>
      <c r="H3" s="10"/>
    </row>
    <row r="4" spans="1:8" ht="15">
      <c r="A4" s="24"/>
      <c r="B4" s="3" t="s">
        <v>5</v>
      </c>
      <c r="C4" s="6">
        <f aca="true" t="shared" si="0" ref="C4:C12">C36+C68+C100</f>
        <v>6000</v>
      </c>
      <c r="D4" s="32" t="s">
        <v>23</v>
      </c>
      <c r="E4" s="13">
        <f aca="true" t="shared" si="1" ref="E4:E12">E36+E68+E100</f>
        <v>493194.27696000005</v>
      </c>
      <c r="G4" s="10"/>
      <c r="H4" s="10"/>
    </row>
    <row r="5" spans="1:8" ht="15">
      <c r="A5" s="24"/>
      <c r="B5" s="3" t="s">
        <v>7</v>
      </c>
      <c r="C5" s="6">
        <f t="shared" si="0"/>
        <v>3133</v>
      </c>
      <c r="D5" s="32" t="s">
        <v>23</v>
      </c>
      <c r="E5" s="13">
        <f t="shared" si="1"/>
        <v>171925.115032</v>
      </c>
      <c r="G5" s="10"/>
      <c r="H5" s="10"/>
    </row>
    <row r="6" spans="1:8" ht="15">
      <c r="A6" s="24"/>
      <c r="B6" s="3" t="s">
        <v>6</v>
      </c>
      <c r="C6" s="6">
        <f t="shared" si="0"/>
        <v>5842</v>
      </c>
      <c r="D6" s="32" t="s">
        <v>23</v>
      </c>
      <c r="E6" s="13">
        <f t="shared" si="1"/>
        <v>388569.1368444001</v>
      </c>
      <c r="G6" s="10"/>
      <c r="H6" s="10"/>
    </row>
    <row r="7" spans="1:8" ht="15">
      <c r="A7" s="24"/>
      <c r="B7" s="3" t="s">
        <v>8</v>
      </c>
      <c r="C7" s="6">
        <f t="shared" si="0"/>
        <v>442</v>
      </c>
      <c r="D7" s="32" t="s">
        <v>23</v>
      </c>
      <c r="E7" s="13">
        <f t="shared" si="1"/>
        <v>22468.08742808</v>
      </c>
      <c r="G7" s="10"/>
      <c r="H7" s="10"/>
    </row>
    <row r="8" spans="1:8" ht="15">
      <c r="A8" s="24"/>
      <c r="B8" s="3" t="s">
        <v>9</v>
      </c>
      <c r="C8" s="6">
        <f t="shared" si="0"/>
        <v>851</v>
      </c>
      <c r="D8" s="32" t="s">
        <v>23</v>
      </c>
      <c r="E8" s="13">
        <f t="shared" si="1"/>
        <v>54413.010470880006</v>
      </c>
      <c r="G8" s="10"/>
      <c r="H8" s="10"/>
    </row>
    <row r="9" spans="1:8" ht="15">
      <c r="A9" s="24"/>
      <c r="B9" s="3" t="s">
        <v>10</v>
      </c>
      <c r="C9" s="6">
        <f t="shared" si="0"/>
        <v>5694</v>
      </c>
      <c r="D9" s="32" t="s">
        <v>23</v>
      </c>
      <c r="E9" s="13">
        <f t="shared" si="1"/>
        <v>298789.15850240004</v>
      </c>
      <c r="G9" s="10"/>
      <c r="H9" s="10"/>
    </row>
    <row r="10" spans="1:8" ht="15">
      <c r="A10" s="24"/>
      <c r="B10" s="3" t="s">
        <v>11</v>
      </c>
      <c r="C10" s="6">
        <f t="shared" si="0"/>
        <v>3043</v>
      </c>
      <c r="D10" s="32" t="s">
        <v>23</v>
      </c>
      <c r="E10" s="13">
        <f t="shared" si="1"/>
        <v>81180.78128496</v>
      </c>
      <c r="G10" s="10"/>
      <c r="H10" s="10"/>
    </row>
    <row r="11" spans="1:8" ht="15">
      <c r="A11" s="24"/>
      <c r="B11" s="3" t="s">
        <v>12</v>
      </c>
      <c r="C11" s="6">
        <f t="shared" si="0"/>
        <v>821</v>
      </c>
      <c r="D11" s="32" t="s">
        <v>23</v>
      </c>
      <c r="E11" s="13">
        <f t="shared" si="1"/>
        <v>49738.3937564</v>
      </c>
      <c r="G11" s="10"/>
      <c r="H11" s="10"/>
    </row>
    <row r="12" spans="1:8" ht="15">
      <c r="A12" s="24"/>
      <c r="B12" s="3" t="s">
        <v>13</v>
      </c>
      <c r="C12" s="63">
        <f t="shared" si="0"/>
        <v>4176</v>
      </c>
      <c r="D12" s="32" t="s">
        <v>23</v>
      </c>
      <c r="E12" s="13">
        <f t="shared" si="1"/>
        <v>532961.675</v>
      </c>
      <c r="G12" s="10"/>
      <c r="H12" s="10"/>
    </row>
    <row r="13" spans="1:10" ht="15.75" thickBot="1">
      <c r="A13" s="25"/>
      <c r="B13" s="4" t="s">
        <v>28</v>
      </c>
      <c r="C13" s="31">
        <f>SUM(C4:C12)</f>
        <v>30002</v>
      </c>
      <c r="D13" s="18"/>
      <c r="E13" s="29">
        <f>SUM(E4:E12)</f>
        <v>2093239.6352791204</v>
      </c>
      <c r="J13" s="11"/>
    </row>
    <row r="14" spans="1:10" ht="15.75" thickTop="1">
      <c r="A14" s="25"/>
      <c r="B14" s="4"/>
      <c r="C14" s="58"/>
      <c r="D14" s="18"/>
      <c r="E14" s="14"/>
      <c r="J14" s="11"/>
    </row>
    <row r="15" spans="1:10" ht="15.75" thickBot="1">
      <c r="A15" s="25"/>
      <c r="B15" s="4" t="s">
        <v>95</v>
      </c>
      <c r="C15" s="58"/>
      <c r="D15" s="32" t="s">
        <v>23</v>
      </c>
      <c r="E15" s="61">
        <f>E47+E79+E111</f>
        <v>772502.5414417734</v>
      </c>
      <c r="J15" s="11"/>
    </row>
    <row r="16" spans="1:10" ht="15.75" thickTop="1">
      <c r="A16" s="25"/>
      <c r="B16" s="4"/>
      <c r="C16" s="58"/>
      <c r="D16" s="18"/>
      <c r="E16" s="14"/>
      <c r="J16" s="11"/>
    </row>
    <row r="17" spans="1:10" ht="15.75" thickBot="1">
      <c r="A17" s="25"/>
      <c r="B17" s="4" t="s">
        <v>32</v>
      </c>
      <c r="C17" s="58"/>
      <c r="D17" s="32" t="s">
        <v>23</v>
      </c>
      <c r="E17" s="61">
        <f>E49+E81+E113</f>
        <v>790334.5118436686</v>
      </c>
      <c r="J17" s="11"/>
    </row>
    <row r="18" spans="1:10" ht="15.75" thickTop="1">
      <c r="A18" s="25"/>
      <c r="B18" s="4"/>
      <c r="C18" s="58"/>
      <c r="D18" s="18"/>
      <c r="E18" s="14"/>
      <c r="J18" s="11"/>
    </row>
    <row r="19" spans="1:5" ht="15">
      <c r="A19" s="25"/>
      <c r="B19" s="4" t="s">
        <v>15</v>
      </c>
      <c r="C19" s="5"/>
      <c r="D19" s="19"/>
      <c r="E19" s="15"/>
    </row>
    <row r="20" spans="1:5" ht="15">
      <c r="A20" s="25"/>
      <c r="B20" s="1" t="s">
        <v>2</v>
      </c>
      <c r="C20" s="5"/>
      <c r="D20" s="19"/>
      <c r="E20" s="13">
        <f aca="true" t="shared" si="2" ref="E20:E25">E52+E84+E116</f>
        <v>185202</v>
      </c>
    </row>
    <row r="21" spans="1:5" ht="15">
      <c r="A21" s="25"/>
      <c r="B21" s="1" t="s">
        <v>3</v>
      </c>
      <c r="C21" s="5"/>
      <c r="D21" s="19"/>
      <c r="E21" s="13">
        <f t="shared" si="2"/>
        <v>0</v>
      </c>
    </row>
    <row r="22" spans="1:5" ht="15">
      <c r="A22" s="25"/>
      <c r="B22" s="1" t="s">
        <v>1</v>
      </c>
      <c r="C22" s="5"/>
      <c r="D22" s="19"/>
      <c r="E22" s="13">
        <f t="shared" si="2"/>
        <v>0</v>
      </c>
    </row>
    <row r="23" spans="1:5" ht="15">
      <c r="A23" s="25"/>
      <c r="B23" s="1" t="s">
        <v>4</v>
      </c>
      <c r="C23" s="5"/>
      <c r="D23" s="19"/>
      <c r="E23" s="13">
        <f t="shared" si="2"/>
        <v>0</v>
      </c>
    </row>
    <row r="24" spans="1:5" ht="15">
      <c r="A24" s="25"/>
      <c r="B24" s="1" t="s">
        <v>18</v>
      </c>
      <c r="C24" s="5"/>
      <c r="D24" s="19"/>
      <c r="E24" s="13">
        <f t="shared" si="2"/>
        <v>208733</v>
      </c>
    </row>
    <row r="25" spans="2:5" ht="15">
      <c r="B25" s="3" t="s">
        <v>16</v>
      </c>
      <c r="C25" s="8"/>
      <c r="D25" s="21"/>
      <c r="E25" s="13">
        <f t="shared" si="2"/>
        <v>8376.405453</v>
      </c>
    </row>
    <row r="26" spans="1:5" ht="15.75" thickBot="1">
      <c r="A26" s="23"/>
      <c r="B26" s="1" t="s">
        <v>17</v>
      </c>
      <c r="C26" s="5"/>
      <c r="D26" s="19"/>
      <c r="E26" s="29">
        <f>SUM(E20:E25)</f>
        <v>402311.405453</v>
      </c>
    </row>
    <row r="27" spans="1:5" ht="15.75" thickTop="1">
      <c r="A27" s="23"/>
      <c r="B27" s="1"/>
      <c r="C27" s="5"/>
      <c r="D27" s="19"/>
      <c r="E27" s="14"/>
    </row>
    <row r="28" spans="1:5" ht="15.75" thickBot="1">
      <c r="A28" s="23"/>
      <c r="B28" s="41" t="s">
        <v>74</v>
      </c>
      <c r="C28" s="5"/>
      <c r="D28" s="19"/>
      <c r="E28" s="30">
        <f>E13+E15+E17+E26</f>
        <v>4058388.0940175625</v>
      </c>
    </row>
    <row r="29" spans="1:5" ht="15.75" thickTop="1">
      <c r="A29" s="23"/>
      <c r="B29" s="41"/>
      <c r="C29" s="5"/>
      <c r="D29" s="19"/>
      <c r="E29" s="14"/>
    </row>
    <row r="30" spans="1:5" ht="15.75" thickBot="1">
      <c r="A30" s="23"/>
      <c r="B30" s="41" t="s">
        <v>82</v>
      </c>
      <c r="C30" s="5"/>
      <c r="D30" s="32" t="s">
        <v>23</v>
      </c>
      <c r="E30" s="61">
        <f>E62+E94+E126</f>
        <v>450869.15465707117</v>
      </c>
    </row>
    <row r="31" spans="1:5" ht="15.75" thickTop="1">
      <c r="A31" s="23"/>
      <c r="B31" s="41"/>
      <c r="C31" s="5"/>
      <c r="D31" s="19"/>
      <c r="E31" s="14"/>
    </row>
    <row r="32" spans="1:5" ht="15.75" thickBot="1">
      <c r="A32" s="23"/>
      <c r="B32" s="41" t="s">
        <v>111</v>
      </c>
      <c r="C32" s="5"/>
      <c r="D32" s="64">
        <v>0.05</v>
      </c>
      <c r="E32" s="61">
        <f>E64+E96+E128</f>
        <v>183222.65470087813</v>
      </c>
    </row>
    <row r="33" spans="1:5" ht="15.75" thickTop="1">
      <c r="A33" s="23"/>
      <c r="B33" s="41"/>
      <c r="C33" s="5"/>
      <c r="D33" s="19"/>
      <c r="E33" s="14"/>
    </row>
    <row r="34" spans="1:5" ht="15.75" thickBot="1">
      <c r="A34" s="23"/>
      <c r="B34" s="4" t="s">
        <v>22</v>
      </c>
      <c r="C34" s="5"/>
      <c r="D34" s="19"/>
      <c r="E34" s="30">
        <f>E28+E30+E32</f>
        <v>4692479.903375512</v>
      </c>
    </row>
    <row r="35" spans="1:5" ht="15.75" thickTop="1">
      <c r="A35" s="23"/>
      <c r="B35" s="4" t="s">
        <v>112</v>
      </c>
      <c r="C35" s="5"/>
      <c r="D35" s="19"/>
      <c r="E35" s="14"/>
    </row>
    <row r="36" spans="1:8" ht="15">
      <c r="A36" s="24"/>
      <c r="B36" s="3" t="s">
        <v>5</v>
      </c>
      <c r="C36" s="6">
        <v>2000</v>
      </c>
      <c r="D36" s="17">
        <v>79.86</v>
      </c>
      <c r="E36" s="13">
        <f>C36*D36</f>
        <v>159720</v>
      </c>
      <c r="G36" s="10"/>
      <c r="H36" s="10"/>
    </row>
    <row r="37" spans="1:8" ht="15">
      <c r="A37" s="24"/>
      <c r="B37" s="3" t="s">
        <v>7</v>
      </c>
      <c r="C37" s="6">
        <v>898</v>
      </c>
      <c r="D37" s="17">
        <v>53.5</v>
      </c>
      <c r="E37" s="13">
        <f aca="true" t="shared" si="3" ref="E37:E44">C37*D37</f>
        <v>48043</v>
      </c>
      <c r="G37" s="10"/>
      <c r="H37" s="10"/>
    </row>
    <row r="38" spans="1:8" ht="15">
      <c r="A38" s="24"/>
      <c r="B38" s="3" t="s">
        <v>6</v>
      </c>
      <c r="C38" s="6">
        <v>1884</v>
      </c>
      <c r="D38" s="17">
        <v>64.95</v>
      </c>
      <c r="E38" s="13">
        <f t="shared" si="3"/>
        <v>122365.8</v>
      </c>
      <c r="G38" s="10"/>
      <c r="H38" s="10"/>
    </row>
    <row r="39" spans="1:8" ht="15">
      <c r="A39" s="24"/>
      <c r="B39" s="3" t="s">
        <v>8</v>
      </c>
      <c r="C39" s="6">
        <v>130</v>
      </c>
      <c r="D39" s="17">
        <v>49.63</v>
      </c>
      <c r="E39" s="13">
        <f t="shared" si="3"/>
        <v>6451.900000000001</v>
      </c>
      <c r="G39" s="10"/>
      <c r="H39" s="10"/>
    </row>
    <row r="40" spans="1:8" ht="15">
      <c r="A40" s="24"/>
      <c r="B40" s="3" t="s">
        <v>9</v>
      </c>
      <c r="C40" s="6">
        <v>230</v>
      </c>
      <c r="D40" s="17">
        <v>62.36</v>
      </c>
      <c r="E40" s="13">
        <f t="shared" si="3"/>
        <v>14342.8</v>
      </c>
      <c r="G40" s="10"/>
      <c r="H40" s="10"/>
    </row>
    <row r="41" spans="1:8" ht="15">
      <c r="A41" s="24"/>
      <c r="B41" s="3" t="s">
        <v>10</v>
      </c>
      <c r="C41" s="6">
        <v>1445</v>
      </c>
      <c r="D41" s="17">
        <v>51.2</v>
      </c>
      <c r="E41" s="13">
        <f t="shared" si="3"/>
        <v>73984</v>
      </c>
      <c r="G41" s="10"/>
      <c r="H41" s="10"/>
    </row>
    <row r="42" spans="1:8" ht="15">
      <c r="A42" s="24"/>
      <c r="B42" s="3" t="s">
        <v>11</v>
      </c>
      <c r="C42" s="6">
        <v>885</v>
      </c>
      <c r="D42" s="17">
        <v>26.04</v>
      </c>
      <c r="E42" s="13">
        <f t="shared" si="3"/>
        <v>23045.399999999998</v>
      </c>
      <c r="G42" s="10"/>
      <c r="H42" s="10"/>
    </row>
    <row r="43" spans="1:8" ht="15">
      <c r="A43" s="24"/>
      <c r="B43" s="3" t="s">
        <v>12</v>
      </c>
      <c r="C43" s="6">
        <v>370</v>
      </c>
      <c r="D43" s="17">
        <v>59.3</v>
      </c>
      <c r="E43" s="13">
        <f t="shared" si="3"/>
        <v>21941</v>
      </c>
      <c r="G43" s="10"/>
      <c r="H43" s="10"/>
    </row>
    <row r="44" spans="1:8" ht="17.25">
      <c r="A44" s="24"/>
      <c r="B44" s="3" t="s">
        <v>13</v>
      </c>
      <c r="C44" s="9">
        <v>1101</v>
      </c>
      <c r="D44" s="17">
        <v>125</v>
      </c>
      <c r="E44" s="13">
        <f t="shared" si="3"/>
        <v>137625</v>
      </c>
      <c r="G44" s="10"/>
      <c r="H44" s="10"/>
    </row>
    <row r="45" spans="1:10" ht="15.75" thickBot="1">
      <c r="A45" s="25"/>
      <c r="B45" s="4" t="s">
        <v>28</v>
      </c>
      <c r="C45" s="59">
        <f>SUM(C36:C44)</f>
        <v>8943</v>
      </c>
      <c r="D45" s="18"/>
      <c r="E45" s="60">
        <f>SUM(E36:E44)</f>
        <v>607518.9</v>
      </c>
      <c r="J45" s="11"/>
    </row>
    <row r="46" spans="1:10" ht="15.75" thickTop="1">
      <c r="A46" s="25"/>
      <c r="B46" s="4"/>
      <c r="C46" s="58"/>
      <c r="D46" s="18"/>
      <c r="E46" s="14"/>
      <c r="J46" s="11"/>
    </row>
    <row r="47" spans="1:10" ht="15.75" thickBot="1">
      <c r="A47" s="25"/>
      <c r="B47" s="4" t="s">
        <v>77</v>
      </c>
      <c r="C47" s="58"/>
      <c r="D47" s="62">
        <v>0.36</v>
      </c>
      <c r="E47" s="61">
        <f>E45*0.36</f>
        <v>218706.804</v>
      </c>
      <c r="J47" s="11"/>
    </row>
    <row r="48" spans="1:10" ht="15.75" thickTop="1">
      <c r="A48" s="25"/>
      <c r="B48" s="4"/>
      <c r="C48" s="58"/>
      <c r="D48" s="18"/>
      <c r="E48" s="14"/>
      <c r="J48" s="11"/>
    </row>
    <row r="49" spans="1:10" ht="15.75" thickBot="1">
      <c r="A49" s="25"/>
      <c r="B49" s="4" t="s">
        <v>78</v>
      </c>
      <c r="C49" s="58"/>
      <c r="D49" s="62">
        <v>0.269</v>
      </c>
      <c r="E49" s="61">
        <f>(E45+E47)*0.269</f>
        <v>222254.71437600002</v>
      </c>
      <c r="J49" s="11"/>
    </row>
    <row r="50" spans="1:5" ht="15.75" thickTop="1">
      <c r="A50" s="25"/>
      <c r="B50" s="3"/>
      <c r="C50" s="2"/>
      <c r="D50" s="20"/>
      <c r="E50" s="15"/>
    </row>
    <row r="51" spans="1:5" ht="15">
      <c r="A51" s="25"/>
      <c r="B51" s="4" t="s">
        <v>15</v>
      </c>
      <c r="C51" s="5"/>
      <c r="D51" s="19"/>
      <c r="E51" s="15"/>
    </row>
    <row r="52" spans="1:5" ht="15">
      <c r="A52" s="25"/>
      <c r="B52" s="1" t="s">
        <v>2</v>
      </c>
      <c r="C52" s="5"/>
      <c r="D52" s="19"/>
      <c r="E52" s="13">
        <v>52975</v>
      </c>
    </row>
    <row r="53" spans="1:5" ht="15">
      <c r="A53" s="25"/>
      <c r="B53" s="1" t="s">
        <v>3</v>
      </c>
      <c r="C53" s="5"/>
      <c r="D53" s="19"/>
      <c r="E53" s="13">
        <v>0</v>
      </c>
    </row>
    <row r="54" spans="1:5" ht="15">
      <c r="A54" s="25"/>
      <c r="B54" s="1" t="s">
        <v>1</v>
      </c>
      <c r="C54" s="5"/>
      <c r="D54" s="19"/>
      <c r="E54" s="13">
        <v>0</v>
      </c>
    </row>
    <row r="55" spans="1:5" ht="15">
      <c r="A55" s="25"/>
      <c r="B55" s="1" t="s">
        <v>4</v>
      </c>
      <c r="C55" s="5"/>
      <c r="D55" s="19"/>
      <c r="E55" s="13">
        <v>0</v>
      </c>
    </row>
    <row r="56" spans="1:5" ht="15">
      <c r="A56" s="25"/>
      <c r="B56" s="1" t="s">
        <v>18</v>
      </c>
      <c r="C56" s="5"/>
      <c r="D56" s="19"/>
      <c r="E56" s="13">
        <v>52250</v>
      </c>
    </row>
    <row r="57" spans="2:5" ht="15">
      <c r="B57" s="3" t="s">
        <v>110</v>
      </c>
      <c r="C57" s="8"/>
      <c r="D57" s="62">
        <v>0.039</v>
      </c>
      <c r="E57" s="28">
        <f>E56*0.039</f>
        <v>2037.75</v>
      </c>
    </row>
    <row r="58" spans="1:5" ht="15.75" thickBot="1">
      <c r="A58" s="23"/>
      <c r="B58" s="1" t="s">
        <v>17</v>
      </c>
      <c r="C58" s="5"/>
      <c r="D58" s="19"/>
      <c r="E58" s="60">
        <f>SUM(E52:E57)</f>
        <v>107262.75</v>
      </c>
    </row>
    <row r="59" spans="1:5" ht="15.75" thickTop="1">
      <c r="A59" s="23"/>
      <c r="B59" s="1"/>
      <c r="C59" s="5"/>
      <c r="D59" s="19"/>
      <c r="E59" s="14"/>
    </row>
    <row r="60" spans="1:5" ht="15.75" thickBot="1">
      <c r="A60" s="23"/>
      <c r="B60" s="41" t="s">
        <v>79</v>
      </c>
      <c r="C60" s="5"/>
      <c r="D60" s="19"/>
      <c r="E60" s="30">
        <f>E45+E47+E49+E57</f>
        <v>1050518.1683760001</v>
      </c>
    </row>
    <row r="61" spans="1:5" ht="15.75" thickTop="1">
      <c r="A61" s="23"/>
      <c r="B61" s="41"/>
      <c r="C61" s="5"/>
      <c r="D61" s="19"/>
      <c r="E61" s="14"/>
    </row>
    <row r="62" spans="1:5" ht="15.75" thickBot="1">
      <c r="A62" s="23"/>
      <c r="B62" s="41" t="s">
        <v>80</v>
      </c>
      <c r="C62" s="5"/>
      <c r="D62" s="62">
        <v>0.12</v>
      </c>
      <c r="E62" s="61">
        <f>E60*0.12</f>
        <v>126062.18020512</v>
      </c>
    </row>
    <row r="63" spans="1:5" ht="15.75" thickTop="1">
      <c r="A63" s="23"/>
      <c r="B63" s="41"/>
      <c r="C63" s="5"/>
      <c r="D63" s="19"/>
      <c r="E63" s="14"/>
    </row>
    <row r="64" spans="1:5" ht="15.75" thickBot="1">
      <c r="A64" s="23"/>
      <c r="B64" s="41" t="s">
        <v>81</v>
      </c>
      <c r="C64" s="5"/>
      <c r="D64" s="62">
        <v>0.05</v>
      </c>
      <c r="E64" s="61">
        <f>E60*0.05</f>
        <v>52525.90841880001</v>
      </c>
    </row>
    <row r="65" spans="1:5" ht="15.75" thickTop="1">
      <c r="A65" s="23"/>
      <c r="B65" s="41"/>
      <c r="C65" s="5"/>
      <c r="D65" s="19"/>
      <c r="E65" s="14"/>
    </row>
    <row r="66" spans="1:5" ht="15.75" thickBot="1">
      <c r="A66" s="23"/>
      <c r="B66" s="4" t="s">
        <v>19</v>
      </c>
      <c r="C66" s="5"/>
      <c r="D66" s="19"/>
      <c r="E66" s="30">
        <f>E60+E62+E64</f>
        <v>1229106.2569999201</v>
      </c>
    </row>
    <row r="67" spans="1:5" ht="15.75" thickTop="1">
      <c r="A67" s="23"/>
      <c r="B67" s="4" t="s">
        <v>114</v>
      </c>
      <c r="C67" s="5"/>
      <c r="D67" s="19"/>
      <c r="E67" s="14"/>
    </row>
    <row r="68" spans="1:8" ht="15">
      <c r="A68" s="24"/>
      <c r="B68" s="3" t="s">
        <v>5</v>
      </c>
      <c r="C68" s="6">
        <v>2000</v>
      </c>
      <c r="D68" s="17">
        <f>79.86*1.028</f>
        <v>82.09608</v>
      </c>
      <c r="E68" s="13">
        <f>C68*D68</f>
        <v>164192.16</v>
      </c>
      <c r="G68" s="10"/>
      <c r="H68" s="10"/>
    </row>
    <row r="69" spans="1:8" ht="15">
      <c r="A69" s="24"/>
      <c r="B69" s="3" t="s">
        <v>7</v>
      </c>
      <c r="C69" s="6">
        <v>1671</v>
      </c>
      <c r="D69" s="17">
        <f>53.5*1.028</f>
        <v>54.998000000000005</v>
      </c>
      <c r="E69" s="13">
        <f aca="true" t="shared" si="4" ref="E69:E76">C69*D69</f>
        <v>91901.65800000001</v>
      </c>
      <c r="G69" s="10"/>
      <c r="H69" s="10"/>
    </row>
    <row r="70" spans="1:8" ht="15">
      <c r="A70" s="24"/>
      <c r="B70" s="3" t="s">
        <v>6</v>
      </c>
      <c r="C70" s="6">
        <v>3024</v>
      </c>
      <c r="D70" s="17">
        <f>64.95*1.028</f>
        <v>66.7686</v>
      </c>
      <c r="E70" s="13">
        <f t="shared" si="4"/>
        <v>201908.24640000003</v>
      </c>
      <c r="G70" s="10"/>
      <c r="H70" s="10"/>
    </row>
    <row r="71" spans="1:8" ht="15">
      <c r="A71" s="24"/>
      <c r="B71" s="3" t="s">
        <v>8</v>
      </c>
      <c r="C71" s="6">
        <v>250</v>
      </c>
      <c r="D71" s="17">
        <f>49.63*1.028</f>
        <v>51.01964</v>
      </c>
      <c r="E71" s="13">
        <f t="shared" si="4"/>
        <v>12754.91</v>
      </c>
      <c r="G71" s="10"/>
      <c r="H71" s="10"/>
    </row>
    <row r="72" spans="1:8" ht="15">
      <c r="A72" s="24"/>
      <c r="B72" s="3" t="s">
        <v>9</v>
      </c>
      <c r="C72" s="6">
        <v>490</v>
      </c>
      <c r="D72" s="17">
        <f>62.36*1.028</f>
        <v>64.10608</v>
      </c>
      <c r="E72" s="13">
        <f t="shared" si="4"/>
        <v>31411.9792</v>
      </c>
      <c r="G72" s="10"/>
      <c r="H72" s="10"/>
    </row>
    <row r="73" spans="1:8" ht="15">
      <c r="A73" s="24"/>
      <c r="B73" s="3" t="s">
        <v>10</v>
      </c>
      <c r="C73" s="6">
        <v>3535</v>
      </c>
      <c r="D73" s="17">
        <f>51.2*1.028</f>
        <v>52.6336</v>
      </c>
      <c r="E73" s="13">
        <f t="shared" si="4"/>
        <v>186059.776</v>
      </c>
      <c r="G73" s="10"/>
      <c r="H73" s="10"/>
    </row>
    <row r="74" spans="1:8" ht="15">
      <c r="A74" s="24"/>
      <c r="B74" s="3" t="s">
        <v>11</v>
      </c>
      <c r="C74" s="6">
        <v>1715</v>
      </c>
      <c r="D74" s="17">
        <f>26.04*1.028</f>
        <v>26.76912</v>
      </c>
      <c r="E74" s="13">
        <f t="shared" si="4"/>
        <v>45909.0408</v>
      </c>
      <c r="G74" s="10"/>
      <c r="H74" s="10"/>
    </row>
    <row r="75" spans="1:8" ht="15">
      <c r="A75" s="24"/>
      <c r="B75" s="3" t="s">
        <v>12</v>
      </c>
      <c r="C75" s="6">
        <v>290</v>
      </c>
      <c r="D75" s="17">
        <f>59.3*1.028</f>
        <v>60.9604</v>
      </c>
      <c r="E75" s="13">
        <f t="shared" si="4"/>
        <v>17678.516</v>
      </c>
      <c r="G75" s="10"/>
      <c r="H75" s="10"/>
    </row>
    <row r="76" spans="1:8" ht="17.25">
      <c r="A76" s="24"/>
      <c r="B76" s="3" t="s">
        <v>13</v>
      </c>
      <c r="C76" s="9">
        <v>3025</v>
      </c>
      <c r="D76" s="17">
        <f>125*1.028</f>
        <v>128.5</v>
      </c>
      <c r="E76" s="13">
        <f t="shared" si="4"/>
        <v>388712.5</v>
      </c>
      <c r="G76" s="10"/>
      <c r="H76" s="10"/>
    </row>
    <row r="77" spans="1:10" ht="15.75" thickBot="1">
      <c r="A77" s="25"/>
      <c r="B77" s="4" t="s">
        <v>87</v>
      </c>
      <c r="C77" s="59">
        <f>SUM(C68:C76)</f>
        <v>16000</v>
      </c>
      <c r="D77" s="18"/>
      <c r="E77" s="60">
        <f>SUM(E68:E76)</f>
        <v>1140528.7863999999</v>
      </c>
      <c r="J77" s="11"/>
    </row>
    <row r="78" spans="1:10" ht="15.75" thickTop="1">
      <c r="A78" s="25"/>
      <c r="B78" s="4"/>
      <c r="C78" s="58"/>
      <c r="D78" s="18"/>
      <c r="E78" s="14"/>
      <c r="J78" s="11"/>
    </row>
    <row r="79" spans="1:10" ht="15.75" thickBot="1">
      <c r="A79" s="25"/>
      <c r="B79" s="4" t="s">
        <v>86</v>
      </c>
      <c r="C79" s="58"/>
      <c r="D79" s="62">
        <v>0.37</v>
      </c>
      <c r="E79" s="61">
        <f>E77*(0.36*1.028)</f>
        <v>422086.893270912</v>
      </c>
      <c r="J79" s="11"/>
    </row>
    <row r="80" spans="1:10" ht="15.75" thickTop="1">
      <c r="A80" s="25"/>
      <c r="B80" s="4"/>
      <c r="C80" s="58"/>
      <c r="D80" s="18"/>
      <c r="E80" s="14"/>
      <c r="J80" s="11"/>
    </row>
    <row r="81" spans="1:10" ht="15.75" thickBot="1">
      <c r="A81" s="25"/>
      <c r="B81" s="4" t="s">
        <v>85</v>
      </c>
      <c r="C81" s="58"/>
      <c r="D81" s="62">
        <v>0.277</v>
      </c>
      <c r="E81" s="61">
        <f>(E77+E79)*(0.269*1.028)</f>
        <v>432113.2391307566</v>
      </c>
      <c r="J81" s="11"/>
    </row>
    <row r="82" spans="1:5" ht="15.75" thickTop="1">
      <c r="A82" s="25"/>
      <c r="B82" s="3"/>
      <c r="C82" s="2"/>
      <c r="D82" s="20"/>
      <c r="E82" s="15"/>
    </row>
    <row r="83" spans="1:5" ht="15">
      <c r="A83" s="25"/>
      <c r="B83" s="4" t="s">
        <v>15</v>
      </c>
      <c r="C83" s="5"/>
      <c r="D83" s="19"/>
      <c r="E83" s="15"/>
    </row>
    <row r="84" spans="1:5" ht="15">
      <c r="A84" s="25"/>
      <c r="B84" s="1" t="s">
        <v>2</v>
      </c>
      <c r="C84" s="5"/>
      <c r="D84" s="19"/>
      <c r="E84" s="13">
        <v>79252</v>
      </c>
    </row>
    <row r="85" spans="1:5" ht="15">
      <c r="A85" s="25"/>
      <c r="B85" s="1" t="s">
        <v>3</v>
      </c>
      <c r="C85" s="5"/>
      <c r="D85" s="19"/>
      <c r="E85" s="13">
        <v>0</v>
      </c>
    </row>
    <row r="86" spans="1:5" ht="15">
      <c r="A86" s="25"/>
      <c r="B86" s="1" t="s">
        <v>1</v>
      </c>
      <c r="C86" s="5"/>
      <c r="D86" s="19"/>
      <c r="E86" s="13">
        <v>0</v>
      </c>
    </row>
    <row r="87" spans="1:5" ht="15">
      <c r="A87" s="25"/>
      <c r="B87" s="1" t="s">
        <v>4</v>
      </c>
      <c r="C87" s="5"/>
      <c r="D87" s="19"/>
      <c r="E87" s="13">
        <v>0</v>
      </c>
    </row>
    <row r="88" spans="1:5" ht="15">
      <c r="A88" s="25"/>
      <c r="B88" s="1" t="s">
        <v>18</v>
      </c>
      <c r="C88" s="5"/>
      <c r="D88" s="19"/>
      <c r="E88" s="13">
        <v>104233</v>
      </c>
    </row>
    <row r="89" spans="2:5" ht="15">
      <c r="B89" s="3" t="s">
        <v>88</v>
      </c>
      <c r="C89" s="8"/>
      <c r="D89" s="62">
        <v>0.04</v>
      </c>
      <c r="E89" s="28">
        <f>E88*(0.039*1.028)</f>
        <v>4178.909436</v>
      </c>
    </row>
    <row r="90" spans="1:5" ht="15.75" thickBot="1">
      <c r="A90" s="23"/>
      <c r="B90" s="1" t="s">
        <v>17</v>
      </c>
      <c r="C90" s="5"/>
      <c r="D90" s="19"/>
      <c r="E90" s="60">
        <f>SUM(E84:E89)</f>
        <v>187663.909436</v>
      </c>
    </row>
    <row r="91" spans="1:5" ht="15.75" thickTop="1">
      <c r="A91" s="23"/>
      <c r="B91" s="1"/>
      <c r="C91" s="5"/>
      <c r="D91" s="19"/>
      <c r="E91" s="14"/>
    </row>
    <row r="92" spans="1:5" ht="15.75" thickBot="1">
      <c r="A92" s="23"/>
      <c r="B92" s="41" t="s">
        <v>74</v>
      </c>
      <c r="C92" s="5"/>
      <c r="D92" s="19"/>
      <c r="E92" s="30">
        <f>E77+E79+E81+E89</f>
        <v>1998907.8282376684</v>
      </c>
    </row>
    <row r="93" spans="1:5" ht="15.75" thickTop="1">
      <c r="A93" s="23"/>
      <c r="B93" s="41"/>
      <c r="C93" s="5"/>
      <c r="D93" s="19"/>
      <c r="E93" s="14"/>
    </row>
    <row r="94" spans="1:5" ht="15.75" thickBot="1">
      <c r="A94" s="23"/>
      <c r="B94" s="41" t="s">
        <v>84</v>
      </c>
      <c r="C94" s="5"/>
      <c r="D94" s="62">
        <v>0.1233</v>
      </c>
      <c r="E94" s="61">
        <f>E92*(0.12*1.028)</f>
        <v>246585.26969139877</v>
      </c>
    </row>
    <row r="95" spans="1:5" ht="15.75" thickTop="1">
      <c r="A95" s="23"/>
      <c r="B95" s="41"/>
      <c r="C95" s="5"/>
      <c r="D95" s="19"/>
      <c r="E95" s="14"/>
    </row>
    <row r="96" spans="1:5" ht="15.75" thickBot="1">
      <c r="A96" s="23"/>
      <c r="B96" s="41" t="s">
        <v>94</v>
      </c>
      <c r="C96" s="5"/>
      <c r="D96" s="62">
        <v>0.05</v>
      </c>
      <c r="E96" s="61">
        <f>E92*0.05</f>
        <v>99945.39141188342</v>
      </c>
    </row>
    <row r="97" spans="1:5" ht="15.75" thickTop="1">
      <c r="A97" s="23"/>
      <c r="B97" s="41"/>
      <c r="C97" s="5"/>
      <c r="D97" s="19"/>
      <c r="E97" s="14"/>
    </row>
    <row r="98" spans="1:5" ht="15.75" thickBot="1">
      <c r="A98" s="23"/>
      <c r="B98" s="4" t="s">
        <v>75</v>
      </c>
      <c r="C98" s="5"/>
      <c r="D98" s="19"/>
      <c r="E98" s="30">
        <f>E92+E94+E96</f>
        <v>2345438.4893409503</v>
      </c>
    </row>
    <row r="99" spans="1:5" ht="15.75" thickTop="1">
      <c r="A99" s="23"/>
      <c r="B99" s="4" t="s">
        <v>115</v>
      </c>
      <c r="C99" s="5"/>
      <c r="D99" s="19"/>
      <c r="E99" s="14"/>
    </row>
    <row r="100" spans="1:8" ht="15">
      <c r="A100" s="24"/>
      <c r="B100" s="3" t="s">
        <v>5</v>
      </c>
      <c r="C100" s="6">
        <v>2000</v>
      </c>
      <c r="D100" s="17">
        <f>(79.86*1.028)*1.031</f>
        <v>84.64105848</v>
      </c>
      <c r="E100" s="13">
        <f>C100*D100</f>
        <v>169282.11695999998</v>
      </c>
      <c r="G100" s="10"/>
      <c r="H100" s="10"/>
    </row>
    <row r="101" spans="1:8" ht="15">
      <c r="A101" s="24"/>
      <c r="B101" s="3" t="s">
        <v>7</v>
      </c>
      <c r="C101" s="6">
        <v>564</v>
      </c>
      <c r="D101" s="17">
        <f>(53.5*1.028)*1.031</f>
        <v>56.702938</v>
      </c>
      <c r="E101" s="13">
        <f aca="true" t="shared" si="5" ref="E101:E108">C101*D101</f>
        <v>31980.457032000002</v>
      </c>
      <c r="G101" s="10"/>
      <c r="H101" s="10"/>
    </row>
    <row r="102" spans="1:8" ht="15">
      <c r="A102" s="24"/>
      <c r="B102" s="3" t="s">
        <v>6</v>
      </c>
      <c r="C102" s="6">
        <v>934</v>
      </c>
      <c r="D102" s="17">
        <f>(64.95*1.028)*1.031</f>
        <v>68.8384266</v>
      </c>
      <c r="E102" s="13">
        <f t="shared" si="5"/>
        <v>64295.090444400004</v>
      </c>
      <c r="G102" s="10"/>
      <c r="H102" s="10"/>
    </row>
    <row r="103" spans="1:8" ht="15">
      <c r="A103" s="24"/>
      <c r="B103" s="3" t="s">
        <v>8</v>
      </c>
      <c r="C103" s="6">
        <v>62</v>
      </c>
      <c r="D103" s="17">
        <f>(49.63*1.028)*1.031</f>
        <v>52.60124884</v>
      </c>
      <c r="E103" s="13">
        <f t="shared" si="5"/>
        <v>3261.27742808</v>
      </c>
      <c r="G103" s="10"/>
      <c r="H103" s="10"/>
    </row>
    <row r="104" spans="1:8" ht="15">
      <c r="A104" s="24"/>
      <c r="B104" s="3" t="s">
        <v>9</v>
      </c>
      <c r="C104" s="6">
        <v>131</v>
      </c>
      <c r="D104" s="17">
        <f>(62.36*1.028)*1.031</f>
        <v>66.09336848</v>
      </c>
      <c r="E104" s="13">
        <f t="shared" si="5"/>
        <v>8658.23127088</v>
      </c>
      <c r="G104" s="10"/>
      <c r="H104" s="10"/>
    </row>
    <row r="105" spans="1:8" ht="15">
      <c r="A105" s="24"/>
      <c r="B105" s="3" t="s">
        <v>10</v>
      </c>
      <c r="C105" s="6">
        <v>714</v>
      </c>
      <c r="D105" s="17">
        <f>(51.2*1.028)*1.031</f>
        <v>54.265241599999996</v>
      </c>
      <c r="E105" s="13">
        <f t="shared" si="5"/>
        <v>38745.382502399996</v>
      </c>
      <c r="G105" s="10"/>
      <c r="H105" s="10"/>
    </row>
    <row r="106" spans="1:8" ht="15">
      <c r="A106" s="24"/>
      <c r="B106" s="3" t="s">
        <v>11</v>
      </c>
      <c r="C106" s="6">
        <v>443</v>
      </c>
      <c r="D106" s="17">
        <f>(26.04*1.028)*1.031</f>
        <v>27.59896272</v>
      </c>
      <c r="E106" s="13">
        <f t="shared" si="5"/>
        <v>12226.34048496</v>
      </c>
      <c r="G106" s="10"/>
      <c r="H106" s="10"/>
    </row>
    <row r="107" spans="1:8" ht="15">
      <c r="A107" s="24"/>
      <c r="B107" s="3" t="s">
        <v>12</v>
      </c>
      <c r="C107" s="6">
        <v>161</v>
      </c>
      <c r="D107" s="17">
        <f>(59.3*1.028)*1.031</f>
        <v>62.8501724</v>
      </c>
      <c r="E107" s="13">
        <f t="shared" si="5"/>
        <v>10118.8777564</v>
      </c>
      <c r="G107" s="10"/>
      <c r="H107" s="10"/>
    </row>
    <row r="108" spans="1:8" ht="17.25">
      <c r="A108" s="24"/>
      <c r="B108" s="3" t="s">
        <v>13</v>
      </c>
      <c r="C108" s="9">
        <v>50</v>
      </c>
      <c r="D108" s="17">
        <f>(125*1.028)*1.031</f>
        <v>132.4835</v>
      </c>
      <c r="E108" s="13">
        <f t="shared" si="5"/>
        <v>6624.174999999999</v>
      </c>
      <c r="G108" s="10"/>
      <c r="H108" s="10"/>
    </row>
    <row r="109" spans="1:10" ht="15.75" thickBot="1">
      <c r="A109" s="25"/>
      <c r="B109" s="4" t="s">
        <v>83</v>
      </c>
      <c r="C109" s="59">
        <f>SUM(C100:C108)</f>
        <v>5059</v>
      </c>
      <c r="D109" s="18"/>
      <c r="E109" s="60">
        <f>SUM(E100:E108)</f>
        <v>345191.94887911994</v>
      </c>
      <c r="J109" s="11"/>
    </row>
    <row r="110" spans="1:10" ht="15.75" thickTop="1">
      <c r="A110" s="25"/>
      <c r="B110" s="4"/>
      <c r="C110" s="58"/>
      <c r="D110" s="18"/>
      <c r="E110" s="14"/>
      <c r="J110" s="11"/>
    </row>
    <row r="111" spans="1:10" ht="15.75" thickBot="1">
      <c r="A111" s="25"/>
      <c r="B111" s="4" t="s">
        <v>89</v>
      </c>
      <c r="C111" s="58"/>
      <c r="D111" s="62">
        <f>37%*1.031</f>
        <v>0.38147</v>
      </c>
      <c r="E111" s="61">
        <f>E109*((0.36*1.028)*1.031)</f>
        <v>131708.8441708614</v>
      </c>
      <c r="J111" s="11"/>
    </row>
    <row r="112" spans="1:10" ht="15.75" thickTop="1">
      <c r="A112" s="25"/>
      <c r="B112" s="4"/>
      <c r="C112" s="58"/>
      <c r="D112" s="18"/>
      <c r="E112" s="14"/>
      <c r="J112" s="11"/>
    </row>
    <row r="113" spans="1:10" ht="15.75" thickBot="1">
      <c r="A113" s="25"/>
      <c r="B113" s="4" t="s">
        <v>90</v>
      </c>
      <c r="C113" s="58"/>
      <c r="D113" s="62">
        <f>27.7%*1.031</f>
        <v>0.2855869999999999</v>
      </c>
      <c r="E113" s="61">
        <f>(E109+E111)*((0.269*1.028)*1.031)</f>
        <v>135966.55833691207</v>
      </c>
      <c r="J113" s="11"/>
    </row>
    <row r="114" spans="1:5" ht="15.75" thickTop="1">
      <c r="A114" s="25"/>
      <c r="B114" s="3"/>
      <c r="C114" s="2"/>
      <c r="D114" s="20"/>
      <c r="E114" s="15"/>
    </row>
    <row r="115" spans="1:5" ht="15">
      <c r="A115" s="25"/>
      <c r="B115" s="4" t="s">
        <v>15</v>
      </c>
      <c r="C115" s="5"/>
      <c r="D115" s="19"/>
      <c r="E115" s="15"/>
    </row>
    <row r="116" spans="1:5" ht="15">
      <c r="A116" s="25"/>
      <c r="B116" s="1" t="s">
        <v>2</v>
      </c>
      <c r="C116" s="5"/>
      <c r="D116" s="19"/>
      <c r="E116" s="13">
        <v>52975</v>
      </c>
    </row>
    <row r="117" spans="1:5" ht="15">
      <c r="A117" s="25"/>
      <c r="B117" s="1" t="s">
        <v>3</v>
      </c>
      <c r="C117" s="5"/>
      <c r="D117" s="19"/>
      <c r="E117" s="13">
        <v>0</v>
      </c>
    </row>
    <row r="118" spans="1:5" ht="15">
      <c r="A118" s="25"/>
      <c r="B118" s="1" t="s">
        <v>1</v>
      </c>
      <c r="C118" s="5"/>
      <c r="D118" s="19"/>
      <c r="E118" s="13">
        <v>0</v>
      </c>
    </row>
    <row r="119" spans="1:5" ht="15">
      <c r="A119" s="25"/>
      <c r="B119" s="1" t="s">
        <v>4</v>
      </c>
      <c r="C119" s="5"/>
      <c r="D119" s="19"/>
      <c r="E119" s="13">
        <v>0</v>
      </c>
    </row>
    <row r="120" spans="1:5" ht="15">
      <c r="A120" s="25"/>
      <c r="B120" s="1" t="s">
        <v>18</v>
      </c>
      <c r="C120" s="5"/>
      <c r="D120" s="19"/>
      <c r="E120" s="13">
        <v>52250</v>
      </c>
    </row>
    <row r="121" spans="2:5" ht="15">
      <c r="B121" s="3" t="s">
        <v>91</v>
      </c>
      <c r="C121" s="8"/>
      <c r="D121" s="62">
        <f>4%*1.031</f>
        <v>0.04124</v>
      </c>
      <c r="E121" s="28">
        <f>E120*((0.039*1.028)*1.031)</f>
        <v>2159.746017</v>
      </c>
    </row>
    <row r="122" spans="1:5" ht="15.75" thickBot="1">
      <c r="A122" s="23"/>
      <c r="B122" s="1" t="s">
        <v>17</v>
      </c>
      <c r="C122" s="5"/>
      <c r="D122" s="19"/>
      <c r="E122" s="60">
        <f>SUM(E116:E121)</f>
        <v>107384.746017</v>
      </c>
    </row>
    <row r="123" spans="1:5" ht="15.75" thickTop="1">
      <c r="A123" s="23"/>
      <c r="B123" s="1"/>
      <c r="C123" s="5"/>
      <c r="D123" s="19"/>
      <c r="E123" s="14"/>
    </row>
    <row r="124" spans="1:5" ht="15.75" thickBot="1">
      <c r="A124" s="23"/>
      <c r="B124" s="41" t="s">
        <v>74</v>
      </c>
      <c r="C124" s="5"/>
      <c r="D124" s="19"/>
      <c r="E124" s="30">
        <f>E109+E111+E113+E121</f>
        <v>615027.0974038935</v>
      </c>
    </row>
    <row r="125" spans="1:5" ht="15.75" thickTop="1">
      <c r="A125" s="23"/>
      <c r="B125" s="41"/>
      <c r="C125" s="5"/>
      <c r="D125" s="19"/>
      <c r="E125" s="14"/>
    </row>
    <row r="126" spans="1:5" ht="15.75" thickBot="1">
      <c r="A126" s="23"/>
      <c r="B126" s="41" t="s">
        <v>92</v>
      </c>
      <c r="C126" s="5"/>
      <c r="D126" s="62">
        <f>12.33%*1.031</f>
        <v>0.1271223</v>
      </c>
      <c r="E126" s="61">
        <f>E124*((0.12*1.028)*1.031)</f>
        <v>78221.70476055237</v>
      </c>
    </row>
    <row r="127" spans="1:5" ht="15.75" thickTop="1">
      <c r="A127" s="23"/>
      <c r="B127" s="41"/>
      <c r="C127" s="5"/>
      <c r="D127" s="19"/>
      <c r="E127" s="14"/>
    </row>
    <row r="128" spans="1:5" ht="15.75" thickBot="1">
      <c r="A128" s="23"/>
      <c r="B128" s="41" t="s">
        <v>93</v>
      </c>
      <c r="C128" s="5"/>
      <c r="D128" s="62">
        <v>0.05</v>
      </c>
      <c r="E128" s="61">
        <f>E124*0.05</f>
        <v>30751.354870194675</v>
      </c>
    </row>
    <row r="129" spans="1:5" ht="15.75" thickTop="1">
      <c r="A129" s="23"/>
      <c r="B129" s="41"/>
      <c r="C129" s="5"/>
      <c r="D129" s="19"/>
      <c r="E129" s="14"/>
    </row>
    <row r="130" spans="1:5" ht="15.75" thickBot="1">
      <c r="A130" s="23"/>
      <c r="B130" s="4" t="s">
        <v>76</v>
      </c>
      <c r="C130" s="5"/>
      <c r="D130" s="19"/>
      <c r="E130" s="30">
        <f>E124+E126+E128</f>
        <v>724000.1570346405</v>
      </c>
    </row>
    <row r="131" ht="13.5" thickTop="1"/>
    <row r="132" spans="1:13" ht="15">
      <c r="A132" s="4" t="s">
        <v>73</v>
      </c>
      <c r="B132" s="3"/>
      <c r="C132" s="22"/>
      <c r="D132" s="3"/>
      <c r="E132" s="22"/>
      <c r="F132" s="22"/>
      <c r="G132" s="3"/>
      <c r="H132" s="3"/>
      <c r="I132" s="22"/>
      <c r="J132" s="3"/>
      <c r="K132" s="57"/>
      <c r="L132" s="57"/>
      <c r="M132" s="50"/>
    </row>
    <row r="133" spans="1:13" ht="12.75">
      <c r="A133"/>
      <c r="C133" s="16"/>
      <c r="D133"/>
      <c r="E133" s="16"/>
      <c r="F133" s="16"/>
      <c r="I133" s="16"/>
      <c r="K133" s="57"/>
      <c r="L133" s="57"/>
      <c r="M133" s="50"/>
    </row>
    <row r="134" spans="1:11" ht="15">
      <c r="A134" s="25" t="s">
        <v>96</v>
      </c>
      <c r="E134"/>
      <c r="F134" s="16"/>
      <c r="G134" s="16"/>
      <c r="H134" s="16"/>
      <c r="I134" s="16"/>
      <c r="K134" s="12"/>
    </row>
    <row r="135" spans="1:11" ht="15">
      <c r="A135" s="25" t="s">
        <v>98</v>
      </c>
      <c r="E135"/>
      <c r="F135" s="16"/>
      <c r="G135" s="16"/>
      <c r="H135" s="16"/>
      <c r="I135" s="16"/>
      <c r="K135" s="12"/>
    </row>
    <row r="136" spans="1:11" ht="15">
      <c r="A136" s="25" t="s">
        <v>97</v>
      </c>
      <c r="E136"/>
      <c r="F136" s="16"/>
      <c r="G136" s="16"/>
      <c r="H136" s="16"/>
      <c r="I136" s="16"/>
      <c r="K136" s="12"/>
    </row>
    <row r="137" spans="1:11" ht="15">
      <c r="A137" s="25" t="s">
        <v>99</v>
      </c>
      <c r="E137"/>
      <c r="F137" s="16"/>
      <c r="G137" s="16"/>
      <c r="H137" s="16"/>
      <c r="I137" s="16"/>
      <c r="K137" s="12"/>
    </row>
    <row r="138" spans="1:11" ht="15">
      <c r="A138" s="25" t="s">
        <v>100</v>
      </c>
      <c r="E138"/>
      <c r="F138" s="16"/>
      <c r="G138" s="16"/>
      <c r="H138" s="16"/>
      <c r="I138" s="16"/>
      <c r="K138" s="12"/>
    </row>
    <row r="139" spans="1:11" ht="15">
      <c r="A139" s="25" t="s">
        <v>101</v>
      </c>
      <c r="E139"/>
      <c r="F139" s="16"/>
      <c r="G139" s="16"/>
      <c r="H139" s="16"/>
      <c r="I139" s="16"/>
      <c r="K139" s="12"/>
    </row>
    <row r="140" spans="1:11" ht="15">
      <c r="A140" s="25" t="s">
        <v>102</v>
      </c>
      <c r="E140"/>
      <c r="F140" s="16"/>
      <c r="G140" s="16"/>
      <c r="H140" s="16"/>
      <c r="I140" s="16"/>
      <c r="K140" s="12"/>
    </row>
    <row r="141" spans="1:11" ht="15">
      <c r="A141" s="25" t="s">
        <v>103</v>
      </c>
      <c r="E141"/>
      <c r="F141" s="16"/>
      <c r="G141" s="16"/>
      <c r="H141" s="16"/>
      <c r="I141" s="16"/>
      <c r="K141" s="12"/>
    </row>
    <row r="142" spans="1:11" ht="15">
      <c r="A142" s="25" t="s">
        <v>104</v>
      </c>
      <c r="E142"/>
      <c r="F142" s="16"/>
      <c r="G142" s="16"/>
      <c r="H142" s="16"/>
      <c r="I142" s="16"/>
      <c r="K142" s="12"/>
    </row>
    <row r="143" spans="1:11" ht="15">
      <c r="A143" s="25" t="s">
        <v>105</v>
      </c>
      <c r="E143"/>
      <c r="F143" s="16"/>
      <c r="G143" s="16"/>
      <c r="H143" s="16"/>
      <c r="I143" s="16"/>
      <c r="K143" s="12"/>
    </row>
    <row r="144" spans="1:11" ht="15">
      <c r="A144" s="25" t="s">
        <v>118</v>
      </c>
      <c r="E144"/>
      <c r="F144" s="16"/>
      <c r="G144" s="16"/>
      <c r="H144" s="16"/>
      <c r="I144" s="16"/>
      <c r="K144" s="12"/>
    </row>
    <row r="145" spans="1:11" ht="15">
      <c r="A145" s="25" t="s">
        <v>119</v>
      </c>
      <c r="E145"/>
      <c r="F145" s="16"/>
      <c r="G145" s="16"/>
      <c r="H145" s="16"/>
      <c r="I145" s="16"/>
      <c r="K145" s="12"/>
    </row>
    <row r="146" spans="1:11" ht="15">
      <c r="A146" s="25" t="s">
        <v>106</v>
      </c>
      <c r="E146"/>
      <c r="F146" s="16"/>
      <c r="G146" s="16"/>
      <c r="H146" s="16"/>
      <c r="I146" s="16"/>
      <c r="K146" s="12"/>
    </row>
    <row r="147" spans="1:11" ht="15">
      <c r="A147" s="25" t="s">
        <v>107</v>
      </c>
      <c r="E147"/>
      <c r="F147" s="16"/>
      <c r="G147" s="16"/>
      <c r="H147" s="16"/>
      <c r="I147" s="16"/>
      <c r="K147" s="12"/>
    </row>
    <row r="148" spans="1:11" ht="15">
      <c r="A148" s="25" t="s">
        <v>117</v>
      </c>
      <c r="E148"/>
      <c r="F148" s="16"/>
      <c r="G148" s="16"/>
      <c r="H148" s="16"/>
      <c r="I148" s="16"/>
      <c r="K148" s="12"/>
    </row>
    <row r="149" spans="1:11" ht="15">
      <c r="A149" s="25" t="s">
        <v>108</v>
      </c>
      <c r="E149"/>
      <c r="F149" s="16"/>
      <c r="G149" s="16"/>
      <c r="H149" s="16"/>
      <c r="I149" s="16"/>
      <c r="K149" s="12"/>
    </row>
    <row r="150" spans="1:11" ht="15">
      <c r="A150" s="25" t="s">
        <v>109</v>
      </c>
      <c r="E150"/>
      <c r="F150" s="16"/>
      <c r="G150" s="16"/>
      <c r="H150" s="16"/>
      <c r="I150" s="16"/>
      <c r="K150" s="12"/>
    </row>
    <row r="151" spans="1:11" ht="15">
      <c r="A151" s="25" t="s">
        <v>45</v>
      </c>
      <c r="E151"/>
      <c r="F151" s="16"/>
      <c r="G151" s="16"/>
      <c r="H151" s="16"/>
      <c r="I151" s="16"/>
      <c r="K151" s="12"/>
    </row>
    <row r="152" spans="1:11" ht="15">
      <c r="A152" s="25" t="s">
        <v>46</v>
      </c>
      <c r="E152"/>
      <c r="F152" s="16"/>
      <c r="G152" s="16"/>
      <c r="H152" s="16"/>
      <c r="I152" s="16"/>
      <c r="K152" s="12"/>
    </row>
  </sheetData>
  <printOptions horizontalCentered="1"/>
  <pageMargins left="0.25" right="0.25" top="1.5" bottom="1" header="0.5" footer="0.5"/>
  <pageSetup fitToHeight="4" horizontalDpi="600" verticalDpi="600" orientation="portrait" pageOrder="overThenDown" r:id="rId1"/>
  <headerFooter alignWithMargins="0">
    <oddHeader>&amp;L&amp;"Times New Roman,Regular"&amp;11
Prepared by George Washington, ATO-X
Tel. (202) 555-1987
Dated prepared: June 15, 2017&amp;C&amp;"Times New Roman,Regular"&amp;11Independent Government Cost Estimate for the XYZ Acquisition&amp;R&amp;"Times New Roman,Regular"&amp;11General Format</oddHeader>
    <oddFooter>&amp;C&amp;"Times New Roman,Regular"&amp;11Page &amp;P of &amp;N</oddFooter>
  </headerFooter>
  <rowBreaks count="4" manualBreakCount="4">
    <brk id="34" max="255" man="1"/>
    <brk id="66" max="255" man="1"/>
    <brk id="98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showGridLines="0" workbookViewId="0" topLeftCell="A1">
      <pane ySplit="2" topLeftCell="BM3" activePane="bottomLeft" state="frozen"/>
      <selection pane="topLeft" activeCell="B4" sqref="B4"/>
      <selection pane="bottomLeft" activeCell="B4" sqref="B4"/>
    </sheetView>
  </sheetViews>
  <sheetFormatPr defaultColWidth="9.140625" defaultRowHeight="12.75"/>
  <cols>
    <col min="1" max="1" width="32.421875" style="0" customWidth="1"/>
    <col min="2" max="2" width="11.57421875" style="0" bestFit="1" customWidth="1"/>
    <col min="3" max="3" width="13.28125" style="16" bestFit="1" customWidth="1"/>
    <col min="4" max="4" width="8.7109375" style="0" bestFit="1" customWidth="1"/>
    <col min="5" max="5" width="11.140625" style="16" bestFit="1" customWidth="1"/>
    <col min="6" max="6" width="9.28125" style="16" bestFit="1" customWidth="1"/>
    <col min="7" max="7" width="11.57421875" style="0" bestFit="1" customWidth="1"/>
    <col min="8" max="8" width="9.8515625" style="0" bestFit="1" customWidth="1"/>
    <col min="9" max="9" width="9.8515625" style="16" bestFit="1" customWidth="1"/>
    <col min="10" max="10" width="10.8515625" style="0" bestFit="1" customWidth="1"/>
    <col min="11" max="11" width="14.8515625" style="57" customWidth="1"/>
    <col min="12" max="12" width="14.8515625" style="57" bestFit="1" customWidth="1"/>
    <col min="13" max="13" width="16.00390625" style="50" bestFit="1" customWidth="1"/>
  </cols>
  <sheetData>
    <row r="1" spans="1:13" s="36" customFormat="1" ht="25.5">
      <c r="A1" s="37"/>
      <c r="B1" s="34" t="s">
        <v>26</v>
      </c>
      <c r="C1" s="39" t="s">
        <v>28</v>
      </c>
      <c r="D1" s="34" t="s">
        <v>55</v>
      </c>
      <c r="E1" s="39" t="s">
        <v>32</v>
      </c>
      <c r="F1" s="39" t="s">
        <v>14</v>
      </c>
      <c r="G1" s="34" t="s">
        <v>59</v>
      </c>
      <c r="H1" s="34" t="s">
        <v>60</v>
      </c>
      <c r="I1" s="39" t="s">
        <v>62</v>
      </c>
      <c r="J1" s="34" t="s">
        <v>64</v>
      </c>
      <c r="K1" s="43" t="s">
        <v>60</v>
      </c>
      <c r="L1" s="43" t="s">
        <v>62</v>
      </c>
      <c r="M1" s="43" t="s">
        <v>64</v>
      </c>
    </row>
    <row r="2" spans="1:13" s="36" customFormat="1" ht="12.75">
      <c r="A2" s="38" t="s">
        <v>54</v>
      </c>
      <c r="B2" s="38" t="s">
        <v>27</v>
      </c>
      <c r="C2" s="40" t="s">
        <v>67</v>
      </c>
      <c r="D2" s="38" t="s">
        <v>56</v>
      </c>
      <c r="E2" s="40" t="s">
        <v>57</v>
      </c>
      <c r="F2" s="40" t="s">
        <v>58</v>
      </c>
      <c r="G2" s="38" t="s">
        <v>33</v>
      </c>
      <c r="H2" s="38" t="s">
        <v>61</v>
      </c>
      <c r="I2" s="40" t="s">
        <v>63</v>
      </c>
      <c r="J2" s="38" t="s">
        <v>65</v>
      </c>
      <c r="K2" s="44" t="s">
        <v>66</v>
      </c>
      <c r="L2" s="44" t="s">
        <v>66</v>
      </c>
      <c r="M2" s="44" t="s">
        <v>66</v>
      </c>
    </row>
    <row r="3" spans="1:16" ht="15">
      <c r="A3" s="4" t="s">
        <v>113</v>
      </c>
      <c r="B3" s="6"/>
      <c r="C3" s="42"/>
      <c r="D3" s="42"/>
      <c r="E3" s="42"/>
      <c r="F3" s="42"/>
      <c r="G3" s="42"/>
      <c r="H3" s="42"/>
      <c r="I3" s="42"/>
      <c r="J3" s="42"/>
      <c r="K3" s="45"/>
      <c r="L3" s="45"/>
      <c r="M3" s="45"/>
      <c r="O3" s="10"/>
      <c r="P3" s="10"/>
    </row>
    <row r="4" spans="1:16" ht="15">
      <c r="A4" s="3" t="s">
        <v>5</v>
      </c>
      <c r="B4" s="6">
        <f aca="true" t="shared" si="0" ref="B4:B12">B25+B46+B67</f>
        <v>6000</v>
      </c>
      <c r="C4" s="42" t="s">
        <v>23</v>
      </c>
      <c r="D4" s="42" t="s">
        <v>23</v>
      </c>
      <c r="E4" s="42" t="s">
        <v>23</v>
      </c>
      <c r="F4" s="42" t="s">
        <v>23</v>
      </c>
      <c r="G4" s="42" t="s">
        <v>23</v>
      </c>
      <c r="H4" s="42" t="s">
        <v>23</v>
      </c>
      <c r="I4" s="42" t="s">
        <v>23</v>
      </c>
      <c r="J4" s="42" t="s">
        <v>23</v>
      </c>
      <c r="K4" s="45">
        <f aca="true" t="shared" si="1" ref="K4:M12">K25+K46+K67</f>
        <v>988011.7398186522</v>
      </c>
      <c r="L4" s="45">
        <f t="shared" si="1"/>
        <v>1013563.7675725827</v>
      </c>
      <c r="M4" s="45">
        <f t="shared" si="1"/>
        <v>1039115.7953265132</v>
      </c>
      <c r="O4" s="10"/>
      <c r="P4" s="10"/>
    </row>
    <row r="5" spans="1:16" ht="15">
      <c r="A5" s="3" t="s">
        <v>7</v>
      </c>
      <c r="B5" s="6">
        <f t="shared" si="0"/>
        <v>3648</v>
      </c>
      <c r="C5" s="42" t="s">
        <v>23</v>
      </c>
      <c r="D5" s="42" t="s">
        <v>23</v>
      </c>
      <c r="E5" s="42" t="s">
        <v>23</v>
      </c>
      <c r="F5" s="42" t="s">
        <v>23</v>
      </c>
      <c r="G5" s="42" t="s">
        <v>23</v>
      </c>
      <c r="H5" s="42" t="s">
        <v>23</v>
      </c>
      <c r="I5" s="42" t="s">
        <v>23</v>
      </c>
      <c r="J5" s="42" t="s">
        <v>23</v>
      </c>
      <c r="K5" s="45">
        <f t="shared" si="1"/>
        <v>400117.1543496323</v>
      </c>
      <c r="L5" s="45">
        <f t="shared" si="1"/>
        <v>410465.0117897091</v>
      </c>
      <c r="M5" s="45">
        <f t="shared" si="1"/>
        <v>420812.86922978575</v>
      </c>
      <c r="O5" s="10"/>
      <c r="P5" s="10"/>
    </row>
    <row r="6" spans="1:16" ht="15">
      <c r="A6" s="3" t="s">
        <v>6</v>
      </c>
      <c r="B6" s="6">
        <f t="shared" si="0"/>
        <v>6308</v>
      </c>
      <c r="C6" s="42" t="s">
        <v>23</v>
      </c>
      <c r="D6" s="42" t="s">
        <v>23</v>
      </c>
      <c r="E6" s="42" t="s">
        <v>23</v>
      </c>
      <c r="F6" s="42" t="s">
        <v>23</v>
      </c>
      <c r="G6" s="42" t="s">
        <v>23</v>
      </c>
      <c r="H6" s="42" t="s">
        <v>23</v>
      </c>
      <c r="I6" s="42" t="s">
        <v>23</v>
      </c>
      <c r="J6" s="42" t="s">
        <v>23</v>
      </c>
      <c r="K6" s="45">
        <f t="shared" si="1"/>
        <v>840131.3368995498</v>
      </c>
      <c r="L6" s="45">
        <f t="shared" si="1"/>
        <v>861858.8714745382</v>
      </c>
      <c r="M6" s="45">
        <f t="shared" si="1"/>
        <v>883586.4060495265</v>
      </c>
      <c r="O6" s="10"/>
      <c r="P6" s="10"/>
    </row>
    <row r="7" spans="1:16" ht="15">
      <c r="A7" s="3" t="s">
        <v>8</v>
      </c>
      <c r="B7" s="6">
        <f t="shared" si="0"/>
        <v>380</v>
      </c>
      <c r="C7" s="42" t="s">
        <v>23</v>
      </c>
      <c r="D7" s="42" t="s">
        <v>23</v>
      </c>
      <c r="E7" s="42" t="s">
        <v>23</v>
      </c>
      <c r="F7" s="42" t="s">
        <v>23</v>
      </c>
      <c r="G7" s="42" t="s">
        <v>23</v>
      </c>
      <c r="H7" s="42" t="s">
        <v>23</v>
      </c>
      <c r="I7" s="42" t="s">
        <v>23</v>
      </c>
      <c r="J7" s="42" t="s">
        <v>23</v>
      </c>
      <c r="K7" s="45">
        <f t="shared" si="1"/>
        <v>38634.85244834037</v>
      </c>
      <c r="L7" s="45">
        <f t="shared" si="1"/>
        <v>39634.02966683193</v>
      </c>
      <c r="M7" s="45">
        <f t="shared" si="1"/>
        <v>40633.20688532349</v>
      </c>
      <c r="O7" s="10"/>
      <c r="P7" s="10"/>
    </row>
    <row r="8" spans="1:16" ht="15">
      <c r="A8" s="3" t="s">
        <v>9</v>
      </c>
      <c r="B8" s="6">
        <f t="shared" si="0"/>
        <v>1585</v>
      </c>
      <c r="C8" s="42" t="s">
        <v>23</v>
      </c>
      <c r="D8" s="42" t="s">
        <v>23</v>
      </c>
      <c r="E8" s="42" t="s">
        <v>23</v>
      </c>
      <c r="F8" s="42" t="s">
        <v>23</v>
      </c>
      <c r="G8" s="42" t="s">
        <v>23</v>
      </c>
      <c r="H8" s="42" t="s">
        <v>23</v>
      </c>
      <c r="I8" s="42" t="s">
        <v>23</v>
      </c>
      <c r="J8" s="42" t="s">
        <v>23</v>
      </c>
      <c r="K8" s="45">
        <f t="shared" si="1"/>
        <v>206366.19514115868</v>
      </c>
      <c r="L8" s="45">
        <f t="shared" si="1"/>
        <v>211703.2519120507</v>
      </c>
      <c r="M8" s="45">
        <f t="shared" si="1"/>
        <v>217040.30868294273</v>
      </c>
      <c r="O8" s="10"/>
      <c r="P8" s="10"/>
    </row>
    <row r="9" spans="1:16" ht="15">
      <c r="A9" s="3" t="s">
        <v>10</v>
      </c>
      <c r="B9" s="6">
        <f t="shared" si="0"/>
        <v>6612</v>
      </c>
      <c r="C9" s="42" t="s">
        <v>23</v>
      </c>
      <c r="D9" s="42" t="s">
        <v>23</v>
      </c>
      <c r="E9" s="42" t="s">
        <v>23</v>
      </c>
      <c r="F9" s="42" t="s">
        <v>23</v>
      </c>
      <c r="G9" s="42" t="s">
        <v>23</v>
      </c>
      <c r="H9" s="42" t="s">
        <v>23</v>
      </c>
      <c r="I9" s="42" t="s">
        <v>23</v>
      </c>
      <c r="J9" s="42" t="s">
        <v>23</v>
      </c>
      <c r="K9" s="45">
        <f t="shared" si="1"/>
        <v>697974.6389527816</v>
      </c>
      <c r="L9" s="45">
        <f t="shared" si="1"/>
        <v>716025.7072015604</v>
      </c>
      <c r="M9" s="45">
        <f t="shared" si="1"/>
        <v>734076.7754503392</v>
      </c>
      <c r="O9" s="10"/>
      <c r="P9" s="10"/>
    </row>
    <row r="10" spans="1:16" ht="15">
      <c r="A10" s="3" t="s">
        <v>11</v>
      </c>
      <c r="B10" s="6">
        <f t="shared" si="0"/>
        <v>3269</v>
      </c>
      <c r="C10" s="42" t="s">
        <v>23</v>
      </c>
      <c r="D10" s="42" t="s">
        <v>23</v>
      </c>
      <c r="E10" s="42" t="s">
        <v>23</v>
      </c>
      <c r="F10" s="42" t="s">
        <v>23</v>
      </c>
      <c r="G10" s="42" t="s">
        <v>23</v>
      </c>
      <c r="H10" s="42" t="s">
        <v>23</v>
      </c>
      <c r="I10" s="42" t="s">
        <v>23</v>
      </c>
      <c r="J10" s="42" t="s">
        <v>23</v>
      </c>
      <c r="K10" s="45">
        <f t="shared" si="1"/>
        <v>174728.49720230157</v>
      </c>
      <c r="L10" s="45">
        <f t="shared" si="1"/>
        <v>179247.33764718866</v>
      </c>
      <c r="M10" s="45">
        <f t="shared" si="1"/>
        <v>183766.1780920758</v>
      </c>
      <c r="O10" s="10"/>
      <c r="P10" s="10"/>
    </row>
    <row r="11" spans="1:16" ht="15">
      <c r="A11" s="3" t="s">
        <v>12</v>
      </c>
      <c r="B11" s="6">
        <f t="shared" si="0"/>
        <v>895</v>
      </c>
      <c r="C11" s="42" t="s">
        <v>23</v>
      </c>
      <c r="D11" s="42" t="s">
        <v>23</v>
      </c>
      <c r="E11" s="42" t="s">
        <v>23</v>
      </c>
      <c r="F11" s="42" t="s">
        <v>23</v>
      </c>
      <c r="G11" s="42" t="s">
        <v>23</v>
      </c>
      <c r="H11" s="42" t="s">
        <v>23</v>
      </c>
      <c r="I11" s="42" t="s">
        <v>23</v>
      </c>
      <c r="J11" s="42" t="s">
        <v>23</v>
      </c>
      <c r="K11" s="45">
        <f t="shared" si="1"/>
        <v>108437.95151024859</v>
      </c>
      <c r="L11" s="45">
        <f t="shared" si="1"/>
        <v>111242.38129068607</v>
      </c>
      <c r="M11" s="45">
        <f t="shared" si="1"/>
        <v>114046.81107112353</v>
      </c>
      <c r="O11" s="10"/>
      <c r="P11" s="10"/>
    </row>
    <row r="12" spans="1:16" ht="17.25">
      <c r="A12" s="3" t="s">
        <v>13</v>
      </c>
      <c r="B12" s="9">
        <f t="shared" si="0"/>
        <v>1751</v>
      </c>
      <c r="C12" s="42" t="s">
        <v>23</v>
      </c>
      <c r="D12" s="42" t="s">
        <v>23</v>
      </c>
      <c r="E12" s="42" t="s">
        <v>23</v>
      </c>
      <c r="F12" s="42" t="s">
        <v>23</v>
      </c>
      <c r="G12" s="42" t="s">
        <v>23</v>
      </c>
      <c r="H12" s="42" t="s">
        <v>23</v>
      </c>
      <c r="I12" s="42" t="s">
        <v>23</v>
      </c>
      <c r="J12" s="42" t="s">
        <v>23</v>
      </c>
      <c r="K12" s="46">
        <f t="shared" si="1"/>
        <v>443497.99568049004</v>
      </c>
      <c r="L12" s="46">
        <f t="shared" si="1"/>
        <v>454967.7714308475</v>
      </c>
      <c r="M12" s="46">
        <f t="shared" si="1"/>
        <v>466437.547181205</v>
      </c>
      <c r="O12" s="10"/>
      <c r="P12" s="10"/>
    </row>
    <row r="13" spans="1:18" ht="15" thickBot="1">
      <c r="A13" s="4" t="s">
        <v>53</v>
      </c>
      <c r="B13" s="31">
        <f>SUM(B4:B12)</f>
        <v>30448</v>
      </c>
      <c r="C13" s="18"/>
      <c r="D13" s="7"/>
      <c r="E13" s="18"/>
      <c r="F13" s="18"/>
      <c r="G13" s="7"/>
      <c r="H13" s="7"/>
      <c r="I13" s="18"/>
      <c r="J13" s="7"/>
      <c r="K13" s="47">
        <f>SUM(K4:K12)</f>
        <v>3897900.362003155</v>
      </c>
      <c r="L13" s="47">
        <f>SUM(L4:L12)</f>
        <v>3998708.129985995</v>
      </c>
      <c r="M13" s="47">
        <f>SUM(M4:M12)</f>
        <v>4099515.897968835</v>
      </c>
      <c r="R13" s="11"/>
    </row>
    <row r="14" spans="1:12" ht="15.75" thickTop="1">
      <c r="A14" s="3"/>
      <c r="B14" s="2"/>
      <c r="C14" s="20"/>
      <c r="D14" s="2"/>
      <c r="E14" s="20"/>
      <c r="F14" s="20"/>
      <c r="G14" s="2"/>
      <c r="H14" s="2"/>
      <c r="I14" s="20"/>
      <c r="J14" s="2"/>
      <c r="K14" s="48"/>
      <c r="L14" s="49"/>
    </row>
    <row r="15" spans="1:12" ht="15">
      <c r="A15" s="4" t="s">
        <v>15</v>
      </c>
      <c r="B15" s="5"/>
      <c r="C15" s="19"/>
      <c r="D15" s="5"/>
      <c r="E15" s="19"/>
      <c r="F15" s="19"/>
      <c r="G15" s="5"/>
      <c r="H15" s="5"/>
      <c r="I15" s="19"/>
      <c r="J15" s="5"/>
      <c r="K15" s="49"/>
      <c r="L15" s="49"/>
    </row>
    <row r="16" spans="1:13" ht="15">
      <c r="A16" s="1" t="s">
        <v>2</v>
      </c>
      <c r="B16" s="5"/>
      <c r="C16" s="19"/>
      <c r="D16" s="5"/>
      <c r="E16" s="19"/>
      <c r="F16" s="19"/>
      <c r="G16" s="5"/>
      <c r="H16" s="5"/>
      <c r="I16" s="19"/>
      <c r="J16" s="5"/>
      <c r="K16" s="51">
        <f aca="true" t="shared" si="2" ref="K16:M20">K37+K58+K79</f>
        <v>254151</v>
      </c>
      <c r="L16" s="51">
        <f t="shared" si="2"/>
        <v>254151</v>
      </c>
      <c r="M16" s="51">
        <f t="shared" si="2"/>
        <v>254151</v>
      </c>
    </row>
    <row r="17" spans="1:13" ht="15">
      <c r="A17" s="1" t="s">
        <v>3</v>
      </c>
      <c r="B17" s="5"/>
      <c r="C17" s="19"/>
      <c r="D17" s="5"/>
      <c r="E17" s="19"/>
      <c r="F17" s="19"/>
      <c r="G17" s="5"/>
      <c r="H17" s="5"/>
      <c r="I17" s="19"/>
      <c r="J17" s="5"/>
      <c r="K17" s="51">
        <f t="shared" si="2"/>
        <v>0</v>
      </c>
      <c r="L17" s="51">
        <f t="shared" si="2"/>
        <v>0</v>
      </c>
      <c r="M17" s="51">
        <f t="shared" si="2"/>
        <v>0</v>
      </c>
    </row>
    <row r="18" spans="1:13" ht="15">
      <c r="A18" s="1" t="s">
        <v>18</v>
      </c>
      <c r="B18" s="5"/>
      <c r="C18" s="19"/>
      <c r="D18" s="5"/>
      <c r="E18" s="19"/>
      <c r="F18" s="19"/>
      <c r="G18" s="5"/>
      <c r="H18" s="5"/>
      <c r="I18" s="19"/>
      <c r="J18" s="5"/>
      <c r="K18" s="51">
        <f t="shared" si="2"/>
        <v>96501</v>
      </c>
      <c r="L18" s="51">
        <f t="shared" si="2"/>
        <v>96501</v>
      </c>
      <c r="M18" s="51">
        <f t="shared" si="2"/>
        <v>96501</v>
      </c>
    </row>
    <row r="19" spans="1:13" ht="15">
      <c r="A19" s="3" t="s">
        <v>16</v>
      </c>
      <c r="B19" s="8"/>
      <c r="C19" s="19"/>
      <c r="D19" s="5"/>
      <c r="E19" s="19"/>
      <c r="F19" s="19"/>
      <c r="G19" s="5"/>
      <c r="H19" s="5"/>
      <c r="I19" s="19"/>
      <c r="J19" s="5"/>
      <c r="K19" s="51">
        <f t="shared" si="2"/>
        <v>3875.238283059</v>
      </c>
      <c r="L19" s="51">
        <f t="shared" si="2"/>
        <v>3875.238283059</v>
      </c>
      <c r="M19" s="51">
        <f t="shared" si="2"/>
        <v>3875.238283059</v>
      </c>
    </row>
    <row r="20" spans="1:13" ht="15">
      <c r="A20" s="1" t="s">
        <v>72</v>
      </c>
      <c r="B20" s="5"/>
      <c r="C20" s="19"/>
      <c r="D20" s="5"/>
      <c r="E20" s="19"/>
      <c r="F20" s="19"/>
      <c r="G20" s="5"/>
      <c r="H20" s="5"/>
      <c r="I20" s="19"/>
      <c r="J20" s="5"/>
      <c r="K20" s="52">
        <f t="shared" si="2"/>
        <v>0</v>
      </c>
      <c r="L20" s="52">
        <f t="shared" si="2"/>
        <v>0</v>
      </c>
      <c r="M20" s="52">
        <f t="shared" si="2"/>
        <v>0</v>
      </c>
    </row>
    <row r="21" spans="1:13" ht="15.75" thickBot="1">
      <c r="A21" s="41" t="s">
        <v>53</v>
      </c>
      <c r="C21" s="21"/>
      <c r="D21" s="8"/>
      <c r="E21" s="21"/>
      <c r="F21" s="21"/>
      <c r="G21" s="8"/>
      <c r="H21" s="8"/>
      <c r="I21" s="21"/>
      <c r="J21" s="8"/>
      <c r="K21" s="47">
        <f>SUM(K16:K20)</f>
        <v>354527.238283059</v>
      </c>
      <c r="L21" s="47">
        <f>SUM(L16:L20)</f>
        <v>354527.238283059</v>
      </c>
      <c r="M21" s="47">
        <f>SUM(M16:M20)</f>
        <v>354527.238283059</v>
      </c>
    </row>
    <row r="22" spans="1:13" ht="15.75" thickTop="1">
      <c r="A22" s="4"/>
      <c r="B22" s="5"/>
      <c r="C22" s="19"/>
      <c r="D22" s="5"/>
      <c r="E22" s="19"/>
      <c r="F22" s="19"/>
      <c r="G22" s="5"/>
      <c r="H22" s="5"/>
      <c r="I22" s="19"/>
      <c r="J22" s="5"/>
      <c r="K22" s="54"/>
      <c r="L22" s="54"/>
      <c r="M22" s="54"/>
    </row>
    <row r="23" spans="1:13" ht="15.75" thickBot="1">
      <c r="A23" s="4" t="s">
        <v>70</v>
      </c>
      <c r="B23" s="3"/>
      <c r="C23" s="22"/>
      <c r="D23" s="3"/>
      <c r="E23" s="22"/>
      <c r="F23" s="22"/>
      <c r="G23" s="3"/>
      <c r="H23" s="3"/>
      <c r="I23" s="22"/>
      <c r="J23" s="3"/>
      <c r="K23" s="47">
        <f>K13+K21</f>
        <v>4252427.600286214</v>
      </c>
      <c r="L23" s="47">
        <f>L13+L21</f>
        <v>4353235.368269054</v>
      </c>
      <c r="M23" s="47">
        <f>M13+M21</f>
        <v>4454043.136251894</v>
      </c>
    </row>
    <row r="24" spans="1:13" ht="15.75" thickTop="1">
      <c r="A24" s="4" t="s">
        <v>116</v>
      </c>
      <c r="B24" s="3"/>
      <c r="C24" s="22"/>
      <c r="D24" s="3"/>
      <c r="E24" s="22"/>
      <c r="F24" s="22"/>
      <c r="G24" s="3"/>
      <c r="H24" s="3"/>
      <c r="I24" s="22"/>
      <c r="J24" s="3"/>
      <c r="K24" s="54"/>
      <c r="L24" s="54"/>
      <c r="M24" s="54"/>
    </row>
    <row r="25" spans="1:16" ht="15">
      <c r="A25" s="3" t="s">
        <v>5</v>
      </c>
      <c r="B25" s="6">
        <v>2000</v>
      </c>
      <c r="C25" s="17">
        <v>79.86</v>
      </c>
      <c r="D25" s="17">
        <f>C25*0.36</f>
        <v>28.749599999999997</v>
      </c>
      <c r="E25" s="17">
        <f>(C25+D25)*0.269</f>
        <v>29.2159824</v>
      </c>
      <c r="F25" s="17">
        <f>(C25+D25+E25)*0.12</f>
        <v>16.539069888</v>
      </c>
      <c r="G25" s="17">
        <f>C25+D25+E25+F25</f>
        <v>154.364652288</v>
      </c>
      <c r="H25" s="16">
        <f>(G25-F25)*0.04</f>
        <v>5.513023296</v>
      </c>
      <c r="I25" s="17">
        <f>(G25-F25)*0.07</f>
        <v>9.647790768000002</v>
      </c>
      <c r="J25" s="22">
        <f aca="true" t="shared" si="3" ref="J25:J33">(G25-F25)*0.1</f>
        <v>13.78255824</v>
      </c>
      <c r="K25" s="45">
        <f>(G25+H25)*B25</f>
        <v>319755.351168</v>
      </c>
      <c r="L25" s="51">
        <f>(G25+I25)*B25</f>
        <v>328024.886112</v>
      </c>
      <c r="M25" s="55">
        <f>(G25+J25)*B25</f>
        <v>336294.42105600005</v>
      </c>
      <c r="O25" s="10"/>
      <c r="P25" s="10"/>
    </row>
    <row r="26" spans="1:16" ht="15">
      <c r="A26" s="3" t="s">
        <v>7</v>
      </c>
      <c r="B26" s="6">
        <v>898</v>
      </c>
      <c r="C26" s="17">
        <v>53.5</v>
      </c>
      <c r="D26" s="17">
        <f aca="true" t="shared" si="4" ref="D26:D33">C26*0.36</f>
        <v>19.259999999999998</v>
      </c>
      <c r="E26" s="17">
        <f aca="true" t="shared" si="5" ref="E26:E33">(C26+D26)*0.269</f>
        <v>19.57244</v>
      </c>
      <c r="F26" s="17">
        <f aca="true" t="shared" si="6" ref="F26:F33">(C26+D26+E26)*0.12</f>
        <v>11.079892799999998</v>
      </c>
      <c r="G26" s="17">
        <f aca="true" t="shared" si="7" ref="G26:G33">C26+D26+E26+F26</f>
        <v>103.41233279999999</v>
      </c>
      <c r="H26" s="16">
        <f aca="true" t="shared" si="8" ref="H26:H33">(G26-F26)*0.04</f>
        <v>3.6932975999999997</v>
      </c>
      <c r="I26" s="17">
        <f aca="true" t="shared" si="9" ref="I26:I33">(G26-F26)*0.07</f>
        <v>6.4632708</v>
      </c>
      <c r="J26" s="22">
        <f t="shared" si="3"/>
        <v>9.233244</v>
      </c>
      <c r="K26" s="45">
        <f aca="true" t="shared" si="10" ref="K26:K33">(G26+H26)*B26</f>
        <v>96180.85609919998</v>
      </c>
      <c r="L26" s="51">
        <f aca="true" t="shared" si="11" ref="L26:L33">(G26+I26)*B26</f>
        <v>98668.29203279999</v>
      </c>
      <c r="M26" s="55">
        <f aca="true" t="shared" si="12" ref="M26:M33">(G26+J26)*B26</f>
        <v>101155.7279664</v>
      </c>
      <c r="O26" s="10"/>
      <c r="P26" s="10"/>
    </row>
    <row r="27" spans="1:16" ht="15">
      <c r="A27" s="3" t="s">
        <v>6</v>
      </c>
      <c r="B27" s="6">
        <v>1884</v>
      </c>
      <c r="C27" s="17">
        <v>64.95</v>
      </c>
      <c r="D27" s="17">
        <f t="shared" si="4"/>
        <v>23.382</v>
      </c>
      <c r="E27" s="17">
        <f t="shared" si="5"/>
        <v>23.761308000000003</v>
      </c>
      <c r="F27" s="17">
        <f t="shared" si="6"/>
        <v>13.45119696</v>
      </c>
      <c r="G27" s="17">
        <f t="shared" si="7"/>
        <v>125.54450496000001</v>
      </c>
      <c r="H27" s="16">
        <f t="shared" si="8"/>
        <v>4.4837323200000005</v>
      </c>
      <c r="I27" s="17">
        <f t="shared" si="9"/>
        <v>7.846531560000002</v>
      </c>
      <c r="J27" s="22">
        <f t="shared" si="3"/>
        <v>11.209330800000002</v>
      </c>
      <c r="K27" s="45">
        <f t="shared" si="10"/>
        <v>244973.19903552003</v>
      </c>
      <c r="L27" s="51">
        <f t="shared" si="11"/>
        <v>251308.71280368</v>
      </c>
      <c r="M27" s="55">
        <f t="shared" si="12"/>
        <v>257644.22657184003</v>
      </c>
      <c r="O27" s="10"/>
      <c r="P27" s="10"/>
    </row>
    <row r="28" spans="1:16" ht="15">
      <c r="A28" s="3" t="s">
        <v>8</v>
      </c>
      <c r="B28" s="6">
        <v>130</v>
      </c>
      <c r="C28" s="17">
        <v>49.63</v>
      </c>
      <c r="D28" s="17">
        <f t="shared" si="4"/>
        <v>17.8668</v>
      </c>
      <c r="E28" s="17">
        <f t="shared" si="5"/>
        <v>18.156639200000004</v>
      </c>
      <c r="F28" s="17">
        <f t="shared" si="6"/>
        <v>10.278412704</v>
      </c>
      <c r="G28" s="17">
        <f t="shared" si="7"/>
        <v>95.93185190400001</v>
      </c>
      <c r="H28" s="16">
        <f t="shared" si="8"/>
        <v>3.4261375680000006</v>
      </c>
      <c r="I28" s="17">
        <f t="shared" si="9"/>
        <v>5.995740744000001</v>
      </c>
      <c r="J28" s="22">
        <f t="shared" si="3"/>
        <v>8.565343920000002</v>
      </c>
      <c r="K28" s="45">
        <f t="shared" si="10"/>
        <v>12916.538631360001</v>
      </c>
      <c r="L28" s="51">
        <f t="shared" si="11"/>
        <v>13250.587044240003</v>
      </c>
      <c r="M28" s="55">
        <f t="shared" si="12"/>
        <v>13584.635457120003</v>
      </c>
      <c r="O28" s="10"/>
      <c r="P28" s="10"/>
    </row>
    <row r="29" spans="1:16" ht="15">
      <c r="A29" s="3" t="s">
        <v>9</v>
      </c>
      <c r="B29" s="6">
        <v>230</v>
      </c>
      <c r="C29" s="17">
        <v>62.36</v>
      </c>
      <c r="D29" s="17">
        <f t="shared" si="4"/>
        <v>22.4496</v>
      </c>
      <c r="E29" s="17">
        <f t="shared" si="5"/>
        <v>22.8137824</v>
      </c>
      <c r="F29" s="17">
        <f t="shared" si="6"/>
        <v>12.914805887999998</v>
      </c>
      <c r="G29" s="17">
        <f t="shared" si="7"/>
        <v>120.538188288</v>
      </c>
      <c r="H29" s="16">
        <f t="shared" si="8"/>
        <v>4.304935296</v>
      </c>
      <c r="I29" s="17">
        <f t="shared" si="9"/>
        <v>7.533636768000001</v>
      </c>
      <c r="J29" s="22">
        <f t="shared" si="3"/>
        <v>10.76233824</v>
      </c>
      <c r="K29" s="45">
        <f t="shared" si="10"/>
        <v>28713.91842432</v>
      </c>
      <c r="L29" s="51">
        <f t="shared" si="11"/>
        <v>29456.519762879998</v>
      </c>
      <c r="M29" s="55">
        <f t="shared" si="12"/>
        <v>30199.12110144</v>
      </c>
      <c r="O29" s="10"/>
      <c r="P29" s="10"/>
    </row>
    <row r="30" spans="1:16" ht="15">
      <c r="A30" s="3" t="s">
        <v>10</v>
      </c>
      <c r="B30" s="6">
        <v>1445</v>
      </c>
      <c r="C30" s="17">
        <v>51.2</v>
      </c>
      <c r="D30" s="17">
        <f t="shared" si="4"/>
        <v>18.432</v>
      </c>
      <c r="E30" s="17">
        <f t="shared" si="5"/>
        <v>18.731008000000003</v>
      </c>
      <c r="F30" s="17">
        <f t="shared" si="6"/>
        <v>10.603560960000001</v>
      </c>
      <c r="G30" s="17">
        <f t="shared" si="7"/>
        <v>98.96656896</v>
      </c>
      <c r="H30" s="16">
        <f t="shared" si="8"/>
        <v>3.5345203200000004</v>
      </c>
      <c r="I30" s="17">
        <f t="shared" si="9"/>
        <v>6.185410560000001</v>
      </c>
      <c r="J30" s="22">
        <f t="shared" si="3"/>
        <v>8.836300800000002</v>
      </c>
      <c r="K30" s="45">
        <f t="shared" si="10"/>
        <v>148114.0740096</v>
      </c>
      <c r="L30" s="51">
        <f t="shared" si="11"/>
        <v>151944.6104064</v>
      </c>
      <c r="M30" s="55">
        <f t="shared" si="12"/>
        <v>155775.1468032</v>
      </c>
      <c r="O30" s="10"/>
      <c r="P30" s="10"/>
    </row>
    <row r="31" spans="1:16" ht="15">
      <c r="A31" s="3" t="s">
        <v>11</v>
      </c>
      <c r="B31" s="6">
        <v>885</v>
      </c>
      <c r="C31" s="17">
        <v>26.04</v>
      </c>
      <c r="D31" s="17">
        <f t="shared" si="4"/>
        <v>9.3744</v>
      </c>
      <c r="E31" s="17">
        <f t="shared" si="5"/>
        <v>9.526473600000001</v>
      </c>
      <c r="F31" s="17">
        <f t="shared" si="6"/>
        <v>5.392904832</v>
      </c>
      <c r="G31" s="17">
        <f t="shared" si="7"/>
        <v>50.333778432</v>
      </c>
      <c r="H31" s="16">
        <f t="shared" si="8"/>
        <v>1.7976349440000001</v>
      </c>
      <c r="I31" s="17">
        <f t="shared" si="9"/>
        <v>3.1458611520000006</v>
      </c>
      <c r="J31" s="22">
        <f t="shared" si="3"/>
        <v>4.494087360000001</v>
      </c>
      <c r="K31" s="45">
        <f t="shared" si="10"/>
        <v>46136.300837760005</v>
      </c>
      <c r="L31" s="51">
        <f t="shared" si="11"/>
        <v>47329.481031840005</v>
      </c>
      <c r="M31" s="55">
        <f t="shared" si="12"/>
        <v>48522.661225920005</v>
      </c>
      <c r="O31" s="10"/>
      <c r="P31" s="10"/>
    </row>
    <row r="32" spans="1:16" ht="15">
      <c r="A32" s="3" t="s">
        <v>12</v>
      </c>
      <c r="B32" s="6">
        <v>370</v>
      </c>
      <c r="C32" s="17">
        <v>59.3</v>
      </c>
      <c r="D32" s="17">
        <f t="shared" si="4"/>
        <v>21.348</v>
      </c>
      <c r="E32" s="17">
        <f t="shared" si="5"/>
        <v>21.694312</v>
      </c>
      <c r="F32" s="17">
        <f t="shared" si="6"/>
        <v>12.281077439999999</v>
      </c>
      <c r="G32" s="17">
        <f t="shared" si="7"/>
        <v>114.62338944</v>
      </c>
      <c r="H32" s="16">
        <f t="shared" si="8"/>
        <v>4.09369248</v>
      </c>
      <c r="I32" s="17">
        <f t="shared" si="9"/>
        <v>7.16396184</v>
      </c>
      <c r="J32" s="22">
        <f t="shared" si="3"/>
        <v>10.2342312</v>
      </c>
      <c r="K32" s="45">
        <f t="shared" si="10"/>
        <v>43925.3203104</v>
      </c>
      <c r="L32" s="51">
        <f t="shared" si="11"/>
        <v>45061.319973599995</v>
      </c>
      <c r="M32" s="55">
        <f t="shared" si="12"/>
        <v>46197.3196368</v>
      </c>
      <c r="O32" s="10"/>
      <c r="P32" s="10"/>
    </row>
    <row r="33" spans="1:16" ht="17.25">
      <c r="A33" s="3" t="s">
        <v>13</v>
      </c>
      <c r="B33" s="9">
        <v>1101</v>
      </c>
      <c r="C33" s="17">
        <v>125</v>
      </c>
      <c r="D33" s="17">
        <f t="shared" si="4"/>
        <v>45</v>
      </c>
      <c r="E33" s="17">
        <f t="shared" si="5"/>
        <v>45.730000000000004</v>
      </c>
      <c r="F33" s="17">
        <f t="shared" si="6"/>
        <v>25.887600000000003</v>
      </c>
      <c r="G33" s="17">
        <f t="shared" si="7"/>
        <v>241.6176</v>
      </c>
      <c r="H33" s="16">
        <f t="shared" si="8"/>
        <v>8.6292</v>
      </c>
      <c r="I33" s="17">
        <f t="shared" si="9"/>
        <v>15.101100000000002</v>
      </c>
      <c r="J33" s="22">
        <f t="shared" si="3"/>
        <v>21.573000000000004</v>
      </c>
      <c r="K33" s="46">
        <f t="shared" si="10"/>
        <v>275521.7268</v>
      </c>
      <c r="L33" s="52">
        <f t="shared" si="11"/>
        <v>282647.28870000003</v>
      </c>
      <c r="M33" s="56">
        <f t="shared" si="12"/>
        <v>289772.8506</v>
      </c>
      <c r="O33" s="10"/>
      <c r="P33" s="10"/>
    </row>
    <row r="34" spans="1:18" ht="15" thickBot="1">
      <c r="A34" s="4" t="s">
        <v>53</v>
      </c>
      <c r="B34" s="31">
        <f>SUM(B25:B33)</f>
        <v>8943</v>
      </c>
      <c r="C34" s="18"/>
      <c r="D34" s="7"/>
      <c r="E34" s="18"/>
      <c r="F34" s="18"/>
      <c r="G34" s="7"/>
      <c r="H34" s="7"/>
      <c r="I34" s="18"/>
      <c r="J34" s="7"/>
      <c r="K34" s="47">
        <f>SUM(K25:K33)</f>
        <v>1216237.28531616</v>
      </c>
      <c r="L34" s="47">
        <f>SUM(L25:L33)</f>
        <v>1247691.69786744</v>
      </c>
      <c r="M34" s="47">
        <f>SUM(M25:M33)</f>
        <v>1279146.1104187202</v>
      </c>
      <c r="R34" s="11"/>
    </row>
    <row r="35" spans="1:12" ht="15.75" thickTop="1">
      <c r="A35" s="3"/>
      <c r="B35" s="2"/>
      <c r="C35" s="20"/>
      <c r="D35" s="2"/>
      <c r="E35" s="20"/>
      <c r="F35" s="20"/>
      <c r="G35" s="2"/>
      <c r="H35" s="2"/>
      <c r="I35" s="20"/>
      <c r="J35" s="2"/>
      <c r="K35" s="48"/>
      <c r="L35" s="49"/>
    </row>
    <row r="36" spans="1:12" ht="15">
      <c r="A36" s="4" t="s">
        <v>15</v>
      </c>
      <c r="B36" s="5"/>
      <c r="C36" s="19"/>
      <c r="D36" s="5"/>
      <c r="E36" s="19"/>
      <c r="F36" s="19"/>
      <c r="G36" s="5"/>
      <c r="H36" s="5"/>
      <c r="I36" s="19"/>
      <c r="J36" s="5"/>
      <c r="K36" s="49"/>
      <c r="L36" s="49"/>
    </row>
    <row r="37" spans="1:13" ht="15">
      <c r="A37" s="1" t="s">
        <v>2</v>
      </c>
      <c r="B37" s="5"/>
      <c r="C37" s="19"/>
      <c r="D37" s="5"/>
      <c r="E37" s="19"/>
      <c r="F37" s="19"/>
      <c r="G37" s="5"/>
      <c r="H37" s="5"/>
      <c r="I37" s="19"/>
      <c r="J37" s="5"/>
      <c r="K37" s="51">
        <v>52575</v>
      </c>
      <c r="L37" s="51">
        <v>52575</v>
      </c>
      <c r="M37" s="51">
        <v>52575</v>
      </c>
    </row>
    <row r="38" spans="1:13" ht="15">
      <c r="A38" s="1" t="s">
        <v>3</v>
      </c>
      <c r="B38" s="5"/>
      <c r="C38" s="19"/>
      <c r="D38" s="5"/>
      <c r="E38" s="19"/>
      <c r="F38" s="19"/>
      <c r="G38" s="5"/>
      <c r="H38" s="5"/>
      <c r="I38" s="19"/>
      <c r="J38" s="5"/>
      <c r="K38" s="51">
        <v>0</v>
      </c>
      <c r="L38" s="51">
        <v>0</v>
      </c>
      <c r="M38" s="51">
        <v>0</v>
      </c>
    </row>
    <row r="39" spans="1:13" ht="15">
      <c r="A39" s="1" t="s">
        <v>18</v>
      </c>
      <c r="B39" s="5"/>
      <c r="C39" s="19"/>
      <c r="D39" s="5"/>
      <c r="E39" s="19"/>
      <c r="F39" s="19"/>
      <c r="G39" s="5"/>
      <c r="H39" s="5"/>
      <c r="I39" s="19"/>
      <c r="J39" s="5"/>
      <c r="K39" s="51">
        <v>9750</v>
      </c>
      <c r="L39" s="51">
        <v>9750</v>
      </c>
      <c r="M39" s="51">
        <v>9750</v>
      </c>
    </row>
    <row r="40" spans="1:13" ht="15">
      <c r="A40" s="3" t="s">
        <v>16</v>
      </c>
      <c r="B40" s="8">
        <v>0.039</v>
      </c>
      <c r="C40" s="19"/>
      <c r="D40" s="5"/>
      <c r="E40" s="19"/>
      <c r="F40" s="19"/>
      <c r="G40" s="5"/>
      <c r="H40" s="5"/>
      <c r="I40" s="19"/>
      <c r="J40" s="5"/>
      <c r="K40" s="51">
        <f>K39*0.039</f>
        <v>380.25</v>
      </c>
      <c r="L40" s="51">
        <f>L39*0.039</f>
        <v>380.25</v>
      </c>
      <c r="M40" s="51">
        <f>M39*0.039</f>
        <v>380.25</v>
      </c>
    </row>
    <row r="41" spans="1:13" ht="15">
      <c r="A41" s="1" t="s">
        <v>72</v>
      </c>
      <c r="B41" s="5"/>
      <c r="C41" s="19"/>
      <c r="D41" s="5"/>
      <c r="E41" s="19"/>
      <c r="F41" s="19"/>
      <c r="G41" s="5"/>
      <c r="H41" s="5"/>
      <c r="I41" s="19"/>
      <c r="J41" s="5"/>
      <c r="K41" s="52">
        <v>0</v>
      </c>
      <c r="L41" s="52">
        <v>0</v>
      </c>
      <c r="M41" s="52">
        <v>0</v>
      </c>
    </row>
    <row r="42" spans="1:13" ht="15.75" thickBot="1">
      <c r="A42" s="41" t="s">
        <v>53</v>
      </c>
      <c r="C42" s="21"/>
      <c r="D42" s="8"/>
      <c r="E42" s="21"/>
      <c r="F42" s="21"/>
      <c r="G42" s="8"/>
      <c r="H42" s="8"/>
      <c r="I42" s="21"/>
      <c r="J42" s="8"/>
      <c r="K42" s="53">
        <f>SUM(K37:K41)</f>
        <v>62705.25</v>
      </c>
      <c r="L42" s="53">
        <f>SUM(L37:L41)</f>
        <v>62705.25</v>
      </c>
      <c r="M42" s="53">
        <f>SUM(M37:M41)</f>
        <v>62705.25</v>
      </c>
    </row>
    <row r="43" spans="1:13" ht="15.75" thickTop="1">
      <c r="A43" s="4"/>
      <c r="B43" s="5"/>
      <c r="C43" s="19"/>
      <c r="D43" s="5"/>
      <c r="E43" s="19"/>
      <c r="F43" s="19"/>
      <c r="G43" s="5"/>
      <c r="H43" s="5"/>
      <c r="I43" s="19"/>
      <c r="J43" s="5"/>
      <c r="K43" s="54"/>
      <c r="L43" s="54"/>
      <c r="M43" s="54"/>
    </row>
    <row r="44" spans="1:13" ht="15.75" thickBot="1">
      <c r="A44" s="4" t="s">
        <v>71</v>
      </c>
      <c r="B44" s="3"/>
      <c r="C44" s="22"/>
      <c r="D44" s="3"/>
      <c r="E44" s="22"/>
      <c r="F44" s="22"/>
      <c r="G44" s="3"/>
      <c r="H44" s="3"/>
      <c r="I44" s="22"/>
      <c r="J44" s="3"/>
      <c r="K44" s="47">
        <f>K34+K42</f>
        <v>1278942.53531616</v>
      </c>
      <c r="L44" s="47">
        <f>L34+L42</f>
        <v>1310396.94786744</v>
      </c>
      <c r="M44" s="47">
        <f>M34+M42</f>
        <v>1341851.3604187202</v>
      </c>
    </row>
    <row r="45" spans="1:13" ht="15.75" thickTop="1">
      <c r="A45" s="4" t="s">
        <v>114</v>
      </c>
      <c r="B45" s="3"/>
      <c r="C45" s="22"/>
      <c r="D45" s="3"/>
      <c r="E45" s="22"/>
      <c r="F45" s="22"/>
      <c r="G45" s="3"/>
      <c r="H45" s="3"/>
      <c r="I45" s="22"/>
      <c r="J45" s="3"/>
      <c r="K45" s="54"/>
      <c r="L45" s="54"/>
      <c r="M45" s="54"/>
    </row>
    <row r="46" spans="1:16" ht="15">
      <c r="A46" s="3" t="s">
        <v>5</v>
      </c>
      <c r="B46" s="6">
        <v>2000</v>
      </c>
      <c r="C46" s="17">
        <f>79.86*1.029</f>
        <v>82.17594</v>
      </c>
      <c r="D46" s="17">
        <f>C46*0.36</f>
        <v>29.5833384</v>
      </c>
      <c r="E46" s="17">
        <f>(C46+D46)*0.269</f>
        <v>30.0632458896</v>
      </c>
      <c r="F46" s="17">
        <f>(C46+D46+E46)*0.12</f>
        <v>17.018702914752</v>
      </c>
      <c r="G46" s="17">
        <f>C46+D46+E46+F46</f>
        <v>158.841227204352</v>
      </c>
      <c r="H46" s="16">
        <f>(G46-F46)*0.04</f>
        <v>5.672900971584</v>
      </c>
      <c r="I46" s="17">
        <f>(G46-F46)*0.07</f>
        <v>9.927576700272002</v>
      </c>
      <c r="J46" s="22">
        <f aca="true" t="shared" si="13" ref="J46:J54">(G46-F46)*0.1</f>
        <v>14.182252428960002</v>
      </c>
      <c r="K46" s="45">
        <f>(G46+H46)*B46</f>
        <v>329028.256351872</v>
      </c>
      <c r="L46" s="51">
        <f>(G46+I46)*B46</f>
        <v>337537.60780924803</v>
      </c>
      <c r="M46" s="55">
        <f>(G46+J46)*B46</f>
        <v>346046.959266624</v>
      </c>
      <c r="O46" s="10"/>
      <c r="P46" s="10"/>
    </row>
    <row r="47" spans="1:16" ht="15">
      <c r="A47" s="3" t="s">
        <v>7</v>
      </c>
      <c r="B47" s="6">
        <v>2500</v>
      </c>
      <c r="C47" s="17">
        <f>53.5*1.029</f>
        <v>55.0515</v>
      </c>
      <c r="D47" s="17">
        <f aca="true" t="shared" si="14" ref="D47:D54">C47*0.36</f>
        <v>19.81854</v>
      </c>
      <c r="E47" s="17">
        <f aca="true" t="shared" si="15" ref="E47:E54">(C47+D47)*0.269</f>
        <v>20.140040759999998</v>
      </c>
      <c r="F47" s="17">
        <f aca="true" t="shared" si="16" ref="F47:F54">(C47+D47+E47)*0.12</f>
        <v>11.401209691199998</v>
      </c>
      <c r="G47" s="17">
        <f aca="true" t="shared" si="17" ref="G47:G54">C47+D47+E47+F47</f>
        <v>106.41129045119999</v>
      </c>
      <c r="H47" s="16">
        <f aca="true" t="shared" si="18" ref="H47:H54">(G47-F47)*0.04</f>
        <v>3.8004032303999997</v>
      </c>
      <c r="I47" s="17">
        <f aca="true" t="shared" si="19" ref="I47:I54">(G47-F47)*0.07</f>
        <v>6.6507056532</v>
      </c>
      <c r="J47" s="22">
        <f t="shared" si="13"/>
        <v>9.501008076</v>
      </c>
      <c r="K47" s="45">
        <f aca="true" t="shared" si="20" ref="K47:K54">(G47+H47)*B47</f>
        <v>275529.234204</v>
      </c>
      <c r="L47" s="51">
        <f aca="true" t="shared" si="21" ref="L47:L54">(G47+I47)*B47</f>
        <v>282654.990261</v>
      </c>
      <c r="M47" s="55">
        <f aca="true" t="shared" si="22" ref="M47:M54">(G47+J47)*B47</f>
        <v>289780.74631799996</v>
      </c>
      <c r="O47" s="10"/>
      <c r="P47" s="10"/>
    </row>
    <row r="48" spans="1:16" ht="15">
      <c r="A48" s="3" t="s">
        <v>6</v>
      </c>
      <c r="B48" s="6">
        <v>3645</v>
      </c>
      <c r="C48" s="17">
        <f>64.95*1.029</f>
        <v>66.83355</v>
      </c>
      <c r="D48" s="17">
        <f t="shared" si="14"/>
        <v>24.060078</v>
      </c>
      <c r="E48" s="17">
        <f t="shared" si="15"/>
        <v>24.450385932000003</v>
      </c>
      <c r="F48" s="17">
        <f t="shared" si="16"/>
        <v>13.841281671840001</v>
      </c>
      <c r="G48" s="17">
        <f t="shared" si="17"/>
        <v>129.18529560384002</v>
      </c>
      <c r="H48" s="16">
        <f t="shared" si="18"/>
        <v>4.613760557280001</v>
      </c>
      <c r="I48" s="17">
        <f t="shared" si="19"/>
        <v>8.074080975240003</v>
      </c>
      <c r="J48" s="22">
        <f t="shared" si="13"/>
        <v>11.534401393200003</v>
      </c>
      <c r="K48" s="45">
        <f t="shared" si="20"/>
        <v>487697.5597072824</v>
      </c>
      <c r="L48" s="51">
        <f t="shared" si="21"/>
        <v>500310.4276307467</v>
      </c>
      <c r="M48" s="55">
        <f t="shared" si="22"/>
        <v>512923.29555421084</v>
      </c>
      <c r="O48" s="10"/>
      <c r="P48" s="10"/>
    </row>
    <row r="49" spans="1:16" ht="15">
      <c r="A49" s="3" t="s">
        <v>8</v>
      </c>
      <c r="B49" s="6">
        <v>200</v>
      </c>
      <c r="C49" s="17">
        <f>49.63*1.029</f>
        <v>51.069269999999996</v>
      </c>
      <c r="D49" s="17">
        <f t="shared" si="14"/>
        <v>18.3849372</v>
      </c>
      <c r="E49" s="17">
        <f t="shared" si="15"/>
        <v>18.6831817368</v>
      </c>
      <c r="F49" s="17">
        <f t="shared" si="16"/>
        <v>10.576486672416</v>
      </c>
      <c r="G49" s="17">
        <f t="shared" si="17"/>
        <v>98.71387560921599</v>
      </c>
      <c r="H49" s="16">
        <f t="shared" si="18"/>
        <v>3.525495557472</v>
      </c>
      <c r="I49" s="17">
        <f t="shared" si="19"/>
        <v>6.169617225576</v>
      </c>
      <c r="J49" s="22">
        <f t="shared" si="13"/>
        <v>8.81373889368</v>
      </c>
      <c r="K49" s="45">
        <f t="shared" si="20"/>
        <v>20447.8742333376</v>
      </c>
      <c r="L49" s="51">
        <f t="shared" si="21"/>
        <v>20976.6985669584</v>
      </c>
      <c r="M49" s="55">
        <f t="shared" si="22"/>
        <v>21505.5229005792</v>
      </c>
      <c r="O49" s="10"/>
      <c r="P49" s="10"/>
    </row>
    <row r="50" spans="1:16" ht="15">
      <c r="A50" s="3" t="s">
        <v>9</v>
      </c>
      <c r="B50" s="6">
        <v>455</v>
      </c>
      <c r="C50" s="17">
        <f>62.36*1.029</f>
        <v>64.16843999999999</v>
      </c>
      <c r="D50" s="17">
        <f t="shared" si="14"/>
        <v>23.100638399999994</v>
      </c>
      <c r="E50" s="17">
        <f t="shared" si="15"/>
        <v>23.475382089599997</v>
      </c>
      <c r="F50" s="17">
        <f t="shared" si="16"/>
        <v>13.289335258751999</v>
      </c>
      <c r="G50" s="17">
        <f t="shared" si="17"/>
        <v>124.03379574835199</v>
      </c>
      <c r="H50" s="16">
        <f t="shared" si="18"/>
        <v>4.429778419583999</v>
      </c>
      <c r="I50" s="17">
        <f t="shared" si="19"/>
        <v>7.7521122342719995</v>
      </c>
      <c r="J50" s="22">
        <f t="shared" si="13"/>
        <v>11.074446048959999</v>
      </c>
      <c r="K50" s="45">
        <f t="shared" si="20"/>
        <v>58450.92624641088</v>
      </c>
      <c r="L50" s="51">
        <f t="shared" si="21"/>
        <v>59962.588132093915</v>
      </c>
      <c r="M50" s="55">
        <f t="shared" si="22"/>
        <v>61474.250017776954</v>
      </c>
      <c r="O50" s="10"/>
      <c r="P50" s="10"/>
    </row>
    <row r="51" spans="1:16" ht="15">
      <c r="A51" s="3" t="s">
        <v>10</v>
      </c>
      <c r="B51" s="6">
        <v>3675</v>
      </c>
      <c r="C51" s="17">
        <f>51.2*1.029</f>
        <v>52.684799999999996</v>
      </c>
      <c r="D51" s="17">
        <f t="shared" si="14"/>
        <v>18.966527999999997</v>
      </c>
      <c r="E51" s="17">
        <f t="shared" si="15"/>
        <v>19.274207232</v>
      </c>
      <c r="F51" s="17">
        <f t="shared" si="16"/>
        <v>10.911064227839997</v>
      </c>
      <c r="G51" s="17">
        <f t="shared" si="17"/>
        <v>101.83659945983999</v>
      </c>
      <c r="H51" s="16">
        <f t="shared" si="18"/>
        <v>3.6370214092799995</v>
      </c>
      <c r="I51" s="17">
        <f t="shared" si="19"/>
        <v>6.36478746624</v>
      </c>
      <c r="J51" s="22">
        <f t="shared" si="13"/>
        <v>9.0925535232</v>
      </c>
      <c r="K51" s="45">
        <f t="shared" si="20"/>
        <v>387615.5566940159</v>
      </c>
      <c r="L51" s="51">
        <f t="shared" si="21"/>
        <v>397640.09695334395</v>
      </c>
      <c r="M51" s="55">
        <f t="shared" si="22"/>
        <v>407664.6372126719</v>
      </c>
      <c r="O51" s="10"/>
      <c r="P51" s="10"/>
    </row>
    <row r="52" spans="1:16" ht="15">
      <c r="A52" s="3" t="s">
        <v>11</v>
      </c>
      <c r="B52" s="6">
        <v>1959</v>
      </c>
      <c r="C52" s="17">
        <f>26.04*1.029</f>
        <v>26.795159999999996</v>
      </c>
      <c r="D52" s="17">
        <f t="shared" si="14"/>
        <v>9.646257599999998</v>
      </c>
      <c r="E52" s="17">
        <f t="shared" si="15"/>
        <v>9.802741334399999</v>
      </c>
      <c r="F52" s="17">
        <f t="shared" si="16"/>
        <v>5.549299072127999</v>
      </c>
      <c r="G52" s="17">
        <f t="shared" si="17"/>
        <v>51.79345800652799</v>
      </c>
      <c r="H52" s="16">
        <f t="shared" si="18"/>
        <v>1.8497663573759997</v>
      </c>
      <c r="I52" s="17">
        <f t="shared" si="19"/>
        <v>3.2370911254079995</v>
      </c>
      <c r="J52" s="22">
        <f t="shared" si="13"/>
        <v>4.624415893439999</v>
      </c>
      <c r="K52" s="45">
        <f t="shared" si="20"/>
        <v>105087.07652888792</v>
      </c>
      <c r="L52" s="51">
        <f t="shared" si="21"/>
        <v>107804.8457494626</v>
      </c>
      <c r="M52" s="55">
        <f t="shared" si="22"/>
        <v>110522.6149700373</v>
      </c>
      <c r="O52" s="10"/>
      <c r="P52" s="10"/>
    </row>
    <row r="53" spans="1:16" ht="15">
      <c r="A53" s="3" t="s">
        <v>12</v>
      </c>
      <c r="B53" s="6">
        <v>425</v>
      </c>
      <c r="C53" s="17">
        <f>59.3*1.029</f>
        <v>61.01969999999999</v>
      </c>
      <c r="D53" s="17">
        <f t="shared" si="14"/>
        <v>21.967091999999997</v>
      </c>
      <c r="E53" s="17">
        <f t="shared" si="15"/>
        <v>22.323447048</v>
      </c>
      <c r="F53" s="17">
        <f t="shared" si="16"/>
        <v>12.63722868576</v>
      </c>
      <c r="G53" s="17">
        <f t="shared" si="17"/>
        <v>117.94746773375999</v>
      </c>
      <c r="H53" s="16">
        <f t="shared" si="18"/>
        <v>4.21240956192</v>
      </c>
      <c r="I53" s="17">
        <f t="shared" si="19"/>
        <v>7.37171673336</v>
      </c>
      <c r="J53" s="22">
        <f t="shared" si="13"/>
        <v>10.531023904800001</v>
      </c>
      <c r="K53" s="45">
        <f t="shared" si="20"/>
        <v>51917.94785066399</v>
      </c>
      <c r="L53" s="51">
        <f t="shared" si="21"/>
        <v>53260.653398525996</v>
      </c>
      <c r="M53" s="55">
        <f t="shared" si="22"/>
        <v>54603.358946388</v>
      </c>
      <c r="O53" s="10"/>
      <c r="P53" s="10"/>
    </row>
    <row r="54" spans="1:16" ht="17.25">
      <c r="A54" s="3" t="s">
        <v>13</v>
      </c>
      <c r="B54" s="9">
        <v>575</v>
      </c>
      <c r="C54" s="17">
        <f>125*1.029</f>
        <v>128.625</v>
      </c>
      <c r="D54" s="17">
        <f t="shared" si="14"/>
        <v>46.305</v>
      </c>
      <c r="E54" s="17">
        <f t="shared" si="15"/>
        <v>47.05617</v>
      </c>
      <c r="F54" s="17">
        <f t="shared" si="16"/>
        <v>26.6383404</v>
      </c>
      <c r="G54" s="17">
        <f t="shared" si="17"/>
        <v>248.62451040000002</v>
      </c>
      <c r="H54" s="16">
        <f t="shared" si="18"/>
        <v>8.8794468</v>
      </c>
      <c r="I54" s="17">
        <f t="shared" si="19"/>
        <v>15.539031900000003</v>
      </c>
      <c r="J54" s="22">
        <f t="shared" si="13"/>
        <v>22.198617000000002</v>
      </c>
      <c r="K54" s="46">
        <f t="shared" si="20"/>
        <v>148064.77539</v>
      </c>
      <c r="L54" s="52">
        <f t="shared" si="21"/>
        <v>151894.0368225</v>
      </c>
      <c r="M54" s="56">
        <f t="shared" si="22"/>
        <v>155723.29825500003</v>
      </c>
      <c r="O54" s="10"/>
      <c r="P54" s="10"/>
    </row>
    <row r="55" spans="1:18" ht="15" thickBot="1">
      <c r="A55" s="4" t="s">
        <v>53</v>
      </c>
      <c r="B55" s="31">
        <f>SUM(B46:B54)</f>
        <v>15434</v>
      </c>
      <c r="C55" s="18"/>
      <c r="D55" s="7"/>
      <c r="E55" s="18"/>
      <c r="F55" s="18"/>
      <c r="G55" s="7"/>
      <c r="H55" s="7"/>
      <c r="I55" s="18"/>
      <c r="J55" s="7"/>
      <c r="K55" s="47">
        <f>SUM(K46:K54)</f>
        <v>1863839.2072064707</v>
      </c>
      <c r="L55" s="47">
        <f>SUM(L46:L54)</f>
        <v>1912041.9453238791</v>
      </c>
      <c r="M55" s="47">
        <f>SUM(M46:M54)</f>
        <v>1960244.6834412878</v>
      </c>
      <c r="R55" s="11"/>
    </row>
    <row r="56" spans="1:12" ht="15.75" thickTop="1">
      <c r="A56" s="3"/>
      <c r="B56" s="2"/>
      <c r="C56" s="20"/>
      <c r="D56" s="2"/>
      <c r="E56" s="20"/>
      <c r="F56" s="20"/>
      <c r="G56" s="2"/>
      <c r="H56" s="2"/>
      <c r="I56" s="20"/>
      <c r="J56" s="2"/>
      <c r="K56" s="48"/>
      <c r="L56" s="49"/>
    </row>
    <row r="57" spans="1:12" ht="15">
      <c r="A57" s="4" t="s">
        <v>15</v>
      </c>
      <c r="B57" s="5"/>
      <c r="C57" s="19"/>
      <c r="D57" s="5"/>
      <c r="E57" s="19"/>
      <c r="F57" s="19"/>
      <c r="G57" s="5"/>
      <c r="H57" s="5"/>
      <c r="I57" s="19"/>
      <c r="J57" s="5"/>
      <c r="K57" s="49"/>
      <c r="L57" s="49"/>
    </row>
    <row r="58" spans="1:13" ht="15">
      <c r="A58" s="1" t="s">
        <v>2</v>
      </c>
      <c r="B58" s="5"/>
      <c r="C58" s="19"/>
      <c r="D58" s="5"/>
      <c r="E58" s="19"/>
      <c r="F58" s="19"/>
      <c r="G58" s="5"/>
      <c r="H58" s="5"/>
      <c r="I58" s="19"/>
      <c r="J58" s="5"/>
      <c r="K58" s="51">
        <v>125800</v>
      </c>
      <c r="L58" s="51">
        <v>125800</v>
      </c>
      <c r="M58" s="51">
        <v>125800</v>
      </c>
    </row>
    <row r="59" spans="1:13" ht="15">
      <c r="A59" s="1" t="s">
        <v>3</v>
      </c>
      <c r="B59" s="5"/>
      <c r="C59" s="19"/>
      <c r="D59" s="5"/>
      <c r="E59" s="19"/>
      <c r="F59" s="19"/>
      <c r="G59" s="5"/>
      <c r="H59" s="5"/>
      <c r="I59" s="19"/>
      <c r="J59" s="5"/>
      <c r="K59" s="51">
        <v>0</v>
      </c>
      <c r="L59" s="51">
        <v>0</v>
      </c>
      <c r="M59" s="51">
        <v>0</v>
      </c>
    </row>
    <row r="60" spans="1:13" ht="15">
      <c r="A60" s="1" t="s">
        <v>18</v>
      </c>
      <c r="B60" s="5"/>
      <c r="C60" s="19"/>
      <c r="D60" s="5"/>
      <c r="E60" s="19"/>
      <c r="F60" s="19"/>
      <c r="G60" s="5"/>
      <c r="H60" s="5"/>
      <c r="I60" s="19"/>
      <c r="J60" s="5"/>
      <c r="K60" s="51">
        <v>75832</v>
      </c>
      <c r="L60" s="51">
        <v>75832</v>
      </c>
      <c r="M60" s="51">
        <v>75832</v>
      </c>
    </row>
    <row r="61" spans="1:13" ht="15">
      <c r="A61" s="3" t="s">
        <v>16</v>
      </c>
      <c r="B61" s="8">
        <f>0.039*1.029</f>
        <v>0.040131</v>
      </c>
      <c r="C61" s="19"/>
      <c r="D61" s="5"/>
      <c r="E61" s="19"/>
      <c r="F61" s="19"/>
      <c r="G61" s="5"/>
      <c r="H61" s="5"/>
      <c r="I61" s="19"/>
      <c r="J61" s="5"/>
      <c r="K61" s="51">
        <f>K60*(0.039*1.029)</f>
        <v>3043.213992</v>
      </c>
      <c r="L61" s="51">
        <f>L60*(0.039*1.029)</f>
        <v>3043.213992</v>
      </c>
      <c r="M61" s="51">
        <f>M60*(0.039*1.029)</f>
        <v>3043.213992</v>
      </c>
    </row>
    <row r="62" spans="1:13" ht="15">
      <c r="A62" s="1" t="s">
        <v>72</v>
      </c>
      <c r="B62" s="5"/>
      <c r="C62" s="19"/>
      <c r="D62" s="5"/>
      <c r="E62" s="19"/>
      <c r="F62" s="19"/>
      <c r="G62" s="5"/>
      <c r="H62" s="5"/>
      <c r="I62" s="19"/>
      <c r="J62" s="5"/>
      <c r="K62" s="52">
        <v>0</v>
      </c>
      <c r="L62" s="52">
        <v>0</v>
      </c>
      <c r="M62" s="52">
        <v>0</v>
      </c>
    </row>
    <row r="63" spans="1:13" ht="15.75" thickBot="1">
      <c r="A63" s="41" t="s">
        <v>53</v>
      </c>
      <c r="C63" s="21"/>
      <c r="D63" s="8"/>
      <c r="E63" s="21"/>
      <c r="F63" s="21"/>
      <c r="G63" s="8"/>
      <c r="H63" s="8"/>
      <c r="I63" s="21"/>
      <c r="J63" s="8"/>
      <c r="K63" s="53">
        <f>SUM(K58:K62)</f>
        <v>204675.213992</v>
      </c>
      <c r="L63" s="53">
        <f>SUM(L58:L62)</f>
        <v>204675.213992</v>
      </c>
      <c r="M63" s="53">
        <f>SUM(M58:M62)</f>
        <v>204675.213992</v>
      </c>
    </row>
    <row r="64" spans="1:13" ht="15.75" thickTop="1">
      <c r="A64" s="4"/>
      <c r="B64" s="5"/>
      <c r="C64" s="19"/>
      <c r="D64" s="5"/>
      <c r="E64" s="19"/>
      <c r="F64" s="19"/>
      <c r="G64" s="5"/>
      <c r="H64" s="5"/>
      <c r="I64" s="19"/>
      <c r="J64" s="5"/>
      <c r="K64" s="54"/>
      <c r="L64" s="54"/>
      <c r="M64" s="54"/>
    </row>
    <row r="65" spans="1:13" ht="15.75" thickBot="1">
      <c r="A65" s="4" t="s">
        <v>68</v>
      </c>
      <c r="B65" s="3"/>
      <c r="C65" s="22"/>
      <c r="D65" s="3"/>
      <c r="E65" s="22"/>
      <c r="F65" s="22"/>
      <c r="G65" s="3"/>
      <c r="H65" s="3"/>
      <c r="I65" s="22"/>
      <c r="J65" s="3"/>
      <c r="K65" s="47">
        <f>K55+K63</f>
        <v>2068514.4211984708</v>
      </c>
      <c r="L65" s="47">
        <f>L55+L63</f>
        <v>2116717.159315879</v>
      </c>
      <c r="M65" s="47">
        <f>M55+M63</f>
        <v>2164919.897433288</v>
      </c>
    </row>
    <row r="66" spans="1:13" ht="15.75" thickTop="1">
      <c r="A66" s="4" t="s">
        <v>115</v>
      </c>
      <c r="B66" s="3"/>
      <c r="C66" s="22"/>
      <c r="D66" s="3"/>
      <c r="E66" s="22"/>
      <c r="F66" s="22"/>
      <c r="G66" s="3"/>
      <c r="H66" s="3"/>
      <c r="I66" s="22"/>
      <c r="J66" s="3"/>
      <c r="K66" s="54"/>
      <c r="L66" s="54"/>
      <c r="M66" s="54"/>
    </row>
    <row r="67" spans="1:16" ht="15">
      <c r="A67" s="3" t="s">
        <v>5</v>
      </c>
      <c r="B67" s="6">
        <v>2000</v>
      </c>
      <c r="C67" s="17">
        <f>(79.86*1.029)*1.031</f>
        <v>84.72339414</v>
      </c>
      <c r="D67" s="17">
        <f>C67*0.36</f>
        <v>30.5004218904</v>
      </c>
      <c r="E67" s="17">
        <f>(C67+D67)*0.269</f>
        <v>30.995206512177603</v>
      </c>
      <c r="F67" s="17">
        <f>(C67+D67+E67)*0.12</f>
        <v>17.54628270510931</v>
      </c>
      <c r="G67" s="17">
        <f>C67+D67+E67+F67</f>
        <v>163.7653052476869</v>
      </c>
      <c r="H67" s="16">
        <f>(G67-F67)*0.04</f>
        <v>5.848760901703104</v>
      </c>
      <c r="I67" s="17">
        <f>(G67-F67)*0.07</f>
        <v>10.235331577980432</v>
      </c>
      <c r="J67" s="22">
        <f aca="true" t="shared" si="23" ref="J67:J75">(G67-F67)*0.1</f>
        <v>14.62190225425776</v>
      </c>
      <c r="K67" s="45">
        <f>(G67+H67)*B67</f>
        <v>339228.1322987801</v>
      </c>
      <c r="L67" s="51">
        <f>(G67+I67)*B67</f>
        <v>348001.2736513347</v>
      </c>
      <c r="M67" s="55">
        <f>(G67+J67)*B67</f>
        <v>356774.4150038893</v>
      </c>
      <c r="O67" s="10"/>
      <c r="P67" s="10"/>
    </row>
    <row r="68" spans="1:16" ht="15">
      <c r="A68" s="3" t="s">
        <v>7</v>
      </c>
      <c r="B68" s="6">
        <v>250</v>
      </c>
      <c r="C68" s="17">
        <f>(53.5*1.029)*1.031</f>
        <v>56.75809649999999</v>
      </c>
      <c r="D68" s="17">
        <f aca="true" t="shared" si="24" ref="D68:D75">C68*0.36</f>
        <v>20.432914739999998</v>
      </c>
      <c r="E68" s="17">
        <f aca="true" t="shared" si="25" ref="E68:E75">(C68+D68)*0.269</f>
        <v>20.76438202356</v>
      </c>
      <c r="F68" s="17">
        <f aca="true" t="shared" si="26" ref="F68:F75">(C68+D68+E68)*0.12</f>
        <v>11.7546471916272</v>
      </c>
      <c r="G68" s="17">
        <f aca="true" t="shared" si="27" ref="G68:G75">C68+D68+E68+F68</f>
        <v>109.7100404551872</v>
      </c>
      <c r="H68" s="16">
        <f aca="true" t="shared" si="28" ref="H68:H75">(G68-F68)*0.04</f>
        <v>3.9182157305424</v>
      </c>
      <c r="I68" s="17">
        <f aca="true" t="shared" si="29" ref="I68:I75">(G68-F68)*0.07</f>
        <v>6.856877528449201</v>
      </c>
      <c r="J68" s="22">
        <f t="shared" si="23"/>
        <v>9.795539326356</v>
      </c>
      <c r="K68" s="45">
        <f aca="true" t="shared" si="30" ref="K68:K75">(G68+H68)*B68</f>
        <v>28407.0640464324</v>
      </c>
      <c r="L68" s="51">
        <f aca="true" t="shared" si="31" ref="L68:L75">(G68+I68)*B68</f>
        <v>29141.7294959091</v>
      </c>
      <c r="M68" s="55">
        <f aca="true" t="shared" si="32" ref="M68:M75">(G68+J68)*B68</f>
        <v>29876.394945385797</v>
      </c>
      <c r="O68" s="10"/>
      <c r="P68" s="10"/>
    </row>
    <row r="69" spans="1:16" ht="15">
      <c r="A69" s="3" t="s">
        <v>6</v>
      </c>
      <c r="B69" s="6">
        <v>779</v>
      </c>
      <c r="C69" s="17">
        <f>(64.95*1.029)*1.031</f>
        <v>68.90539005</v>
      </c>
      <c r="D69" s="17">
        <f t="shared" si="24"/>
        <v>24.805940418</v>
      </c>
      <c r="E69" s="17">
        <f t="shared" si="25"/>
        <v>25.208347895892</v>
      </c>
      <c r="F69" s="17">
        <f t="shared" si="26"/>
        <v>14.27036140366704</v>
      </c>
      <c r="G69" s="17">
        <f t="shared" si="27"/>
        <v>133.19003976755906</v>
      </c>
      <c r="H69" s="16">
        <f t="shared" si="28"/>
        <v>4.7567871345556805</v>
      </c>
      <c r="I69" s="17">
        <f t="shared" si="29"/>
        <v>8.324377485472443</v>
      </c>
      <c r="J69" s="22">
        <f t="shared" si="23"/>
        <v>11.891967836389203</v>
      </c>
      <c r="K69" s="45">
        <f t="shared" si="30"/>
        <v>107460.57815674738</v>
      </c>
      <c r="L69" s="51">
        <f t="shared" si="31"/>
        <v>110239.73104011154</v>
      </c>
      <c r="M69" s="55">
        <f t="shared" si="32"/>
        <v>113018.88392347569</v>
      </c>
      <c r="O69" s="10"/>
      <c r="P69" s="10"/>
    </row>
    <row r="70" spans="1:16" ht="15">
      <c r="A70" s="3" t="s">
        <v>8</v>
      </c>
      <c r="B70" s="6">
        <v>50</v>
      </c>
      <c r="C70" s="17">
        <f>(49.63*1.029)*1.031</f>
        <v>52.652417369999995</v>
      </c>
      <c r="D70" s="17">
        <f t="shared" si="24"/>
        <v>18.954870253199996</v>
      </c>
      <c r="E70" s="17">
        <f t="shared" si="25"/>
        <v>19.2623603706408</v>
      </c>
      <c r="F70" s="17">
        <f t="shared" si="26"/>
        <v>10.904357759260895</v>
      </c>
      <c r="G70" s="17">
        <f t="shared" si="27"/>
        <v>101.77400575310169</v>
      </c>
      <c r="H70" s="16">
        <f t="shared" si="28"/>
        <v>3.6347859197536323</v>
      </c>
      <c r="I70" s="17">
        <f t="shared" si="29"/>
        <v>6.3608753595688565</v>
      </c>
      <c r="J70" s="22">
        <f t="shared" si="23"/>
        <v>9.08696479938408</v>
      </c>
      <c r="K70" s="45">
        <f t="shared" si="30"/>
        <v>5270.439583642767</v>
      </c>
      <c r="L70" s="51">
        <f t="shared" si="31"/>
        <v>5406.744055633527</v>
      </c>
      <c r="M70" s="55">
        <f t="shared" si="32"/>
        <v>5543.048527624288</v>
      </c>
      <c r="O70" s="10"/>
      <c r="P70" s="10"/>
    </row>
    <row r="71" spans="1:16" ht="15">
      <c r="A71" s="3" t="s">
        <v>9</v>
      </c>
      <c r="B71" s="6">
        <v>900</v>
      </c>
      <c r="C71" s="17">
        <f>(62.36*1.029)*1.031</f>
        <v>66.15766163999999</v>
      </c>
      <c r="D71" s="17">
        <f t="shared" si="24"/>
        <v>23.816758190399995</v>
      </c>
      <c r="E71" s="17">
        <f t="shared" si="25"/>
        <v>24.203118934377596</v>
      </c>
      <c r="F71" s="17">
        <f t="shared" si="26"/>
        <v>13.70130465177331</v>
      </c>
      <c r="G71" s="17">
        <f t="shared" si="27"/>
        <v>127.8788434165509</v>
      </c>
      <c r="H71" s="16">
        <f t="shared" si="28"/>
        <v>4.5671015505911035</v>
      </c>
      <c r="I71" s="17">
        <f t="shared" si="29"/>
        <v>7.992427713534432</v>
      </c>
      <c r="J71" s="22">
        <f t="shared" si="23"/>
        <v>11.417753876477759</v>
      </c>
      <c r="K71" s="45">
        <f t="shared" si="30"/>
        <v>119201.3504704278</v>
      </c>
      <c r="L71" s="51">
        <f t="shared" si="31"/>
        <v>122284.14401707679</v>
      </c>
      <c r="M71" s="55">
        <f t="shared" si="32"/>
        <v>125366.93756372578</v>
      </c>
      <c r="O71" s="10"/>
      <c r="P71" s="10"/>
    </row>
    <row r="72" spans="1:16" ht="15">
      <c r="A72" s="3" t="s">
        <v>10</v>
      </c>
      <c r="B72" s="6">
        <v>1492</v>
      </c>
      <c r="C72" s="17">
        <f>(51.2*1.029)*1.031</f>
        <v>54.31802879999999</v>
      </c>
      <c r="D72" s="17">
        <f t="shared" si="24"/>
        <v>19.554490367999996</v>
      </c>
      <c r="E72" s="17">
        <f t="shared" si="25"/>
        <v>19.871707656192</v>
      </c>
      <c r="F72" s="17">
        <f t="shared" si="26"/>
        <v>11.24930721890304</v>
      </c>
      <c r="G72" s="17">
        <f t="shared" si="27"/>
        <v>104.99353404309504</v>
      </c>
      <c r="H72" s="16">
        <f t="shared" si="28"/>
        <v>3.74976907296768</v>
      </c>
      <c r="I72" s="17">
        <f t="shared" si="29"/>
        <v>6.562095877693441</v>
      </c>
      <c r="J72" s="22">
        <f t="shared" si="23"/>
        <v>9.3744226824192</v>
      </c>
      <c r="K72" s="45">
        <f t="shared" si="30"/>
        <v>162245.00824916558</v>
      </c>
      <c r="L72" s="51">
        <f t="shared" si="31"/>
        <v>166440.9998418164</v>
      </c>
      <c r="M72" s="55">
        <f t="shared" si="32"/>
        <v>170636.99143446723</v>
      </c>
      <c r="O72" s="10"/>
      <c r="P72" s="10"/>
    </row>
    <row r="73" spans="1:16" ht="15">
      <c r="A73" s="3" t="s">
        <v>11</v>
      </c>
      <c r="B73" s="6">
        <v>425</v>
      </c>
      <c r="C73" s="17">
        <f>(26.04*1.029)*1.031</f>
        <v>27.625809959999994</v>
      </c>
      <c r="D73" s="17">
        <f t="shared" si="24"/>
        <v>9.945291585599998</v>
      </c>
      <c r="E73" s="17">
        <f t="shared" si="25"/>
        <v>10.106626315766398</v>
      </c>
      <c r="F73" s="17">
        <f t="shared" si="26"/>
        <v>5.721327343363967</v>
      </c>
      <c r="G73" s="17">
        <f t="shared" si="27"/>
        <v>53.39905520473036</v>
      </c>
      <c r="H73" s="16">
        <f t="shared" si="28"/>
        <v>1.9071091144546557</v>
      </c>
      <c r="I73" s="17">
        <f t="shared" si="29"/>
        <v>3.337440950295648</v>
      </c>
      <c r="J73" s="22">
        <f t="shared" si="23"/>
        <v>4.767772786136639</v>
      </c>
      <c r="K73" s="45">
        <f t="shared" si="30"/>
        <v>23505.11983565363</v>
      </c>
      <c r="L73" s="51">
        <f t="shared" si="31"/>
        <v>24113.010865886055</v>
      </c>
      <c r="M73" s="55">
        <f t="shared" si="32"/>
        <v>24720.901896118474</v>
      </c>
      <c r="O73" s="10"/>
      <c r="P73" s="10"/>
    </row>
    <row r="74" spans="1:16" ht="15">
      <c r="A74" s="3" t="s">
        <v>12</v>
      </c>
      <c r="B74" s="6">
        <v>100</v>
      </c>
      <c r="C74" s="17">
        <f>(59.3*1.029)*1.031</f>
        <v>62.91131069999999</v>
      </c>
      <c r="D74" s="17">
        <f t="shared" si="24"/>
        <v>22.648071851999994</v>
      </c>
      <c r="E74" s="17">
        <f t="shared" si="25"/>
        <v>23.015473906487998</v>
      </c>
      <c r="F74" s="17">
        <f t="shared" si="26"/>
        <v>13.028982775018557</v>
      </c>
      <c r="G74" s="17">
        <f t="shared" si="27"/>
        <v>121.60383923350655</v>
      </c>
      <c r="H74" s="16">
        <f t="shared" si="28"/>
        <v>4.34299425833952</v>
      </c>
      <c r="I74" s="17">
        <f t="shared" si="29"/>
        <v>7.60023995209416</v>
      </c>
      <c r="J74" s="22">
        <f t="shared" si="23"/>
        <v>10.857485645848799</v>
      </c>
      <c r="K74" s="45">
        <f t="shared" si="30"/>
        <v>12594.683349184606</v>
      </c>
      <c r="L74" s="51">
        <f t="shared" si="31"/>
        <v>12920.407918560071</v>
      </c>
      <c r="M74" s="55">
        <f t="shared" si="32"/>
        <v>13246.132487935534</v>
      </c>
      <c r="O74" s="10"/>
      <c r="P74" s="10"/>
    </row>
    <row r="75" spans="1:16" ht="17.25">
      <c r="A75" s="3" t="s">
        <v>13</v>
      </c>
      <c r="B75" s="9">
        <v>75</v>
      </c>
      <c r="C75" s="17">
        <f>(125*1.029)*1.031</f>
        <v>132.612375</v>
      </c>
      <c r="D75" s="17">
        <f t="shared" si="24"/>
        <v>47.74045499999999</v>
      </c>
      <c r="E75" s="17">
        <f t="shared" si="25"/>
        <v>48.51491127</v>
      </c>
      <c r="F75" s="17">
        <f t="shared" si="26"/>
        <v>27.464128952399996</v>
      </c>
      <c r="G75" s="17">
        <f t="shared" si="27"/>
        <v>256.33187022239997</v>
      </c>
      <c r="H75" s="16">
        <f t="shared" si="28"/>
        <v>9.1547096508</v>
      </c>
      <c r="I75" s="17">
        <f t="shared" si="29"/>
        <v>16.0207418889</v>
      </c>
      <c r="J75" s="22">
        <f t="shared" si="23"/>
        <v>22.886774127</v>
      </c>
      <c r="K75" s="46">
        <f t="shared" si="30"/>
        <v>19911.493490489996</v>
      </c>
      <c r="L75" s="52">
        <f t="shared" si="31"/>
        <v>20426.445908347498</v>
      </c>
      <c r="M75" s="56">
        <f t="shared" si="32"/>
        <v>20941.398326205</v>
      </c>
      <c r="O75" s="10"/>
      <c r="P75" s="10"/>
    </row>
    <row r="76" spans="1:18" ht="15" thickBot="1">
      <c r="A76" s="4" t="s">
        <v>53</v>
      </c>
      <c r="B76" s="31">
        <f>SUM(B67:B75)</f>
        <v>6071</v>
      </c>
      <c r="C76" s="18"/>
      <c r="D76" s="7"/>
      <c r="E76" s="18"/>
      <c r="F76" s="18"/>
      <c r="G76" s="7"/>
      <c r="H76" s="7"/>
      <c r="I76" s="18"/>
      <c r="J76" s="7"/>
      <c r="K76" s="47">
        <f>SUM(K67:K75)</f>
        <v>817823.8694805242</v>
      </c>
      <c r="L76" s="47">
        <f>SUM(L67:L75)</f>
        <v>838974.4867946758</v>
      </c>
      <c r="M76" s="47">
        <f>SUM(M67:M75)</f>
        <v>860125.104108827</v>
      </c>
      <c r="R76" s="11"/>
    </row>
    <row r="77" spans="1:12" ht="15.75" thickTop="1">
      <c r="A77" s="3"/>
      <c r="B77" s="2"/>
      <c r="C77" s="20"/>
      <c r="D77" s="2"/>
      <c r="E77" s="20"/>
      <c r="F77" s="20"/>
      <c r="G77" s="2"/>
      <c r="H77" s="2"/>
      <c r="I77" s="20"/>
      <c r="J77" s="2"/>
      <c r="K77" s="48"/>
      <c r="L77" s="49"/>
    </row>
    <row r="78" spans="1:12" ht="15">
      <c r="A78" s="4" t="s">
        <v>15</v>
      </c>
      <c r="B78" s="5"/>
      <c r="C78" s="19"/>
      <c r="D78" s="5"/>
      <c r="E78" s="19"/>
      <c r="F78" s="19"/>
      <c r="G78" s="5"/>
      <c r="H78" s="5"/>
      <c r="I78" s="19"/>
      <c r="J78" s="5"/>
      <c r="K78" s="49"/>
      <c r="L78" s="49"/>
    </row>
    <row r="79" spans="1:13" ht="15">
      <c r="A79" s="1" t="s">
        <v>2</v>
      </c>
      <c r="B79" s="5"/>
      <c r="C79" s="19"/>
      <c r="D79" s="5"/>
      <c r="E79" s="19"/>
      <c r="F79" s="19"/>
      <c r="G79" s="5"/>
      <c r="H79" s="5"/>
      <c r="I79" s="19"/>
      <c r="J79" s="5"/>
      <c r="K79" s="51">
        <v>75776</v>
      </c>
      <c r="L79" s="51">
        <v>75776</v>
      </c>
      <c r="M79" s="51">
        <v>75776</v>
      </c>
    </row>
    <row r="80" spans="1:13" ht="15">
      <c r="A80" s="1" t="s">
        <v>3</v>
      </c>
      <c r="B80" s="5"/>
      <c r="C80" s="19"/>
      <c r="D80" s="5"/>
      <c r="E80" s="19"/>
      <c r="F80" s="19"/>
      <c r="G80" s="5"/>
      <c r="H80" s="5"/>
      <c r="I80" s="19"/>
      <c r="J80" s="5"/>
      <c r="K80" s="51">
        <v>0</v>
      </c>
      <c r="L80" s="51">
        <v>0</v>
      </c>
      <c r="M80" s="51">
        <v>0</v>
      </c>
    </row>
    <row r="81" spans="1:13" ht="15">
      <c r="A81" s="1" t="s">
        <v>18</v>
      </c>
      <c r="B81" s="5"/>
      <c r="C81" s="19"/>
      <c r="D81" s="5"/>
      <c r="E81" s="19"/>
      <c r="F81" s="19"/>
      <c r="G81" s="5"/>
      <c r="H81" s="5"/>
      <c r="I81" s="19"/>
      <c r="J81" s="5"/>
      <c r="K81" s="51">
        <v>10919</v>
      </c>
      <c r="L81" s="51">
        <v>10919</v>
      </c>
      <c r="M81" s="51">
        <v>10919</v>
      </c>
    </row>
    <row r="82" spans="1:13" ht="15">
      <c r="A82" s="3" t="s">
        <v>16</v>
      </c>
      <c r="B82" s="8">
        <f>(0.039*1.029)*1.031</f>
        <v>0.041375061</v>
      </c>
      <c r="C82" s="19"/>
      <c r="D82" s="5"/>
      <c r="E82" s="19"/>
      <c r="F82" s="19"/>
      <c r="G82" s="5"/>
      <c r="H82" s="5"/>
      <c r="I82" s="19"/>
      <c r="J82" s="5"/>
      <c r="K82" s="51">
        <f>K81*((0.039*1.029)*1.031)</f>
        <v>451.77429105899995</v>
      </c>
      <c r="L82" s="51">
        <f>L81*((0.039*1.029)*1.031)</f>
        <v>451.77429105899995</v>
      </c>
      <c r="M82" s="51">
        <f>M81*((0.039*1.029)*1.031)</f>
        <v>451.77429105899995</v>
      </c>
    </row>
    <row r="83" spans="1:13" ht="15">
      <c r="A83" s="1" t="s">
        <v>72</v>
      </c>
      <c r="B83" s="5"/>
      <c r="C83" s="19"/>
      <c r="D83" s="5"/>
      <c r="E83" s="19"/>
      <c r="F83" s="19"/>
      <c r="G83" s="5"/>
      <c r="H83" s="5"/>
      <c r="I83" s="19"/>
      <c r="J83" s="5"/>
      <c r="K83" s="52">
        <v>0</v>
      </c>
      <c r="L83" s="52">
        <v>0</v>
      </c>
      <c r="M83" s="52">
        <v>0</v>
      </c>
    </row>
    <row r="84" spans="1:13" ht="15.75" thickBot="1">
      <c r="A84" s="41" t="s">
        <v>53</v>
      </c>
      <c r="C84" s="21"/>
      <c r="D84" s="8"/>
      <c r="E84" s="21"/>
      <c r="F84" s="21"/>
      <c r="G84" s="8"/>
      <c r="H84" s="8"/>
      <c r="I84" s="21"/>
      <c r="J84" s="8"/>
      <c r="K84" s="53">
        <f>SUM(K79:K83)</f>
        <v>87146.774291059</v>
      </c>
      <c r="L84" s="53">
        <f>SUM(L79:L83)</f>
        <v>87146.774291059</v>
      </c>
      <c r="M84" s="53">
        <f>SUM(M79:M83)</f>
        <v>87146.774291059</v>
      </c>
    </row>
    <row r="85" spans="1:13" ht="15.75" thickTop="1">
      <c r="A85" s="4"/>
      <c r="B85" s="5"/>
      <c r="C85" s="19"/>
      <c r="D85" s="5"/>
      <c r="E85" s="19"/>
      <c r="F85" s="19"/>
      <c r="G85" s="5"/>
      <c r="H85" s="5"/>
      <c r="I85" s="19"/>
      <c r="J85" s="5"/>
      <c r="K85" s="54"/>
      <c r="L85" s="54"/>
      <c r="M85" s="54"/>
    </row>
    <row r="86" spans="1:13" ht="15.75" thickBot="1">
      <c r="A86" s="4" t="s">
        <v>69</v>
      </c>
      <c r="B86" s="3"/>
      <c r="C86" s="22"/>
      <c r="D86" s="3"/>
      <c r="E86" s="22"/>
      <c r="F86" s="22"/>
      <c r="G86" s="3"/>
      <c r="H86" s="3"/>
      <c r="I86" s="22"/>
      <c r="J86" s="3"/>
      <c r="K86" s="47">
        <f>K76+K84</f>
        <v>904970.6437715832</v>
      </c>
      <c r="L86" s="47">
        <f>L76+L84</f>
        <v>926121.2610857348</v>
      </c>
      <c r="M86" s="47">
        <f>M76+M84</f>
        <v>947271.878399886</v>
      </c>
    </row>
    <row r="87" spans="1:10" ht="15.75" thickTop="1">
      <c r="A87" s="4" t="s">
        <v>73</v>
      </c>
      <c r="B87" s="3"/>
      <c r="C87" s="22"/>
      <c r="D87" s="3"/>
      <c r="E87" s="22"/>
      <c r="F87" s="22"/>
      <c r="G87" s="3"/>
      <c r="H87" s="3"/>
      <c r="I87" s="22"/>
      <c r="J87" s="3"/>
    </row>
    <row r="89" spans="1:13" ht="15">
      <c r="A89" s="25" t="s">
        <v>38</v>
      </c>
      <c r="C89"/>
      <c r="D89" s="16"/>
      <c r="E89"/>
      <c r="G89" s="16"/>
      <c r="H89" s="16"/>
      <c r="K89" s="12"/>
      <c r="L89"/>
      <c r="M89"/>
    </row>
    <row r="90" spans="1:13" ht="15">
      <c r="A90" s="25" t="s">
        <v>39</v>
      </c>
      <c r="C90"/>
      <c r="D90" s="16"/>
      <c r="E90"/>
      <c r="G90" s="16"/>
      <c r="H90" s="16"/>
      <c r="K90" s="12"/>
      <c r="L90"/>
      <c r="M90"/>
    </row>
    <row r="91" spans="1:13" ht="15">
      <c r="A91" s="25" t="s">
        <v>40</v>
      </c>
      <c r="C91"/>
      <c r="D91" s="16"/>
      <c r="E91"/>
      <c r="G91" s="16"/>
      <c r="H91" s="16"/>
      <c r="K91" s="12"/>
      <c r="L91"/>
      <c r="M91"/>
    </row>
    <row r="92" spans="1:13" ht="15">
      <c r="A92" s="25" t="s">
        <v>47</v>
      </c>
      <c r="C92"/>
      <c r="D92" s="16"/>
      <c r="E92"/>
      <c r="G92" s="16"/>
      <c r="H92" s="16"/>
      <c r="K92" s="12"/>
      <c r="L92"/>
      <c r="M92"/>
    </row>
    <row r="93" spans="1:13" ht="15">
      <c r="A93" s="25" t="s">
        <v>41</v>
      </c>
      <c r="C93"/>
      <c r="D93" s="16"/>
      <c r="E93"/>
      <c r="G93" s="16"/>
      <c r="H93" s="16"/>
      <c r="K93" s="12"/>
      <c r="L93"/>
      <c r="M93"/>
    </row>
    <row r="94" spans="1:13" ht="15">
      <c r="A94" s="25" t="s">
        <v>120</v>
      </c>
      <c r="C94"/>
      <c r="D94" s="16"/>
      <c r="E94"/>
      <c r="G94" s="16"/>
      <c r="H94" s="16"/>
      <c r="K94" s="12"/>
      <c r="L94"/>
      <c r="M94"/>
    </row>
    <row r="95" spans="1:13" ht="15">
      <c r="A95" s="25" t="s">
        <v>42</v>
      </c>
      <c r="C95"/>
      <c r="D95" s="16"/>
      <c r="E95"/>
      <c r="G95" s="16"/>
      <c r="H95" s="16"/>
      <c r="K95" s="12"/>
      <c r="L95"/>
      <c r="M95"/>
    </row>
    <row r="96" spans="1:13" ht="15">
      <c r="A96" s="25" t="s">
        <v>117</v>
      </c>
      <c r="C96"/>
      <c r="D96" s="16"/>
      <c r="E96"/>
      <c r="G96" s="16"/>
      <c r="H96" s="16"/>
      <c r="K96" s="12"/>
      <c r="L96"/>
      <c r="M96"/>
    </row>
    <row r="97" spans="1:13" ht="15">
      <c r="A97" s="25" t="s">
        <v>44</v>
      </c>
      <c r="C97"/>
      <c r="D97" s="16"/>
      <c r="E97"/>
      <c r="G97" s="16"/>
      <c r="H97" s="16"/>
      <c r="K97" s="12"/>
      <c r="L97"/>
      <c r="M97"/>
    </row>
    <row r="98" spans="1:13" ht="15">
      <c r="A98" s="25" t="s">
        <v>45</v>
      </c>
      <c r="C98"/>
      <c r="D98" s="16"/>
      <c r="E98"/>
      <c r="G98" s="16"/>
      <c r="H98" s="16"/>
      <c r="K98" s="12"/>
      <c r="L98"/>
      <c r="M98"/>
    </row>
    <row r="99" spans="1:13" ht="15">
      <c r="A99" s="25" t="s">
        <v>46</v>
      </c>
      <c r="C99"/>
      <c r="D99" s="16"/>
      <c r="E99"/>
      <c r="G99" s="16"/>
      <c r="H99" s="16"/>
      <c r="K99" s="12"/>
      <c r="L99"/>
      <c r="M99"/>
    </row>
    <row r="104" ht="12.75">
      <c r="A104" s="27"/>
    </row>
    <row r="106" spans="2:13" ht="12.75">
      <c r="B106" s="16"/>
      <c r="C106"/>
      <c r="D106" s="16"/>
      <c r="F106"/>
      <c r="H106" s="16"/>
      <c r="I106"/>
      <c r="J106" s="57"/>
      <c r="L106" s="50"/>
      <c r="M106"/>
    </row>
  </sheetData>
  <printOptions horizontalCentered="1"/>
  <pageMargins left="0.25" right="0.25" top="1.25" bottom="1" header="0.5" footer="0.5"/>
  <pageSetup fitToHeight="4" horizontalDpi="600" verticalDpi="600" orientation="landscape" pageOrder="overThenDown" paperSize="5" r:id="rId1"/>
  <headerFooter alignWithMargins="0">
    <oddHeader>&amp;L&amp;"Times New Roman,Regular"&amp;11Prepared by George Washington, ATO-X
Tel. (202) 555-1987
Date prepared: June 15, 2017&amp;C&amp;"Times New Roman,Regular"&amp;11Independent Government Cost Estimate: Apollo ATC Acquisition&amp;R&amp;"Times New Roman,Regular"&amp;11CPIF Format</oddHeader>
    <oddFooter>&amp;C&amp;"Times New Roman,Regular"&amp;11Page &amp;P of &amp;N</oddFooter>
  </headerFooter>
  <rowBreaks count="4" manualBreakCount="4">
    <brk id="23" max="255" man="1"/>
    <brk id="44" max="255" man="1"/>
    <brk id="65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A1">
      <pane ySplit="2" topLeftCell="BM3" activePane="bottomLeft" state="frozen"/>
      <selection pane="topLeft" activeCell="B4" sqref="B4"/>
      <selection pane="bottomLeft" activeCell="B4" sqref="B4"/>
    </sheetView>
  </sheetViews>
  <sheetFormatPr defaultColWidth="9.140625" defaultRowHeight="12.75"/>
  <cols>
    <col min="1" max="1" width="7.7109375" style="26" customWidth="1"/>
    <col min="2" max="2" width="39.7109375" style="0" bestFit="1" customWidth="1"/>
    <col min="3" max="3" width="15.7109375" style="0" bestFit="1" customWidth="1"/>
    <col min="4" max="4" width="12.140625" style="16" bestFit="1" customWidth="1"/>
    <col min="5" max="5" width="11.57421875" style="0" bestFit="1" customWidth="1"/>
    <col min="6" max="6" width="9.8515625" style="16" bestFit="1" customWidth="1"/>
    <col min="7" max="7" width="9.7109375" style="16" bestFit="1" customWidth="1"/>
    <col min="8" max="8" width="11.00390625" style="16" bestFit="1" customWidth="1"/>
    <col min="9" max="9" width="9.140625" style="16" bestFit="1" customWidth="1"/>
    <col min="10" max="10" width="14.7109375" style="0" bestFit="1" customWidth="1"/>
    <col min="11" max="11" width="14.8515625" style="12" bestFit="1" customWidth="1"/>
  </cols>
  <sheetData>
    <row r="1" spans="1:11" s="33" customFormat="1" ht="19.5" customHeight="1">
      <c r="A1" s="34"/>
      <c r="B1" s="34"/>
      <c r="C1" s="34" t="s">
        <v>26</v>
      </c>
      <c r="D1" s="34" t="s">
        <v>28</v>
      </c>
      <c r="E1" s="34" t="s">
        <v>30</v>
      </c>
      <c r="F1" s="34" t="s">
        <v>30</v>
      </c>
      <c r="G1" s="34" t="s">
        <v>30</v>
      </c>
      <c r="H1" s="34" t="s">
        <v>29</v>
      </c>
      <c r="I1" s="34" t="s">
        <v>30</v>
      </c>
      <c r="J1" s="34" t="s">
        <v>36</v>
      </c>
      <c r="K1" s="34" t="s">
        <v>26</v>
      </c>
    </row>
    <row r="2" spans="1:11" s="33" customFormat="1" ht="19.5" customHeight="1">
      <c r="A2" s="35" t="s">
        <v>0</v>
      </c>
      <c r="B2" s="35" t="s">
        <v>24</v>
      </c>
      <c r="C2" s="35" t="s">
        <v>27</v>
      </c>
      <c r="D2" s="35" t="s">
        <v>29</v>
      </c>
      <c r="E2" s="35" t="s">
        <v>31</v>
      </c>
      <c r="F2" s="35" t="s">
        <v>32</v>
      </c>
      <c r="G2" s="35" t="s">
        <v>14</v>
      </c>
      <c r="H2" s="35" t="s">
        <v>33</v>
      </c>
      <c r="I2" s="35" t="s">
        <v>34</v>
      </c>
      <c r="J2" s="35" t="s">
        <v>35</v>
      </c>
      <c r="K2" s="35" t="s">
        <v>37</v>
      </c>
    </row>
    <row r="3" spans="1:14" ht="15">
      <c r="A3" s="24"/>
      <c r="B3" s="4" t="s">
        <v>113</v>
      </c>
      <c r="C3" s="6"/>
      <c r="D3" s="32"/>
      <c r="E3" s="32"/>
      <c r="F3" s="32"/>
      <c r="G3" s="32"/>
      <c r="H3" s="32"/>
      <c r="I3" s="32"/>
      <c r="J3" s="32"/>
      <c r="K3" s="13"/>
      <c r="M3" s="10"/>
      <c r="N3" s="10"/>
    </row>
    <row r="4" spans="1:14" ht="15">
      <c r="A4" s="24"/>
      <c r="B4" s="3" t="s">
        <v>5</v>
      </c>
      <c r="C4" s="6">
        <f aca="true" t="shared" si="0" ref="C4:C12">C26+C48+C70</f>
        <v>6000</v>
      </c>
      <c r="D4" s="32" t="s">
        <v>23</v>
      </c>
      <c r="E4" s="32" t="s">
        <v>23</v>
      </c>
      <c r="F4" s="32" t="s">
        <v>23</v>
      </c>
      <c r="G4" s="32" t="s">
        <v>23</v>
      </c>
      <c r="H4" s="32" t="s">
        <v>23</v>
      </c>
      <c r="I4" s="32" t="s">
        <v>23</v>
      </c>
      <c r="J4" s="32" t="s">
        <v>23</v>
      </c>
      <c r="K4" s="13">
        <f aca="true" t="shared" si="1" ref="K4:K12">K26+K48+K70</f>
        <v>916165.280819712</v>
      </c>
      <c r="M4" s="10"/>
      <c r="N4" s="10"/>
    </row>
    <row r="5" spans="1:14" ht="15">
      <c r="A5" s="24"/>
      <c r="B5" s="3" t="s">
        <v>7</v>
      </c>
      <c r="C5" s="6">
        <f t="shared" si="0"/>
        <v>2216</v>
      </c>
      <c r="D5" s="32" t="s">
        <v>23</v>
      </c>
      <c r="E5" s="32" t="s">
        <v>23</v>
      </c>
      <c r="F5" s="32" t="s">
        <v>23</v>
      </c>
      <c r="G5" s="32" t="s">
        <v>23</v>
      </c>
      <c r="H5" s="32" t="s">
        <v>23</v>
      </c>
      <c r="I5" s="32" t="s">
        <v>23</v>
      </c>
      <c r="J5" s="32" t="s">
        <v>23</v>
      </c>
      <c r="K5" s="13">
        <f t="shared" si="1"/>
        <v>243848.36958879267</v>
      </c>
      <c r="M5" s="10"/>
      <c r="N5" s="10"/>
    </row>
    <row r="6" spans="1:14" ht="15">
      <c r="A6" s="24"/>
      <c r="B6" s="3" t="s">
        <v>6</v>
      </c>
      <c r="C6" s="6">
        <f t="shared" si="0"/>
        <v>5028</v>
      </c>
      <c r="D6" s="32" t="s">
        <v>23</v>
      </c>
      <c r="E6" s="32" t="s">
        <v>23</v>
      </c>
      <c r="F6" s="32" t="s">
        <v>23</v>
      </c>
      <c r="G6" s="32" t="s">
        <v>23</v>
      </c>
      <c r="H6" s="32" t="s">
        <v>23</v>
      </c>
      <c r="I6" s="32" t="s">
        <v>23</v>
      </c>
      <c r="J6" s="32" t="s">
        <v>23</v>
      </c>
      <c r="K6" s="13">
        <f t="shared" si="1"/>
        <v>671816.6421642593</v>
      </c>
      <c r="M6" s="10"/>
      <c r="N6" s="10"/>
    </row>
    <row r="7" spans="1:14" ht="15">
      <c r="A7" s="24"/>
      <c r="B7" s="3" t="s">
        <v>8</v>
      </c>
      <c r="C7" s="6">
        <f t="shared" si="0"/>
        <v>310</v>
      </c>
      <c r="D7" s="32" t="s">
        <v>23</v>
      </c>
      <c r="E7" s="32" t="s">
        <v>23</v>
      </c>
      <c r="F7" s="32" t="s">
        <v>23</v>
      </c>
      <c r="G7" s="32" t="s">
        <v>23</v>
      </c>
      <c r="H7" s="32" t="s">
        <v>23</v>
      </c>
      <c r="I7" s="32" t="s">
        <v>23</v>
      </c>
      <c r="J7" s="32" t="s">
        <v>23</v>
      </c>
      <c r="K7" s="13">
        <f t="shared" si="1"/>
        <v>31642.098525129404</v>
      </c>
      <c r="M7" s="10"/>
      <c r="N7" s="10"/>
    </row>
    <row r="8" spans="1:14" ht="15">
      <c r="A8" s="24"/>
      <c r="B8" s="3" t="s">
        <v>9</v>
      </c>
      <c r="C8" s="6">
        <f t="shared" si="0"/>
        <v>460</v>
      </c>
      <c r="D8" s="32" t="s">
        <v>23</v>
      </c>
      <c r="E8" s="32" t="s">
        <v>23</v>
      </c>
      <c r="F8" s="32" t="s">
        <v>23</v>
      </c>
      <c r="G8" s="32" t="s">
        <v>23</v>
      </c>
      <c r="H8" s="32" t="s">
        <v>23</v>
      </c>
      <c r="I8" s="32" t="s">
        <v>23</v>
      </c>
      <c r="J8" s="32" t="s">
        <v>23</v>
      </c>
      <c r="K8" s="13">
        <f t="shared" si="1"/>
        <v>58967.37814104023</v>
      </c>
      <c r="M8" s="10"/>
      <c r="N8" s="10"/>
    </row>
    <row r="9" spans="1:14" ht="15">
      <c r="A9" s="24"/>
      <c r="B9" s="3" t="s">
        <v>10</v>
      </c>
      <c r="C9" s="6">
        <f t="shared" si="0"/>
        <v>3815</v>
      </c>
      <c r="D9" s="32" t="s">
        <v>23</v>
      </c>
      <c r="E9" s="32" t="s">
        <v>23</v>
      </c>
      <c r="F9" s="32" t="s">
        <v>23</v>
      </c>
      <c r="G9" s="32" t="s">
        <v>23</v>
      </c>
      <c r="H9" s="32" t="s">
        <v>23</v>
      </c>
      <c r="I9" s="32" t="s">
        <v>23</v>
      </c>
      <c r="J9" s="32" t="s">
        <v>23</v>
      </c>
      <c r="K9" s="13">
        <f t="shared" si="1"/>
        <v>401818.7342385532</v>
      </c>
      <c r="M9" s="10"/>
      <c r="N9" s="10"/>
    </row>
    <row r="10" spans="1:14" ht="15">
      <c r="A10" s="24"/>
      <c r="B10" s="3" t="s">
        <v>11</v>
      </c>
      <c r="C10" s="6">
        <f t="shared" si="0"/>
        <v>1995</v>
      </c>
      <c r="D10" s="32" t="s">
        <v>23</v>
      </c>
      <c r="E10" s="32" t="s">
        <v>23</v>
      </c>
      <c r="F10" s="32" t="s">
        <v>23</v>
      </c>
      <c r="G10" s="32" t="s">
        <v>23</v>
      </c>
      <c r="H10" s="32" t="s">
        <v>23</v>
      </c>
      <c r="I10" s="32" t="s">
        <v>23</v>
      </c>
      <c r="J10" s="32" t="s">
        <v>23</v>
      </c>
      <c r="K10" s="13">
        <f t="shared" si="1"/>
        <v>106826.65071884103</v>
      </c>
      <c r="M10" s="10"/>
      <c r="N10" s="10"/>
    </row>
    <row r="11" spans="1:14" ht="15">
      <c r="A11" s="24"/>
      <c r="B11" s="3" t="s">
        <v>12</v>
      </c>
      <c r="C11" s="6">
        <f t="shared" si="0"/>
        <v>790</v>
      </c>
      <c r="D11" s="32" t="s">
        <v>23</v>
      </c>
      <c r="E11" s="32" t="s">
        <v>23</v>
      </c>
      <c r="F11" s="32" t="s">
        <v>23</v>
      </c>
      <c r="G11" s="32" t="s">
        <v>23</v>
      </c>
      <c r="H11" s="32" t="s">
        <v>23</v>
      </c>
      <c r="I11" s="32" t="s">
        <v>23</v>
      </c>
      <c r="J11" s="32" t="s">
        <v>23</v>
      </c>
      <c r="K11" s="13">
        <f t="shared" si="1"/>
        <v>96319.15034899836</v>
      </c>
      <c r="M11" s="10"/>
      <c r="N11" s="10"/>
    </row>
    <row r="12" spans="1:14" ht="17.25">
      <c r="A12" s="24"/>
      <c r="B12" s="3" t="s">
        <v>13</v>
      </c>
      <c r="C12" s="9">
        <f t="shared" si="0"/>
        <v>2202</v>
      </c>
      <c r="D12" s="32" t="s">
        <v>23</v>
      </c>
      <c r="E12" s="32" t="s">
        <v>23</v>
      </c>
      <c r="F12" s="32" t="s">
        <v>23</v>
      </c>
      <c r="G12" s="32" t="s">
        <v>23</v>
      </c>
      <c r="H12" s="32" t="s">
        <v>23</v>
      </c>
      <c r="I12" s="32" t="s">
        <v>23</v>
      </c>
      <c r="J12" s="32" t="s">
        <v>23</v>
      </c>
      <c r="K12" s="13">
        <f t="shared" si="1"/>
        <v>565815.978516096</v>
      </c>
      <c r="M12" s="10"/>
      <c r="N12" s="10"/>
    </row>
    <row r="13" spans="1:16" ht="15.75" thickBot="1">
      <c r="A13" s="25"/>
      <c r="B13" s="4" t="s">
        <v>52</v>
      </c>
      <c r="C13" s="31">
        <f>SUM(C4:C12)</f>
        <v>22816</v>
      </c>
      <c r="D13" s="18"/>
      <c r="E13" s="7"/>
      <c r="F13" s="18"/>
      <c r="G13" s="18"/>
      <c r="H13" s="18"/>
      <c r="I13" s="18"/>
      <c r="J13" s="7"/>
      <c r="K13" s="29">
        <f>SUM(K4:K12)</f>
        <v>3093220.2830614224</v>
      </c>
      <c r="P13" s="11"/>
    </row>
    <row r="14" spans="1:11" ht="15.75" thickTop="1">
      <c r="A14" s="25"/>
      <c r="B14" s="3"/>
      <c r="C14" s="2"/>
      <c r="D14" s="20"/>
      <c r="E14" s="2"/>
      <c r="F14" s="20"/>
      <c r="G14" s="20"/>
      <c r="H14" s="20"/>
      <c r="I14" s="20"/>
      <c r="J14" s="2"/>
      <c r="K14" s="15"/>
    </row>
    <row r="15" spans="1:11" ht="15">
      <c r="A15" s="25"/>
      <c r="B15" s="4" t="s">
        <v>15</v>
      </c>
      <c r="C15" s="5"/>
      <c r="D15" s="19"/>
      <c r="E15" s="5"/>
      <c r="F15" s="19"/>
      <c r="G15" s="19"/>
      <c r="H15" s="19"/>
      <c r="I15" s="19"/>
      <c r="J15" s="5"/>
      <c r="K15" s="15"/>
    </row>
    <row r="16" spans="1:11" ht="15">
      <c r="A16" s="25"/>
      <c r="B16" s="1" t="s">
        <v>2</v>
      </c>
      <c r="C16" s="5"/>
      <c r="D16" s="19"/>
      <c r="E16" s="5"/>
      <c r="F16" s="19"/>
      <c r="G16" s="19"/>
      <c r="H16" s="19"/>
      <c r="I16" s="19"/>
      <c r="J16" s="5"/>
      <c r="K16" s="13">
        <f aca="true" t="shared" si="2" ref="K16:K21">K38+K60+K82</f>
        <v>285300</v>
      </c>
    </row>
    <row r="17" spans="1:11" ht="15">
      <c r="A17" s="25"/>
      <c r="B17" s="1" t="s">
        <v>3</v>
      </c>
      <c r="C17" s="5"/>
      <c r="D17" s="19"/>
      <c r="E17" s="5"/>
      <c r="F17" s="19"/>
      <c r="G17" s="19"/>
      <c r="H17" s="19"/>
      <c r="I17" s="19"/>
      <c r="J17" s="5"/>
      <c r="K17" s="13">
        <f t="shared" si="2"/>
        <v>0</v>
      </c>
    </row>
    <row r="18" spans="1:11" ht="15">
      <c r="A18" s="25"/>
      <c r="B18" s="1" t="s">
        <v>1</v>
      </c>
      <c r="C18" s="5"/>
      <c r="D18" s="19"/>
      <c r="E18" s="5"/>
      <c r="F18" s="19"/>
      <c r="G18" s="19"/>
      <c r="H18" s="19"/>
      <c r="I18" s="19"/>
      <c r="J18" s="5"/>
      <c r="K18" s="13">
        <f t="shared" si="2"/>
        <v>0</v>
      </c>
    </row>
    <row r="19" spans="1:11" ht="15">
      <c r="A19" s="25"/>
      <c r="B19" s="1" t="s">
        <v>4</v>
      </c>
      <c r="C19" s="5"/>
      <c r="D19" s="19"/>
      <c r="E19" s="5"/>
      <c r="F19" s="19"/>
      <c r="G19" s="19"/>
      <c r="H19" s="19"/>
      <c r="I19" s="19"/>
      <c r="J19" s="5"/>
      <c r="K19" s="13">
        <f t="shared" si="2"/>
        <v>0</v>
      </c>
    </row>
    <row r="20" spans="1:11" ht="15">
      <c r="A20" s="25"/>
      <c r="B20" s="1" t="s">
        <v>18</v>
      </c>
      <c r="C20" s="5"/>
      <c r="D20" s="19"/>
      <c r="E20" s="5"/>
      <c r="F20" s="19"/>
      <c r="G20" s="19"/>
      <c r="H20" s="19"/>
      <c r="I20" s="19"/>
      <c r="J20" s="5"/>
      <c r="K20" s="13">
        <f t="shared" si="2"/>
        <v>84830</v>
      </c>
    </row>
    <row r="21" spans="2:11" ht="15">
      <c r="B21" s="3" t="s">
        <v>16</v>
      </c>
      <c r="C21" s="8"/>
      <c r="D21" s="21"/>
      <c r="E21" s="8"/>
      <c r="F21" s="21"/>
      <c r="G21" s="21"/>
      <c r="H21" s="21"/>
      <c r="I21" s="21"/>
      <c r="J21" s="8"/>
      <c r="K21" s="13">
        <f t="shared" si="2"/>
        <v>3353.2028999999998</v>
      </c>
    </row>
    <row r="22" spans="1:11" ht="15.75" thickBot="1">
      <c r="A22" s="23"/>
      <c r="B22" s="1" t="s">
        <v>17</v>
      </c>
      <c r="C22" s="5"/>
      <c r="D22" s="19"/>
      <c r="E22" s="5"/>
      <c r="F22" s="19"/>
      <c r="G22" s="19"/>
      <c r="H22" s="19"/>
      <c r="I22" s="19"/>
      <c r="J22" s="5"/>
      <c r="K22" s="29">
        <f>SUM(K16:K21)</f>
        <v>373483.2029</v>
      </c>
    </row>
    <row r="23" spans="1:11" ht="15.75" thickTop="1">
      <c r="A23" s="23"/>
      <c r="B23" s="4"/>
      <c r="C23" s="5"/>
      <c r="D23" s="19"/>
      <c r="E23" s="5"/>
      <c r="F23" s="19"/>
      <c r="G23" s="19"/>
      <c r="H23" s="19"/>
      <c r="I23" s="19"/>
      <c r="J23" s="5"/>
      <c r="K23" s="14"/>
    </row>
    <row r="24" spans="1:11" ht="15.75" thickBot="1">
      <c r="A24" s="23"/>
      <c r="B24" s="4" t="s">
        <v>22</v>
      </c>
      <c r="C24" s="5"/>
      <c r="D24" s="19"/>
      <c r="E24" s="5"/>
      <c r="F24" s="19"/>
      <c r="G24" s="19"/>
      <c r="H24" s="19"/>
      <c r="I24" s="19"/>
      <c r="J24" s="5"/>
      <c r="K24" s="30">
        <f>K13+K22</f>
        <v>3466703.4859614223</v>
      </c>
    </row>
    <row r="25" spans="1:11" ht="15.75" thickTop="1">
      <c r="A25" s="23"/>
      <c r="B25" s="4" t="s">
        <v>116</v>
      </c>
      <c r="C25" s="5"/>
      <c r="D25" s="19"/>
      <c r="E25" s="5"/>
      <c r="F25" s="19"/>
      <c r="G25" s="19"/>
      <c r="H25" s="19"/>
      <c r="I25" s="19"/>
      <c r="J25" s="5"/>
      <c r="K25" s="14"/>
    </row>
    <row r="26" spans="1:14" ht="15">
      <c r="A26" s="24"/>
      <c r="B26" s="3" t="s">
        <v>5</v>
      </c>
      <c r="C26" s="6">
        <v>2000</v>
      </c>
      <c r="D26" s="17">
        <v>79.86</v>
      </c>
      <c r="E26" s="17">
        <f aca="true" t="shared" si="3" ref="E26:E34">D26*0.36</f>
        <v>28.749599999999997</v>
      </c>
      <c r="F26" s="17">
        <f aca="true" t="shared" si="4" ref="F26:F34">(D26+E26)*0.269</f>
        <v>29.2159824</v>
      </c>
      <c r="G26" s="17">
        <f aca="true" t="shared" si="5" ref="G26:G34">(D26+E26+F26)*0.12</f>
        <v>16.539069888</v>
      </c>
      <c r="H26" s="17">
        <f>D26+E26+F26+G26</f>
        <v>154.364652288</v>
      </c>
      <c r="I26" s="17">
        <f>(H26-G26)*0.07</f>
        <v>9.647790768000002</v>
      </c>
      <c r="J26" s="17">
        <f aca="true" t="shared" si="6" ref="J26:J34">D26+E26+F26+G26+I26</f>
        <v>164.012443056</v>
      </c>
      <c r="K26" s="13">
        <f aca="true" t="shared" si="7" ref="K26:K34">C26*J26</f>
        <v>328024.886112</v>
      </c>
      <c r="M26" s="10"/>
      <c r="N26" s="10"/>
    </row>
    <row r="27" spans="1:14" ht="15">
      <c r="A27" s="24"/>
      <c r="B27" s="3" t="s">
        <v>7</v>
      </c>
      <c r="C27" s="6">
        <v>898</v>
      </c>
      <c r="D27" s="17">
        <v>53.5</v>
      </c>
      <c r="E27" s="17">
        <f t="shared" si="3"/>
        <v>19.259999999999998</v>
      </c>
      <c r="F27" s="17">
        <f t="shared" si="4"/>
        <v>19.57244</v>
      </c>
      <c r="G27" s="17">
        <f t="shared" si="5"/>
        <v>11.079892799999998</v>
      </c>
      <c r="H27" s="17">
        <f aca="true" t="shared" si="8" ref="H27:H34">D27+E27+F27+G27</f>
        <v>103.41233279999999</v>
      </c>
      <c r="I27" s="17">
        <f aca="true" t="shared" si="9" ref="I27:I34">(H27-G27)*0.07</f>
        <v>6.4632708</v>
      </c>
      <c r="J27" s="17">
        <f t="shared" si="6"/>
        <v>109.87560359999999</v>
      </c>
      <c r="K27" s="13">
        <f t="shared" si="7"/>
        <v>98668.29203279999</v>
      </c>
      <c r="M27" s="10"/>
      <c r="N27" s="10"/>
    </row>
    <row r="28" spans="1:14" ht="15">
      <c r="A28" s="24"/>
      <c r="B28" s="3" t="s">
        <v>6</v>
      </c>
      <c r="C28" s="6">
        <v>1884</v>
      </c>
      <c r="D28" s="17">
        <v>64.95</v>
      </c>
      <c r="E28" s="17">
        <f t="shared" si="3"/>
        <v>23.382</v>
      </c>
      <c r="F28" s="17">
        <f t="shared" si="4"/>
        <v>23.761308000000003</v>
      </c>
      <c r="G28" s="17">
        <f t="shared" si="5"/>
        <v>13.45119696</v>
      </c>
      <c r="H28" s="17">
        <f t="shared" si="8"/>
        <v>125.54450496000001</v>
      </c>
      <c r="I28" s="17">
        <f t="shared" si="9"/>
        <v>7.846531560000002</v>
      </c>
      <c r="J28" s="17">
        <f t="shared" si="6"/>
        <v>133.39103652</v>
      </c>
      <c r="K28" s="13">
        <f t="shared" si="7"/>
        <v>251308.71280368</v>
      </c>
      <c r="M28" s="10"/>
      <c r="N28" s="10"/>
    </row>
    <row r="29" spans="1:14" ht="15">
      <c r="A29" s="24"/>
      <c r="B29" s="3" t="s">
        <v>8</v>
      </c>
      <c r="C29" s="6">
        <v>130</v>
      </c>
      <c r="D29" s="17">
        <v>49.63</v>
      </c>
      <c r="E29" s="17">
        <f t="shared" si="3"/>
        <v>17.8668</v>
      </c>
      <c r="F29" s="17">
        <f t="shared" si="4"/>
        <v>18.156639200000004</v>
      </c>
      <c r="G29" s="17">
        <f t="shared" si="5"/>
        <v>10.278412704</v>
      </c>
      <c r="H29" s="17">
        <f t="shared" si="8"/>
        <v>95.93185190400001</v>
      </c>
      <c r="I29" s="17">
        <f t="shared" si="9"/>
        <v>5.995740744000001</v>
      </c>
      <c r="J29" s="17">
        <f t="shared" si="6"/>
        <v>101.92759264800002</v>
      </c>
      <c r="K29" s="13">
        <f t="shared" si="7"/>
        <v>13250.587044240003</v>
      </c>
      <c r="M29" s="10"/>
      <c r="N29" s="10"/>
    </row>
    <row r="30" spans="1:14" ht="15">
      <c r="A30" s="24"/>
      <c r="B30" s="3" t="s">
        <v>9</v>
      </c>
      <c r="C30" s="6">
        <v>230</v>
      </c>
      <c r="D30" s="17">
        <v>62.36</v>
      </c>
      <c r="E30" s="17">
        <f t="shared" si="3"/>
        <v>22.4496</v>
      </c>
      <c r="F30" s="17">
        <f t="shared" si="4"/>
        <v>22.8137824</v>
      </c>
      <c r="G30" s="17">
        <f t="shared" si="5"/>
        <v>12.914805887999998</v>
      </c>
      <c r="H30" s="17">
        <f t="shared" si="8"/>
        <v>120.538188288</v>
      </c>
      <c r="I30" s="17">
        <f t="shared" si="9"/>
        <v>7.533636768000001</v>
      </c>
      <c r="J30" s="17">
        <f t="shared" si="6"/>
        <v>128.071825056</v>
      </c>
      <c r="K30" s="13">
        <f t="shared" si="7"/>
        <v>29456.519762879998</v>
      </c>
      <c r="M30" s="10"/>
      <c r="N30" s="10"/>
    </row>
    <row r="31" spans="1:14" ht="15">
      <c r="A31" s="24"/>
      <c r="B31" s="3" t="s">
        <v>10</v>
      </c>
      <c r="C31" s="6">
        <v>1445</v>
      </c>
      <c r="D31" s="17">
        <v>51.2</v>
      </c>
      <c r="E31" s="17">
        <f t="shared" si="3"/>
        <v>18.432</v>
      </c>
      <c r="F31" s="17">
        <f t="shared" si="4"/>
        <v>18.731008000000003</v>
      </c>
      <c r="G31" s="17">
        <f t="shared" si="5"/>
        <v>10.603560960000001</v>
      </c>
      <c r="H31" s="17">
        <f t="shared" si="8"/>
        <v>98.96656896</v>
      </c>
      <c r="I31" s="17">
        <f t="shared" si="9"/>
        <v>6.185410560000001</v>
      </c>
      <c r="J31" s="17">
        <f t="shared" si="6"/>
        <v>105.15197952</v>
      </c>
      <c r="K31" s="13">
        <f t="shared" si="7"/>
        <v>151944.6104064</v>
      </c>
      <c r="M31" s="10"/>
      <c r="N31" s="10"/>
    </row>
    <row r="32" spans="1:14" ht="15">
      <c r="A32" s="24"/>
      <c r="B32" s="3" t="s">
        <v>11</v>
      </c>
      <c r="C32" s="6">
        <v>885</v>
      </c>
      <c r="D32" s="17">
        <v>26.04</v>
      </c>
      <c r="E32" s="17">
        <f t="shared" si="3"/>
        <v>9.3744</v>
      </c>
      <c r="F32" s="17">
        <f t="shared" si="4"/>
        <v>9.526473600000001</v>
      </c>
      <c r="G32" s="17">
        <f t="shared" si="5"/>
        <v>5.392904832</v>
      </c>
      <c r="H32" s="17">
        <f t="shared" si="8"/>
        <v>50.333778432</v>
      </c>
      <c r="I32" s="17">
        <f t="shared" si="9"/>
        <v>3.1458611520000006</v>
      </c>
      <c r="J32" s="17">
        <f t="shared" si="6"/>
        <v>53.479639584000005</v>
      </c>
      <c r="K32" s="13">
        <f t="shared" si="7"/>
        <v>47329.481031840005</v>
      </c>
      <c r="M32" s="10"/>
      <c r="N32" s="10"/>
    </row>
    <row r="33" spans="1:14" ht="15">
      <c r="A33" s="24"/>
      <c r="B33" s="3" t="s">
        <v>12</v>
      </c>
      <c r="C33" s="6">
        <v>370</v>
      </c>
      <c r="D33" s="17">
        <v>59.3</v>
      </c>
      <c r="E33" s="17">
        <f t="shared" si="3"/>
        <v>21.348</v>
      </c>
      <c r="F33" s="17">
        <f t="shared" si="4"/>
        <v>21.694312</v>
      </c>
      <c r="G33" s="17">
        <f t="shared" si="5"/>
        <v>12.281077439999999</v>
      </c>
      <c r="H33" s="17">
        <f t="shared" si="8"/>
        <v>114.62338944</v>
      </c>
      <c r="I33" s="17">
        <f t="shared" si="9"/>
        <v>7.16396184</v>
      </c>
      <c r="J33" s="17">
        <f t="shared" si="6"/>
        <v>121.78735128</v>
      </c>
      <c r="K33" s="13">
        <f t="shared" si="7"/>
        <v>45061.319973599995</v>
      </c>
      <c r="M33" s="10"/>
      <c r="N33" s="10"/>
    </row>
    <row r="34" spans="1:14" ht="17.25">
      <c r="A34" s="24"/>
      <c r="B34" s="3" t="s">
        <v>13</v>
      </c>
      <c r="C34" s="9">
        <v>1101</v>
      </c>
      <c r="D34" s="17">
        <v>125</v>
      </c>
      <c r="E34" s="17">
        <f t="shared" si="3"/>
        <v>45</v>
      </c>
      <c r="F34" s="17">
        <f t="shared" si="4"/>
        <v>45.730000000000004</v>
      </c>
      <c r="G34" s="17">
        <f t="shared" si="5"/>
        <v>25.887600000000003</v>
      </c>
      <c r="H34" s="17">
        <f t="shared" si="8"/>
        <v>241.6176</v>
      </c>
      <c r="I34" s="17">
        <f t="shared" si="9"/>
        <v>15.101100000000002</v>
      </c>
      <c r="J34" s="17">
        <f t="shared" si="6"/>
        <v>256.7187</v>
      </c>
      <c r="K34" s="28">
        <f t="shared" si="7"/>
        <v>282647.28870000003</v>
      </c>
      <c r="M34" s="10"/>
      <c r="N34" s="10"/>
    </row>
    <row r="35" spans="1:16" ht="15.75" thickBot="1">
      <c r="A35" s="25"/>
      <c r="B35" s="4" t="s">
        <v>53</v>
      </c>
      <c r="C35" s="31">
        <f>SUM(C26:C34)</f>
        <v>8943</v>
      </c>
      <c r="D35" s="18"/>
      <c r="E35" s="7"/>
      <c r="F35" s="18"/>
      <c r="G35" s="18"/>
      <c r="H35" s="18"/>
      <c r="I35" s="18"/>
      <c r="J35" s="7"/>
      <c r="K35" s="29">
        <f>SUM(K26:K34)</f>
        <v>1247691.69786744</v>
      </c>
      <c r="P35" s="11"/>
    </row>
    <row r="36" spans="1:11" ht="15.75" thickTop="1">
      <c r="A36" s="25"/>
      <c r="B36" s="3"/>
      <c r="C36" s="2"/>
      <c r="D36" s="20"/>
      <c r="E36" s="2"/>
      <c r="F36" s="20"/>
      <c r="G36" s="20"/>
      <c r="H36" s="20"/>
      <c r="I36" s="20"/>
      <c r="J36" s="2"/>
      <c r="K36" s="15"/>
    </row>
    <row r="37" spans="1:11" ht="15">
      <c r="A37" s="25"/>
      <c r="B37" s="4" t="s">
        <v>15</v>
      </c>
      <c r="C37" s="5"/>
      <c r="D37" s="19"/>
      <c r="E37" s="5"/>
      <c r="F37" s="19"/>
      <c r="G37" s="19"/>
      <c r="H37" s="19"/>
      <c r="I37" s="19"/>
      <c r="J37" s="5"/>
      <c r="K37" s="15"/>
    </row>
    <row r="38" spans="1:11" ht="15">
      <c r="A38" s="25"/>
      <c r="B38" s="1" t="s">
        <v>2</v>
      </c>
      <c r="C38" s="5"/>
      <c r="D38" s="19"/>
      <c r="E38" s="5"/>
      <c r="F38" s="19"/>
      <c r="G38" s="19"/>
      <c r="H38" s="19"/>
      <c r="I38" s="19"/>
      <c r="J38" s="5"/>
      <c r="K38" s="13">
        <v>174700</v>
      </c>
    </row>
    <row r="39" spans="1:11" ht="15">
      <c r="A39" s="25"/>
      <c r="B39" s="1" t="s">
        <v>3</v>
      </c>
      <c r="C39" s="5"/>
      <c r="D39" s="19"/>
      <c r="E39" s="5"/>
      <c r="F39" s="19"/>
      <c r="G39" s="19"/>
      <c r="H39" s="19"/>
      <c r="I39" s="19"/>
      <c r="J39" s="5"/>
      <c r="K39" s="13">
        <v>0</v>
      </c>
    </row>
    <row r="40" spans="1:11" ht="15">
      <c r="A40" s="25"/>
      <c r="B40" s="1" t="s">
        <v>1</v>
      </c>
      <c r="C40" s="5"/>
      <c r="D40" s="19"/>
      <c r="E40" s="5"/>
      <c r="F40" s="19"/>
      <c r="G40" s="19"/>
      <c r="H40" s="19"/>
      <c r="I40" s="19"/>
      <c r="J40" s="5"/>
      <c r="K40" s="13">
        <v>0</v>
      </c>
    </row>
    <row r="41" spans="1:11" ht="15">
      <c r="A41" s="25"/>
      <c r="B41" s="1" t="s">
        <v>4</v>
      </c>
      <c r="C41" s="5"/>
      <c r="D41" s="19"/>
      <c r="E41" s="5"/>
      <c r="F41" s="19"/>
      <c r="G41" s="19"/>
      <c r="H41" s="19"/>
      <c r="I41" s="19"/>
      <c r="J41" s="5"/>
      <c r="K41" s="13">
        <v>0</v>
      </c>
    </row>
    <row r="42" spans="1:11" ht="15">
      <c r="A42" s="25"/>
      <c r="B42" s="1" t="s">
        <v>18</v>
      </c>
      <c r="C42" s="5"/>
      <c r="D42" s="19"/>
      <c r="E42" s="5"/>
      <c r="F42" s="19"/>
      <c r="G42" s="19"/>
      <c r="H42" s="19"/>
      <c r="I42" s="19"/>
      <c r="J42" s="5"/>
      <c r="K42" s="13">
        <v>52250</v>
      </c>
    </row>
    <row r="43" spans="2:11" ht="15">
      <c r="B43" s="3" t="s">
        <v>16</v>
      </c>
      <c r="C43" s="8">
        <v>0.039</v>
      </c>
      <c r="D43" s="21"/>
      <c r="E43" s="8"/>
      <c r="F43" s="21"/>
      <c r="G43" s="21"/>
      <c r="H43" s="21"/>
      <c r="I43" s="21"/>
      <c r="J43" s="8"/>
      <c r="K43" s="28">
        <f>K42*0.039</f>
        <v>2037.75</v>
      </c>
    </row>
    <row r="44" spans="1:11" ht="15.75" thickBot="1">
      <c r="A44" s="23"/>
      <c r="B44" s="1" t="s">
        <v>17</v>
      </c>
      <c r="C44" s="5"/>
      <c r="D44" s="19"/>
      <c r="E44" s="5"/>
      <c r="F44" s="19"/>
      <c r="G44" s="19"/>
      <c r="H44" s="19"/>
      <c r="I44" s="19"/>
      <c r="J44" s="5"/>
      <c r="K44" s="29">
        <f>SUM(K38:K43)</f>
        <v>228987.75</v>
      </c>
    </row>
    <row r="45" spans="1:11" ht="15.75" thickTop="1">
      <c r="A45" s="23"/>
      <c r="B45" s="4"/>
      <c r="C45" s="5"/>
      <c r="D45" s="19"/>
      <c r="E45" s="5"/>
      <c r="F45" s="19"/>
      <c r="G45" s="19"/>
      <c r="H45" s="19"/>
      <c r="I45" s="19"/>
      <c r="J45" s="5"/>
      <c r="K45" s="14"/>
    </row>
    <row r="46" spans="1:11" ht="15.75" thickBot="1">
      <c r="A46" s="23"/>
      <c r="B46" s="4" t="s">
        <v>19</v>
      </c>
      <c r="C46" s="5"/>
      <c r="D46" s="19"/>
      <c r="E46" s="5"/>
      <c r="F46" s="19"/>
      <c r="G46" s="19"/>
      <c r="H46" s="19"/>
      <c r="I46" s="19"/>
      <c r="J46" s="5"/>
      <c r="K46" s="30">
        <f>K35+K44</f>
        <v>1476679.44786744</v>
      </c>
    </row>
    <row r="47" spans="1:11" ht="15.75" thickTop="1">
      <c r="A47" s="23"/>
      <c r="B47" s="4" t="s">
        <v>114</v>
      </c>
      <c r="C47" s="5"/>
      <c r="D47" s="19"/>
      <c r="E47" s="5"/>
      <c r="F47" s="19"/>
      <c r="G47" s="19"/>
      <c r="H47" s="19"/>
      <c r="I47" s="19"/>
      <c r="J47" s="5"/>
      <c r="K47" s="14"/>
    </row>
    <row r="48" spans="1:14" ht="15">
      <c r="A48" s="24"/>
      <c r="B48" s="3" t="s">
        <v>5</v>
      </c>
      <c r="C48" s="6">
        <v>2000</v>
      </c>
      <c r="D48" s="17">
        <f>79.86</f>
        <v>79.86</v>
      </c>
      <c r="E48" s="17">
        <f>D48*0.36</f>
        <v>28.749599999999997</v>
      </c>
      <c r="F48" s="17">
        <f>(D48+E48)*0.269</f>
        <v>29.2159824</v>
      </c>
      <c r="G48" s="17">
        <f>(D48+E48+F48)*0.12</f>
        <v>16.539069888</v>
      </c>
      <c r="H48" s="17">
        <f>(D48+E48+F48+G48)*1.028</f>
        <v>158.686862552064</v>
      </c>
      <c r="I48" s="17">
        <f>(H48-G48)*0.07</f>
        <v>9.950345486484482</v>
      </c>
      <c r="J48" s="17">
        <f aca="true" t="shared" si="10" ref="J48:J56">D48+E48+F48+G48+I48</f>
        <v>164.31499777448448</v>
      </c>
      <c r="K48" s="13">
        <f aca="true" t="shared" si="11" ref="K48:K56">C48*J48</f>
        <v>328629.99554896896</v>
      </c>
      <c r="M48" s="10"/>
      <c r="N48" s="10"/>
    </row>
    <row r="49" spans="1:14" ht="15">
      <c r="A49" s="24"/>
      <c r="B49" s="3" t="s">
        <v>7</v>
      </c>
      <c r="C49" s="6">
        <v>898</v>
      </c>
      <c r="D49" s="17">
        <v>53.5</v>
      </c>
      <c r="E49" s="17">
        <f aca="true" t="shared" si="12" ref="E49:E56">D49*0.36</f>
        <v>19.259999999999998</v>
      </c>
      <c r="F49" s="17">
        <f aca="true" t="shared" si="13" ref="F49:F56">(D49+E49)*0.269</f>
        <v>19.57244</v>
      </c>
      <c r="G49" s="17">
        <f aca="true" t="shared" si="14" ref="G49:G56">(D49+E49+F49)*0.12</f>
        <v>11.079892799999998</v>
      </c>
      <c r="H49" s="17">
        <f aca="true" t="shared" si="15" ref="H49:H56">(D49+E49+F49+G49)*1.028</f>
        <v>106.30787811839998</v>
      </c>
      <c r="I49" s="17">
        <f aca="true" t="shared" si="16" ref="I49:I56">(H49-G49)*0.07</f>
        <v>6.665958972288</v>
      </c>
      <c r="J49" s="17">
        <f t="shared" si="10"/>
        <v>110.07829177228798</v>
      </c>
      <c r="K49" s="13">
        <f t="shared" si="11"/>
        <v>98850.3060115146</v>
      </c>
      <c r="M49" s="10"/>
      <c r="N49" s="10"/>
    </row>
    <row r="50" spans="1:14" ht="15">
      <c r="A50" s="24"/>
      <c r="B50" s="3" t="s">
        <v>6</v>
      </c>
      <c r="C50" s="6">
        <v>1884</v>
      </c>
      <c r="D50" s="17">
        <v>64.95</v>
      </c>
      <c r="E50" s="17">
        <f t="shared" si="12"/>
        <v>23.382</v>
      </c>
      <c r="F50" s="17">
        <f t="shared" si="13"/>
        <v>23.761308000000003</v>
      </c>
      <c r="G50" s="17">
        <f t="shared" si="14"/>
        <v>13.45119696</v>
      </c>
      <c r="H50" s="17">
        <f t="shared" si="15"/>
        <v>129.05975109888</v>
      </c>
      <c r="I50" s="17">
        <f t="shared" si="16"/>
        <v>8.0925987897216</v>
      </c>
      <c r="J50" s="17">
        <f t="shared" si="10"/>
        <v>133.6371037497216</v>
      </c>
      <c r="K50" s="13">
        <f t="shared" si="11"/>
        <v>251772.3034644755</v>
      </c>
      <c r="M50" s="10"/>
      <c r="N50" s="10"/>
    </row>
    <row r="51" spans="1:14" ht="15">
      <c r="A51" s="24"/>
      <c r="B51" s="3" t="s">
        <v>8</v>
      </c>
      <c r="C51" s="6">
        <v>130</v>
      </c>
      <c r="D51" s="17">
        <v>49.63</v>
      </c>
      <c r="E51" s="17">
        <f t="shared" si="12"/>
        <v>17.8668</v>
      </c>
      <c r="F51" s="17">
        <f t="shared" si="13"/>
        <v>18.156639200000004</v>
      </c>
      <c r="G51" s="17">
        <f t="shared" si="14"/>
        <v>10.278412704</v>
      </c>
      <c r="H51" s="17">
        <f t="shared" si="15"/>
        <v>98.61794375731202</v>
      </c>
      <c r="I51" s="17">
        <f t="shared" si="16"/>
        <v>6.183767173731842</v>
      </c>
      <c r="J51" s="17">
        <f t="shared" si="10"/>
        <v>102.11561907773185</v>
      </c>
      <c r="K51" s="13">
        <f t="shared" si="11"/>
        <v>13275.03048010514</v>
      </c>
      <c r="M51" s="10"/>
      <c r="N51" s="10"/>
    </row>
    <row r="52" spans="1:14" ht="15">
      <c r="A52" s="24"/>
      <c r="B52" s="3" t="s">
        <v>9</v>
      </c>
      <c r="C52" s="6">
        <v>230</v>
      </c>
      <c r="D52" s="17">
        <v>62.36</v>
      </c>
      <c r="E52" s="17">
        <f t="shared" si="12"/>
        <v>22.4496</v>
      </c>
      <c r="F52" s="17">
        <f t="shared" si="13"/>
        <v>22.8137824</v>
      </c>
      <c r="G52" s="17">
        <f t="shared" si="14"/>
        <v>12.914805887999998</v>
      </c>
      <c r="H52" s="17">
        <f t="shared" si="15"/>
        <v>123.913257560064</v>
      </c>
      <c r="I52" s="17">
        <f t="shared" si="16"/>
        <v>7.76989161704448</v>
      </c>
      <c r="J52" s="17">
        <f t="shared" si="10"/>
        <v>128.30807990504448</v>
      </c>
      <c r="K52" s="13">
        <f t="shared" si="11"/>
        <v>29510.858378160232</v>
      </c>
      <c r="M52" s="10"/>
      <c r="N52" s="10"/>
    </row>
    <row r="53" spans="1:14" ht="15">
      <c r="A53" s="24"/>
      <c r="B53" s="3" t="s">
        <v>10</v>
      </c>
      <c r="C53" s="6">
        <v>1445</v>
      </c>
      <c r="D53" s="17">
        <v>51.2</v>
      </c>
      <c r="E53" s="17">
        <f t="shared" si="12"/>
        <v>18.432</v>
      </c>
      <c r="F53" s="17">
        <f t="shared" si="13"/>
        <v>18.731008000000003</v>
      </c>
      <c r="G53" s="17">
        <f t="shared" si="14"/>
        <v>10.603560960000001</v>
      </c>
      <c r="H53" s="17">
        <f t="shared" si="15"/>
        <v>101.73763289088001</v>
      </c>
      <c r="I53" s="17">
        <f t="shared" si="16"/>
        <v>6.379385035161602</v>
      </c>
      <c r="J53" s="17">
        <f t="shared" si="10"/>
        <v>105.34595399516161</v>
      </c>
      <c r="K53" s="13">
        <f t="shared" si="11"/>
        <v>152224.9035230085</v>
      </c>
      <c r="M53" s="10"/>
      <c r="N53" s="10"/>
    </row>
    <row r="54" spans="1:14" ht="15">
      <c r="A54" s="24"/>
      <c r="B54" s="3" t="s">
        <v>11</v>
      </c>
      <c r="C54" s="6">
        <v>885</v>
      </c>
      <c r="D54" s="17">
        <v>26.04</v>
      </c>
      <c r="E54" s="17">
        <f t="shared" si="12"/>
        <v>9.3744</v>
      </c>
      <c r="F54" s="17">
        <f t="shared" si="13"/>
        <v>9.526473600000001</v>
      </c>
      <c r="G54" s="17">
        <f t="shared" si="14"/>
        <v>5.392904832</v>
      </c>
      <c r="H54" s="17">
        <f t="shared" si="15"/>
        <v>51.743124228096</v>
      </c>
      <c r="I54" s="17">
        <f t="shared" si="16"/>
        <v>3.2445153577267205</v>
      </c>
      <c r="J54" s="17">
        <f t="shared" si="10"/>
        <v>53.57829378972672</v>
      </c>
      <c r="K54" s="13">
        <f t="shared" si="11"/>
        <v>47416.79000390815</v>
      </c>
      <c r="M54" s="10"/>
      <c r="N54" s="10"/>
    </row>
    <row r="55" spans="1:14" ht="15">
      <c r="A55" s="24"/>
      <c r="B55" s="3" t="s">
        <v>12</v>
      </c>
      <c r="C55" s="6">
        <v>370</v>
      </c>
      <c r="D55" s="17">
        <v>59.3</v>
      </c>
      <c r="E55" s="17">
        <f t="shared" si="12"/>
        <v>21.348</v>
      </c>
      <c r="F55" s="17">
        <f t="shared" si="13"/>
        <v>21.694312</v>
      </c>
      <c r="G55" s="17">
        <f t="shared" si="14"/>
        <v>12.281077439999999</v>
      </c>
      <c r="H55" s="17">
        <f t="shared" si="15"/>
        <v>117.83284434432</v>
      </c>
      <c r="I55" s="17">
        <f t="shared" si="16"/>
        <v>7.3886236833024</v>
      </c>
      <c r="J55" s="17">
        <f t="shared" si="10"/>
        <v>122.0120131233024</v>
      </c>
      <c r="K55" s="13">
        <f t="shared" si="11"/>
        <v>45144.444855621885</v>
      </c>
      <c r="M55" s="10"/>
      <c r="N55" s="10"/>
    </row>
    <row r="56" spans="1:14" ht="17.25">
      <c r="A56" s="24"/>
      <c r="B56" s="3" t="s">
        <v>13</v>
      </c>
      <c r="C56" s="9">
        <v>1101</v>
      </c>
      <c r="D56" s="17">
        <v>125</v>
      </c>
      <c r="E56" s="17">
        <f t="shared" si="12"/>
        <v>45</v>
      </c>
      <c r="F56" s="17">
        <f t="shared" si="13"/>
        <v>45.730000000000004</v>
      </c>
      <c r="G56" s="17">
        <f t="shared" si="14"/>
        <v>25.887600000000003</v>
      </c>
      <c r="H56" s="17">
        <f t="shared" si="15"/>
        <v>248.3828928</v>
      </c>
      <c r="I56" s="17">
        <f t="shared" si="16"/>
        <v>15.574670496000003</v>
      </c>
      <c r="J56" s="17">
        <f t="shared" si="10"/>
        <v>257.192270496</v>
      </c>
      <c r="K56" s="28">
        <f t="shared" si="11"/>
        <v>283168.689816096</v>
      </c>
      <c r="M56" s="10"/>
      <c r="N56" s="10"/>
    </row>
    <row r="57" spans="1:16" ht="15.75" thickBot="1">
      <c r="A57" s="25"/>
      <c r="B57" s="4" t="s">
        <v>53</v>
      </c>
      <c r="C57" s="31">
        <f>SUM(C48:C56)</f>
        <v>8943</v>
      </c>
      <c r="D57" s="18"/>
      <c r="E57" s="7"/>
      <c r="F57" s="18"/>
      <c r="G57" s="18"/>
      <c r="H57" s="18"/>
      <c r="I57" s="18"/>
      <c r="J57" s="7"/>
      <c r="K57" s="29">
        <f>SUM(K48:K56)</f>
        <v>1249993.322081859</v>
      </c>
      <c r="P57" s="11"/>
    </row>
    <row r="58" spans="1:11" ht="15.75" thickTop="1">
      <c r="A58" s="25"/>
      <c r="B58" s="3"/>
      <c r="C58" s="2"/>
      <c r="D58" s="20"/>
      <c r="E58" s="2"/>
      <c r="F58" s="20"/>
      <c r="G58" s="20"/>
      <c r="H58" s="20"/>
      <c r="I58" s="20"/>
      <c r="J58" s="2"/>
      <c r="K58" s="15"/>
    </row>
    <row r="59" spans="1:11" ht="15">
      <c r="A59" s="25"/>
      <c r="B59" s="4" t="s">
        <v>15</v>
      </c>
      <c r="C59" s="5"/>
      <c r="D59" s="19"/>
      <c r="E59" s="5"/>
      <c r="F59" s="19"/>
      <c r="G59" s="19"/>
      <c r="H59" s="19"/>
      <c r="I59" s="19"/>
      <c r="J59" s="5"/>
      <c r="K59" s="15"/>
    </row>
    <row r="60" spans="1:11" ht="15">
      <c r="A60" s="25"/>
      <c r="B60" s="1" t="s">
        <v>2</v>
      </c>
      <c r="C60" s="5"/>
      <c r="D60" s="19"/>
      <c r="E60" s="5"/>
      <c r="F60" s="19"/>
      <c r="G60" s="19"/>
      <c r="H60" s="19"/>
      <c r="I60" s="19"/>
      <c r="J60" s="5"/>
      <c r="K60" s="13">
        <v>95500</v>
      </c>
    </row>
    <row r="61" spans="1:11" ht="15">
      <c r="A61" s="25"/>
      <c r="B61" s="1" t="s">
        <v>3</v>
      </c>
      <c r="C61" s="5"/>
      <c r="D61" s="19"/>
      <c r="E61" s="5"/>
      <c r="F61" s="19"/>
      <c r="G61" s="19"/>
      <c r="H61" s="19"/>
      <c r="I61" s="19"/>
      <c r="J61" s="5"/>
      <c r="K61" s="13">
        <v>0</v>
      </c>
    </row>
    <row r="62" spans="1:11" ht="15">
      <c r="A62" s="25"/>
      <c r="B62" s="1" t="s">
        <v>1</v>
      </c>
      <c r="C62" s="5"/>
      <c r="D62" s="19"/>
      <c r="E62" s="5"/>
      <c r="F62" s="19"/>
      <c r="G62" s="19"/>
      <c r="H62" s="19"/>
      <c r="I62" s="19"/>
      <c r="J62" s="5"/>
      <c r="K62" s="13">
        <v>0</v>
      </c>
    </row>
    <row r="63" spans="1:11" ht="15">
      <c r="A63" s="25"/>
      <c r="B63" s="1" t="s">
        <v>4</v>
      </c>
      <c r="C63" s="5"/>
      <c r="D63" s="19"/>
      <c r="E63" s="5"/>
      <c r="F63" s="19"/>
      <c r="G63" s="19"/>
      <c r="H63" s="19"/>
      <c r="I63" s="19"/>
      <c r="J63" s="5"/>
      <c r="K63" s="13">
        <v>0</v>
      </c>
    </row>
    <row r="64" spans="1:11" ht="15">
      <c r="A64" s="25"/>
      <c r="B64" s="1" t="s">
        <v>18</v>
      </c>
      <c r="C64" s="5"/>
      <c r="D64" s="19"/>
      <c r="E64" s="5"/>
      <c r="F64" s="19"/>
      <c r="G64" s="19"/>
      <c r="H64" s="19"/>
      <c r="I64" s="19"/>
      <c r="J64" s="5"/>
      <c r="K64" s="13">
        <v>27300</v>
      </c>
    </row>
    <row r="65" spans="2:11" ht="15">
      <c r="B65" s="3" t="s">
        <v>16</v>
      </c>
      <c r="C65" s="8">
        <f>0.039*1.028</f>
        <v>0.040092</v>
      </c>
      <c r="D65" s="21"/>
      <c r="E65" s="8"/>
      <c r="F65" s="21"/>
      <c r="G65" s="21"/>
      <c r="H65" s="21"/>
      <c r="I65" s="21"/>
      <c r="J65" s="8"/>
      <c r="K65" s="28">
        <f>(K64*0.039)*1.031</f>
        <v>1097.7057</v>
      </c>
    </row>
    <row r="66" spans="1:11" ht="15.75" thickBot="1">
      <c r="A66" s="23"/>
      <c r="B66" s="1" t="s">
        <v>17</v>
      </c>
      <c r="C66" s="5"/>
      <c r="D66" s="19"/>
      <c r="E66" s="5"/>
      <c r="F66" s="19"/>
      <c r="G66" s="19"/>
      <c r="H66" s="19"/>
      <c r="I66" s="19"/>
      <c r="J66" s="5"/>
      <c r="K66" s="29">
        <f>SUM(K60:K65)</f>
        <v>123897.7057</v>
      </c>
    </row>
    <row r="67" spans="1:11" ht="15.75" thickTop="1">
      <c r="A67" s="23"/>
      <c r="B67" s="4"/>
      <c r="C67" s="5"/>
      <c r="D67" s="19"/>
      <c r="E67" s="5"/>
      <c r="F67" s="19"/>
      <c r="G67" s="19"/>
      <c r="H67" s="19"/>
      <c r="I67" s="19"/>
      <c r="J67" s="5"/>
      <c r="K67" s="14"/>
    </row>
    <row r="68" spans="1:11" ht="15.75" thickBot="1">
      <c r="A68" s="23"/>
      <c r="B68" s="4" t="s">
        <v>20</v>
      </c>
      <c r="C68" s="5"/>
      <c r="D68" s="19"/>
      <c r="E68" s="5"/>
      <c r="F68" s="19"/>
      <c r="G68" s="19"/>
      <c r="H68" s="19"/>
      <c r="I68" s="19"/>
      <c r="J68" s="5"/>
      <c r="K68" s="30">
        <f>K57+K66</f>
        <v>1373891.027781859</v>
      </c>
    </row>
    <row r="69" spans="1:11" ht="15.75" thickTop="1">
      <c r="A69" s="23"/>
      <c r="B69" s="4" t="s">
        <v>115</v>
      </c>
      <c r="C69" s="5"/>
      <c r="D69" s="19"/>
      <c r="E69" s="5"/>
      <c r="F69" s="19"/>
      <c r="G69" s="19"/>
      <c r="H69" s="19"/>
      <c r="I69" s="19"/>
      <c r="J69" s="5"/>
      <c r="K69" s="14"/>
    </row>
    <row r="70" spans="1:14" ht="15">
      <c r="A70" s="24"/>
      <c r="B70" s="3" t="s">
        <v>5</v>
      </c>
      <c r="C70" s="6">
        <v>2000</v>
      </c>
      <c r="D70" s="17">
        <v>79.86</v>
      </c>
      <c r="E70" s="17">
        <f aca="true" t="shared" si="17" ref="E70:E78">D70*0.36</f>
        <v>28.749599999999997</v>
      </c>
      <c r="F70" s="17"/>
      <c r="G70" s="17">
        <f aca="true" t="shared" si="18" ref="G70:G78">(D70+E70+F70)*0.12</f>
        <v>13.033152</v>
      </c>
      <c r="H70" s="17">
        <f>((D70+E70+F70+G70)*1.028)*1.031</f>
        <v>128.925260276736</v>
      </c>
      <c r="I70" s="17">
        <f>(H70-G70)*0.07</f>
        <v>8.112447579371521</v>
      </c>
      <c r="J70" s="17">
        <f aca="true" t="shared" si="19" ref="J70:J78">D70+E70+F70+G70+I70</f>
        <v>129.75519957937152</v>
      </c>
      <c r="K70" s="13">
        <f aca="true" t="shared" si="20" ref="K70:K78">C70*J70</f>
        <v>259510.39915874304</v>
      </c>
      <c r="M70" s="10"/>
      <c r="N70" s="10"/>
    </row>
    <row r="71" spans="1:14" ht="15">
      <c r="A71" s="24"/>
      <c r="B71" s="3" t="s">
        <v>7</v>
      </c>
      <c r="C71" s="6">
        <v>420</v>
      </c>
      <c r="D71" s="17">
        <v>53.5</v>
      </c>
      <c r="E71" s="17">
        <f t="shared" si="17"/>
        <v>19.259999999999998</v>
      </c>
      <c r="F71" s="17">
        <f aca="true" t="shared" si="21" ref="F71:F78">(D71+E71)*0.269</f>
        <v>19.57244</v>
      </c>
      <c r="G71" s="17">
        <f t="shared" si="18"/>
        <v>11.079892799999998</v>
      </c>
      <c r="H71" s="17">
        <f aca="true" t="shared" si="22" ref="H71:H78">((D71+E71+F71+G71)*1.028)*1.031</f>
        <v>109.60342234007038</v>
      </c>
      <c r="I71" s="17">
        <f aca="true" t="shared" si="23" ref="I71:I78">(H71-G71)*0.07</f>
        <v>6.896647067804928</v>
      </c>
      <c r="J71" s="17">
        <f t="shared" si="19"/>
        <v>110.30897986780491</v>
      </c>
      <c r="K71" s="13">
        <f t="shared" si="20"/>
        <v>46329.77154447806</v>
      </c>
      <c r="M71" s="10"/>
      <c r="N71" s="10"/>
    </row>
    <row r="72" spans="1:14" ht="15">
      <c r="A72" s="24"/>
      <c r="B72" s="3" t="s">
        <v>6</v>
      </c>
      <c r="C72" s="6">
        <v>1260</v>
      </c>
      <c r="D72" s="17">
        <v>64.95</v>
      </c>
      <c r="E72" s="17">
        <f t="shared" si="17"/>
        <v>23.382</v>
      </c>
      <c r="F72" s="17">
        <f t="shared" si="21"/>
        <v>23.761308000000003</v>
      </c>
      <c r="G72" s="17">
        <f t="shared" si="18"/>
        <v>13.45119696</v>
      </c>
      <c r="H72" s="17">
        <f t="shared" si="22"/>
        <v>133.0606033829453</v>
      </c>
      <c r="I72" s="17">
        <f t="shared" si="23"/>
        <v>8.37265844960617</v>
      </c>
      <c r="J72" s="17">
        <f t="shared" si="19"/>
        <v>133.9171634096062</v>
      </c>
      <c r="K72" s="13">
        <f t="shared" si="20"/>
        <v>168735.6258961038</v>
      </c>
      <c r="M72" s="10"/>
      <c r="N72" s="10"/>
    </row>
    <row r="73" spans="1:14" ht="15">
      <c r="A73" s="24"/>
      <c r="B73" s="3" t="s">
        <v>8</v>
      </c>
      <c r="C73" s="6">
        <v>50</v>
      </c>
      <c r="D73" s="17">
        <v>49.63</v>
      </c>
      <c r="E73" s="17">
        <f t="shared" si="17"/>
        <v>17.8668</v>
      </c>
      <c r="F73" s="17">
        <f t="shared" si="21"/>
        <v>18.156639200000004</v>
      </c>
      <c r="G73" s="17">
        <f t="shared" si="18"/>
        <v>10.278412704</v>
      </c>
      <c r="H73" s="17">
        <f t="shared" si="22"/>
        <v>101.67510001378868</v>
      </c>
      <c r="I73" s="17">
        <f t="shared" si="23"/>
        <v>6.397768111685208</v>
      </c>
      <c r="J73" s="17">
        <f t="shared" si="19"/>
        <v>102.32962001568522</v>
      </c>
      <c r="K73" s="13">
        <f t="shared" si="20"/>
        <v>5116.481000784261</v>
      </c>
      <c r="M73" s="10"/>
      <c r="N73" s="10"/>
    </row>
    <row r="74" spans="1:14" ht="15">
      <c r="A74" s="24"/>
      <c r="B74" s="3" t="s">
        <v>9</v>
      </c>
      <c r="C74" s="6">
        <v>0</v>
      </c>
      <c r="D74" s="17">
        <v>62.36</v>
      </c>
      <c r="E74" s="17">
        <f t="shared" si="17"/>
        <v>22.4496</v>
      </c>
      <c r="F74" s="17">
        <f t="shared" si="21"/>
        <v>22.8137824</v>
      </c>
      <c r="G74" s="17">
        <f t="shared" si="18"/>
        <v>12.914805887999998</v>
      </c>
      <c r="H74" s="17">
        <f t="shared" si="22"/>
        <v>127.75456854442596</v>
      </c>
      <c r="I74" s="17">
        <f t="shared" si="23"/>
        <v>8.038783385949818</v>
      </c>
      <c r="J74" s="17">
        <f t="shared" si="19"/>
        <v>128.57697167394983</v>
      </c>
      <c r="K74" s="13">
        <f t="shared" si="20"/>
        <v>0</v>
      </c>
      <c r="M74" s="10"/>
      <c r="N74" s="10"/>
    </row>
    <row r="75" spans="1:14" ht="15">
      <c r="A75" s="24"/>
      <c r="B75" s="3" t="s">
        <v>10</v>
      </c>
      <c r="C75" s="6">
        <v>925</v>
      </c>
      <c r="D75" s="17">
        <v>51.2</v>
      </c>
      <c r="E75" s="17">
        <f t="shared" si="17"/>
        <v>18.432</v>
      </c>
      <c r="F75" s="17">
        <f t="shared" si="21"/>
        <v>18.731008000000003</v>
      </c>
      <c r="G75" s="17">
        <f t="shared" si="18"/>
        <v>10.603560960000001</v>
      </c>
      <c r="H75" s="17">
        <f t="shared" si="22"/>
        <v>104.89149951049728</v>
      </c>
      <c r="I75" s="17">
        <f t="shared" si="23"/>
        <v>6.60015569853481</v>
      </c>
      <c r="J75" s="17">
        <f t="shared" si="19"/>
        <v>105.56672465853481</v>
      </c>
      <c r="K75" s="13">
        <f t="shared" si="20"/>
        <v>97649.2203091447</v>
      </c>
      <c r="M75" s="10"/>
      <c r="N75" s="10"/>
    </row>
    <row r="76" spans="1:14" ht="15">
      <c r="A76" s="24"/>
      <c r="B76" s="3" t="s">
        <v>11</v>
      </c>
      <c r="C76" s="6">
        <v>225</v>
      </c>
      <c r="D76" s="17">
        <v>26.04</v>
      </c>
      <c r="E76" s="17">
        <f t="shared" si="17"/>
        <v>9.3744</v>
      </c>
      <c r="F76" s="17">
        <f t="shared" si="21"/>
        <v>9.526473600000001</v>
      </c>
      <c r="G76" s="17">
        <f t="shared" si="18"/>
        <v>5.392904832</v>
      </c>
      <c r="H76" s="17">
        <f t="shared" si="22"/>
        <v>53.34716107916697</v>
      </c>
      <c r="I76" s="17">
        <f t="shared" si="23"/>
        <v>3.3567979373016885</v>
      </c>
      <c r="J76" s="17">
        <f t="shared" si="19"/>
        <v>53.69057636930169</v>
      </c>
      <c r="K76" s="13">
        <f t="shared" si="20"/>
        <v>12080.37968309288</v>
      </c>
      <c r="M76" s="10"/>
      <c r="N76" s="10"/>
    </row>
    <row r="77" spans="1:14" ht="15">
      <c r="A77" s="24"/>
      <c r="B77" s="3" t="s">
        <v>12</v>
      </c>
      <c r="C77" s="6">
        <v>50</v>
      </c>
      <c r="D77" s="17">
        <v>59.3</v>
      </c>
      <c r="E77" s="17">
        <f t="shared" si="17"/>
        <v>21.348</v>
      </c>
      <c r="F77" s="17">
        <f t="shared" si="21"/>
        <v>21.694312</v>
      </c>
      <c r="G77" s="17">
        <f t="shared" si="18"/>
        <v>12.281077439999999</v>
      </c>
      <c r="H77" s="17">
        <f t="shared" si="22"/>
        <v>121.4856625189939</v>
      </c>
      <c r="I77" s="17">
        <f t="shared" si="23"/>
        <v>7.644320955529574</v>
      </c>
      <c r="J77" s="17">
        <f t="shared" si="19"/>
        <v>122.26771039552958</v>
      </c>
      <c r="K77" s="13">
        <f t="shared" si="20"/>
        <v>6113.385519776479</v>
      </c>
      <c r="M77" s="10"/>
      <c r="N77" s="10"/>
    </row>
    <row r="78" spans="1:14" ht="17.25">
      <c r="A78" s="24"/>
      <c r="B78" s="3" t="s">
        <v>13</v>
      </c>
      <c r="C78" s="9">
        <v>0</v>
      </c>
      <c r="D78" s="17">
        <v>125</v>
      </c>
      <c r="E78" s="17">
        <f t="shared" si="17"/>
        <v>45</v>
      </c>
      <c r="F78" s="17">
        <f t="shared" si="21"/>
        <v>45.730000000000004</v>
      </c>
      <c r="G78" s="17">
        <f t="shared" si="18"/>
        <v>25.887600000000003</v>
      </c>
      <c r="H78" s="17">
        <f t="shared" si="22"/>
        <v>256.0827624768</v>
      </c>
      <c r="I78" s="17">
        <f t="shared" si="23"/>
        <v>16.113661373376</v>
      </c>
      <c r="J78" s="17">
        <f t="shared" si="19"/>
        <v>257.731261373376</v>
      </c>
      <c r="K78" s="28">
        <f t="shared" si="20"/>
        <v>0</v>
      </c>
      <c r="M78" s="10"/>
      <c r="N78" s="10"/>
    </row>
    <row r="79" spans="1:16" ht="15.75" thickBot="1">
      <c r="A79" s="25"/>
      <c r="B79" s="4" t="s">
        <v>52</v>
      </c>
      <c r="C79" s="31">
        <f>SUM(C70:C78)</f>
        <v>4930</v>
      </c>
      <c r="D79" s="18"/>
      <c r="E79" s="7"/>
      <c r="F79" s="18"/>
      <c r="G79" s="18"/>
      <c r="H79" s="18"/>
      <c r="I79" s="18"/>
      <c r="J79" s="7"/>
      <c r="K79" s="29">
        <f>SUM(K70:K78)</f>
        <v>595535.2631121234</v>
      </c>
      <c r="P79" s="11"/>
    </row>
    <row r="80" spans="1:11" ht="15.75" thickTop="1">
      <c r="A80" s="25"/>
      <c r="B80" s="3"/>
      <c r="C80" s="2"/>
      <c r="D80" s="20"/>
      <c r="E80" s="2"/>
      <c r="F80" s="20"/>
      <c r="G80" s="20"/>
      <c r="H80" s="20"/>
      <c r="I80" s="20"/>
      <c r="J80" s="2"/>
      <c r="K80" s="15"/>
    </row>
    <row r="81" spans="1:11" ht="15">
      <c r="A81" s="25"/>
      <c r="B81" s="4" t="s">
        <v>15</v>
      </c>
      <c r="C81" s="5"/>
      <c r="D81" s="19"/>
      <c r="E81" s="5"/>
      <c r="F81" s="19"/>
      <c r="G81" s="19"/>
      <c r="H81" s="19"/>
      <c r="I81" s="19"/>
      <c r="J81" s="5"/>
      <c r="K81" s="15"/>
    </row>
    <row r="82" spans="1:11" ht="15">
      <c r="A82" s="25"/>
      <c r="B82" s="1" t="s">
        <v>2</v>
      </c>
      <c r="C82" s="5"/>
      <c r="D82" s="19"/>
      <c r="E82" s="5"/>
      <c r="F82" s="19"/>
      <c r="G82" s="19"/>
      <c r="H82" s="19"/>
      <c r="I82" s="19"/>
      <c r="J82" s="5"/>
      <c r="K82" s="13">
        <v>15100</v>
      </c>
    </row>
    <row r="83" spans="1:11" ht="15">
      <c r="A83" s="25"/>
      <c r="B83" s="1" t="s">
        <v>3</v>
      </c>
      <c r="C83" s="5"/>
      <c r="D83" s="19"/>
      <c r="E83" s="5"/>
      <c r="F83" s="19"/>
      <c r="G83" s="19"/>
      <c r="H83" s="19"/>
      <c r="I83" s="19"/>
      <c r="J83" s="5"/>
      <c r="K83" s="13">
        <v>0</v>
      </c>
    </row>
    <row r="84" spans="1:11" ht="15">
      <c r="A84" s="25"/>
      <c r="B84" s="1" t="s">
        <v>1</v>
      </c>
      <c r="C84" s="5"/>
      <c r="D84" s="19"/>
      <c r="E84" s="5"/>
      <c r="F84" s="19"/>
      <c r="G84" s="19"/>
      <c r="H84" s="19"/>
      <c r="I84" s="19"/>
      <c r="J84" s="5"/>
      <c r="K84" s="13">
        <v>0</v>
      </c>
    </row>
    <row r="85" spans="1:11" ht="15">
      <c r="A85" s="25"/>
      <c r="B85" s="1" t="s">
        <v>4</v>
      </c>
      <c r="C85" s="5"/>
      <c r="D85" s="19"/>
      <c r="E85" s="5"/>
      <c r="F85" s="19"/>
      <c r="G85" s="19"/>
      <c r="H85" s="19"/>
      <c r="I85" s="19"/>
      <c r="J85" s="5"/>
      <c r="K85" s="13">
        <v>0</v>
      </c>
    </row>
    <row r="86" spans="1:11" ht="15">
      <c r="A86" s="25"/>
      <c r="B86" s="1" t="s">
        <v>18</v>
      </c>
      <c r="C86" s="5"/>
      <c r="D86" s="19"/>
      <c r="E86" s="5"/>
      <c r="F86" s="19"/>
      <c r="G86" s="19"/>
      <c r="H86" s="19"/>
      <c r="I86" s="19"/>
      <c r="J86" s="5"/>
      <c r="K86" s="13">
        <v>5280</v>
      </c>
    </row>
    <row r="87" spans="2:11" ht="15">
      <c r="B87" s="3" t="s">
        <v>16</v>
      </c>
      <c r="C87" s="8">
        <f>(0.039*1.028)*1.031</f>
        <v>0.041334852</v>
      </c>
      <c r="D87" s="21"/>
      <c r="E87" s="8"/>
      <c r="F87" s="21"/>
      <c r="G87" s="21"/>
      <c r="H87" s="21"/>
      <c r="I87" s="21"/>
      <c r="J87" s="8"/>
      <c r="K87" s="28">
        <f>(K86*0.04)*1.031</f>
        <v>217.7472</v>
      </c>
    </row>
    <row r="88" spans="1:11" ht="15.75" thickBot="1">
      <c r="A88" s="23"/>
      <c r="B88" s="1" t="s">
        <v>17</v>
      </c>
      <c r="C88" s="5"/>
      <c r="D88" s="19"/>
      <c r="E88" s="5"/>
      <c r="F88" s="19"/>
      <c r="G88" s="19"/>
      <c r="H88" s="19"/>
      <c r="I88" s="19"/>
      <c r="J88" s="5"/>
      <c r="K88" s="29">
        <f>SUM(K82:K87)</f>
        <v>20597.7472</v>
      </c>
    </row>
    <row r="89" spans="1:11" ht="15.75" thickTop="1">
      <c r="A89" s="23"/>
      <c r="B89" s="4"/>
      <c r="C89" s="5"/>
      <c r="D89" s="19"/>
      <c r="E89" s="5"/>
      <c r="F89" s="19"/>
      <c r="G89" s="19"/>
      <c r="H89" s="19"/>
      <c r="I89" s="19"/>
      <c r="J89" s="5"/>
      <c r="K89" s="14"/>
    </row>
    <row r="90" spans="1:11" ht="15.75" thickBot="1">
      <c r="A90" s="23"/>
      <c r="B90" s="4" t="s">
        <v>21</v>
      </c>
      <c r="C90" s="5"/>
      <c r="D90" s="19"/>
      <c r="E90" s="5"/>
      <c r="F90" s="19"/>
      <c r="G90" s="19"/>
      <c r="H90" s="19"/>
      <c r="I90" s="19"/>
      <c r="J90" s="5"/>
      <c r="K90" s="30">
        <f>K79+K88</f>
        <v>616133.0103121233</v>
      </c>
    </row>
    <row r="91" ht="15" thickTop="1">
      <c r="A91" s="23" t="s">
        <v>25</v>
      </c>
    </row>
    <row r="92" ht="14.25">
      <c r="A92" s="23"/>
    </row>
    <row r="93" ht="15">
      <c r="A93" s="25" t="s">
        <v>38</v>
      </c>
    </row>
    <row r="94" ht="15">
      <c r="A94" s="25" t="s">
        <v>39</v>
      </c>
    </row>
    <row r="95" ht="15">
      <c r="A95" s="25" t="s">
        <v>40</v>
      </c>
    </row>
    <row r="96" ht="15">
      <c r="A96" s="25" t="s">
        <v>47</v>
      </c>
    </row>
    <row r="97" ht="15">
      <c r="A97" s="25" t="s">
        <v>41</v>
      </c>
    </row>
    <row r="98" ht="15">
      <c r="A98" s="25" t="s">
        <v>120</v>
      </c>
    </row>
    <row r="99" ht="15">
      <c r="A99" s="25" t="s">
        <v>42</v>
      </c>
    </row>
    <row r="100" ht="15">
      <c r="A100" s="25" t="s">
        <v>43</v>
      </c>
    </row>
    <row r="101" ht="15">
      <c r="A101" s="25" t="s">
        <v>44</v>
      </c>
    </row>
    <row r="102" ht="15">
      <c r="A102" s="25" t="s">
        <v>45</v>
      </c>
    </row>
    <row r="103" ht="15">
      <c r="A103" s="25" t="s">
        <v>46</v>
      </c>
    </row>
  </sheetData>
  <printOptions horizontalCentered="1"/>
  <pageMargins left="0.25" right="0.25" top="1.25" bottom="1" header="0.5" footer="0.5"/>
  <pageSetup fitToHeight="4" horizontalDpi="600" verticalDpi="600" orientation="landscape" pageOrder="overThenDown" paperSize="5" r:id="rId1"/>
  <headerFooter alignWithMargins="0">
    <oddHeader>&amp;L&amp;"Times New Roman,Regular"&amp;11Prepared by George Washington, ATO-X
Tel. (202) 555-1987
Dated prepared: June 15, 2017&amp;C&amp;"Times New Roman,Regular"&amp;11Independent Government Cost Estimate for the XYZ Acquisition&amp;R&amp;"Times New Roman,Regular"&amp;11T-M Format</oddHeader>
    <oddFooter>&amp;C&amp;"Times New Roman,Regular"&amp;11Page &amp;P of &amp;N</oddFooter>
  </headerFooter>
  <rowBreaks count="4" manualBreakCount="4">
    <brk id="24" max="255" man="1"/>
    <brk id="46" max="255" man="1"/>
    <brk id="68" max="25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showGridLines="0" workbookViewId="0" topLeftCell="A1">
      <pane ySplit="2" topLeftCell="BM3" activePane="bottomLeft" state="frozen"/>
      <selection pane="topLeft" activeCell="B4" sqref="B4"/>
      <selection pane="bottomLeft" activeCell="B4" sqref="B4"/>
    </sheetView>
  </sheetViews>
  <sheetFormatPr defaultColWidth="9.140625" defaultRowHeight="12.75"/>
  <cols>
    <col min="1" max="1" width="7.7109375" style="26" customWidth="1"/>
    <col min="2" max="2" width="39.7109375" style="0" bestFit="1" customWidth="1"/>
    <col min="3" max="3" width="15.7109375" style="0" bestFit="1" customWidth="1"/>
    <col min="4" max="4" width="12.140625" style="16" bestFit="1" customWidth="1"/>
    <col min="5" max="5" width="11.57421875" style="0" bestFit="1" customWidth="1"/>
    <col min="6" max="6" width="9.8515625" style="16" bestFit="1" customWidth="1"/>
    <col min="7" max="7" width="9.7109375" style="16" bestFit="1" customWidth="1"/>
    <col min="8" max="8" width="11.00390625" style="16" bestFit="1" customWidth="1"/>
    <col min="9" max="9" width="9.140625" style="16" bestFit="1" customWidth="1"/>
    <col min="10" max="10" width="14.7109375" style="0" bestFit="1" customWidth="1"/>
    <col min="11" max="11" width="14.8515625" style="12" bestFit="1" customWidth="1"/>
  </cols>
  <sheetData>
    <row r="1" spans="1:11" s="33" customFormat="1" ht="19.5" customHeight="1">
      <c r="A1" s="34"/>
      <c r="B1" s="34"/>
      <c r="C1" s="34" t="s">
        <v>26</v>
      </c>
      <c r="D1" s="34" t="s">
        <v>28</v>
      </c>
      <c r="E1" s="34" t="s">
        <v>30</v>
      </c>
      <c r="F1" s="34" t="s">
        <v>30</v>
      </c>
      <c r="G1" s="34" t="s">
        <v>30</v>
      </c>
      <c r="H1" s="34" t="s">
        <v>29</v>
      </c>
      <c r="I1" s="34" t="s">
        <v>30</v>
      </c>
      <c r="J1" s="34" t="s">
        <v>36</v>
      </c>
      <c r="K1" s="34" t="s">
        <v>26</v>
      </c>
    </row>
    <row r="2" spans="1:11" s="33" customFormat="1" ht="19.5" customHeight="1">
      <c r="A2" s="35" t="s">
        <v>0</v>
      </c>
      <c r="B2" s="35" t="s">
        <v>24</v>
      </c>
      <c r="C2" s="35" t="s">
        <v>27</v>
      </c>
      <c r="D2" s="35" t="s">
        <v>29</v>
      </c>
      <c r="E2" s="35" t="s">
        <v>31</v>
      </c>
      <c r="F2" s="35" t="s">
        <v>32</v>
      </c>
      <c r="G2" s="35" t="s">
        <v>14</v>
      </c>
      <c r="H2" s="35" t="s">
        <v>33</v>
      </c>
      <c r="I2" s="35" t="s">
        <v>34</v>
      </c>
      <c r="J2" s="35" t="s">
        <v>35</v>
      </c>
      <c r="K2" s="35" t="s">
        <v>37</v>
      </c>
    </row>
    <row r="3" spans="1:14" ht="15">
      <c r="A3" s="24"/>
      <c r="B3" s="4" t="s">
        <v>113</v>
      </c>
      <c r="C3" s="6"/>
      <c r="D3" s="32"/>
      <c r="E3" s="32"/>
      <c r="F3" s="32"/>
      <c r="G3" s="32"/>
      <c r="H3" s="32"/>
      <c r="I3" s="32"/>
      <c r="J3" s="32"/>
      <c r="K3" s="13"/>
      <c r="M3" s="10"/>
      <c r="N3" s="10"/>
    </row>
    <row r="4" spans="1:14" ht="15">
      <c r="A4" s="24"/>
      <c r="B4" s="3" t="s">
        <v>5</v>
      </c>
      <c r="C4" s="6">
        <f aca="true" t="shared" si="0" ref="C4:C12">C15+C26+C37</f>
        <v>6000</v>
      </c>
      <c r="D4" s="32" t="s">
        <v>23</v>
      </c>
      <c r="E4" s="32" t="s">
        <v>23</v>
      </c>
      <c r="F4" s="32" t="s">
        <v>23</v>
      </c>
      <c r="G4" s="32" t="s">
        <v>23</v>
      </c>
      <c r="H4" s="32" t="s">
        <v>23</v>
      </c>
      <c r="I4" s="32" t="s">
        <v>23</v>
      </c>
      <c r="J4" s="32" t="s">
        <v>23</v>
      </c>
      <c r="K4" s="13">
        <f aca="true" t="shared" si="1" ref="K4:K12">K15+K26+K37</f>
        <v>916165.280819712</v>
      </c>
      <c r="M4" s="10"/>
      <c r="N4" s="10"/>
    </row>
    <row r="5" spans="1:14" ht="15">
      <c r="A5" s="24"/>
      <c r="B5" s="3" t="s">
        <v>7</v>
      </c>
      <c r="C5" s="6">
        <f t="shared" si="0"/>
        <v>2216</v>
      </c>
      <c r="D5" s="32" t="s">
        <v>23</v>
      </c>
      <c r="E5" s="32" t="s">
        <v>23</v>
      </c>
      <c r="F5" s="32" t="s">
        <v>23</v>
      </c>
      <c r="G5" s="32" t="s">
        <v>23</v>
      </c>
      <c r="H5" s="32" t="s">
        <v>23</v>
      </c>
      <c r="I5" s="32" t="s">
        <v>23</v>
      </c>
      <c r="J5" s="32" t="s">
        <v>23</v>
      </c>
      <c r="K5" s="13">
        <f t="shared" si="1"/>
        <v>243848.36958879267</v>
      </c>
      <c r="M5" s="10"/>
      <c r="N5" s="10"/>
    </row>
    <row r="6" spans="1:14" ht="15">
      <c r="A6" s="24"/>
      <c r="B6" s="3" t="s">
        <v>6</v>
      </c>
      <c r="C6" s="6">
        <f t="shared" si="0"/>
        <v>5028</v>
      </c>
      <c r="D6" s="32" t="s">
        <v>23</v>
      </c>
      <c r="E6" s="32" t="s">
        <v>23</v>
      </c>
      <c r="F6" s="32" t="s">
        <v>23</v>
      </c>
      <c r="G6" s="32" t="s">
        <v>23</v>
      </c>
      <c r="H6" s="32" t="s">
        <v>23</v>
      </c>
      <c r="I6" s="32" t="s">
        <v>23</v>
      </c>
      <c r="J6" s="32" t="s">
        <v>23</v>
      </c>
      <c r="K6" s="13">
        <f t="shared" si="1"/>
        <v>671816.6421642593</v>
      </c>
      <c r="M6" s="10"/>
      <c r="N6" s="10"/>
    </row>
    <row r="7" spans="1:14" ht="15">
      <c r="A7" s="24"/>
      <c r="B7" s="3" t="s">
        <v>8</v>
      </c>
      <c r="C7" s="6">
        <f t="shared" si="0"/>
        <v>310</v>
      </c>
      <c r="D7" s="32" t="s">
        <v>23</v>
      </c>
      <c r="E7" s="32" t="s">
        <v>23</v>
      </c>
      <c r="F7" s="32" t="s">
        <v>23</v>
      </c>
      <c r="G7" s="32" t="s">
        <v>23</v>
      </c>
      <c r="H7" s="32" t="s">
        <v>23</v>
      </c>
      <c r="I7" s="32" t="s">
        <v>23</v>
      </c>
      <c r="J7" s="32" t="s">
        <v>23</v>
      </c>
      <c r="K7" s="13">
        <f t="shared" si="1"/>
        <v>31642.098525129404</v>
      </c>
      <c r="M7" s="10"/>
      <c r="N7" s="10"/>
    </row>
    <row r="8" spans="1:14" ht="15">
      <c r="A8" s="24"/>
      <c r="B8" s="3" t="s">
        <v>9</v>
      </c>
      <c r="C8" s="6">
        <f t="shared" si="0"/>
        <v>460</v>
      </c>
      <c r="D8" s="32" t="s">
        <v>23</v>
      </c>
      <c r="E8" s="32" t="s">
        <v>23</v>
      </c>
      <c r="F8" s="32" t="s">
        <v>23</v>
      </c>
      <c r="G8" s="32" t="s">
        <v>23</v>
      </c>
      <c r="H8" s="32" t="s">
        <v>23</v>
      </c>
      <c r="I8" s="32" t="s">
        <v>23</v>
      </c>
      <c r="J8" s="32" t="s">
        <v>23</v>
      </c>
      <c r="K8" s="13">
        <f t="shared" si="1"/>
        <v>58967.37814104023</v>
      </c>
      <c r="M8" s="10"/>
      <c r="N8" s="10"/>
    </row>
    <row r="9" spans="1:14" ht="15">
      <c r="A9" s="24"/>
      <c r="B9" s="3" t="s">
        <v>10</v>
      </c>
      <c r="C9" s="6">
        <f t="shared" si="0"/>
        <v>3815</v>
      </c>
      <c r="D9" s="32" t="s">
        <v>23</v>
      </c>
      <c r="E9" s="32" t="s">
        <v>23</v>
      </c>
      <c r="F9" s="32" t="s">
        <v>23</v>
      </c>
      <c r="G9" s="32" t="s">
        <v>23</v>
      </c>
      <c r="H9" s="32" t="s">
        <v>23</v>
      </c>
      <c r="I9" s="32" t="s">
        <v>23</v>
      </c>
      <c r="J9" s="32" t="s">
        <v>23</v>
      </c>
      <c r="K9" s="13">
        <f t="shared" si="1"/>
        <v>401818.7342385532</v>
      </c>
      <c r="M9" s="10"/>
      <c r="N9" s="10"/>
    </row>
    <row r="10" spans="1:14" ht="15">
      <c r="A10" s="24"/>
      <c r="B10" s="3" t="s">
        <v>11</v>
      </c>
      <c r="C10" s="6">
        <f t="shared" si="0"/>
        <v>1995</v>
      </c>
      <c r="D10" s="32" t="s">
        <v>23</v>
      </c>
      <c r="E10" s="32" t="s">
        <v>23</v>
      </c>
      <c r="F10" s="32" t="s">
        <v>23</v>
      </c>
      <c r="G10" s="32" t="s">
        <v>23</v>
      </c>
      <c r="H10" s="32" t="s">
        <v>23</v>
      </c>
      <c r="I10" s="32" t="s">
        <v>23</v>
      </c>
      <c r="J10" s="32" t="s">
        <v>23</v>
      </c>
      <c r="K10" s="13">
        <f t="shared" si="1"/>
        <v>106826.65071884103</v>
      </c>
      <c r="M10" s="10"/>
      <c r="N10" s="10"/>
    </row>
    <row r="11" spans="1:14" ht="15">
      <c r="A11" s="24"/>
      <c r="B11" s="3" t="s">
        <v>12</v>
      </c>
      <c r="C11" s="6">
        <f t="shared" si="0"/>
        <v>790</v>
      </c>
      <c r="D11" s="32" t="s">
        <v>23</v>
      </c>
      <c r="E11" s="32" t="s">
        <v>23</v>
      </c>
      <c r="F11" s="32" t="s">
        <v>23</v>
      </c>
      <c r="G11" s="32" t="s">
        <v>23</v>
      </c>
      <c r="H11" s="32" t="s">
        <v>23</v>
      </c>
      <c r="I11" s="32" t="s">
        <v>23</v>
      </c>
      <c r="J11" s="32" t="s">
        <v>23</v>
      </c>
      <c r="K11" s="13">
        <f t="shared" si="1"/>
        <v>96319.15034899836</v>
      </c>
      <c r="M11" s="10"/>
      <c r="N11" s="10"/>
    </row>
    <row r="12" spans="1:14" ht="17.25">
      <c r="A12" s="24"/>
      <c r="B12" s="3" t="s">
        <v>13</v>
      </c>
      <c r="C12" s="9">
        <f t="shared" si="0"/>
        <v>2202</v>
      </c>
      <c r="D12" s="32" t="s">
        <v>23</v>
      </c>
      <c r="E12" s="32" t="s">
        <v>23</v>
      </c>
      <c r="F12" s="32" t="s">
        <v>23</v>
      </c>
      <c r="G12" s="32" t="s">
        <v>23</v>
      </c>
      <c r="H12" s="32" t="s">
        <v>23</v>
      </c>
      <c r="I12" s="32" t="s">
        <v>23</v>
      </c>
      <c r="J12" s="32" t="s">
        <v>23</v>
      </c>
      <c r="K12" s="13">
        <f t="shared" si="1"/>
        <v>565815.978516096</v>
      </c>
      <c r="M12" s="10"/>
      <c r="N12" s="10"/>
    </row>
    <row r="13" spans="1:16" ht="15.75" thickBot="1">
      <c r="A13" s="25"/>
      <c r="B13" s="4" t="s">
        <v>48</v>
      </c>
      <c r="C13" s="31">
        <f>SUM(C4:C12)</f>
        <v>22816</v>
      </c>
      <c r="D13" s="18"/>
      <c r="E13" s="7"/>
      <c r="F13" s="18"/>
      <c r="G13" s="18"/>
      <c r="H13" s="18"/>
      <c r="I13" s="18"/>
      <c r="J13" s="7"/>
      <c r="K13" s="29">
        <f>SUM(K4:K12)</f>
        <v>3093220.2830614224</v>
      </c>
      <c r="P13" s="11"/>
    </row>
    <row r="14" spans="1:11" ht="15.75" thickTop="1">
      <c r="A14" s="25"/>
      <c r="B14" s="4" t="s">
        <v>116</v>
      </c>
      <c r="C14" s="2"/>
      <c r="D14" s="20"/>
      <c r="E14" s="2"/>
      <c r="F14" s="20"/>
      <c r="G14" s="20"/>
      <c r="H14" s="20"/>
      <c r="I14" s="20"/>
      <c r="J14" s="2"/>
      <c r="K14" s="15"/>
    </row>
    <row r="15" spans="1:14" ht="15">
      <c r="A15" s="24"/>
      <c r="B15" s="3" t="s">
        <v>5</v>
      </c>
      <c r="C15" s="6">
        <v>2000</v>
      </c>
      <c r="D15" s="17">
        <v>79.86</v>
      </c>
      <c r="E15" s="17">
        <f aca="true" t="shared" si="2" ref="E15:E23">D15*0.36</f>
        <v>28.749599999999997</v>
      </c>
      <c r="F15" s="17">
        <f aca="true" t="shared" si="3" ref="F15:F23">(D15+E15)*0.269</f>
        <v>29.2159824</v>
      </c>
      <c r="G15" s="17">
        <f aca="true" t="shared" si="4" ref="G15:G23">(D15+E15+F15)*0.12</f>
        <v>16.539069888</v>
      </c>
      <c r="H15" s="17">
        <f aca="true" t="shared" si="5" ref="H15:H23">D15+E15+F15+G15</f>
        <v>154.364652288</v>
      </c>
      <c r="I15" s="17">
        <f aca="true" t="shared" si="6" ref="I15:I23">(H15-G15)*0.07</f>
        <v>9.647790768000002</v>
      </c>
      <c r="J15" s="17">
        <f aca="true" t="shared" si="7" ref="J15:J23">D15+E15+F15+G15+I15</f>
        <v>164.012443056</v>
      </c>
      <c r="K15" s="13">
        <f aca="true" t="shared" si="8" ref="K15:K23">C15*J15</f>
        <v>328024.886112</v>
      </c>
      <c r="M15" s="10"/>
      <c r="N15" s="10"/>
    </row>
    <row r="16" spans="1:14" ht="15">
      <c r="A16" s="24"/>
      <c r="B16" s="3" t="s">
        <v>7</v>
      </c>
      <c r="C16" s="6">
        <v>898</v>
      </c>
      <c r="D16" s="17">
        <v>53.5</v>
      </c>
      <c r="E16" s="17">
        <f t="shared" si="2"/>
        <v>19.259999999999998</v>
      </c>
      <c r="F16" s="17">
        <f t="shared" si="3"/>
        <v>19.57244</v>
      </c>
      <c r="G16" s="17">
        <f t="shared" si="4"/>
        <v>11.079892799999998</v>
      </c>
      <c r="H16" s="17">
        <f t="shared" si="5"/>
        <v>103.41233279999999</v>
      </c>
      <c r="I16" s="17">
        <f t="shared" si="6"/>
        <v>6.4632708</v>
      </c>
      <c r="J16" s="17">
        <f t="shared" si="7"/>
        <v>109.87560359999999</v>
      </c>
      <c r="K16" s="13">
        <f t="shared" si="8"/>
        <v>98668.29203279999</v>
      </c>
      <c r="M16" s="10"/>
      <c r="N16" s="10"/>
    </row>
    <row r="17" spans="1:14" ht="15">
      <c r="A17" s="24"/>
      <c r="B17" s="3" t="s">
        <v>6</v>
      </c>
      <c r="C17" s="6">
        <v>1884</v>
      </c>
      <c r="D17" s="17">
        <v>64.95</v>
      </c>
      <c r="E17" s="17">
        <f t="shared" si="2"/>
        <v>23.382</v>
      </c>
      <c r="F17" s="17">
        <f t="shared" si="3"/>
        <v>23.761308000000003</v>
      </c>
      <c r="G17" s="17">
        <f t="shared" si="4"/>
        <v>13.45119696</v>
      </c>
      <c r="H17" s="17">
        <f t="shared" si="5"/>
        <v>125.54450496000001</v>
      </c>
      <c r="I17" s="17">
        <f t="shared" si="6"/>
        <v>7.846531560000002</v>
      </c>
      <c r="J17" s="17">
        <f t="shared" si="7"/>
        <v>133.39103652</v>
      </c>
      <c r="K17" s="13">
        <f t="shared" si="8"/>
        <v>251308.71280368</v>
      </c>
      <c r="M17" s="10"/>
      <c r="N17" s="10"/>
    </row>
    <row r="18" spans="1:14" ht="15">
      <c r="A18" s="24"/>
      <c r="B18" s="3" t="s">
        <v>8</v>
      </c>
      <c r="C18" s="6">
        <v>130</v>
      </c>
      <c r="D18" s="17">
        <v>49.63</v>
      </c>
      <c r="E18" s="17">
        <f t="shared" si="2"/>
        <v>17.8668</v>
      </c>
      <c r="F18" s="17">
        <f t="shared" si="3"/>
        <v>18.156639200000004</v>
      </c>
      <c r="G18" s="17">
        <f t="shared" si="4"/>
        <v>10.278412704</v>
      </c>
      <c r="H18" s="17">
        <f t="shared" si="5"/>
        <v>95.93185190400001</v>
      </c>
      <c r="I18" s="17">
        <f t="shared" si="6"/>
        <v>5.995740744000001</v>
      </c>
      <c r="J18" s="17">
        <f t="shared" si="7"/>
        <v>101.92759264800002</v>
      </c>
      <c r="K18" s="13">
        <f t="shared" si="8"/>
        <v>13250.587044240003</v>
      </c>
      <c r="M18" s="10"/>
      <c r="N18" s="10"/>
    </row>
    <row r="19" spans="1:14" ht="15">
      <c r="A19" s="24"/>
      <c r="B19" s="3" t="s">
        <v>9</v>
      </c>
      <c r="C19" s="6">
        <v>230</v>
      </c>
      <c r="D19" s="17">
        <v>62.36</v>
      </c>
      <c r="E19" s="17">
        <f t="shared" si="2"/>
        <v>22.4496</v>
      </c>
      <c r="F19" s="17">
        <f t="shared" si="3"/>
        <v>22.8137824</v>
      </c>
      <c r="G19" s="17">
        <f t="shared" si="4"/>
        <v>12.914805887999998</v>
      </c>
      <c r="H19" s="17">
        <f t="shared" si="5"/>
        <v>120.538188288</v>
      </c>
      <c r="I19" s="17">
        <f t="shared" si="6"/>
        <v>7.533636768000001</v>
      </c>
      <c r="J19" s="17">
        <f t="shared" si="7"/>
        <v>128.071825056</v>
      </c>
      <c r="K19" s="13">
        <f t="shared" si="8"/>
        <v>29456.519762879998</v>
      </c>
      <c r="M19" s="10"/>
      <c r="N19" s="10"/>
    </row>
    <row r="20" spans="1:14" ht="15">
      <c r="A20" s="24"/>
      <c r="B20" s="3" t="s">
        <v>10</v>
      </c>
      <c r="C20" s="6">
        <v>1445</v>
      </c>
      <c r="D20" s="17">
        <v>51.2</v>
      </c>
      <c r="E20" s="17">
        <f t="shared" si="2"/>
        <v>18.432</v>
      </c>
      <c r="F20" s="17">
        <f t="shared" si="3"/>
        <v>18.731008000000003</v>
      </c>
      <c r="G20" s="17">
        <f t="shared" si="4"/>
        <v>10.603560960000001</v>
      </c>
      <c r="H20" s="17">
        <f t="shared" si="5"/>
        <v>98.96656896</v>
      </c>
      <c r="I20" s="17">
        <f t="shared" si="6"/>
        <v>6.185410560000001</v>
      </c>
      <c r="J20" s="17">
        <f t="shared" si="7"/>
        <v>105.15197952</v>
      </c>
      <c r="K20" s="13">
        <f t="shared" si="8"/>
        <v>151944.6104064</v>
      </c>
      <c r="M20" s="10"/>
      <c r="N20" s="10"/>
    </row>
    <row r="21" spans="1:14" ht="15">
      <c r="A21" s="24"/>
      <c r="B21" s="3" t="s">
        <v>11</v>
      </c>
      <c r="C21" s="6">
        <v>885</v>
      </c>
      <c r="D21" s="17">
        <v>26.04</v>
      </c>
      <c r="E21" s="17">
        <f t="shared" si="2"/>
        <v>9.3744</v>
      </c>
      <c r="F21" s="17">
        <f t="shared" si="3"/>
        <v>9.526473600000001</v>
      </c>
      <c r="G21" s="17">
        <f t="shared" si="4"/>
        <v>5.392904832</v>
      </c>
      <c r="H21" s="17">
        <f t="shared" si="5"/>
        <v>50.333778432</v>
      </c>
      <c r="I21" s="17">
        <f t="shared" si="6"/>
        <v>3.1458611520000006</v>
      </c>
      <c r="J21" s="17">
        <f t="shared" si="7"/>
        <v>53.479639584000005</v>
      </c>
      <c r="K21" s="13">
        <f t="shared" si="8"/>
        <v>47329.481031840005</v>
      </c>
      <c r="M21" s="10"/>
      <c r="N21" s="10"/>
    </row>
    <row r="22" spans="1:14" ht="15">
      <c r="A22" s="24"/>
      <c r="B22" s="3" t="s">
        <v>12</v>
      </c>
      <c r="C22" s="6">
        <v>370</v>
      </c>
      <c r="D22" s="17">
        <v>59.3</v>
      </c>
      <c r="E22" s="17">
        <f t="shared" si="2"/>
        <v>21.348</v>
      </c>
      <c r="F22" s="17">
        <f t="shared" si="3"/>
        <v>21.694312</v>
      </c>
      <c r="G22" s="17">
        <f t="shared" si="4"/>
        <v>12.281077439999999</v>
      </c>
      <c r="H22" s="17">
        <f t="shared" si="5"/>
        <v>114.62338944</v>
      </c>
      <c r="I22" s="17">
        <f t="shared" si="6"/>
        <v>7.16396184</v>
      </c>
      <c r="J22" s="17">
        <f t="shared" si="7"/>
        <v>121.78735128</v>
      </c>
      <c r="K22" s="13">
        <f t="shared" si="8"/>
        <v>45061.319973599995</v>
      </c>
      <c r="M22" s="10"/>
      <c r="N22" s="10"/>
    </row>
    <row r="23" spans="1:14" ht="17.25">
      <c r="A23" s="24"/>
      <c r="B23" s="3" t="s">
        <v>13</v>
      </c>
      <c r="C23" s="9">
        <v>1101</v>
      </c>
      <c r="D23" s="17">
        <v>125</v>
      </c>
      <c r="E23" s="17">
        <f t="shared" si="2"/>
        <v>45</v>
      </c>
      <c r="F23" s="17">
        <f t="shared" si="3"/>
        <v>45.730000000000004</v>
      </c>
      <c r="G23" s="17">
        <f t="shared" si="4"/>
        <v>25.887600000000003</v>
      </c>
      <c r="H23" s="17">
        <f t="shared" si="5"/>
        <v>241.6176</v>
      </c>
      <c r="I23" s="17">
        <f t="shared" si="6"/>
        <v>15.101100000000002</v>
      </c>
      <c r="J23" s="17">
        <f t="shared" si="7"/>
        <v>256.7187</v>
      </c>
      <c r="K23" s="28">
        <f t="shared" si="8"/>
        <v>282647.28870000003</v>
      </c>
      <c r="M23" s="10"/>
      <c r="N23" s="10"/>
    </row>
    <row r="24" spans="1:16" ht="15.75" thickBot="1">
      <c r="A24" s="25"/>
      <c r="B24" s="4" t="s">
        <v>49</v>
      </c>
      <c r="C24" s="31">
        <f>SUM(C15:C23)</f>
        <v>8943</v>
      </c>
      <c r="D24" s="18"/>
      <c r="E24" s="7"/>
      <c r="F24" s="18"/>
      <c r="G24" s="18"/>
      <c r="H24" s="18"/>
      <c r="I24" s="18"/>
      <c r="J24" s="7"/>
      <c r="K24" s="29">
        <f>SUM(K15:K23)</f>
        <v>1247691.69786744</v>
      </c>
      <c r="P24" s="11"/>
    </row>
    <row r="25" spans="1:16" ht="15.75" thickTop="1">
      <c r="A25" s="25"/>
      <c r="B25" s="4" t="s">
        <v>114</v>
      </c>
      <c r="C25" s="58"/>
      <c r="D25" s="18"/>
      <c r="E25" s="7"/>
      <c r="F25" s="18"/>
      <c r="G25" s="18"/>
      <c r="H25" s="18"/>
      <c r="I25" s="18"/>
      <c r="J25" s="7"/>
      <c r="K25" s="14"/>
      <c r="P25" s="11"/>
    </row>
    <row r="26" spans="1:14" ht="15">
      <c r="A26" s="24"/>
      <c r="B26" s="3" t="s">
        <v>5</v>
      </c>
      <c r="C26" s="6">
        <v>2000</v>
      </c>
      <c r="D26" s="17">
        <f>79.86</f>
        <v>79.86</v>
      </c>
      <c r="E26" s="17">
        <f aca="true" t="shared" si="9" ref="E26:E34">D26*0.36</f>
        <v>28.749599999999997</v>
      </c>
      <c r="F26" s="17">
        <f aca="true" t="shared" si="10" ref="F26:F34">(D26+E26)*0.269</f>
        <v>29.2159824</v>
      </c>
      <c r="G26" s="17">
        <f aca="true" t="shared" si="11" ref="G26:G34">(D26+E26+F26)*0.12</f>
        <v>16.539069888</v>
      </c>
      <c r="H26" s="17">
        <f aca="true" t="shared" si="12" ref="H26:H34">(D26+E26+F26+G26)*1.028</f>
        <v>158.686862552064</v>
      </c>
      <c r="I26" s="17">
        <f aca="true" t="shared" si="13" ref="I26:I34">(H26-G26)*0.07</f>
        <v>9.950345486484482</v>
      </c>
      <c r="J26" s="17">
        <f aca="true" t="shared" si="14" ref="J26:J34">D26+E26+F26+G26+I26</f>
        <v>164.31499777448448</v>
      </c>
      <c r="K26" s="13">
        <f aca="true" t="shared" si="15" ref="K26:K34">C26*J26</f>
        <v>328629.99554896896</v>
      </c>
      <c r="M26" s="10"/>
      <c r="N26" s="10"/>
    </row>
    <row r="27" spans="1:14" ht="15">
      <c r="A27" s="24"/>
      <c r="B27" s="3" t="s">
        <v>7</v>
      </c>
      <c r="C27" s="6">
        <v>898</v>
      </c>
      <c r="D27" s="17">
        <v>53.5</v>
      </c>
      <c r="E27" s="17">
        <f t="shared" si="9"/>
        <v>19.259999999999998</v>
      </c>
      <c r="F27" s="17">
        <f t="shared" si="10"/>
        <v>19.57244</v>
      </c>
      <c r="G27" s="17">
        <f t="shared" si="11"/>
        <v>11.079892799999998</v>
      </c>
      <c r="H27" s="17">
        <f t="shared" si="12"/>
        <v>106.30787811839998</v>
      </c>
      <c r="I27" s="17">
        <f t="shared" si="13"/>
        <v>6.665958972288</v>
      </c>
      <c r="J27" s="17">
        <f t="shared" si="14"/>
        <v>110.07829177228798</v>
      </c>
      <c r="K27" s="13">
        <f t="shared" si="15"/>
        <v>98850.3060115146</v>
      </c>
      <c r="M27" s="10"/>
      <c r="N27" s="10"/>
    </row>
    <row r="28" spans="1:14" ht="15">
      <c r="A28" s="24"/>
      <c r="B28" s="3" t="s">
        <v>6</v>
      </c>
      <c r="C28" s="6">
        <v>1884</v>
      </c>
      <c r="D28" s="17">
        <v>64.95</v>
      </c>
      <c r="E28" s="17">
        <f t="shared" si="9"/>
        <v>23.382</v>
      </c>
      <c r="F28" s="17">
        <f t="shared" si="10"/>
        <v>23.761308000000003</v>
      </c>
      <c r="G28" s="17">
        <f t="shared" si="11"/>
        <v>13.45119696</v>
      </c>
      <c r="H28" s="17">
        <f t="shared" si="12"/>
        <v>129.05975109888</v>
      </c>
      <c r="I28" s="17">
        <f t="shared" si="13"/>
        <v>8.0925987897216</v>
      </c>
      <c r="J28" s="17">
        <f t="shared" si="14"/>
        <v>133.6371037497216</v>
      </c>
      <c r="K28" s="13">
        <f t="shared" si="15"/>
        <v>251772.3034644755</v>
      </c>
      <c r="M28" s="10"/>
      <c r="N28" s="10"/>
    </row>
    <row r="29" spans="1:14" ht="15">
      <c r="A29" s="24"/>
      <c r="B29" s="3" t="s">
        <v>8</v>
      </c>
      <c r="C29" s="6">
        <v>130</v>
      </c>
      <c r="D29" s="17">
        <v>49.63</v>
      </c>
      <c r="E29" s="17">
        <f t="shared" si="9"/>
        <v>17.8668</v>
      </c>
      <c r="F29" s="17">
        <f t="shared" si="10"/>
        <v>18.156639200000004</v>
      </c>
      <c r="G29" s="17">
        <f t="shared" si="11"/>
        <v>10.278412704</v>
      </c>
      <c r="H29" s="17">
        <f t="shared" si="12"/>
        <v>98.61794375731202</v>
      </c>
      <c r="I29" s="17">
        <f t="shared" si="13"/>
        <v>6.183767173731842</v>
      </c>
      <c r="J29" s="17">
        <f t="shared" si="14"/>
        <v>102.11561907773185</v>
      </c>
      <c r="K29" s="13">
        <f t="shared" si="15"/>
        <v>13275.03048010514</v>
      </c>
      <c r="M29" s="10"/>
      <c r="N29" s="10"/>
    </row>
    <row r="30" spans="1:14" ht="15">
      <c r="A30" s="24"/>
      <c r="B30" s="3" t="s">
        <v>9</v>
      </c>
      <c r="C30" s="6">
        <v>230</v>
      </c>
      <c r="D30" s="17">
        <v>62.36</v>
      </c>
      <c r="E30" s="17">
        <f t="shared" si="9"/>
        <v>22.4496</v>
      </c>
      <c r="F30" s="17">
        <f t="shared" si="10"/>
        <v>22.8137824</v>
      </c>
      <c r="G30" s="17">
        <f t="shared" si="11"/>
        <v>12.914805887999998</v>
      </c>
      <c r="H30" s="17">
        <f t="shared" si="12"/>
        <v>123.913257560064</v>
      </c>
      <c r="I30" s="17">
        <f t="shared" si="13"/>
        <v>7.76989161704448</v>
      </c>
      <c r="J30" s="17">
        <f t="shared" si="14"/>
        <v>128.30807990504448</v>
      </c>
      <c r="K30" s="13">
        <f t="shared" si="15"/>
        <v>29510.858378160232</v>
      </c>
      <c r="M30" s="10"/>
      <c r="N30" s="10"/>
    </row>
    <row r="31" spans="1:14" ht="15">
      <c r="A31" s="24"/>
      <c r="B31" s="3" t="s">
        <v>10</v>
      </c>
      <c r="C31" s="6">
        <v>1445</v>
      </c>
      <c r="D31" s="17">
        <v>51.2</v>
      </c>
      <c r="E31" s="17">
        <f t="shared" si="9"/>
        <v>18.432</v>
      </c>
      <c r="F31" s="17">
        <f t="shared" si="10"/>
        <v>18.731008000000003</v>
      </c>
      <c r="G31" s="17">
        <f t="shared" si="11"/>
        <v>10.603560960000001</v>
      </c>
      <c r="H31" s="17">
        <f t="shared" si="12"/>
        <v>101.73763289088001</v>
      </c>
      <c r="I31" s="17">
        <f t="shared" si="13"/>
        <v>6.379385035161602</v>
      </c>
      <c r="J31" s="17">
        <f t="shared" si="14"/>
        <v>105.34595399516161</v>
      </c>
      <c r="K31" s="13">
        <f t="shared" si="15"/>
        <v>152224.9035230085</v>
      </c>
      <c r="M31" s="10"/>
      <c r="N31" s="10"/>
    </row>
    <row r="32" spans="1:14" ht="15">
      <c r="A32" s="24"/>
      <c r="B32" s="3" t="s">
        <v>11</v>
      </c>
      <c r="C32" s="6">
        <v>885</v>
      </c>
      <c r="D32" s="17">
        <v>26.04</v>
      </c>
      <c r="E32" s="17">
        <f t="shared" si="9"/>
        <v>9.3744</v>
      </c>
      <c r="F32" s="17">
        <f t="shared" si="10"/>
        <v>9.526473600000001</v>
      </c>
      <c r="G32" s="17">
        <f t="shared" si="11"/>
        <v>5.392904832</v>
      </c>
      <c r="H32" s="17">
        <f t="shared" si="12"/>
        <v>51.743124228096</v>
      </c>
      <c r="I32" s="17">
        <f t="shared" si="13"/>
        <v>3.2445153577267205</v>
      </c>
      <c r="J32" s="17">
        <f t="shared" si="14"/>
        <v>53.57829378972672</v>
      </c>
      <c r="K32" s="13">
        <f t="shared" si="15"/>
        <v>47416.79000390815</v>
      </c>
      <c r="M32" s="10"/>
      <c r="N32" s="10"/>
    </row>
    <row r="33" spans="1:14" ht="15">
      <c r="A33" s="24"/>
      <c r="B33" s="3" t="s">
        <v>12</v>
      </c>
      <c r="C33" s="6">
        <v>370</v>
      </c>
      <c r="D33" s="17">
        <v>59.3</v>
      </c>
      <c r="E33" s="17">
        <f t="shared" si="9"/>
        <v>21.348</v>
      </c>
      <c r="F33" s="17">
        <f t="shared" si="10"/>
        <v>21.694312</v>
      </c>
      <c r="G33" s="17">
        <f t="shared" si="11"/>
        <v>12.281077439999999</v>
      </c>
      <c r="H33" s="17">
        <f t="shared" si="12"/>
        <v>117.83284434432</v>
      </c>
      <c r="I33" s="17">
        <f t="shared" si="13"/>
        <v>7.3886236833024</v>
      </c>
      <c r="J33" s="17">
        <f t="shared" si="14"/>
        <v>122.0120131233024</v>
      </c>
      <c r="K33" s="13">
        <f t="shared" si="15"/>
        <v>45144.444855621885</v>
      </c>
      <c r="M33" s="10"/>
      <c r="N33" s="10"/>
    </row>
    <row r="34" spans="1:14" ht="17.25">
      <c r="A34" s="24"/>
      <c r="B34" s="3" t="s">
        <v>13</v>
      </c>
      <c r="C34" s="9">
        <v>1101</v>
      </c>
      <c r="D34" s="17">
        <v>125</v>
      </c>
      <c r="E34" s="17">
        <f t="shared" si="9"/>
        <v>45</v>
      </c>
      <c r="F34" s="17">
        <f t="shared" si="10"/>
        <v>45.730000000000004</v>
      </c>
      <c r="G34" s="17">
        <f t="shared" si="11"/>
        <v>25.887600000000003</v>
      </c>
      <c r="H34" s="17">
        <f t="shared" si="12"/>
        <v>248.3828928</v>
      </c>
      <c r="I34" s="17">
        <f t="shared" si="13"/>
        <v>15.574670496000003</v>
      </c>
      <c r="J34" s="17">
        <f t="shared" si="14"/>
        <v>257.192270496</v>
      </c>
      <c r="K34" s="28">
        <f t="shared" si="15"/>
        <v>283168.689816096</v>
      </c>
      <c r="M34" s="10"/>
      <c r="N34" s="10"/>
    </row>
    <row r="35" spans="1:16" ht="15.75" thickBot="1">
      <c r="A35" s="25"/>
      <c r="B35" s="4" t="s">
        <v>50</v>
      </c>
      <c r="C35" s="31">
        <f>SUM(C26:C34)</f>
        <v>8943</v>
      </c>
      <c r="D35" s="18"/>
      <c r="E35" s="7"/>
      <c r="F35" s="18"/>
      <c r="G35" s="18"/>
      <c r="H35" s="18"/>
      <c r="I35" s="18"/>
      <c r="J35" s="7"/>
      <c r="K35" s="29">
        <f>SUM(K26:K34)</f>
        <v>1249993.322081859</v>
      </c>
      <c r="P35" s="11"/>
    </row>
    <row r="36" spans="1:16" ht="15.75" thickTop="1">
      <c r="A36" s="25"/>
      <c r="B36" s="4" t="s">
        <v>115</v>
      </c>
      <c r="C36" s="58"/>
      <c r="D36" s="18"/>
      <c r="E36" s="7"/>
      <c r="F36" s="18"/>
      <c r="G36" s="18"/>
      <c r="H36" s="18"/>
      <c r="I36" s="18"/>
      <c r="J36" s="7"/>
      <c r="K36" s="14"/>
      <c r="P36" s="11"/>
    </row>
    <row r="37" spans="1:14" ht="15">
      <c r="A37" s="24"/>
      <c r="B37" s="3" t="s">
        <v>5</v>
      </c>
      <c r="C37" s="6">
        <v>2000</v>
      </c>
      <c r="D37" s="17">
        <v>79.86</v>
      </c>
      <c r="E37" s="17">
        <f aca="true" t="shared" si="16" ref="E37:E45">D37*0.36</f>
        <v>28.749599999999997</v>
      </c>
      <c r="F37" s="17"/>
      <c r="G37" s="17">
        <f aca="true" t="shared" si="17" ref="G37:G45">(D37+E37+F37)*0.12</f>
        <v>13.033152</v>
      </c>
      <c r="H37" s="17">
        <f aca="true" t="shared" si="18" ref="H37:H45">((D37+E37+F37+G37)*1.028)*1.031</f>
        <v>128.925260276736</v>
      </c>
      <c r="I37" s="17">
        <f aca="true" t="shared" si="19" ref="I37:I45">(H37-G37)*0.07</f>
        <v>8.112447579371521</v>
      </c>
      <c r="J37" s="17">
        <f aca="true" t="shared" si="20" ref="J37:J45">D37+E37+F37+G37+I37</f>
        <v>129.75519957937152</v>
      </c>
      <c r="K37" s="13">
        <f aca="true" t="shared" si="21" ref="K37:K45">C37*J37</f>
        <v>259510.39915874304</v>
      </c>
      <c r="M37" s="10"/>
      <c r="N37" s="10"/>
    </row>
    <row r="38" spans="1:14" ht="15">
      <c r="A38" s="24"/>
      <c r="B38" s="3" t="s">
        <v>7</v>
      </c>
      <c r="C38" s="6">
        <v>420</v>
      </c>
      <c r="D38" s="17">
        <v>53.5</v>
      </c>
      <c r="E38" s="17">
        <f t="shared" si="16"/>
        <v>19.259999999999998</v>
      </c>
      <c r="F38" s="17">
        <f aca="true" t="shared" si="22" ref="F38:F45">(D38+E38)*0.269</f>
        <v>19.57244</v>
      </c>
      <c r="G38" s="17">
        <f t="shared" si="17"/>
        <v>11.079892799999998</v>
      </c>
      <c r="H38" s="17">
        <f t="shared" si="18"/>
        <v>109.60342234007038</v>
      </c>
      <c r="I38" s="17">
        <f t="shared" si="19"/>
        <v>6.896647067804928</v>
      </c>
      <c r="J38" s="17">
        <f t="shared" si="20"/>
        <v>110.30897986780491</v>
      </c>
      <c r="K38" s="13">
        <f t="shared" si="21"/>
        <v>46329.77154447806</v>
      </c>
      <c r="M38" s="10"/>
      <c r="N38" s="10"/>
    </row>
    <row r="39" spans="1:14" ht="15">
      <c r="A39" s="24"/>
      <c r="B39" s="3" t="s">
        <v>6</v>
      </c>
      <c r="C39" s="6">
        <v>1260</v>
      </c>
      <c r="D39" s="17">
        <v>64.95</v>
      </c>
      <c r="E39" s="17">
        <f t="shared" si="16"/>
        <v>23.382</v>
      </c>
      <c r="F39" s="17">
        <f t="shared" si="22"/>
        <v>23.761308000000003</v>
      </c>
      <c r="G39" s="17">
        <f t="shared" si="17"/>
        <v>13.45119696</v>
      </c>
      <c r="H39" s="17">
        <f t="shared" si="18"/>
        <v>133.0606033829453</v>
      </c>
      <c r="I39" s="17">
        <f t="shared" si="19"/>
        <v>8.37265844960617</v>
      </c>
      <c r="J39" s="17">
        <f t="shared" si="20"/>
        <v>133.9171634096062</v>
      </c>
      <c r="K39" s="13">
        <f t="shared" si="21"/>
        <v>168735.6258961038</v>
      </c>
      <c r="M39" s="10"/>
      <c r="N39" s="10"/>
    </row>
    <row r="40" spans="1:14" ht="15">
      <c r="A40" s="24"/>
      <c r="B40" s="3" t="s">
        <v>8</v>
      </c>
      <c r="C40" s="6">
        <v>50</v>
      </c>
      <c r="D40" s="17">
        <v>49.63</v>
      </c>
      <c r="E40" s="17">
        <f t="shared" si="16"/>
        <v>17.8668</v>
      </c>
      <c r="F40" s="17">
        <f t="shared" si="22"/>
        <v>18.156639200000004</v>
      </c>
      <c r="G40" s="17">
        <f t="shared" si="17"/>
        <v>10.278412704</v>
      </c>
      <c r="H40" s="17">
        <f t="shared" si="18"/>
        <v>101.67510001378868</v>
      </c>
      <c r="I40" s="17">
        <f t="shared" si="19"/>
        <v>6.397768111685208</v>
      </c>
      <c r="J40" s="17">
        <f t="shared" si="20"/>
        <v>102.32962001568522</v>
      </c>
      <c r="K40" s="13">
        <f t="shared" si="21"/>
        <v>5116.481000784261</v>
      </c>
      <c r="M40" s="10"/>
      <c r="N40" s="10"/>
    </row>
    <row r="41" spans="1:14" ht="15">
      <c r="A41" s="24"/>
      <c r="B41" s="3" t="s">
        <v>9</v>
      </c>
      <c r="C41" s="6">
        <v>0</v>
      </c>
      <c r="D41" s="17">
        <v>62.36</v>
      </c>
      <c r="E41" s="17">
        <f t="shared" si="16"/>
        <v>22.4496</v>
      </c>
      <c r="F41" s="17">
        <f t="shared" si="22"/>
        <v>22.8137824</v>
      </c>
      <c r="G41" s="17">
        <f t="shared" si="17"/>
        <v>12.914805887999998</v>
      </c>
      <c r="H41" s="17">
        <f t="shared" si="18"/>
        <v>127.75456854442596</v>
      </c>
      <c r="I41" s="17">
        <f t="shared" si="19"/>
        <v>8.038783385949818</v>
      </c>
      <c r="J41" s="17">
        <f t="shared" si="20"/>
        <v>128.57697167394983</v>
      </c>
      <c r="K41" s="13">
        <f t="shared" si="21"/>
        <v>0</v>
      </c>
      <c r="M41" s="10"/>
      <c r="N41" s="10"/>
    </row>
    <row r="42" spans="1:14" ht="15">
      <c r="A42" s="24"/>
      <c r="B42" s="3" t="s">
        <v>10</v>
      </c>
      <c r="C42" s="6">
        <v>925</v>
      </c>
      <c r="D42" s="17">
        <v>51.2</v>
      </c>
      <c r="E42" s="17">
        <f t="shared" si="16"/>
        <v>18.432</v>
      </c>
      <c r="F42" s="17">
        <f t="shared" si="22"/>
        <v>18.731008000000003</v>
      </c>
      <c r="G42" s="17">
        <f t="shared" si="17"/>
        <v>10.603560960000001</v>
      </c>
      <c r="H42" s="17">
        <f t="shared" si="18"/>
        <v>104.89149951049728</v>
      </c>
      <c r="I42" s="17">
        <f t="shared" si="19"/>
        <v>6.60015569853481</v>
      </c>
      <c r="J42" s="17">
        <f t="shared" si="20"/>
        <v>105.56672465853481</v>
      </c>
      <c r="K42" s="13">
        <f t="shared" si="21"/>
        <v>97649.2203091447</v>
      </c>
      <c r="M42" s="10"/>
      <c r="N42" s="10"/>
    </row>
    <row r="43" spans="1:14" ht="15">
      <c r="A43" s="24"/>
      <c r="B43" s="3" t="s">
        <v>11</v>
      </c>
      <c r="C43" s="6">
        <v>225</v>
      </c>
      <c r="D43" s="17">
        <v>26.04</v>
      </c>
      <c r="E43" s="17">
        <f t="shared" si="16"/>
        <v>9.3744</v>
      </c>
      <c r="F43" s="17">
        <f t="shared" si="22"/>
        <v>9.526473600000001</v>
      </c>
      <c r="G43" s="17">
        <f t="shared" si="17"/>
        <v>5.392904832</v>
      </c>
      <c r="H43" s="17">
        <f t="shared" si="18"/>
        <v>53.34716107916697</v>
      </c>
      <c r="I43" s="17">
        <f t="shared" si="19"/>
        <v>3.3567979373016885</v>
      </c>
      <c r="J43" s="17">
        <f t="shared" si="20"/>
        <v>53.69057636930169</v>
      </c>
      <c r="K43" s="13">
        <f t="shared" si="21"/>
        <v>12080.37968309288</v>
      </c>
      <c r="M43" s="10"/>
      <c r="N43" s="10"/>
    </row>
    <row r="44" spans="1:14" ht="15">
      <c r="A44" s="24"/>
      <c r="B44" s="3" t="s">
        <v>12</v>
      </c>
      <c r="C44" s="6">
        <v>50</v>
      </c>
      <c r="D44" s="17">
        <v>59.3</v>
      </c>
      <c r="E44" s="17">
        <f t="shared" si="16"/>
        <v>21.348</v>
      </c>
      <c r="F44" s="17">
        <f t="shared" si="22"/>
        <v>21.694312</v>
      </c>
      <c r="G44" s="17">
        <f t="shared" si="17"/>
        <v>12.281077439999999</v>
      </c>
      <c r="H44" s="17">
        <f t="shared" si="18"/>
        <v>121.4856625189939</v>
      </c>
      <c r="I44" s="17">
        <f t="shared" si="19"/>
        <v>7.644320955529574</v>
      </c>
      <c r="J44" s="17">
        <f t="shared" si="20"/>
        <v>122.26771039552958</v>
      </c>
      <c r="K44" s="13">
        <f t="shared" si="21"/>
        <v>6113.385519776479</v>
      </c>
      <c r="M44" s="10"/>
      <c r="N44" s="10"/>
    </row>
    <row r="45" spans="1:14" ht="17.25">
      <c r="A45" s="24"/>
      <c r="B45" s="3" t="s">
        <v>13</v>
      </c>
      <c r="C45" s="9">
        <v>0</v>
      </c>
      <c r="D45" s="17">
        <v>125</v>
      </c>
      <c r="E45" s="17">
        <f t="shared" si="16"/>
        <v>45</v>
      </c>
      <c r="F45" s="17">
        <f t="shared" si="22"/>
        <v>45.730000000000004</v>
      </c>
      <c r="G45" s="17">
        <f t="shared" si="17"/>
        <v>25.887600000000003</v>
      </c>
      <c r="H45" s="17">
        <f t="shared" si="18"/>
        <v>256.0827624768</v>
      </c>
      <c r="I45" s="17">
        <f t="shared" si="19"/>
        <v>16.113661373376</v>
      </c>
      <c r="J45" s="17">
        <f t="shared" si="20"/>
        <v>257.731261373376</v>
      </c>
      <c r="K45" s="28">
        <f t="shared" si="21"/>
        <v>0</v>
      </c>
      <c r="M45" s="10"/>
      <c r="N45" s="10"/>
    </row>
    <row r="46" spans="1:16" ht="15.75" thickBot="1">
      <c r="A46" s="25"/>
      <c r="B46" s="4" t="s">
        <v>51</v>
      </c>
      <c r="C46" s="31">
        <f>SUM(C37:C45)</f>
        <v>4930</v>
      </c>
      <c r="D46" s="18"/>
      <c r="E46" s="7"/>
      <c r="F46" s="18"/>
      <c r="G46" s="18"/>
      <c r="H46" s="18"/>
      <c r="I46" s="18"/>
      <c r="J46" s="7"/>
      <c r="K46" s="29">
        <f>SUM(K37:K45)</f>
        <v>595535.2631121234</v>
      </c>
      <c r="P46" s="11"/>
    </row>
    <row r="47" ht="15" thickTop="1">
      <c r="A47" s="23" t="s">
        <v>25</v>
      </c>
    </row>
    <row r="48" ht="14.25">
      <c r="A48" s="23"/>
    </row>
    <row r="49" ht="15">
      <c r="A49" s="25" t="s">
        <v>38</v>
      </c>
    </row>
    <row r="50" ht="15">
      <c r="A50" s="25" t="s">
        <v>39</v>
      </c>
    </row>
    <row r="51" ht="15">
      <c r="A51" s="25" t="s">
        <v>40</v>
      </c>
    </row>
    <row r="52" ht="15">
      <c r="A52" s="25" t="s">
        <v>47</v>
      </c>
    </row>
    <row r="53" ht="15">
      <c r="A53" s="25" t="s">
        <v>41</v>
      </c>
    </row>
    <row r="54" ht="15">
      <c r="A54" s="25" t="s">
        <v>120</v>
      </c>
    </row>
    <row r="55" ht="15">
      <c r="A55" s="25" t="s">
        <v>42</v>
      </c>
    </row>
  </sheetData>
  <printOptions horizontalCentered="1"/>
  <pageMargins left="0.25" right="0.25" top="1.25" bottom="1" header="0.5" footer="0.5"/>
  <pageSetup fitToHeight="4" horizontalDpi="600" verticalDpi="600" orientation="landscape" pageOrder="overThenDown" paperSize="5" r:id="rId1"/>
  <headerFooter alignWithMargins="0">
    <oddHeader>&amp;L&amp;"Times New Roman,Regular"&amp;11Prepared by George Washington, ATO-X
Tel. (202) 555-1987
Dated prepared: June 15, 2017&amp;C&amp;"Times New Roman,Regular"&amp;11Independent Government Cost Estimate for the XYZ Acquisition&amp;R&amp;"Times New Roman,Regular"&amp;11L-H Format</oddHeader>
    <oddFooter>&amp;C&amp;"Times New Roman,Regular"&amp;11Page &amp;P of &amp;N</oddFooter>
  </headerFooter>
  <rowBreaks count="4" manualBreakCount="4">
    <brk id="13" max="255" man="1"/>
    <brk id="24" max="255" man="1"/>
    <brk id="35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LaCivita</dc:creator>
  <cp:keywords/>
  <dc:description/>
  <cp:lastModifiedBy>dlankfor</cp:lastModifiedBy>
  <cp:lastPrinted>2007-06-06T20:19:20Z</cp:lastPrinted>
  <dcterms:created xsi:type="dcterms:W3CDTF">1999-12-30T17:15:12Z</dcterms:created>
  <dcterms:modified xsi:type="dcterms:W3CDTF">2007-08-08T17:05:23Z</dcterms:modified>
  <cp:category/>
  <cp:version/>
  <cp:contentType/>
  <cp:contentStatus/>
</cp:coreProperties>
</file>