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5480" windowHeight="10830" activeTab="4"/>
  </bookViews>
  <sheets>
    <sheet name="1_2_2" sheetId="1" r:id="rId1"/>
    <sheet name="Materials" sheetId="2" r:id="rId2"/>
    <sheet name="Labour" sheetId="3" r:id="rId3"/>
    <sheet name="Notes" sheetId="4" r:id="rId4"/>
    <sheet name="Contingency" sheetId="5" r:id="rId5"/>
  </sheets>
  <definedNames/>
  <calcPr fullCalcOnLoad="1"/>
</workbook>
</file>

<file path=xl/comments2.xml><?xml version="1.0" encoding="utf-8"?>
<comments xmlns="http://schemas.openxmlformats.org/spreadsheetml/2006/main">
  <authors>
    <author>khan</author>
  </authors>
  <commentList>
    <comment ref="F11" authorId="0">
      <text>
        <r>
          <rPr>
            <b/>
            <sz val="8"/>
            <rFont val="Tahoma"/>
            <family val="0"/>
          </rPr>
          <t>khan:</t>
        </r>
        <r>
          <rPr>
            <sz val="8"/>
            <rFont val="Tahoma"/>
            <family val="0"/>
          </rPr>
          <t xml:space="preserve">
us$20,000</t>
        </r>
      </text>
    </comment>
    <comment ref="G12" authorId="0">
      <text>
        <r>
          <rPr>
            <b/>
            <sz val="8"/>
            <rFont val="Tahoma"/>
            <family val="0"/>
          </rPr>
          <t>khan:</t>
        </r>
        <r>
          <rPr>
            <sz val="8"/>
            <rFont val="Tahoma"/>
            <family val="0"/>
          </rPr>
          <t xml:space="preserve">
US$ 172.50</t>
        </r>
      </text>
    </comment>
    <comment ref="F16" authorId="0">
      <text>
        <r>
          <rPr>
            <b/>
            <sz val="8"/>
            <rFont val="Tahoma"/>
            <family val="0"/>
          </rPr>
          <t>khan:</t>
        </r>
        <r>
          <rPr>
            <sz val="8"/>
            <rFont val="Tahoma"/>
            <family val="0"/>
          </rPr>
          <t xml:space="preserve">
us$25,280</t>
        </r>
      </text>
    </comment>
    <comment ref="F22" authorId="0">
      <text>
        <r>
          <rPr>
            <b/>
            <sz val="8"/>
            <rFont val="Tahoma"/>
            <family val="0"/>
          </rPr>
          <t>khan:</t>
        </r>
        <r>
          <rPr>
            <sz val="8"/>
            <rFont val="Tahoma"/>
            <family val="0"/>
          </rPr>
          <t xml:space="preserve">
us$14,000</t>
        </r>
      </text>
    </comment>
    <comment ref="F23" authorId="0">
      <text>
        <r>
          <rPr>
            <b/>
            <sz val="8"/>
            <rFont val="Tahoma"/>
            <family val="0"/>
          </rPr>
          <t>khan:</t>
        </r>
        <r>
          <rPr>
            <sz val="8"/>
            <rFont val="Tahoma"/>
            <family val="0"/>
          </rPr>
          <t xml:space="preserve">
us$ 2092.50</t>
        </r>
      </text>
    </comment>
    <comment ref="A28" authorId="0">
      <text>
        <r>
          <rPr>
            <b/>
            <sz val="8"/>
            <rFont val="Tahoma"/>
            <family val="0"/>
          </rPr>
          <t>khan:</t>
        </r>
        <r>
          <rPr>
            <sz val="8"/>
            <rFont val="Tahoma"/>
            <family val="0"/>
          </rPr>
          <t xml:space="preserve">
Openshaw</t>
        </r>
      </text>
    </comment>
    <comment ref="G33" authorId="0">
      <text>
        <r>
          <rPr>
            <b/>
            <sz val="8"/>
            <rFont val="Tahoma"/>
            <family val="0"/>
          </rPr>
          <t>khan:</t>
        </r>
        <r>
          <rPr>
            <sz val="8"/>
            <rFont val="Tahoma"/>
            <family val="0"/>
          </rPr>
          <t xml:space="preserve">
us$4500</t>
        </r>
      </text>
    </comment>
    <comment ref="G34" authorId="0">
      <text>
        <r>
          <rPr>
            <b/>
            <sz val="8"/>
            <rFont val="Tahoma"/>
            <family val="0"/>
          </rPr>
          <t>khan:</t>
        </r>
        <r>
          <rPr>
            <sz val="8"/>
            <rFont val="Tahoma"/>
            <family val="0"/>
          </rPr>
          <t xml:space="preserve">
us$5040</t>
        </r>
      </text>
    </comment>
    <comment ref="F43" authorId="0">
      <text>
        <r>
          <rPr>
            <b/>
            <sz val="8"/>
            <rFont val="Tahoma"/>
            <family val="0"/>
          </rPr>
          <t>khan:</t>
        </r>
        <r>
          <rPr>
            <sz val="8"/>
            <rFont val="Tahoma"/>
            <family val="0"/>
          </rPr>
          <t xml:space="preserve">
$500 per sheet</t>
        </r>
      </text>
    </comment>
    <comment ref="A45" authorId="0">
      <text>
        <r>
          <rPr>
            <b/>
            <sz val="8"/>
            <rFont val="Tahoma"/>
            <family val="0"/>
          </rPr>
          <t>khan:</t>
        </r>
        <r>
          <rPr>
            <sz val="8"/>
            <rFont val="Tahoma"/>
            <family val="0"/>
          </rPr>
          <t xml:space="preserve">
Robert</t>
        </r>
      </text>
    </comment>
    <comment ref="G46" authorId="0">
      <text>
        <r>
          <rPr>
            <b/>
            <sz val="8"/>
            <rFont val="Tahoma"/>
            <family val="0"/>
          </rPr>
          <t>khan:</t>
        </r>
        <r>
          <rPr>
            <sz val="8"/>
            <rFont val="Tahoma"/>
            <family val="0"/>
          </rPr>
          <t xml:space="preserve">
5 x $96 for 0.040"+ 5 x $448 for 0.25" = US$ 2720</t>
        </r>
      </text>
    </comment>
    <comment ref="A48" authorId="0">
      <text>
        <r>
          <rPr>
            <b/>
            <sz val="8"/>
            <rFont val="Tahoma"/>
            <family val="0"/>
          </rPr>
          <t>khan:</t>
        </r>
        <r>
          <rPr>
            <sz val="8"/>
            <rFont val="Tahoma"/>
            <family val="0"/>
          </rPr>
          <t xml:space="preserve">
Robert
</t>
        </r>
      </text>
    </comment>
    <comment ref="G49" authorId="0">
      <text>
        <r>
          <rPr>
            <b/>
            <sz val="8"/>
            <rFont val="Tahoma"/>
            <family val="0"/>
          </rPr>
          <t>khan:</t>
        </r>
        <r>
          <rPr>
            <sz val="8"/>
            <rFont val="Tahoma"/>
            <family val="0"/>
          </rPr>
          <t xml:space="preserve">
8x$98 for 0.010 + 2x$157 for 0.010 with Cu + 2x89 for 0.050 = us$1276</t>
        </r>
      </text>
    </comment>
    <comment ref="A52" authorId="0">
      <text>
        <r>
          <rPr>
            <b/>
            <sz val="8"/>
            <rFont val="Tahoma"/>
            <family val="0"/>
          </rPr>
          <t>khan:</t>
        </r>
        <r>
          <rPr>
            <sz val="8"/>
            <rFont val="Tahoma"/>
            <family val="0"/>
          </rPr>
          <t xml:space="preserve">
Toshio</t>
        </r>
      </text>
    </comment>
    <comment ref="A53" authorId="0">
      <text>
        <r>
          <rPr>
            <b/>
            <sz val="8"/>
            <rFont val="Tahoma"/>
            <family val="0"/>
          </rPr>
          <t>khan:</t>
        </r>
        <r>
          <rPr>
            <sz val="8"/>
            <rFont val="Tahoma"/>
            <family val="0"/>
          </rPr>
          <t xml:space="preserve">
Toshio</t>
        </r>
      </text>
    </comment>
    <comment ref="A54" authorId="0">
      <text>
        <r>
          <rPr>
            <b/>
            <sz val="8"/>
            <rFont val="Tahoma"/>
            <family val="0"/>
          </rPr>
          <t>khan:</t>
        </r>
        <r>
          <rPr>
            <sz val="8"/>
            <rFont val="Tahoma"/>
            <family val="0"/>
          </rPr>
          <t xml:space="preserve">
Toshio</t>
        </r>
      </text>
    </comment>
  </commentList>
</comments>
</file>

<file path=xl/sharedStrings.xml><?xml version="1.0" encoding="utf-8"?>
<sst xmlns="http://schemas.openxmlformats.org/spreadsheetml/2006/main" count="1094" uniqueCount="498">
  <si>
    <t>Preradiator (WBS 1.2.2)</t>
  </si>
  <si>
    <t>Engineer</t>
  </si>
  <si>
    <t>Mech Spare (%)</t>
  </si>
  <si>
    <t>Elect.Spares (%)</t>
  </si>
  <si>
    <t>Cost/FTE Physicist, Engineer, Designer, Technician</t>
  </si>
  <si>
    <t>Cost Estimate/Funding Profile</t>
  </si>
  <si>
    <t>Designer</t>
  </si>
  <si>
    <t>FY 05$ in thousands</t>
  </si>
  <si>
    <t xml:space="preserve">Tech </t>
  </si>
  <si>
    <t>Russian</t>
  </si>
  <si>
    <t>Base</t>
  </si>
  <si>
    <t>Contingency</t>
  </si>
  <si>
    <t xml:space="preserve">Total </t>
  </si>
  <si>
    <t xml:space="preserve">EDIA </t>
  </si>
  <si>
    <t xml:space="preserve">Mfg. </t>
  </si>
  <si>
    <t xml:space="preserve">EDIA </t>
  </si>
  <si>
    <t>Mfg.</t>
  </si>
  <si>
    <t xml:space="preserve">Total </t>
  </si>
  <si>
    <t>Physicist</t>
  </si>
  <si>
    <t>Eng</t>
  </si>
  <si>
    <t>Admin</t>
  </si>
  <si>
    <t>Designer</t>
  </si>
  <si>
    <t>Tech</t>
  </si>
  <si>
    <t xml:space="preserve">Total </t>
  </si>
  <si>
    <t>Physicist</t>
  </si>
  <si>
    <t>unit</t>
  </si>
  <si>
    <t>WBS</t>
  </si>
  <si>
    <t xml:space="preserve">Cost </t>
  </si>
  <si>
    <t>Contingency</t>
  </si>
  <si>
    <t>%</t>
  </si>
  <si>
    <t>Cost</t>
  </si>
  <si>
    <t>Labor</t>
  </si>
  <si>
    <t>Labor</t>
  </si>
  <si>
    <t>Matls</t>
  </si>
  <si>
    <t>Matls</t>
  </si>
  <si>
    <t>FTE's</t>
  </si>
  <si>
    <t>FTE's</t>
  </si>
  <si>
    <t>Hrs.</t>
  </si>
  <si>
    <t>FTE's</t>
  </si>
  <si>
    <t>Hrs.</t>
  </si>
  <si>
    <t>FTE's</t>
  </si>
  <si>
    <t>Hrs.</t>
  </si>
  <si>
    <t>FTE's</t>
  </si>
  <si>
    <t>Hrs.</t>
  </si>
  <si>
    <t>FTE's</t>
  </si>
  <si>
    <t>Hrs.</t>
  </si>
  <si>
    <t>Base Cost</t>
  </si>
  <si>
    <t>FY 2005</t>
  </si>
  <si>
    <t>FY 2006</t>
  </si>
  <si>
    <t>FY 2007</t>
  </si>
  <si>
    <t>FY 2008</t>
  </si>
  <si>
    <t>FY 2009</t>
  </si>
  <si>
    <t>FY 2010</t>
  </si>
  <si>
    <t>Labor</t>
  </si>
  <si>
    <t>Units</t>
  </si>
  <si>
    <t>price</t>
  </si>
  <si>
    <t>1.2.2</t>
  </si>
  <si>
    <t>Preradiator</t>
  </si>
  <si>
    <t>1.2.2.1</t>
  </si>
  <si>
    <t>Chamber System</t>
  </si>
  <si>
    <t>1.2.2.1.1</t>
  </si>
  <si>
    <t>Chambers</t>
  </si>
  <si>
    <t>1.2.2.1.1.1</t>
  </si>
  <si>
    <t xml:space="preserve">   Design</t>
  </si>
  <si>
    <t>1.2.2.1.1.2</t>
  </si>
  <si>
    <t xml:space="preserve">   Prototype</t>
  </si>
  <si>
    <t>1.2.2.1.1.3</t>
  </si>
  <si>
    <t xml:space="preserve">   Fabrication/Procurement</t>
  </si>
  <si>
    <t>1.2.2.1.2</t>
  </si>
  <si>
    <t>Gas System</t>
  </si>
  <si>
    <t>1.2.2.1.2.1</t>
  </si>
  <si>
    <t xml:space="preserve">   Design</t>
  </si>
  <si>
    <t>1.2.2.1.2.2</t>
  </si>
  <si>
    <t xml:space="preserve">   Prototype</t>
  </si>
  <si>
    <t>1.2.2.1.2.3</t>
  </si>
  <si>
    <t xml:space="preserve">   Fabrication/Procurement</t>
  </si>
  <si>
    <t>1.2.2.1.2.3.1</t>
  </si>
  <si>
    <t xml:space="preserve">     In module(tube,MFM x278)</t>
  </si>
  <si>
    <t>1.2.2.1.2.3.2</t>
  </si>
  <si>
    <t xml:space="preserve">     Rec.system(MFC,pump x4)</t>
  </si>
  <si>
    <t>1.2.2.1.2.3.3</t>
  </si>
  <si>
    <t xml:space="preserve">     Plumbing</t>
  </si>
  <si>
    <t>1.2.2.1.2.3.4</t>
  </si>
  <si>
    <t xml:space="preserve">     Gas shack</t>
  </si>
  <si>
    <t>1.2.2.1.2.3.5</t>
  </si>
  <si>
    <t xml:space="preserve">     DAQ</t>
  </si>
  <si>
    <t>1.2.2.2</t>
  </si>
  <si>
    <t>Scintillator System</t>
  </si>
  <si>
    <t>1.2.2.2.1</t>
  </si>
  <si>
    <t>Scintillator Plates</t>
  </si>
  <si>
    <t>1.2.2.2.1.1</t>
  </si>
  <si>
    <t xml:space="preserve">   Design</t>
  </si>
  <si>
    <t>1.2.2.2.1.2</t>
  </si>
  <si>
    <t xml:space="preserve">   Prototype</t>
  </si>
  <si>
    <t>1.2.2.2.1.3</t>
  </si>
  <si>
    <t xml:space="preserve">   Fabrication/Procurement</t>
  </si>
  <si>
    <t>1.2.2.2.2</t>
  </si>
  <si>
    <t>WLS fiber</t>
  </si>
  <si>
    <t>1.2.2.2.2.2</t>
  </si>
  <si>
    <t xml:space="preserve">   Prototype</t>
  </si>
  <si>
    <t>1.2.2.2.2.3</t>
  </si>
  <si>
    <t xml:space="preserve">   Fabrication/Procurement</t>
  </si>
  <si>
    <t>1.2.2.2.3</t>
  </si>
  <si>
    <t>Scintillator readout</t>
  </si>
  <si>
    <t>1.2.2.2.3.1</t>
  </si>
  <si>
    <t xml:space="preserve">   Photo Tube</t>
  </si>
  <si>
    <t>1.2.2.2.3.1.3</t>
  </si>
  <si>
    <t xml:space="preserve">     Fabrication/Procurement</t>
  </si>
  <si>
    <t>1.2.2.2.3.2</t>
  </si>
  <si>
    <t xml:space="preserve">   MU Metal Shield/Bases</t>
  </si>
  <si>
    <t>1.2.2.2.3.2.3</t>
  </si>
  <si>
    <t xml:space="preserve">     Fabrication/Procurement</t>
  </si>
  <si>
    <t>1.2.2.2.3.3</t>
  </si>
  <si>
    <t xml:space="preserve">   Cables</t>
  </si>
  <si>
    <t>1.2.2.2.3.3.3</t>
  </si>
  <si>
    <t xml:space="preserve">     Fabrication/Procurement</t>
  </si>
  <si>
    <t xml:space="preserve">  </t>
  </si>
  <si>
    <t>1.2.2.2.3.4</t>
  </si>
  <si>
    <t xml:space="preserve">  Preampifier</t>
  </si>
  <si>
    <t>1.2.2.2.3.3.3</t>
  </si>
  <si>
    <t xml:space="preserve">   Fabrication/Procurement</t>
  </si>
  <si>
    <t>1.2.2.3</t>
  </si>
  <si>
    <t>Electronics</t>
  </si>
  <si>
    <t>1.2.2.3.1</t>
  </si>
  <si>
    <t>Anode Electronics</t>
  </si>
  <si>
    <t>1.2.2.3.1.1</t>
  </si>
  <si>
    <t xml:space="preserve">   Design</t>
  </si>
  <si>
    <t>1.2.2.3.1.2</t>
  </si>
  <si>
    <t xml:space="preserve">   Prototype</t>
  </si>
  <si>
    <t>1.2.2.3.1.3</t>
  </si>
  <si>
    <t xml:space="preserve">   Fabrication/Procurement</t>
  </si>
  <si>
    <t>1.2.2.3.2</t>
  </si>
  <si>
    <t>Cathode Electronics</t>
  </si>
  <si>
    <t>1.2.2.3.2.1</t>
  </si>
  <si>
    <t xml:space="preserve">   Design</t>
  </si>
  <si>
    <t>1.2.2.3.2.2</t>
  </si>
  <si>
    <t xml:space="preserve">   Prototype</t>
  </si>
  <si>
    <t>1.2.2.3.2.3</t>
  </si>
  <si>
    <t xml:space="preserve">   Fabrication/Procurement</t>
  </si>
  <si>
    <t>1.2.2.3.3</t>
  </si>
  <si>
    <t>HV, LV Pss and controllers</t>
  </si>
  <si>
    <t>1.2.2.3.3.1</t>
  </si>
  <si>
    <t xml:space="preserve">   Design</t>
  </si>
  <si>
    <t>1.2.2.3.3.2</t>
  </si>
  <si>
    <t xml:space="preserve">   Prototype</t>
  </si>
  <si>
    <t>1.2.2.3.3.3</t>
  </si>
  <si>
    <t xml:space="preserve">   Fabrication/Procurement</t>
  </si>
  <si>
    <t>1.2.2.3.4</t>
  </si>
  <si>
    <t>DAQ interface</t>
  </si>
  <si>
    <t>1.2.2.3.4.1</t>
  </si>
  <si>
    <t xml:space="preserve">   Design</t>
  </si>
  <si>
    <t>1.2.2.3.4.2</t>
  </si>
  <si>
    <t xml:space="preserve">   Prototype</t>
  </si>
  <si>
    <t>1.2.2.3.4.3</t>
  </si>
  <si>
    <t xml:space="preserve">   Fabrication/Procurement</t>
  </si>
  <si>
    <t>1.2.2.3.5</t>
  </si>
  <si>
    <t>Scintillator Electronics</t>
  </si>
  <si>
    <t>chan/board</t>
  </si>
  <si>
    <t>1.2.2.3.5.1</t>
  </si>
  <si>
    <t xml:space="preserve"> WFD Boards</t>
  </si>
  <si>
    <t>1.2.2.3.5.1.3</t>
  </si>
  <si>
    <t xml:space="preserve">   Fabrication/Procurement</t>
  </si>
  <si>
    <t>1.2.2.3.5.1.5</t>
  </si>
  <si>
    <t xml:space="preserve">   Test</t>
  </si>
  <si>
    <t>brds/col</t>
  </si>
  <si>
    <t>1.2.2.3.5.2</t>
  </si>
  <si>
    <t xml:space="preserve"> Crate Data-Collection Boards </t>
  </si>
  <si>
    <t>1.2.2.3.5.2.3</t>
  </si>
  <si>
    <t xml:space="preserve">   Fabrication/Procurement</t>
  </si>
  <si>
    <t>1.2.2.3.5.2.5</t>
  </si>
  <si>
    <t xml:space="preserve">   Test</t>
  </si>
  <si>
    <t>col/crate</t>
  </si>
  <si>
    <t>1.2.2.3.5.3</t>
  </si>
  <si>
    <t xml:space="preserve"> VXI Mainframes &amp; Controller</t>
  </si>
  <si>
    <t>1.2.2.3.5.3.3</t>
  </si>
  <si>
    <t xml:space="preserve">   Fabrication/Procurement</t>
  </si>
  <si>
    <t>1.2.2.4</t>
  </si>
  <si>
    <t>Mechanical</t>
  </si>
  <si>
    <t>1.2.2.4.1</t>
  </si>
  <si>
    <t>Support plates</t>
  </si>
  <si>
    <t>1.2.2.4.1.1</t>
  </si>
  <si>
    <t xml:space="preserve">   Design</t>
  </si>
  <si>
    <t>1.2.2.4.1.2</t>
  </si>
  <si>
    <t xml:space="preserve">   Prototype</t>
  </si>
  <si>
    <t>1.2.2.4.1.3</t>
  </si>
  <si>
    <t xml:space="preserve">   Fabrication/Procurement***</t>
  </si>
  <si>
    <t>1.2.2.4.2</t>
  </si>
  <si>
    <t>Support rails</t>
  </si>
  <si>
    <t>1.2.2.4.2.1</t>
  </si>
  <si>
    <t xml:space="preserve">   Design</t>
  </si>
  <si>
    <t>1.2.2.4.2.2</t>
  </si>
  <si>
    <t xml:space="preserve">   Prototype</t>
  </si>
  <si>
    <t>1.2.2.4.2.3</t>
  </si>
  <si>
    <t xml:space="preserve">   Fabrication/Procurement***</t>
  </si>
  <si>
    <t>1.2.2.4.3</t>
  </si>
  <si>
    <t>Transport/storage</t>
  </si>
  <si>
    <t>1.2.2.4.3.1</t>
  </si>
  <si>
    <t xml:space="preserve">   Design</t>
  </si>
  <si>
    <t>1.2.2.4.3.2</t>
  </si>
  <si>
    <t xml:space="preserve">   Prototype</t>
  </si>
  <si>
    <t>1.2.2.4.3.3</t>
  </si>
  <si>
    <t xml:space="preserve">   Fabrication/Procurement***</t>
  </si>
  <si>
    <t>1.2.2.5</t>
  </si>
  <si>
    <t>External PV</t>
  </si>
  <si>
    <t>1.2.2.5.1</t>
  </si>
  <si>
    <t>PMT - Instrumented Modules</t>
  </si>
  <si>
    <t>1.2.2.5.1.1</t>
  </si>
  <si>
    <t>Modules</t>
  </si>
  <si>
    <t>Mod. Units</t>
  </si>
  <si>
    <t>1.2.2.5.1.1.1</t>
  </si>
  <si>
    <t>Scintillator Tiles</t>
  </si>
  <si>
    <t>+ spares</t>
  </si>
  <si>
    <t>1.2.2.5.1.1.2</t>
  </si>
  <si>
    <t>Lead Tiles</t>
  </si>
  <si>
    <t>1.2.2.5.1.1.3</t>
  </si>
  <si>
    <t>WLS Fiber</t>
  </si>
  <si>
    <t>1.2.2.5.1.1.4</t>
  </si>
  <si>
    <t>Assembly</t>
  </si>
  <si>
    <t>1.2.2.5.1.1.5</t>
  </si>
  <si>
    <t>Test</t>
  </si>
  <si>
    <t>1.2.2.5.1.1.6</t>
  </si>
  <si>
    <t xml:space="preserve">Packing </t>
  </si>
  <si>
    <t>1.2.2.5.1.2</t>
  </si>
  <si>
    <t>Module Instrumentation</t>
  </si>
  <si>
    <t>+ spares</t>
  </si>
  <si>
    <t>1.2.2.5.1.2.1</t>
  </si>
  <si>
    <t>Phototube</t>
  </si>
  <si>
    <t>1.2.2.5.1.2.2</t>
  </si>
  <si>
    <t>Preamplifier</t>
  </si>
  <si>
    <t>1.2.2.5.1.2.3</t>
  </si>
  <si>
    <t>LV-HV Converter</t>
  </si>
  <si>
    <t>1.2.2.5.1.2.4</t>
  </si>
  <si>
    <t>Mechanics</t>
  </si>
  <si>
    <t>1.2.2.5.1.2.5</t>
  </si>
  <si>
    <t>Assembly</t>
  </si>
  <si>
    <t>1.2.2.5.1.2.6</t>
  </si>
  <si>
    <t>Test</t>
  </si>
  <si>
    <t>1.2.2.5.1.2.7</t>
  </si>
  <si>
    <t>Packing</t>
  </si>
  <si>
    <t>1.2.2.5.1.3</t>
  </si>
  <si>
    <t>Cosmic Ray Test of Module/PMT</t>
  </si>
  <si>
    <t>1.2.2.5.2</t>
  </si>
  <si>
    <t>Instrumentation</t>
  </si>
  <si>
    <t>1.2.2.5.2.1</t>
  </si>
  <si>
    <t>HV Control System</t>
  </si>
  <si>
    <t>1.2.2.5.2.1.1</t>
  </si>
  <si>
    <t>34 VME Carriers</t>
  </si>
  <si>
    <t>1.2.2.5.2.1.2</t>
  </si>
  <si>
    <t>136 IP Modules</t>
  </si>
  <si>
    <t>1.2.2.5.2.1.3</t>
  </si>
  <si>
    <t>3 VME/VXI Mainframes</t>
  </si>
  <si>
    <t>1.2.2.5.2.2</t>
  </si>
  <si>
    <t>Cosmic Ray Pre Calibration</t>
  </si>
  <si>
    <t>1.2.2.5.2.2.1</t>
  </si>
  <si>
    <t>PMT &amp; HV</t>
  </si>
  <si>
    <t>1.2.2.5.2.2.2</t>
  </si>
  <si>
    <t>10 VME Modules -LTD</t>
  </si>
  <si>
    <t>1.2.2.5.2.2.3</t>
  </si>
  <si>
    <t>6 VME Modules - Trigger</t>
  </si>
  <si>
    <t>1.2.2.5.2.2.4</t>
  </si>
  <si>
    <t>1 VME Mainframe</t>
  </si>
  <si>
    <t>1.2.2.5.2.3</t>
  </si>
  <si>
    <t>Monitoring &amp; Calibration System</t>
  </si>
  <si>
    <t>chan/unit</t>
  </si>
  <si>
    <t>units/crate</t>
  </si>
  <si>
    <t>crates</t>
  </si>
  <si>
    <t>1.2.2.5.2.3.1</t>
  </si>
  <si>
    <t xml:space="preserve">   Design</t>
  </si>
  <si>
    <t>1.2.2.5.2.3.2</t>
  </si>
  <si>
    <t xml:space="preserve">   Prototype</t>
  </si>
  <si>
    <t>1.2.2.5.2.3.3</t>
  </si>
  <si>
    <t xml:space="preserve">   Fabrication/Procurement</t>
  </si>
  <si>
    <t>1.2.2.5.2.4</t>
  </si>
  <si>
    <t>Readout Electronics</t>
  </si>
  <si>
    <t>1.2.2.5.2.4.1</t>
  </si>
  <si>
    <t>WFD Boards</t>
  </si>
  <si>
    <t>chan/board</t>
  </si>
  <si>
    <t>1.2.2.5.2.4.1.3</t>
  </si>
  <si>
    <t xml:space="preserve">   Fabrication/Procurement</t>
  </si>
  <si>
    <t>1.2.2.5.2.4.1.5</t>
  </si>
  <si>
    <t xml:space="preserve">   Test</t>
  </si>
  <si>
    <t>1.2.2.5.2.4.2</t>
  </si>
  <si>
    <t xml:space="preserve">Crate Data-Collection Boards </t>
  </si>
  <si>
    <t>brds/col</t>
  </si>
  <si>
    <t>1.2.2.5.2.4.2.3</t>
  </si>
  <si>
    <t xml:space="preserve">   Fabrication/Procurement</t>
  </si>
  <si>
    <t>1.2.2.5.2.4.2.5</t>
  </si>
  <si>
    <t xml:space="preserve">   Test</t>
  </si>
  <si>
    <t>1.2.2.5.2.4.3</t>
  </si>
  <si>
    <t>VXI Mainframes &amp; Controller</t>
  </si>
  <si>
    <t>1.2.2.5.2.5</t>
  </si>
  <si>
    <t>Electronic Racks &amp; LV Power Supplies</t>
  </si>
  <si>
    <t>1.2.2.5.2.5.1</t>
  </si>
  <si>
    <t>LV Power Supplies</t>
  </si>
  <si>
    <t>1.2.2.5.2.5.2</t>
  </si>
  <si>
    <t xml:space="preserve">Electronic Racks </t>
  </si>
  <si>
    <t>1.2.2.5.3</t>
  </si>
  <si>
    <t>Shipping</t>
  </si>
  <si>
    <t>1.2.2.5.4</t>
  </si>
  <si>
    <t>Assembly &amp; Test</t>
  </si>
  <si>
    <t>1.2.2.5.4.1</t>
  </si>
  <si>
    <t>Mechanical &amp; Optical Test</t>
  </si>
  <si>
    <t>1.2.2.5.4.2</t>
  </si>
  <si>
    <t>Cosmic Ray Test</t>
  </si>
  <si>
    <t>1.2.2.5.4.3</t>
  </si>
  <si>
    <t>Technical Support</t>
  </si>
  <si>
    <t>1.2.2.5.6</t>
  </si>
  <si>
    <t>Cabling</t>
  </si>
  <si>
    <t>1.2.2.5.6.1</t>
  </si>
  <si>
    <t xml:space="preserve">LV-PS Cables </t>
  </si>
  <si>
    <t>1.2.2.5.6.2</t>
  </si>
  <si>
    <t>HV Control Cables</t>
  </si>
  <si>
    <t>1.2.2.5.6.3</t>
  </si>
  <si>
    <t>Signal Cables</t>
  </si>
  <si>
    <t>1.2.2.5.6.4</t>
  </si>
  <si>
    <t>Assembly &amp; Installation</t>
  </si>
  <si>
    <t>1.2.2.5.6.5</t>
  </si>
  <si>
    <t>Technical Support &amp; Test</t>
  </si>
  <si>
    <t>1.2.2.6</t>
  </si>
  <si>
    <t>Work at BNL</t>
  </si>
  <si>
    <t>1.2.2.6.1</t>
  </si>
  <si>
    <t>Pre-installation work at BNL</t>
  </si>
  <si>
    <t>1.2.2.6.1.1</t>
  </si>
  <si>
    <t xml:space="preserve">   Design</t>
  </si>
  <si>
    <t>1.2.2.6.1.2</t>
  </si>
  <si>
    <t xml:space="preserve">   Prototype</t>
  </si>
  <si>
    <t>1.2.2.6.1.3</t>
  </si>
  <si>
    <t xml:space="preserve">   Fabrication/Procurement***</t>
  </si>
  <si>
    <t>1.2.2.6.2</t>
  </si>
  <si>
    <t>Installation monitoring</t>
  </si>
  <si>
    <t>1.2.2.6.2.3</t>
  </si>
  <si>
    <t xml:space="preserve">   Fabrication/Procurement***</t>
  </si>
  <si>
    <t>1.2.2.10</t>
  </si>
  <si>
    <t>Management</t>
  </si>
  <si>
    <t>Change 2: Scintillator production, x1.4 --&gt; x1.2</t>
  </si>
  <si>
    <t>Change 3: Management, 5 designer FTE --&gt; 0</t>
  </si>
  <si>
    <t>Change 1: chamber construction material, Pin --&gt; soldering, Foil--&gt;router</t>
  </si>
  <si>
    <t>Change 5: Tech labor, 40--&gt;30</t>
  </si>
  <si>
    <t>Change 6: WLS fiber, 6m--&gt; 3m, added 250km clear fiber  assuming $1/m</t>
  </si>
  <si>
    <t>Change 8: Pre-installation, corrected to the estimated numbers.</t>
  </si>
  <si>
    <t>Change 7: Installation, corrected FTEs to the estimated work</t>
  </si>
  <si>
    <t>Change 9: Deleted 1.2.2.5.5 (installation) since this is for calorimeter but EPV doesn't require this step.</t>
  </si>
  <si>
    <t>T</t>
  </si>
  <si>
    <t>C</t>
  </si>
  <si>
    <t>S</t>
  </si>
  <si>
    <t>D</t>
  </si>
  <si>
    <t>multi-factor</t>
  </si>
  <si>
    <t>Estimates for Prototype</t>
  </si>
  <si>
    <t>Estimate</t>
  </si>
  <si>
    <t>Purchased</t>
  </si>
  <si>
    <t>Status</t>
  </si>
  <si>
    <t>(Assumed $1 US= $1.4 CAD, Tax &amp; Shipping not included)</t>
  </si>
  <si>
    <t>Wire Chamber:</t>
  </si>
  <si>
    <t>Ptototype</t>
  </si>
  <si>
    <t>1module</t>
  </si>
  <si>
    <t>34 mod.</t>
  </si>
  <si>
    <t>(in Canadian $)</t>
  </si>
  <si>
    <t>WC sum</t>
  </si>
  <si>
    <t>Cathode Foil</t>
  </si>
  <si>
    <t>Ordered</t>
  </si>
  <si>
    <t>Use router</t>
  </si>
  <si>
    <t>Foil for initial Fiberglass prototype</t>
  </si>
  <si>
    <t>In hand</t>
  </si>
  <si>
    <t>Initial Fiberglass protype</t>
  </si>
  <si>
    <t>Tooling for Fiberglass sheets</t>
  </si>
  <si>
    <t>Fiberglass sheets for protype (8 chambers)</t>
  </si>
  <si>
    <t>Splicing unit</t>
  </si>
  <si>
    <t>Mounting table for splicing unit</t>
  </si>
  <si>
    <t>Labour for splicing at Profile</t>
  </si>
  <si>
    <t xml:space="preserve">Plastic tub &amp; zinc solution </t>
  </si>
  <si>
    <t>Wire for chambers</t>
  </si>
  <si>
    <t>Crimp Pins (for readout &amp; non-readout ends)</t>
  </si>
  <si>
    <t>pin--&gt;solder</t>
  </si>
  <si>
    <t>HV Mill Max Sockets&amp; Blocks (for 625 instead of 225 needed)</t>
  </si>
  <si>
    <t>Ground Connectors (for non-readout end)</t>
  </si>
  <si>
    <t>Glue</t>
  </si>
  <si>
    <t>Combs</t>
  </si>
  <si>
    <t>pin--&gt;comb</t>
  </si>
  <si>
    <t>Gas System Pressure Controller</t>
  </si>
  <si>
    <t>?</t>
  </si>
  <si>
    <t>Scintillator:</t>
  </si>
  <si>
    <t>Scintillator glue Jig</t>
  </si>
  <si>
    <t>Styron</t>
  </si>
  <si>
    <t>x1.4--&gt;1.2</t>
  </si>
  <si>
    <t>Dopents</t>
  </si>
  <si>
    <t>Multistage sizer</t>
  </si>
  <si>
    <t>mods to multistage sizer</t>
  </si>
  <si>
    <t>Celco tests (2 anticipated)</t>
  </si>
  <si>
    <t>New Spider plate (if needed)</t>
  </si>
  <si>
    <t>Commercial Drying of Styron</t>
  </si>
  <si>
    <t>Liquid Nitrogen for runs</t>
  </si>
  <si>
    <t>Celco production for prototype</t>
  </si>
  <si>
    <t>Scintillator machining</t>
  </si>
  <si>
    <t>Paniting and wrapping of Scintillator sheets</t>
  </si>
  <si>
    <t>Hole drilling &amp; jig machining of Scintillator and G10</t>
  </si>
  <si>
    <t>Edge Plates</t>
  </si>
  <si>
    <t>Spacers (0.040" &amp; 0.25" G10)</t>
  </si>
  <si>
    <t>Glue &amp; Supplies</t>
  </si>
  <si>
    <t>Aluminim L Unit in 2 pieces</t>
  </si>
  <si>
    <t>4'x8' G10 for laminate testing</t>
  </si>
  <si>
    <t>Wave Shifter fibers</t>
  </si>
  <si>
    <t>Phototubes</t>
  </si>
  <si>
    <t>Phototube Readouts</t>
  </si>
  <si>
    <t>Total:</t>
  </si>
  <si>
    <t>Labor cost for production</t>
  </si>
  <si>
    <t>Per week</t>
  </si>
  <si>
    <t>During the construction period</t>
  </si>
  <si>
    <t xml:space="preserve">Unit:  (FTE x year)              </t>
  </si>
  <si>
    <t># of elements</t>
  </si>
  <si>
    <t>Prod. Rate</t>
  </si>
  <si>
    <t>Total weeks</t>
  </si>
  <si>
    <t>FTE (phys.)</t>
  </si>
  <si>
    <t>FTE (eng.)</t>
  </si>
  <si>
    <t>FTE ( tech.)</t>
  </si>
  <si>
    <t>Total phys.</t>
  </si>
  <si>
    <t>Total eng.</t>
  </si>
  <si>
    <t>Total tech.</t>
  </si>
  <si>
    <t>Chamber</t>
  </si>
  <si>
    <t>Overseeing</t>
  </si>
  <si>
    <t>Material inspection</t>
  </si>
  <si>
    <t>G10 board machining</t>
  </si>
  <si>
    <t>Laminating foils</t>
  </si>
  <si>
    <t>Frame assembly</t>
  </si>
  <si>
    <t>Stringing</t>
  </si>
  <si>
    <t>Tension test/wire replacement</t>
  </si>
  <si>
    <t>Strip connection</t>
  </si>
  <si>
    <t>Cover installation</t>
  </si>
  <si>
    <t xml:space="preserve">Tests  </t>
  </si>
  <si>
    <t>Misc.</t>
  </si>
  <si>
    <t>Scintillator</t>
  </si>
  <si>
    <t>Production</t>
  </si>
  <si>
    <t>Inspection (hole, surface)</t>
  </si>
  <si>
    <t>Tests (light yield, attenuation)</t>
  </si>
  <si>
    <t>Machining (tongue/groove)</t>
  </si>
  <si>
    <t>Machining (holes)</t>
  </si>
  <si>
    <t>Inspection (ends, sides)</t>
  </si>
  <si>
    <t>Plane fabrication (glue)</t>
  </si>
  <si>
    <t>Painting</t>
  </si>
  <si>
    <t xml:space="preserve"> </t>
  </si>
  <si>
    <t>Chamber electronics</t>
  </si>
  <si>
    <t>Anode</t>
  </si>
  <si>
    <t>Adaptor cards</t>
  </si>
  <si>
    <t>Readout cards</t>
  </si>
  <si>
    <t>Cables</t>
  </si>
  <si>
    <t>Cathode</t>
  </si>
  <si>
    <t>Rreadout cards</t>
  </si>
  <si>
    <t>HV,LV power supplies, crates</t>
  </si>
  <si>
    <t>DAC interface</t>
  </si>
  <si>
    <t>Module assembly</t>
  </si>
  <si>
    <t>Bolting layers</t>
  </si>
  <si>
    <t>L-plate installation</t>
  </si>
  <si>
    <t>Cable installation</t>
  </si>
  <si>
    <t>Electronics installation</t>
  </si>
  <si>
    <t>PMT installation</t>
  </si>
  <si>
    <t>PV installation</t>
  </si>
  <si>
    <t>Gas system</t>
  </si>
  <si>
    <t>Cooling system</t>
  </si>
  <si>
    <t>System for local trigger</t>
  </si>
  <si>
    <t>Support installation</t>
  </si>
  <si>
    <t>WLS fiber tests/cut/polish</t>
  </si>
  <si>
    <t>WLS fiber installation</t>
  </si>
  <si>
    <t>Module test</t>
  </si>
  <si>
    <t>Storage/transport</t>
  </si>
  <si>
    <t>gas in module  tube-in-1/4-cu(0.37*12),sleeve-nut-1/4(0.21+0.82)*6,  tube-out-1/2-cu(0.76$/ft*12ft),sleeve-nut/1/2(1.07)(&lt;--triumf store) MFmeter-Honeywell-AWM3100V(80.00),needle-valve(200)=300 *278=83,400</t>
  </si>
  <si>
    <t>gas system(pump, MFC...)(25k)+regenerator(5k)=30k *4=120,000</t>
  </si>
  <si>
    <t>gas plumbing(mesa area)(15k+25k) =40,000  mat.(12 lines S.S. 5/8 tubing with several valves in each line) + labour</t>
  </si>
  <si>
    <t>DAQ       10,000</t>
  </si>
  <si>
    <t xml:space="preserve">                         </t>
  </si>
  <si>
    <t xml:space="preserve">                        </t>
  </si>
  <si>
    <t xml:space="preserve">                       </t>
  </si>
  <si>
    <t>Cables   cables and connectors between pmt and edge panel  1600 x (3 connectors+1m cable+panel, 3x8+3+1)  labour(FTE)  1600 x (15/60) x 1/2000 = 0.2</t>
  </si>
  <si>
    <t>transport  17 shipments x 16000 + (2 boxes, 2000) x 2 =29200</t>
  </si>
  <si>
    <t>Pre-Inst.    assume 3 years of installation 32 x 5(weeks)/50(weeks) (0.5 phys. + 0.5 eng. + 1tech) = 1.6 phys + 1.6 eng + 3.2 tech  No travel expense here assuming "operation" may cover  it.</t>
  </si>
  <si>
    <t>CAN/US excahnge rate</t>
  </si>
  <si>
    <t>Test (after WLS)</t>
  </si>
  <si>
    <t>can/us</t>
  </si>
  <si>
    <t>US(1.25an)</t>
  </si>
  <si>
    <t>status</t>
  </si>
  <si>
    <t>Cost of most material came from quotations (see Materials). Labor estimates are based on E949 chamber construction.</t>
  </si>
  <si>
    <t>gas shack 20,000  by R.Openshaw based on the work on Mesa area construction 5 years ago.</t>
  </si>
  <si>
    <t>Quotation</t>
  </si>
  <si>
    <t>Catalog price</t>
  </si>
  <si>
    <t>(many prices are in Canadian $ here)</t>
  </si>
  <si>
    <t>Estimate basis</t>
  </si>
  <si>
    <t>Engineer's est.</t>
  </si>
  <si>
    <t>fiber fabrication   4(quad) x 8(module) x 9(layers) x 192(N/layer) x 6(m) = 331(km) This is bare minimum. 331(km) x 34/32(spare mod.) x 1.3 = 450(km)  450000(m) x 2.28($/m, for 2km quote in early 2004, Y11) = 1000k Jan. 8, 2005: 6 m ==&gt; 3m, 2.28==&gt;2.00 make  1000k==&gt;450k  3m clear fiber 250000(m) x $1 = 250k Total  1000k ==&gt; 700k,  no labour of fusing added. Jan 31,2005: if no clear fiber, 1000k*5/6*0.75/1.3*1.1=529k. In US.</t>
  </si>
  <si>
    <t>The material costs are based on the purchase made for prototypes. The labor is based on how much we needed in the prototype production.</t>
  </si>
  <si>
    <t>Hamamatsu's quote for pmt (4000) increased to $464 with bases.==&gt;$190.</t>
  </si>
  <si>
    <t>There is a more detail spread sheet for this system by P. Amaudruz. All material costs are based on quotations though for a slightly smaller scale purchase, so the values were multiplied by 0.9 for large quantity purchase. The cost of labour is for the tests of the cards based on one readout card/day for 0.5 eng. and 1 tech., 12 adaptor cards/day for 1 tech. , and 12 cable bundles/day 1 for tech..</t>
  </si>
  <si>
    <t>See Labour.</t>
  </si>
  <si>
    <t>Physicist' est.</t>
  </si>
  <si>
    <t>Base on the past shipments</t>
  </si>
  <si>
    <t>Physicist's est.</t>
  </si>
  <si>
    <t>Installation  assume 3 years of installation  32 x 2(weeks)/50(weeks) (1 phys. + 0.5 eng. + 1tech) = 1.28 (phys+eng+tech)  No travel expense here assuming "operation" may cover   it. These numbers are based on the E949 drift chamber installation.</t>
  </si>
  <si>
    <t>There is a more detail spread sheet for this system by P. Amaudruz. All material costs are based on quotations though for a slightly smaller scale purchase, so the values were multiplied by 0.9 for large quantity purchase.</t>
  </si>
  <si>
    <t>Conceptual estimate so far.</t>
  </si>
  <si>
    <t>Based on the quotation for 83087 ($240/pmt in us for 4000, $290 for 40) by Burle. Hamamatsu's quotation for R1450 for compatible tubes are $275 for 4000.</t>
  </si>
  <si>
    <t>We don't know this is really necessary. The numbers came from D. Schamberger.</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</si>
</sst>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_);[Red]\(0\)"/>
    <numFmt numFmtId="173" formatCode="mm/dd/yy"/>
  </numFmts>
  <fonts count="21">
    <font>
      <sz val="10"/>
      <name val="Arial"/>
      <family val="0"/>
    </font>
    <font>
      <sz val="10"/>
      <color indexed="8"/>
      <name val="Helvetica"/>
      <family val="0"/>
    </font>
    <font>
      <sz val="9"/>
      <color indexed="8"/>
      <name val="Helvetica"/>
      <family val="0"/>
    </font>
    <font>
      <u val="single"/>
      <sz val="10"/>
      <color indexed="8"/>
      <name val="Helvetica"/>
      <family val="0"/>
    </font>
    <font>
      <sz val="10"/>
      <color indexed="10"/>
      <name val="Helvetica"/>
      <family val="2"/>
    </font>
    <font>
      <sz val="10"/>
      <color indexed="10"/>
      <name val="Arial"/>
      <family val="2"/>
    </font>
    <font>
      <sz val="10"/>
      <name val="Helvetica"/>
      <family val="2"/>
    </font>
    <font>
      <b/>
      <u val="single"/>
      <sz val="14"/>
      <name val="Arial"/>
      <family val="2"/>
    </font>
    <font>
      <sz val="10"/>
      <color indexed="11"/>
      <name val="Arial"/>
      <family val="0"/>
    </font>
    <font>
      <b/>
      <sz val="10"/>
      <name val="Arial"/>
      <family val="2"/>
    </font>
    <font>
      <b/>
      <u val="single"/>
      <sz val="12"/>
      <name val="Arial"/>
      <family val="2"/>
    </font>
    <font>
      <b/>
      <sz val="10"/>
      <color indexed="11"/>
      <name val="Arial"/>
      <family val="2"/>
    </font>
    <font>
      <b/>
      <sz val="10"/>
      <name val="Times New Roman"/>
      <family val="1"/>
    </font>
    <font>
      <b/>
      <sz val="10"/>
      <color indexed="11"/>
      <name val="Times New Roman"/>
      <family val="1"/>
    </font>
    <font>
      <b/>
      <sz val="10"/>
      <color indexed="10"/>
      <name val="Times New Roman"/>
      <family val="1"/>
    </font>
    <font>
      <b/>
      <u val="single"/>
      <sz val="12"/>
      <name val="Times New Roman"/>
      <family val="1"/>
    </font>
    <font>
      <b/>
      <u val="single"/>
      <sz val="10"/>
      <name val="Times New Roman"/>
      <family val="1"/>
    </font>
    <font>
      <b/>
      <u val="single"/>
      <sz val="10"/>
      <name val="Arial"/>
      <family val="2"/>
    </font>
    <font>
      <b/>
      <sz val="8"/>
      <name val="Tahoma"/>
      <family val="0"/>
    </font>
    <font>
      <sz val="8"/>
      <name val="Tahoma"/>
      <family val="0"/>
    </font>
    <font>
      <b/>
      <sz val="8"/>
      <name val="Arial"/>
      <family val="2"/>
    </font>
  </fonts>
  <fills count="3">
    <fill>
      <patternFill/>
    </fill>
    <fill>
      <patternFill patternType="gray125"/>
    </fill>
    <fill>
      <patternFill patternType="solid">
        <fgColor indexed="11"/>
        <bgColor indexed="64"/>
      </patternFill>
    </fill>
  </fills>
  <borders count="1">
    <border>
      <left/>
      <right/>
      <top/>
      <bottom/>
      <diagonal/>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52">
    <xf numFmtId="0" fontId="0" fillId="0" borderId="0" xfId="0" applyAlignment="1">
      <alignment/>
    </xf>
    <xf numFmtId="0" fontId="1" fillId="0" borderId="0" xfId="0" applyAlignment="1">
      <alignment/>
    </xf>
    <xf numFmtId="0" fontId="2" fillId="0" borderId="0" xfId="0" applyAlignment="1">
      <alignment/>
    </xf>
    <xf numFmtId="0" fontId="1" fillId="0" borderId="0" xfId="0" applyAlignment="1">
      <alignment horizontal="center"/>
    </xf>
    <xf numFmtId="3" fontId="1" fillId="0" borderId="0" xfId="0" applyAlignment="1">
      <alignment/>
    </xf>
    <xf numFmtId="10" fontId="1" fillId="0" borderId="0" xfId="0" applyAlignment="1">
      <alignment/>
    </xf>
    <xf numFmtId="2" fontId="1" fillId="0" borderId="0" xfId="0" applyAlignment="1">
      <alignment/>
    </xf>
    <xf numFmtId="3" fontId="1" fillId="0" borderId="0" xfId="0" applyAlignment="1">
      <alignment horizontal="center"/>
    </xf>
    <xf numFmtId="10" fontId="1" fillId="0" borderId="0" xfId="0" applyAlignment="1">
      <alignment horizontal="center"/>
    </xf>
    <xf numFmtId="2" fontId="1" fillId="0" borderId="0" xfId="0" applyAlignment="1">
      <alignment horizontal="center"/>
    </xf>
    <xf numFmtId="0" fontId="3" fillId="0" borderId="0" xfId="0" applyAlignment="1">
      <alignment/>
    </xf>
    <xf numFmtId="3" fontId="3" fillId="0" borderId="0" xfId="0" applyAlignment="1">
      <alignment horizontal="center"/>
    </xf>
    <xf numFmtId="10" fontId="3" fillId="0" borderId="0" xfId="0" applyAlignment="1">
      <alignment horizontal="center"/>
    </xf>
    <xf numFmtId="2" fontId="3" fillId="0" borderId="0" xfId="0" applyAlignment="1">
      <alignment horizontal="center"/>
    </xf>
    <xf numFmtId="0" fontId="3" fillId="0" borderId="0" xfId="0" applyAlignment="1">
      <alignment horizontal="center"/>
    </xf>
    <xf numFmtId="0" fontId="1" fillId="0" borderId="0" xfId="0" applyAlignment="1">
      <alignment horizontal="left"/>
    </xf>
    <xf numFmtId="172" fontId="1" fillId="0" borderId="0" xfId="0" applyAlignment="1">
      <alignment horizontal="center"/>
    </xf>
    <xf numFmtId="172" fontId="1" fillId="0" borderId="0" xfId="0" applyAlignment="1">
      <alignment/>
    </xf>
    <xf numFmtId="3" fontId="4" fillId="0" borderId="0" xfId="0" applyFont="1" applyAlignment="1">
      <alignment/>
    </xf>
    <xf numFmtId="2" fontId="4" fillId="0" borderId="0" xfId="0" applyFont="1" applyAlignment="1">
      <alignment/>
    </xf>
    <xf numFmtId="0" fontId="5" fillId="0" borderId="0" xfId="0" applyFont="1" applyAlignment="1">
      <alignment/>
    </xf>
    <xf numFmtId="3" fontId="6" fillId="0" borderId="0" xfId="0" applyFont="1" applyAlignment="1">
      <alignment/>
    </xf>
    <xf numFmtId="2" fontId="4" fillId="0" borderId="0" xfId="0" applyFont="1" applyAlignment="1">
      <alignment/>
    </xf>
    <xf numFmtId="3" fontId="4" fillId="0" borderId="0" xfId="0" applyFont="1" applyAlignment="1">
      <alignment/>
    </xf>
    <xf numFmtId="2" fontId="6" fillId="0" borderId="0" xfId="0" applyFont="1" applyAlignment="1">
      <alignment/>
    </xf>
    <xf numFmtId="4" fontId="1" fillId="0" borderId="0" xfId="0" applyNumberFormat="1" applyAlignment="1">
      <alignment/>
    </xf>
    <xf numFmtId="0" fontId="1" fillId="0" borderId="0" xfId="0" applyFont="1" applyAlignment="1">
      <alignment/>
    </xf>
    <xf numFmtId="0" fontId="1" fillId="0" borderId="0" xfId="0" applyFont="1" applyFill="1" applyBorder="1" applyAlignment="1">
      <alignment/>
    </xf>
    <xf numFmtId="0" fontId="7" fillId="0" borderId="0" xfId="0" applyFont="1" applyAlignment="1">
      <alignment horizontal="center"/>
    </xf>
    <xf numFmtId="0" fontId="8" fillId="0" borderId="0" xfId="0" applyFont="1" applyAlignment="1">
      <alignment/>
    </xf>
    <xf numFmtId="1" fontId="8" fillId="0" borderId="0" xfId="0" applyNumberFormat="1" applyFont="1" applyAlignment="1">
      <alignment/>
    </xf>
    <xf numFmtId="0" fontId="9" fillId="0" borderId="0" xfId="0" applyFont="1" applyAlignment="1">
      <alignment/>
    </xf>
    <xf numFmtId="0" fontId="10" fillId="0" borderId="0" xfId="0" applyFont="1" applyAlignment="1">
      <alignment/>
    </xf>
    <xf numFmtId="0" fontId="11" fillId="0" borderId="0" xfId="0" applyFont="1" applyAlignment="1">
      <alignment/>
    </xf>
    <xf numFmtId="1" fontId="11" fillId="0" borderId="0" xfId="0" applyNumberFormat="1" applyFont="1" applyAlignment="1">
      <alignment/>
    </xf>
    <xf numFmtId="0" fontId="12" fillId="0" borderId="0" xfId="0" applyFont="1" applyAlignment="1">
      <alignment/>
    </xf>
    <xf numFmtId="0" fontId="13" fillId="0" borderId="0" xfId="0" applyFont="1" applyAlignment="1">
      <alignment/>
    </xf>
    <xf numFmtId="1" fontId="13" fillId="0" borderId="0" xfId="0" applyNumberFormat="1" applyFont="1" applyAlignment="1">
      <alignment/>
    </xf>
    <xf numFmtId="0" fontId="14" fillId="0" borderId="0" xfId="0" applyFont="1" applyAlignment="1">
      <alignment/>
    </xf>
    <xf numFmtId="0" fontId="15" fillId="0" borderId="0" xfId="0" applyFont="1" applyAlignment="1">
      <alignment/>
    </xf>
    <xf numFmtId="0" fontId="16" fillId="0" borderId="0" xfId="0" applyFont="1" applyAlignment="1">
      <alignment/>
    </xf>
    <xf numFmtId="0" fontId="17" fillId="0" borderId="0" xfId="0" applyFont="1" applyAlignment="1">
      <alignment/>
    </xf>
    <xf numFmtId="49" fontId="1" fillId="0" borderId="0" xfId="0" applyFont="1" applyAlignment="1">
      <alignment horizontal="justify"/>
    </xf>
    <xf numFmtId="0" fontId="1" fillId="0" borderId="0" xfId="0" applyFont="1" applyAlignment="1">
      <alignment/>
    </xf>
    <xf numFmtId="49" fontId="1" fillId="0" borderId="0" xfId="0" applyFont="1" applyAlignment="1">
      <alignment horizontal="left"/>
    </xf>
    <xf numFmtId="49" fontId="1" fillId="0" borderId="0" xfId="0" applyFont="1" applyAlignment="1">
      <alignment/>
    </xf>
    <xf numFmtId="173" fontId="1" fillId="0" borderId="0" xfId="0" applyFont="1" applyAlignment="1">
      <alignment/>
    </xf>
    <xf numFmtId="0" fontId="0" fillId="0" borderId="0" xfId="0" applyAlignment="1">
      <alignment wrapText="1"/>
    </xf>
    <xf numFmtId="3" fontId="4" fillId="2" borderId="0" xfId="0" applyFont="1" applyFill="1" applyAlignment="1">
      <alignment/>
    </xf>
    <xf numFmtId="2" fontId="1" fillId="2" borderId="0" xfId="0" applyFill="1" applyAlignment="1">
      <alignment/>
    </xf>
    <xf numFmtId="2" fontId="4" fillId="2" borderId="0" xfId="0" applyFont="1" applyFill="1" applyAlignment="1">
      <alignment/>
    </xf>
    <xf numFmtId="0" fontId="4" fillId="0" borderId="0" xfId="0" applyFont="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L196"/>
  <sheetViews>
    <sheetView workbookViewId="0" topLeftCell="A1">
      <pane xSplit="2" ySplit="7" topLeftCell="C49" activePane="bottomRight" state="frozen"/>
      <selection pane="topLeft" activeCell="A1" sqref="A1"/>
      <selection pane="topRight" activeCell="C1" sqref="C1"/>
      <selection pane="bottomLeft" activeCell="A8" sqref="A8"/>
      <selection pane="bottomRight" activeCell="AK112" sqref="AK112"/>
    </sheetView>
  </sheetViews>
  <sheetFormatPr defaultColWidth="9.140625" defaultRowHeight="12.75"/>
  <cols>
    <col min="1" max="1" width="14.8515625" style="0" customWidth="1"/>
    <col min="2" max="2" width="34.140625" style="0" bestFit="1" customWidth="1"/>
    <col min="3" max="3" width="10.140625" style="0" customWidth="1"/>
    <col min="4" max="5" width="9.00390625" style="0" customWidth="1"/>
    <col min="6" max="6" width="10.140625" style="0" customWidth="1"/>
    <col min="7" max="7" width="11.28125" style="0" bestFit="1" customWidth="1"/>
    <col min="8" max="12" width="9.00390625" style="0" customWidth="1"/>
    <col min="13" max="13" width="10.8515625" style="0" customWidth="1"/>
    <col min="14" max="30" width="9.00390625" style="0" customWidth="1"/>
    <col min="31" max="31" width="10.140625" style="0" customWidth="1"/>
    <col min="32" max="32" width="10.00390625" style="0" customWidth="1"/>
    <col min="33" max="33" width="8.7109375" style="0" customWidth="1"/>
    <col min="34" max="34" width="8.28125" style="0" customWidth="1"/>
    <col min="35" max="38" width="10.140625" style="0" customWidth="1"/>
    <col min="49" max="16384" width="10.140625" style="0" customWidth="1"/>
  </cols>
  <sheetData>
    <row r="1" spans="2:34" s="1" customFormat="1" ht="12.75" customHeight="1">
      <c r="B1" s="2"/>
      <c r="D1" s="3" t="s">
        <v>0</v>
      </c>
      <c r="E1" s="4"/>
      <c r="F1" s="4"/>
      <c r="G1" s="5" t="s">
        <v>1</v>
      </c>
      <c r="H1" s="4"/>
      <c r="I1" s="4" t="s">
        <v>2</v>
      </c>
      <c r="J1" s="4"/>
      <c r="K1" s="4" t="s">
        <v>3</v>
      </c>
      <c r="L1" s="4"/>
      <c r="M1" s="6" t="s">
        <v>4</v>
      </c>
      <c r="N1" s="6"/>
      <c r="O1" s="6"/>
      <c r="P1" s="6"/>
      <c r="Q1" s="6"/>
      <c r="R1" s="6"/>
      <c r="S1" s="6"/>
      <c r="T1" s="6"/>
      <c r="U1" s="6"/>
      <c r="V1" s="6"/>
      <c r="W1" s="6"/>
      <c r="X1" s="4"/>
      <c r="Y1" s="4"/>
      <c r="Z1" s="4"/>
      <c r="AA1" s="4"/>
      <c r="AB1" s="4"/>
      <c r="AC1" s="4"/>
      <c r="AD1" s="4"/>
      <c r="AE1" s="4"/>
      <c r="AH1" s="6"/>
    </row>
    <row r="2" spans="2:34" s="1" customFormat="1" ht="12.75" customHeight="1">
      <c r="B2" s="2"/>
      <c r="D2" s="3" t="s">
        <v>5</v>
      </c>
      <c r="E2" s="4"/>
      <c r="F2" s="4"/>
      <c r="G2" s="5" t="s">
        <v>6</v>
      </c>
      <c r="H2" s="4"/>
      <c r="I2" s="4">
        <v>5</v>
      </c>
      <c r="J2" s="4"/>
      <c r="K2" s="4">
        <v>10</v>
      </c>
      <c r="L2" s="4"/>
      <c r="M2" s="6">
        <v>80</v>
      </c>
      <c r="N2" s="6">
        <v>60</v>
      </c>
      <c r="O2" s="6"/>
      <c r="P2" s="6">
        <v>50</v>
      </c>
      <c r="Q2" s="6"/>
      <c r="R2" s="19">
        <v>30</v>
      </c>
      <c r="S2" s="6"/>
      <c r="T2" s="6"/>
      <c r="U2" s="6"/>
      <c r="V2" s="6"/>
      <c r="W2" s="6"/>
      <c r="X2" s="23"/>
      <c r="Y2" s="4"/>
      <c r="Z2" s="4"/>
      <c r="AA2" s="4"/>
      <c r="AB2" s="4"/>
      <c r="AC2" s="4"/>
      <c r="AD2" s="4"/>
      <c r="AE2" s="4"/>
      <c r="AH2" s="6"/>
    </row>
    <row r="3" spans="2:34" s="1" customFormat="1" ht="12.75" customHeight="1">
      <c r="B3" s="2"/>
      <c r="D3" s="3" t="s">
        <v>7</v>
      </c>
      <c r="E3" s="4"/>
      <c r="F3" s="4"/>
      <c r="G3" s="5" t="s">
        <v>8</v>
      </c>
      <c r="H3" s="4"/>
      <c r="I3" s="4"/>
      <c r="J3" s="4"/>
      <c r="K3" s="4"/>
      <c r="L3" s="4"/>
      <c r="M3" s="6" t="s">
        <v>9</v>
      </c>
      <c r="N3" s="6">
        <v>24</v>
      </c>
      <c r="P3" s="6">
        <v>20</v>
      </c>
      <c r="R3" s="6">
        <v>18</v>
      </c>
      <c r="T3" s="6"/>
      <c r="V3" s="6"/>
      <c r="X3" s="4"/>
      <c r="Y3" s="4"/>
      <c r="Z3" s="4"/>
      <c r="AA3" s="4"/>
      <c r="AB3" s="4"/>
      <c r="AC3" s="4"/>
      <c r="AD3" s="4"/>
      <c r="AE3" s="4"/>
      <c r="AH3" s="6"/>
    </row>
    <row r="4" spans="2:34" s="1" customFormat="1" ht="12.75" customHeight="1">
      <c r="B4" s="2"/>
      <c r="D4" s="2"/>
      <c r="E4" s="4"/>
      <c r="F4" s="4"/>
      <c r="G4" s="5"/>
      <c r="H4" s="4"/>
      <c r="I4" s="4"/>
      <c r="J4" s="4"/>
      <c r="K4" s="4"/>
      <c r="L4" s="4"/>
      <c r="M4" s="6"/>
      <c r="N4" s="6"/>
      <c r="O4" s="6"/>
      <c r="P4" s="6"/>
      <c r="Q4" s="6"/>
      <c r="R4" s="6"/>
      <c r="S4" s="6"/>
      <c r="T4" s="6"/>
      <c r="U4" s="6"/>
      <c r="V4" s="6"/>
      <c r="W4" s="6"/>
      <c r="X4" s="4"/>
      <c r="Y4" s="4"/>
      <c r="Z4" s="4"/>
      <c r="AA4" s="4"/>
      <c r="AB4" s="4"/>
      <c r="AC4" s="4"/>
      <c r="AD4" s="4"/>
      <c r="AE4" s="4"/>
      <c r="AH4" s="6"/>
    </row>
    <row r="5" spans="2:34" s="1" customFormat="1" ht="12.75" customHeight="1">
      <c r="B5" s="2"/>
      <c r="D5" s="2"/>
      <c r="E5" s="4"/>
      <c r="F5" s="4"/>
      <c r="G5" s="5"/>
      <c r="H5" s="4"/>
      <c r="I5" s="4"/>
      <c r="J5" s="4"/>
      <c r="K5" s="4"/>
      <c r="L5" s="4"/>
      <c r="M5" s="6"/>
      <c r="N5" s="6"/>
      <c r="O5" s="6"/>
      <c r="P5" s="6"/>
      <c r="Q5" s="6"/>
      <c r="R5" s="6"/>
      <c r="S5" s="6"/>
      <c r="T5" s="6"/>
      <c r="U5" s="6"/>
      <c r="V5" s="6"/>
      <c r="W5" s="6"/>
      <c r="X5" s="4"/>
      <c r="Y5" s="4"/>
      <c r="Z5" s="4"/>
      <c r="AA5" s="4"/>
      <c r="AB5" s="4"/>
      <c r="AC5" s="4"/>
      <c r="AD5" s="4"/>
      <c r="AE5" s="4"/>
      <c r="AH5" s="6"/>
    </row>
    <row r="6" spans="2:34" s="1" customFormat="1" ht="12.75" customHeight="1">
      <c r="B6" s="2"/>
      <c r="D6" s="2"/>
      <c r="E6" s="7" t="s">
        <v>10</v>
      </c>
      <c r="F6" s="7"/>
      <c r="G6" s="8" t="s">
        <v>11</v>
      </c>
      <c r="H6" s="7" t="s">
        <v>12</v>
      </c>
      <c r="I6" s="7" t="s">
        <v>13</v>
      </c>
      <c r="J6" s="7" t="s">
        <v>14</v>
      </c>
      <c r="K6" s="7" t="s">
        <v>15</v>
      </c>
      <c r="L6" s="7" t="s">
        <v>16</v>
      </c>
      <c r="M6" s="9" t="s">
        <v>17</v>
      </c>
      <c r="N6" s="9" t="s">
        <v>18</v>
      </c>
      <c r="O6" s="9"/>
      <c r="P6" s="9" t="s">
        <v>19</v>
      </c>
      <c r="Q6" s="9"/>
      <c r="R6" s="9" t="s">
        <v>20</v>
      </c>
      <c r="S6" s="9"/>
      <c r="T6" s="9" t="s">
        <v>21</v>
      </c>
      <c r="U6" s="9"/>
      <c r="V6" s="9" t="s">
        <v>22</v>
      </c>
      <c r="W6" s="9"/>
      <c r="X6" s="7" t="s">
        <v>23</v>
      </c>
      <c r="Y6" s="4"/>
      <c r="Z6" s="4"/>
      <c r="AA6" s="4"/>
      <c r="AB6" s="4"/>
      <c r="AC6" s="4"/>
      <c r="AD6" s="4"/>
      <c r="AE6" s="7" t="s">
        <v>24</v>
      </c>
      <c r="AH6" s="9" t="s">
        <v>25</v>
      </c>
    </row>
    <row r="7" spans="1:34" s="1" customFormat="1" ht="12.75" customHeight="1">
      <c r="A7" s="10" t="s">
        <v>26</v>
      </c>
      <c r="B7" s="2"/>
      <c r="D7" s="2"/>
      <c r="E7" s="11" t="s">
        <v>27</v>
      </c>
      <c r="F7" s="11" t="s">
        <v>28</v>
      </c>
      <c r="G7" s="12" t="s">
        <v>29</v>
      </c>
      <c r="H7" s="11" t="s">
        <v>30</v>
      </c>
      <c r="I7" s="11" t="s">
        <v>31</v>
      </c>
      <c r="J7" s="11" t="s">
        <v>32</v>
      </c>
      <c r="K7" s="11" t="s">
        <v>33</v>
      </c>
      <c r="L7" s="11" t="s">
        <v>34</v>
      </c>
      <c r="M7" s="13" t="s">
        <v>35</v>
      </c>
      <c r="N7" s="13" t="s">
        <v>36</v>
      </c>
      <c r="O7" s="13" t="s">
        <v>37</v>
      </c>
      <c r="P7" s="13" t="s">
        <v>38</v>
      </c>
      <c r="Q7" s="13" t="s">
        <v>39</v>
      </c>
      <c r="R7" s="13" t="s">
        <v>40</v>
      </c>
      <c r="S7" s="13" t="s">
        <v>41</v>
      </c>
      <c r="T7" s="13" t="s">
        <v>42</v>
      </c>
      <c r="U7" s="13" t="s">
        <v>43</v>
      </c>
      <c r="V7" s="13" t="s">
        <v>44</v>
      </c>
      <c r="W7" s="13" t="s">
        <v>45</v>
      </c>
      <c r="X7" s="11" t="s">
        <v>46</v>
      </c>
      <c r="Y7" s="11" t="s">
        <v>47</v>
      </c>
      <c r="Z7" s="11" t="s">
        <v>48</v>
      </c>
      <c r="AA7" s="11" t="s">
        <v>49</v>
      </c>
      <c r="AB7" s="11" t="s">
        <v>50</v>
      </c>
      <c r="AC7" s="11" t="s">
        <v>51</v>
      </c>
      <c r="AD7" s="11" t="s">
        <v>52</v>
      </c>
      <c r="AE7" s="11" t="s">
        <v>53</v>
      </c>
      <c r="AG7" s="14" t="s">
        <v>54</v>
      </c>
      <c r="AH7" s="9" t="s">
        <v>55</v>
      </c>
    </row>
    <row r="8" spans="1:34" s="1" customFormat="1" ht="12.75" customHeight="1">
      <c r="A8" s="15" t="s">
        <v>56</v>
      </c>
      <c r="B8" s="1" t="s">
        <v>57</v>
      </c>
      <c r="D8" s="2"/>
      <c r="E8" s="4">
        <f>E10+E28+E49+E81+E96+E173+E185</f>
        <v>20927.97977142857</v>
      </c>
      <c r="F8" s="4">
        <f>F10+F28+F49+F81+F96+F173+F185</f>
        <v>6753.0903474285715</v>
      </c>
      <c r="G8" s="5">
        <f>F8/E8</f>
        <v>0.32268238125153714</v>
      </c>
      <c r="H8" s="4">
        <f aca="true" t="shared" si="0" ref="H8:AE8">H10+H28+H49+H81+H96+H173+H185</f>
        <v>27681.07011885714</v>
      </c>
      <c r="I8" s="4">
        <f t="shared" si="0"/>
        <v>3066.7592000000004</v>
      </c>
      <c r="J8" s="4">
        <f t="shared" si="0"/>
        <v>4389.7212</v>
      </c>
      <c r="K8" s="4">
        <f t="shared" si="0"/>
        <v>0</v>
      </c>
      <c r="L8" s="4">
        <f t="shared" si="0"/>
        <v>13471.499371428572</v>
      </c>
      <c r="M8" s="6">
        <f t="shared" si="0"/>
        <v>230.97243352959796</v>
      </c>
      <c r="N8" s="6">
        <f t="shared" si="0"/>
        <v>33.63872170940171</v>
      </c>
      <c r="O8" s="4">
        <f t="shared" si="0"/>
        <v>55315.603200000005</v>
      </c>
      <c r="P8" s="6">
        <f t="shared" si="0"/>
        <v>43.89173690408358</v>
      </c>
      <c r="Q8" s="4">
        <f t="shared" si="0"/>
        <v>76193.45695118708</v>
      </c>
      <c r="R8" s="6">
        <f t="shared" si="0"/>
        <v>0</v>
      </c>
      <c r="S8" s="4">
        <f t="shared" si="0"/>
        <v>0</v>
      </c>
      <c r="T8" s="6">
        <f t="shared" si="0"/>
        <v>8.75</v>
      </c>
      <c r="U8" s="4">
        <f t="shared" si="0"/>
        <v>15400</v>
      </c>
      <c r="V8" s="6">
        <f t="shared" si="0"/>
        <v>144.68197491611267</v>
      </c>
      <c r="W8" s="4">
        <f t="shared" si="0"/>
        <v>254305.87585235832</v>
      </c>
      <c r="X8" s="4">
        <f t="shared" si="0"/>
        <v>20927.97977142857</v>
      </c>
      <c r="Y8" s="4">
        <f t="shared" si="0"/>
        <v>709.9275</v>
      </c>
      <c r="Z8" s="4">
        <f t="shared" si="0"/>
        <v>4455.569140952381</v>
      </c>
      <c r="AA8" s="4">
        <f t="shared" si="0"/>
        <v>6279.519483809523</v>
      </c>
      <c r="AB8" s="4">
        <f t="shared" si="0"/>
        <v>5595.543303809523</v>
      </c>
      <c r="AC8" s="4">
        <f t="shared" si="0"/>
        <v>3887.4203428571427</v>
      </c>
      <c r="AD8" s="4">
        <f t="shared" si="0"/>
        <v>0</v>
      </c>
      <c r="AE8" s="4">
        <f t="shared" si="0"/>
        <v>2586.3456</v>
      </c>
      <c r="AH8" s="6"/>
    </row>
    <row r="9" spans="2:34" s="1" customFormat="1" ht="12.75" customHeight="1">
      <c r="B9" s="2"/>
      <c r="D9" s="2"/>
      <c r="E9" s="4"/>
      <c r="F9" s="4"/>
      <c r="G9" s="5"/>
      <c r="H9" s="4"/>
      <c r="I9" s="4"/>
      <c r="J9" s="4"/>
      <c r="K9" s="4"/>
      <c r="L9" s="4"/>
      <c r="M9" s="6"/>
      <c r="N9" s="6"/>
      <c r="O9" s="4"/>
      <c r="P9" s="6"/>
      <c r="Q9" s="4"/>
      <c r="R9" s="6"/>
      <c r="S9" s="4"/>
      <c r="T9" s="6"/>
      <c r="U9" s="4"/>
      <c r="V9" s="6"/>
      <c r="W9" s="4"/>
      <c r="X9" s="4"/>
      <c r="Y9" s="4"/>
      <c r="Z9" s="4"/>
      <c r="AA9" s="4"/>
      <c r="AB9" s="4"/>
      <c r="AC9" s="4"/>
      <c r="AD9" s="4"/>
      <c r="AE9" s="4"/>
      <c r="AH9" s="6"/>
    </row>
    <row r="10" spans="1:34" s="1" customFormat="1" ht="12.75" customHeight="1">
      <c r="A10" s="1" t="s">
        <v>58</v>
      </c>
      <c r="B10" s="1" t="s">
        <v>59</v>
      </c>
      <c r="E10" s="4">
        <f>E12+E18</f>
        <v>3316.819</v>
      </c>
      <c r="F10" s="4">
        <f>F12+F18</f>
        <v>1425.62436</v>
      </c>
      <c r="G10" s="5">
        <f>F10/E10</f>
        <v>0.42981674912016604</v>
      </c>
      <c r="H10" s="4">
        <f aca="true" t="shared" si="1" ref="H10:Q10">H12+H18</f>
        <v>4742.44336</v>
      </c>
      <c r="I10" s="4">
        <f t="shared" si="1"/>
        <v>365</v>
      </c>
      <c r="J10" s="4">
        <f t="shared" si="1"/>
        <v>1164</v>
      </c>
      <c r="K10" s="4">
        <f t="shared" si="1"/>
        <v>0</v>
      </c>
      <c r="L10" s="4">
        <f t="shared" si="1"/>
        <v>1787.819</v>
      </c>
      <c r="M10" s="6">
        <f t="shared" si="1"/>
        <v>52.425</v>
      </c>
      <c r="N10" s="6">
        <f t="shared" si="1"/>
        <v>7.375</v>
      </c>
      <c r="O10" s="4">
        <f t="shared" si="1"/>
        <v>12980</v>
      </c>
      <c r="P10" s="6">
        <f t="shared" si="1"/>
        <v>5.25</v>
      </c>
      <c r="Q10" s="4">
        <f t="shared" si="1"/>
        <v>9240</v>
      </c>
      <c r="R10" s="6"/>
      <c r="S10" s="4">
        <f aca="true" t="shared" si="2" ref="S10:AE10">S12+S18</f>
        <v>0</v>
      </c>
      <c r="T10" s="6">
        <f t="shared" si="2"/>
        <v>1</v>
      </c>
      <c r="U10" s="4">
        <f t="shared" si="2"/>
        <v>1760</v>
      </c>
      <c r="V10" s="6">
        <f t="shared" si="2"/>
        <v>38.8</v>
      </c>
      <c r="W10" s="4">
        <f t="shared" si="2"/>
        <v>68288</v>
      </c>
      <c r="X10" s="4">
        <f t="shared" si="2"/>
        <v>3316.819</v>
      </c>
      <c r="Y10" s="4">
        <f t="shared" si="2"/>
        <v>131.35175</v>
      </c>
      <c r="Z10" s="4">
        <f t="shared" si="2"/>
        <v>626.6729166666667</v>
      </c>
      <c r="AA10" s="4">
        <f t="shared" si="2"/>
        <v>930.4706666666667</v>
      </c>
      <c r="AB10" s="4">
        <f t="shared" si="2"/>
        <v>930.4706666666667</v>
      </c>
      <c r="AC10" s="4">
        <f t="shared" si="2"/>
        <v>697.853</v>
      </c>
      <c r="AD10" s="4">
        <f t="shared" si="2"/>
        <v>0</v>
      </c>
      <c r="AE10" s="4">
        <f t="shared" si="2"/>
        <v>590</v>
      </c>
      <c r="AH10" s="6"/>
    </row>
    <row r="11" spans="5:34" s="1" customFormat="1" ht="12.75" customHeight="1">
      <c r="E11" s="4"/>
      <c r="F11" s="4"/>
      <c r="G11" s="5"/>
      <c r="H11" s="4"/>
      <c r="I11" s="4"/>
      <c r="J11" s="4"/>
      <c r="K11" s="4"/>
      <c r="L11" s="4"/>
      <c r="M11" s="6"/>
      <c r="N11" s="6"/>
      <c r="O11" s="4"/>
      <c r="P11" s="6"/>
      <c r="Q11" s="4"/>
      <c r="R11" s="6"/>
      <c r="S11" s="4"/>
      <c r="T11" s="6"/>
      <c r="U11" s="4"/>
      <c r="V11" s="6"/>
      <c r="W11" s="4"/>
      <c r="X11" s="4"/>
      <c r="Y11" s="4"/>
      <c r="Z11" s="4"/>
      <c r="AA11" s="4"/>
      <c r="AB11" s="4"/>
      <c r="AC11" s="4"/>
      <c r="AD11" s="4"/>
      <c r="AE11" s="4"/>
      <c r="AH11" s="6"/>
    </row>
    <row r="12" spans="1:34" s="1" customFormat="1" ht="12.75" customHeight="1">
      <c r="A12" s="1" t="s">
        <v>60</v>
      </c>
      <c r="B12" s="1" t="s">
        <v>61</v>
      </c>
      <c r="E12" s="4">
        <f>SUM(E14:E16)</f>
        <v>2894.619</v>
      </c>
      <c r="F12" s="4">
        <f>SUM(F14:F16)</f>
        <v>1273.63236</v>
      </c>
      <c r="G12" s="5">
        <f>F12/E12</f>
        <v>0.44</v>
      </c>
      <c r="H12" s="4">
        <f>SUM(H14:H16)</f>
        <v>4168.25136</v>
      </c>
      <c r="I12" s="4">
        <f>SUM(I14:I16)</f>
        <v>280</v>
      </c>
      <c r="J12" s="4">
        <f>SUM(J14:J16)</f>
        <v>1119</v>
      </c>
      <c r="K12" s="4">
        <f>SUM(K14:K16)</f>
        <v>0</v>
      </c>
      <c r="L12" s="4">
        <f>SUM(L14:L16)</f>
        <v>1495.619</v>
      </c>
      <c r="M12" s="6">
        <f>SUM(M14:M16)</f>
        <v>48.425</v>
      </c>
      <c r="N12" s="6">
        <f>SUM(N14:N16)</f>
        <v>6.375</v>
      </c>
      <c r="O12" s="4">
        <f>SUM(O14:O16)</f>
        <v>11220</v>
      </c>
      <c r="P12" s="6">
        <f>SUM(P14:P16)</f>
        <v>4.25</v>
      </c>
      <c r="Q12" s="4">
        <f>SUM(Q14:Q16)</f>
        <v>7480</v>
      </c>
      <c r="R12" s="6"/>
      <c r="S12" s="4">
        <f aca="true" t="shared" si="3" ref="S12:AE12">SUM(S14:S16)</f>
        <v>0</v>
      </c>
      <c r="T12" s="6">
        <f t="shared" si="3"/>
        <v>0.5</v>
      </c>
      <c r="U12" s="4">
        <f t="shared" si="3"/>
        <v>880</v>
      </c>
      <c r="V12" s="6">
        <f t="shared" si="3"/>
        <v>37.3</v>
      </c>
      <c r="W12" s="4">
        <f t="shared" si="3"/>
        <v>65648</v>
      </c>
      <c r="X12" s="4">
        <f t="shared" si="3"/>
        <v>2894.619</v>
      </c>
      <c r="Y12" s="4">
        <f t="shared" si="3"/>
        <v>105.10175000000001</v>
      </c>
      <c r="Z12" s="4">
        <f t="shared" si="3"/>
        <v>521.4895833333334</v>
      </c>
      <c r="AA12" s="4">
        <f t="shared" si="3"/>
        <v>824.7373333333334</v>
      </c>
      <c r="AB12" s="4">
        <f t="shared" si="3"/>
        <v>824.7373333333334</v>
      </c>
      <c r="AC12" s="4">
        <f t="shared" si="3"/>
        <v>618.553</v>
      </c>
      <c r="AD12" s="4">
        <f t="shared" si="3"/>
        <v>0</v>
      </c>
      <c r="AE12" s="4">
        <f t="shared" si="3"/>
        <v>510</v>
      </c>
      <c r="AH12" s="6"/>
    </row>
    <row r="13" spans="5:34" s="1" customFormat="1" ht="12.75" customHeight="1">
      <c r="E13" s="4"/>
      <c r="F13" s="4"/>
      <c r="G13" s="5"/>
      <c r="H13" s="4"/>
      <c r="I13" s="4"/>
      <c r="J13" s="4"/>
      <c r="K13" s="4"/>
      <c r="L13" s="4"/>
      <c r="M13" s="6"/>
      <c r="N13" s="6"/>
      <c r="O13" s="4"/>
      <c r="P13" s="6"/>
      <c r="Q13" s="4"/>
      <c r="R13" s="6"/>
      <c r="S13" s="4"/>
      <c r="T13" s="6"/>
      <c r="U13" s="4"/>
      <c r="V13" s="6"/>
      <c r="W13" s="4"/>
      <c r="X13" s="4"/>
      <c r="Y13" s="4"/>
      <c r="Z13" s="4"/>
      <c r="AA13" s="4"/>
      <c r="AB13" s="4"/>
      <c r="AC13" s="4"/>
      <c r="AD13" s="4"/>
      <c r="AE13" s="4"/>
      <c r="AH13" s="6"/>
    </row>
    <row r="14" spans="1:34" s="1" customFormat="1" ht="12.75" customHeight="1">
      <c r="A14" s="1" t="s">
        <v>62</v>
      </c>
      <c r="B14" s="1" t="s">
        <v>63</v>
      </c>
      <c r="E14" s="4">
        <f>SUM(I14:L14)</f>
        <v>85</v>
      </c>
      <c r="F14" s="4">
        <f>G14*E14</f>
        <v>37.4</v>
      </c>
      <c r="G14" s="5">
        <f>Contingency!E14*0.01</f>
        <v>0.44</v>
      </c>
      <c r="H14" s="4">
        <f>SUM(E14:F14)</f>
        <v>122.4</v>
      </c>
      <c r="I14" s="4">
        <f>P14*N2+T14*P2</f>
        <v>85</v>
      </c>
      <c r="J14" s="4"/>
      <c r="K14" s="4"/>
      <c r="L14" s="4"/>
      <c r="M14" s="6">
        <f>N14+P14+R14+T14+V14</f>
        <v>3</v>
      </c>
      <c r="N14" s="6">
        <v>1.5</v>
      </c>
      <c r="O14" s="4">
        <f>N14*1760</f>
        <v>2640</v>
      </c>
      <c r="P14" s="6">
        <v>1</v>
      </c>
      <c r="Q14" s="4">
        <f>P14*1760</f>
        <v>1760</v>
      </c>
      <c r="R14" s="6"/>
      <c r="S14" s="4"/>
      <c r="T14" s="6">
        <v>0.5</v>
      </c>
      <c r="U14" s="4">
        <f>T14*1760</f>
        <v>880</v>
      </c>
      <c r="V14" s="6"/>
      <c r="W14" s="4"/>
      <c r="X14" s="4">
        <f>SUM(Y14:AC14)</f>
        <v>85</v>
      </c>
      <c r="Y14" s="4">
        <f>E14*0.25</f>
        <v>21.25</v>
      </c>
      <c r="Z14" s="4">
        <f>E14*0.75</f>
        <v>63.75</v>
      </c>
      <c r="AA14" s="4"/>
      <c r="AB14" s="4"/>
      <c r="AC14" s="4"/>
      <c r="AD14" s="4"/>
      <c r="AE14" s="4">
        <f>N14*$M$2</f>
        <v>120</v>
      </c>
      <c r="AH14" s="6"/>
    </row>
    <row r="15" spans="1:34" s="1" customFormat="1" ht="12.75" customHeight="1">
      <c r="A15" s="1" t="s">
        <v>64</v>
      </c>
      <c r="B15" s="1" t="s">
        <v>65</v>
      </c>
      <c r="E15" s="4">
        <f>SUM(I15:L15)</f>
        <v>335.40700000000004</v>
      </c>
      <c r="F15" s="4">
        <f>G15*E15</f>
        <v>147.57908</v>
      </c>
      <c r="G15" s="5">
        <f>Contingency!E15*0.01</f>
        <v>0.44</v>
      </c>
      <c r="H15" s="4">
        <f>SUM(E15:F15)</f>
        <v>482.98608</v>
      </c>
      <c r="I15" s="4">
        <f>P15*N2+T15*P2</f>
        <v>60</v>
      </c>
      <c r="J15" s="4">
        <f>V15*R2</f>
        <v>120</v>
      </c>
      <c r="K15" s="4"/>
      <c r="L15" s="4">
        <v>155.407</v>
      </c>
      <c r="M15" s="6">
        <f>N15+P15+R15+T15+V15</f>
        <v>6.5</v>
      </c>
      <c r="N15" s="6">
        <v>1.5</v>
      </c>
      <c r="O15" s="4">
        <f>N15*1760</f>
        <v>2640</v>
      </c>
      <c r="P15" s="6">
        <v>1</v>
      </c>
      <c r="Q15" s="4">
        <f>P15*1760</f>
        <v>1760</v>
      </c>
      <c r="R15" s="6"/>
      <c r="S15" s="4"/>
      <c r="T15" s="6"/>
      <c r="U15" s="4"/>
      <c r="V15" s="6">
        <v>4</v>
      </c>
      <c r="W15" s="4">
        <f>V15*1760</f>
        <v>7040</v>
      </c>
      <c r="X15" s="4">
        <f>SUM(Y15:AC15)</f>
        <v>335.40700000000004</v>
      </c>
      <c r="Y15" s="4">
        <f>E15*0.25</f>
        <v>83.85175000000001</v>
      </c>
      <c r="Z15" s="4">
        <f>E15*0.75</f>
        <v>251.55525000000003</v>
      </c>
      <c r="AA15" s="4"/>
      <c r="AB15" s="4"/>
      <c r="AC15" s="4"/>
      <c r="AD15" s="4"/>
      <c r="AE15" s="4">
        <f>N15*$M$2</f>
        <v>120</v>
      </c>
      <c r="AH15" s="6"/>
    </row>
    <row r="16" spans="1:34" s="1" customFormat="1" ht="12.75" customHeight="1">
      <c r="A16" s="1" t="s">
        <v>66</v>
      </c>
      <c r="B16" s="1" t="s">
        <v>67</v>
      </c>
      <c r="E16" s="4">
        <f>SUM(I16:L16)</f>
        <v>2474.212</v>
      </c>
      <c r="F16" s="4">
        <f>G16*E16</f>
        <v>1088.65328</v>
      </c>
      <c r="G16" s="5">
        <f>Contingency!E16*0.01</f>
        <v>0.44</v>
      </c>
      <c r="H16" s="4">
        <f>SUM(E16:F16)</f>
        <v>3562.86528</v>
      </c>
      <c r="I16" s="4">
        <f>P16*N2+T16*P2</f>
        <v>135</v>
      </c>
      <c r="J16" s="4">
        <f>V16*R2</f>
        <v>998.9999999999999</v>
      </c>
      <c r="K16" s="4"/>
      <c r="L16" s="48">
        <f>Materials!M9/1000</f>
        <v>1340.212</v>
      </c>
      <c r="M16" s="6">
        <f>N16+P16+R16+T16+V16</f>
        <v>38.925</v>
      </c>
      <c r="N16" s="49">
        <f>Labour!K6</f>
        <v>3.375</v>
      </c>
      <c r="O16" s="4">
        <f>N16*1760</f>
        <v>5940</v>
      </c>
      <c r="P16" s="49">
        <f>Labour!L6</f>
        <v>2.25</v>
      </c>
      <c r="Q16" s="4">
        <f>P16*1760</f>
        <v>3960</v>
      </c>
      <c r="R16" s="6"/>
      <c r="S16" s="4"/>
      <c r="T16" s="6"/>
      <c r="U16" s="4"/>
      <c r="V16" s="49">
        <f>Labour!M6</f>
        <v>33.3</v>
      </c>
      <c r="W16" s="4">
        <f>V16*1760</f>
        <v>58607.99999999999</v>
      </c>
      <c r="X16" s="4">
        <f>SUM(Y16:AC16)</f>
        <v>2474.212</v>
      </c>
      <c r="Y16" s="4"/>
      <c r="Z16" s="4">
        <f>E16/12</f>
        <v>206.18433333333334</v>
      </c>
      <c r="AA16" s="4">
        <f>E16/3</f>
        <v>824.7373333333334</v>
      </c>
      <c r="AB16" s="4">
        <f>E16/3</f>
        <v>824.7373333333334</v>
      </c>
      <c r="AC16" s="4">
        <f>E16/4</f>
        <v>618.553</v>
      </c>
      <c r="AD16" s="4">
        <v>0</v>
      </c>
      <c r="AE16" s="4">
        <f>N16*$M$2</f>
        <v>270</v>
      </c>
      <c r="AH16" s="6"/>
    </row>
    <row r="17" spans="5:34" s="1" customFormat="1" ht="12.75" customHeight="1">
      <c r="E17" s="4"/>
      <c r="F17" s="4"/>
      <c r="G17" s="5"/>
      <c r="H17" s="4"/>
      <c r="I17" s="4"/>
      <c r="J17" s="4"/>
      <c r="K17" s="4"/>
      <c r="L17" s="4"/>
      <c r="M17" s="6"/>
      <c r="N17" s="6"/>
      <c r="O17" s="4"/>
      <c r="P17" s="6"/>
      <c r="Q17" s="4"/>
      <c r="R17" s="6"/>
      <c r="S17" s="4"/>
      <c r="T17" s="6"/>
      <c r="U17" s="4"/>
      <c r="V17" s="6"/>
      <c r="W17" s="4"/>
      <c r="X17" s="4"/>
      <c r="Y17" s="4"/>
      <c r="Z17" s="4"/>
      <c r="AA17" s="4"/>
      <c r="AB17" s="4"/>
      <c r="AC17" s="4"/>
      <c r="AD17" s="4"/>
      <c r="AE17" s="4"/>
      <c r="AH17" s="6"/>
    </row>
    <row r="18" spans="1:34" s="1" customFormat="1" ht="12.75" customHeight="1">
      <c r="A18" s="1" t="s">
        <v>68</v>
      </c>
      <c r="B18" s="1" t="s">
        <v>69</v>
      </c>
      <c r="E18" s="4">
        <f>SUM(E19:E21)</f>
        <v>422.2</v>
      </c>
      <c r="F18" s="4">
        <f>SUM(F19:F21)</f>
        <v>151.992</v>
      </c>
      <c r="G18" s="5">
        <f>F18/E18</f>
        <v>0.36</v>
      </c>
      <c r="H18" s="4">
        <f>SUM(H19:H21)</f>
        <v>574.192</v>
      </c>
      <c r="I18" s="4">
        <f>SUM(I19:I21)</f>
        <v>85</v>
      </c>
      <c r="J18" s="4">
        <f aca="true" t="shared" si="4" ref="J18:O18">SUM(J19:J21)</f>
        <v>45</v>
      </c>
      <c r="K18" s="4">
        <f t="shared" si="4"/>
        <v>0</v>
      </c>
      <c r="L18" s="4">
        <f t="shared" si="4"/>
        <v>292.2</v>
      </c>
      <c r="M18" s="6">
        <f t="shared" si="4"/>
        <v>4</v>
      </c>
      <c r="N18" s="6">
        <f t="shared" si="4"/>
        <v>1</v>
      </c>
      <c r="O18" s="4">
        <f t="shared" si="4"/>
        <v>1760</v>
      </c>
      <c r="P18" s="24">
        <f>SUM(P19:P21)</f>
        <v>1</v>
      </c>
      <c r="Q18" s="4">
        <f>SUM(Q19:Q21)</f>
        <v>1760</v>
      </c>
      <c r="R18" s="6"/>
      <c r="S18" s="4">
        <f>SUM(S19:S21)</f>
        <v>0</v>
      </c>
      <c r="T18" s="24">
        <f>SUM(T19:T21)</f>
        <v>0.5</v>
      </c>
      <c r="U18" s="4">
        <f>SUM(U19:U21)</f>
        <v>880</v>
      </c>
      <c r="V18" s="24">
        <f>SUM(V19:V21)</f>
        <v>1.5</v>
      </c>
      <c r="W18" s="4">
        <f aca="true" t="shared" si="5" ref="W18:AE18">SUM(W19:W21)</f>
        <v>2640</v>
      </c>
      <c r="X18" s="4">
        <f t="shared" si="5"/>
        <v>422.2</v>
      </c>
      <c r="Y18" s="4">
        <f t="shared" si="5"/>
        <v>26.25</v>
      </c>
      <c r="Z18" s="4">
        <f t="shared" si="5"/>
        <v>105.18333333333334</v>
      </c>
      <c r="AA18" s="4">
        <f t="shared" si="5"/>
        <v>105.73333333333333</v>
      </c>
      <c r="AB18" s="4">
        <f t="shared" si="5"/>
        <v>105.73333333333333</v>
      </c>
      <c r="AC18" s="4">
        <f t="shared" si="5"/>
        <v>79.3</v>
      </c>
      <c r="AD18" s="4">
        <f t="shared" si="5"/>
        <v>0</v>
      </c>
      <c r="AE18" s="4">
        <f t="shared" si="5"/>
        <v>80</v>
      </c>
      <c r="AH18" s="6"/>
    </row>
    <row r="19" spans="1:34" s="1" customFormat="1" ht="12.75" customHeight="1">
      <c r="A19" s="1" t="s">
        <v>70</v>
      </c>
      <c r="B19" s="1" t="s">
        <v>71</v>
      </c>
      <c r="E19" s="4">
        <f>SUM(I19:L19)</f>
        <v>42.5</v>
      </c>
      <c r="F19" s="4">
        <f>G19*E19</f>
        <v>15.299999999999999</v>
      </c>
      <c r="G19" s="5">
        <f>Contingency!E19*0.01</f>
        <v>0.36</v>
      </c>
      <c r="H19" s="4">
        <f>SUM(E19:F19)</f>
        <v>57.8</v>
      </c>
      <c r="I19" s="4">
        <f>P19*N2+T19*P2</f>
        <v>42.5</v>
      </c>
      <c r="J19" s="4"/>
      <c r="K19" s="4"/>
      <c r="L19" s="4"/>
      <c r="M19" s="6">
        <f>N19+P19+R19+T19+V19</f>
        <v>1.25</v>
      </c>
      <c r="N19" s="6">
        <v>0.5</v>
      </c>
      <c r="O19" s="4">
        <f>N19*1760</f>
        <v>880</v>
      </c>
      <c r="P19" s="6">
        <v>0.5</v>
      </c>
      <c r="Q19" s="4">
        <f>P19*1760</f>
        <v>880</v>
      </c>
      <c r="R19" s="6"/>
      <c r="S19" s="4"/>
      <c r="T19" s="6">
        <v>0.25</v>
      </c>
      <c r="U19" s="4">
        <f>T19*1760</f>
        <v>440</v>
      </c>
      <c r="V19" s="6"/>
      <c r="W19" s="4"/>
      <c r="X19" s="4">
        <f>SUM(Y19:AC19)</f>
        <v>42.5</v>
      </c>
      <c r="Y19" s="4">
        <f>E19*0.25</f>
        <v>10.625</v>
      </c>
      <c r="Z19" s="4">
        <f>E19*0.75</f>
        <v>31.875</v>
      </c>
      <c r="AA19" s="4"/>
      <c r="AB19" s="4"/>
      <c r="AC19" s="4"/>
      <c r="AD19" s="4"/>
      <c r="AE19" s="4">
        <f>N19*$M$2</f>
        <v>40</v>
      </c>
      <c r="AH19" s="6"/>
    </row>
    <row r="20" spans="1:34" s="1" customFormat="1" ht="12.75" customHeight="1">
      <c r="A20" s="1" t="s">
        <v>72</v>
      </c>
      <c r="B20" s="1" t="s">
        <v>73</v>
      </c>
      <c r="E20" s="4">
        <f>SUM(I20:L20)</f>
        <v>62.5</v>
      </c>
      <c r="F20" s="4">
        <f>G20*E20</f>
        <v>22.5</v>
      </c>
      <c r="G20" s="5">
        <f>Contingency!E20*0.01</f>
        <v>0.36</v>
      </c>
      <c r="H20" s="4">
        <f>SUM(E20:F20)</f>
        <v>85</v>
      </c>
      <c r="I20" s="4">
        <f>P20*N2+T20*P2</f>
        <v>27.5</v>
      </c>
      <c r="J20" s="4">
        <f>V20*R2</f>
        <v>15</v>
      </c>
      <c r="K20" s="4"/>
      <c r="L20" s="4">
        <v>20</v>
      </c>
      <c r="M20" s="6">
        <f>N20+P20+R20+T20+V20</f>
        <v>1.5</v>
      </c>
      <c r="N20" s="6">
        <v>0.5</v>
      </c>
      <c r="O20" s="4">
        <f>N20*1760</f>
        <v>880</v>
      </c>
      <c r="P20" s="6">
        <v>0.25</v>
      </c>
      <c r="Q20" s="4">
        <f>P20*1760</f>
        <v>440</v>
      </c>
      <c r="R20" s="6"/>
      <c r="S20" s="4"/>
      <c r="T20" s="6">
        <v>0.25</v>
      </c>
      <c r="U20" s="4">
        <f>T20*1760</f>
        <v>440</v>
      </c>
      <c r="V20" s="6">
        <v>0.5</v>
      </c>
      <c r="W20" s="4">
        <f>V20*1760</f>
        <v>880</v>
      </c>
      <c r="X20" s="4">
        <f>SUM(Y20:AC20)</f>
        <v>62.5</v>
      </c>
      <c r="Y20" s="4">
        <f>E20*0.25</f>
        <v>15.625</v>
      </c>
      <c r="Z20" s="4">
        <f>E20*0.75</f>
        <v>46.875</v>
      </c>
      <c r="AA20" s="4"/>
      <c r="AB20" s="4"/>
      <c r="AC20" s="4"/>
      <c r="AD20" s="4"/>
      <c r="AE20" s="4">
        <f>N20*$M$2</f>
        <v>40</v>
      </c>
      <c r="AH20" s="6"/>
    </row>
    <row r="21" spans="1:34" s="1" customFormat="1" ht="12.75" customHeight="1">
      <c r="A21" s="1" t="s">
        <v>74</v>
      </c>
      <c r="B21" s="1" t="s">
        <v>75</v>
      </c>
      <c r="E21" s="4">
        <f>SUM(I21:L21)</f>
        <v>317.2</v>
      </c>
      <c r="F21" s="4">
        <f>G21*E21</f>
        <v>114.192</v>
      </c>
      <c r="G21" s="5">
        <f>Contingency!E21*0.01</f>
        <v>0.36</v>
      </c>
      <c r="H21" s="4">
        <f>SUM(E21:F21)</f>
        <v>431.392</v>
      </c>
      <c r="I21" s="4">
        <f>N21*M2+P21*N2+T21*P2</f>
        <v>15</v>
      </c>
      <c r="J21" s="4">
        <f>V21*R2</f>
        <v>30</v>
      </c>
      <c r="K21" s="4"/>
      <c r="L21" s="4">
        <f>SUM(L22:L26)</f>
        <v>272.2</v>
      </c>
      <c r="M21" s="6">
        <f>N21+P21+R21+T21+V21</f>
        <v>1.25</v>
      </c>
      <c r="N21" s="6"/>
      <c r="O21" s="4">
        <f>N21*1760</f>
        <v>0</v>
      </c>
      <c r="P21" s="6">
        <v>0.25</v>
      </c>
      <c r="Q21" s="4">
        <f>P21*1760</f>
        <v>440</v>
      </c>
      <c r="R21" s="6"/>
      <c r="S21" s="4"/>
      <c r="T21" s="6"/>
      <c r="U21" s="4"/>
      <c r="V21" s="6">
        <v>1</v>
      </c>
      <c r="W21" s="4">
        <f>V21*1760</f>
        <v>1760</v>
      </c>
      <c r="X21" s="4">
        <f>SUM(Y21:AC21)</f>
        <v>317.2</v>
      </c>
      <c r="Y21" s="4"/>
      <c r="Z21" s="4">
        <f>E21/12</f>
        <v>26.433333333333334</v>
      </c>
      <c r="AA21" s="4">
        <f>E21/3</f>
        <v>105.73333333333333</v>
      </c>
      <c r="AB21" s="4">
        <f>E21/3</f>
        <v>105.73333333333333</v>
      </c>
      <c r="AC21" s="4">
        <f>E21/4</f>
        <v>79.3</v>
      </c>
      <c r="AD21" s="4">
        <v>0</v>
      </c>
      <c r="AE21" s="4"/>
      <c r="AH21" s="6"/>
    </row>
    <row r="22" spans="1:34" s="1" customFormat="1" ht="12.75" customHeight="1">
      <c r="A22" s="1" t="s">
        <v>76</v>
      </c>
      <c r="B22" s="1" t="s">
        <v>77</v>
      </c>
      <c r="E22" s="4"/>
      <c r="F22" s="4"/>
      <c r="G22" s="5">
        <f>Contingency!E22*0.01</f>
        <v>0.36</v>
      </c>
      <c r="H22" s="4"/>
      <c r="I22" s="4"/>
      <c r="J22" s="4"/>
      <c r="K22" s="4"/>
      <c r="L22" s="4">
        <v>82.2</v>
      </c>
      <c r="M22" s="6"/>
      <c r="N22" s="6"/>
      <c r="O22" s="4"/>
      <c r="P22" s="6"/>
      <c r="Q22" s="4"/>
      <c r="R22" s="6"/>
      <c r="S22" s="4"/>
      <c r="T22" s="6"/>
      <c r="U22" s="4"/>
      <c r="V22" s="6"/>
      <c r="W22" s="4"/>
      <c r="X22" s="4"/>
      <c r="Y22" s="4"/>
      <c r="Z22" s="4"/>
      <c r="AA22" s="4"/>
      <c r="AB22" s="4"/>
      <c r="AC22" s="4"/>
      <c r="AD22" s="4"/>
      <c r="AE22" s="4"/>
      <c r="AH22" s="6"/>
    </row>
    <row r="23" spans="1:34" s="1" customFormat="1" ht="12.75" customHeight="1">
      <c r="A23" s="1" t="s">
        <v>78</v>
      </c>
      <c r="B23" s="1" t="s">
        <v>79</v>
      </c>
      <c r="E23" s="4"/>
      <c r="F23" s="4"/>
      <c r="G23" s="5">
        <f>Contingency!E23*0.01</f>
        <v>0.36</v>
      </c>
      <c r="H23" s="4"/>
      <c r="I23" s="4"/>
      <c r="J23" s="4"/>
      <c r="K23" s="4"/>
      <c r="L23" s="4">
        <v>120</v>
      </c>
      <c r="M23" s="6"/>
      <c r="N23" s="6"/>
      <c r="O23" s="4"/>
      <c r="P23" s="6"/>
      <c r="Q23" s="4"/>
      <c r="R23" s="6"/>
      <c r="S23" s="4"/>
      <c r="T23" s="6"/>
      <c r="U23" s="4"/>
      <c r="V23" s="6"/>
      <c r="W23" s="4"/>
      <c r="X23" s="4"/>
      <c r="Y23" s="4"/>
      <c r="Z23" s="4"/>
      <c r="AA23" s="4"/>
      <c r="AB23" s="4"/>
      <c r="AC23" s="4"/>
      <c r="AD23" s="4"/>
      <c r="AE23" s="4"/>
      <c r="AH23" s="6"/>
    </row>
    <row r="24" spans="1:34" s="1" customFormat="1" ht="12.75" customHeight="1">
      <c r="A24" s="1" t="s">
        <v>80</v>
      </c>
      <c r="B24" s="1" t="s">
        <v>81</v>
      </c>
      <c r="E24" s="4"/>
      <c r="F24" s="4"/>
      <c r="G24" s="5">
        <f>Contingency!E24*0.01</f>
        <v>0.36</v>
      </c>
      <c r="H24" s="4"/>
      <c r="I24" s="4"/>
      <c r="J24" s="4"/>
      <c r="K24" s="4"/>
      <c r="L24" s="4">
        <v>40</v>
      </c>
      <c r="M24" s="6"/>
      <c r="N24" s="6"/>
      <c r="O24" s="4"/>
      <c r="P24" s="6"/>
      <c r="Q24" s="4"/>
      <c r="R24" s="6"/>
      <c r="S24" s="4"/>
      <c r="T24" s="6"/>
      <c r="U24" s="4"/>
      <c r="V24" s="6"/>
      <c r="W24" s="4"/>
      <c r="X24" s="4"/>
      <c r="Y24" s="4"/>
      <c r="Z24" s="4"/>
      <c r="AA24" s="4"/>
      <c r="AB24" s="4"/>
      <c r="AC24" s="4"/>
      <c r="AD24" s="4"/>
      <c r="AE24" s="4"/>
      <c r="AH24" s="6"/>
    </row>
    <row r="25" spans="1:34" s="1" customFormat="1" ht="12.75" customHeight="1">
      <c r="A25" s="1" t="s">
        <v>82</v>
      </c>
      <c r="B25" s="1" t="s">
        <v>83</v>
      </c>
      <c r="E25" s="4"/>
      <c r="F25" s="4"/>
      <c r="G25" s="5">
        <f>Contingency!E25*0.01</f>
        <v>0.36</v>
      </c>
      <c r="H25" s="4"/>
      <c r="I25" s="4"/>
      <c r="J25" s="4"/>
      <c r="K25" s="4"/>
      <c r="L25" s="4">
        <v>20</v>
      </c>
      <c r="M25" s="6"/>
      <c r="N25" s="6"/>
      <c r="O25" s="4"/>
      <c r="P25" s="6"/>
      <c r="Q25" s="4"/>
      <c r="R25" s="6"/>
      <c r="S25" s="4"/>
      <c r="T25" s="6"/>
      <c r="U25" s="4"/>
      <c r="V25" s="6"/>
      <c r="W25" s="4"/>
      <c r="X25" s="4"/>
      <c r="Y25" s="4"/>
      <c r="Z25" s="4"/>
      <c r="AA25" s="4"/>
      <c r="AB25" s="4"/>
      <c r="AC25" s="4"/>
      <c r="AD25" s="4"/>
      <c r="AE25" s="4"/>
      <c r="AH25" s="6"/>
    </row>
    <row r="26" spans="1:34" s="1" customFormat="1" ht="12.75" customHeight="1">
      <c r="A26" s="1" t="s">
        <v>84</v>
      </c>
      <c r="B26" s="1" t="s">
        <v>85</v>
      </c>
      <c r="E26" s="4"/>
      <c r="F26" s="4"/>
      <c r="G26" s="5">
        <f>Contingency!E26*0.01</f>
        <v>0.36</v>
      </c>
      <c r="H26" s="4"/>
      <c r="I26" s="4"/>
      <c r="J26" s="4"/>
      <c r="K26" s="4"/>
      <c r="L26" s="4">
        <v>10</v>
      </c>
      <c r="M26" s="6"/>
      <c r="N26" s="6"/>
      <c r="O26" s="4"/>
      <c r="P26" s="6"/>
      <c r="Q26" s="4"/>
      <c r="R26" s="6"/>
      <c r="S26" s="4"/>
      <c r="T26" s="6"/>
      <c r="U26" s="4"/>
      <c r="V26" s="6"/>
      <c r="W26" s="4"/>
      <c r="X26" s="4"/>
      <c r="Y26" s="4"/>
      <c r="Z26" s="4"/>
      <c r="AA26" s="4"/>
      <c r="AB26" s="4"/>
      <c r="AC26" s="4"/>
      <c r="AD26" s="4"/>
      <c r="AE26" s="4"/>
      <c r="AH26" s="6"/>
    </row>
    <row r="27" spans="5:34" s="1" customFormat="1" ht="12.75" customHeight="1">
      <c r="E27" s="4"/>
      <c r="F27" s="4"/>
      <c r="G27" s="5"/>
      <c r="H27" s="4"/>
      <c r="I27" s="4"/>
      <c r="J27" s="4"/>
      <c r="K27" s="4"/>
      <c r="L27" s="4"/>
      <c r="M27" s="6"/>
      <c r="N27" s="6"/>
      <c r="O27" s="4"/>
      <c r="P27" s="6"/>
      <c r="Q27" s="4"/>
      <c r="R27" s="6"/>
      <c r="S27" s="4"/>
      <c r="T27" s="6"/>
      <c r="U27" s="4"/>
      <c r="V27" s="6"/>
      <c r="W27" s="4"/>
      <c r="X27" s="4"/>
      <c r="Y27" s="4"/>
      <c r="Z27" s="4"/>
      <c r="AA27" s="4"/>
      <c r="AB27" s="4"/>
      <c r="AC27" s="4"/>
      <c r="AD27" s="4"/>
      <c r="AE27" s="4"/>
      <c r="AH27" s="6"/>
    </row>
    <row r="28" spans="1:34" s="1" customFormat="1" ht="12.75" customHeight="1">
      <c r="A28" s="1" t="s">
        <v>86</v>
      </c>
      <c r="B28" s="1" t="s">
        <v>87</v>
      </c>
      <c r="E28" s="4">
        <f>E30+E35+E39</f>
        <v>2806.235371428571</v>
      </c>
      <c r="F28" s="4">
        <f>F30+F35+F39</f>
        <v>670.0386114285714</v>
      </c>
      <c r="G28" s="5">
        <f>F28/E28</f>
        <v>0.23876778770965126</v>
      </c>
      <c r="H28" s="4">
        <f aca="true" t="shared" si="6" ref="H28:Q28">H30+H35+H39</f>
        <v>3476.273982857142</v>
      </c>
      <c r="I28" s="4">
        <f t="shared" si="6"/>
        <v>310.4592</v>
      </c>
      <c r="J28" s="4">
        <f t="shared" si="6"/>
        <v>707.7191999999999</v>
      </c>
      <c r="K28" s="4">
        <f t="shared" si="6"/>
        <v>0</v>
      </c>
      <c r="L28" s="4">
        <f t="shared" si="6"/>
        <v>1788.0569714285714</v>
      </c>
      <c r="M28" s="6">
        <f t="shared" si="6"/>
        <v>32.92961618233618</v>
      </c>
      <c r="N28" s="6">
        <f t="shared" si="6"/>
        <v>3.92432</v>
      </c>
      <c r="O28" s="4">
        <f t="shared" si="6"/>
        <v>6906.8032</v>
      </c>
      <c r="P28" s="6">
        <f t="shared" si="6"/>
        <v>3.92432</v>
      </c>
      <c r="Q28" s="4">
        <f t="shared" si="6"/>
        <v>6906.8032</v>
      </c>
      <c r="R28" s="6"/>
      <c r="S28" s="4">
        <f aca="true" t="shared" si="7" ref="S28:AE28">S30+S35+S39</f>
        <v>0</v>
      </c>
      <c r="T28" s="6">
        <f t="shared" si="7"/>
        <v>1.5</v>
      </c>
      <c r="U28" s="4">
        <f t="shared" si="7"/>
        <v>2640</v>
      </c>
      <c r="V28" s="6">
        <f t="shared" si="7"/>
        <v>23.58097618233618</v>
      </c>
      <c r="W28" s="4">
        <f t="shared" si="7"/>
        <v>41150.51808091168</v>
      </c>
      <c r="X28" s="4">
        <f t="shared" si="7"/>
        <v>2806.235371428571</v>
      </c>
      <c r="Y28" s="4">
        <f t="shared" si="7"/>
        <v>91.314</v>
      </c>
      <c r="Z28" s="4">
        <f t="shared" si="7"/>
        <v>488.3009476190476</v>
      </c>
      <c r="AA28" s="4">
        <f t="shared" si="7"/>
        <v>815.9637904761903</v>
      </c>
      <c r="AB28" s="4">
        <f t="shared" si="7"/>
        <v>809.0517904761904</v>
      </c>
      <c r="AC28" s="4">
        <f t="shared" si="7"/>
        <v>601.6048428571428</v>
      </c>
      <c r="AD28" s="4">
        <f t="shared" si="7"/>
        <v>0</v>
      </c>
      <c r="AE28" s="4">
        <f t="shared" si="7"/>
        <v>313.9456</v>
      </c>
      <c r="AH28" s="6"/>
    </row>
    <row r="29" spans="5:34" s="1" customFormat="1" ht="12.75" customHeight="1">
      <c r="E29" s="4"/>
      <c r="F29" s="4"/>
      <c r="G29" s="5"/>
      <c r="H29" s="4"/>
      <c r="I29" s="4"/>
      <c r="J29" s="4"/>
      <c r="K29" s="4"/>
      <c r="L29" s="4"/>
      <c r="M29" s="6"/>
      <c r="N29" s="6"/>
      <c r="O29" s="4"/>
      <c r="P29" s="6"/>
      <c r="Q29" s="4"/>
      <c r="R29" s="6"/>
      <c r="S29" s="4"/>
      <c r="T29" s="6"/>
      <c r="U29" s="4"/>
      <c r="V29" s="6"/>
      <c r="W29" s="4"/>
      <c r="X29" s="4"/>
      <c r="Y29" s="4"/>
      <c r="Z29" s="4"/>
      <c r="AA29" s="4"/>
      <c r="AB29" s="4"/>
      <c r="AC29" s="4"/>
      <c r="AD29" s="4"/>
      <c r="AE29" s="4"/>
      <c r="AH29" s="6"/>
    </row>
    <row r="30" spans="1:34" s="1" customFormat="1" ht="12.75" customHeight="1">
      <c r="A30" s="1" t="s">
        <v>88</v>
      </c>
      <c r="B30" s="1" t="s">
        <v>89</v>
      </c>
      <c r="E30" s="4">
        <f>SUM(E31:E33)</f>
        <v>1556.175371428571</v>
      </c>
      <c r="F30" s="4">
        <f>SUM(F31:F33)</f>
        <v>466.8526114285713</v>
      </c>
      <c r="G30" s="5">
        <f>F30/E30</f>
        <v>0.3</v>
      </c>
      <c r="H30" s="4">
        <f aca="true" t="shared" si="8" ref="H30:AE30">SUM(H31:H33)</f>
        <v>2023.0279828571424</v>
      </c>
      <c r="I30" s="4">
        <f t="shared" si="8"/>
        <v>310.4592</v>
      </c>
      <c r="J30" s="4">
        <f t="shared" si="8"/>
        <v>598.4591999999999</v>
      </c>
      <c r="K30" s="4">
        <f t="shared" si="8"/>
        <v>0</v>
      </c>
      <c r="L30" s="4">
        <f t="shared" si="8"/>
        <v>647.2569714285713</v>
      </c>
      <c r="M30" s="6">
        <f t="shared" si="8"/>
        <v>27.797279999999997</v>
      </c>
      <c r="N30" s="6">
        <f t="shared" si="8"/>
        <v>2.42432</v>
      </c>
      <c r="O30" s="4">
        <f t="shared" si="8"/>
        <v>4266.8032</v>
      </c>
      <c r="P30" s="6">
        <f t="shared" si="8"/>
        <v>3.92432</v>
      </c>
      <c r="Q30" s="4">
        <f t="shared" si="8"/>
        <v>6906.8032</v>
      </c>
      <c r="R30" s="6">
        <f t="shared" si="8"/>
        <v>0</v>
      </c>
      <c r="S30" s="4">
        <f t="shared" si="8"/>
        <v>0</v>
      </c>
      <c r="T30" s="6">
        <f t="shared" si="8"/>
        <v>1.5</v>
      </c>
      <c r="U30" s="4">
        <f t="shared" si="8"/>
        <v>2640</v>
      </c>
      <c r="V30" s="6">
        <f t="shared" si="8"/>
        <v>19.948639999999997</v>
      </c>
      <c r="W30" s="4">
        <f t="shared" si="8"/>
        <v>35109.6064</v>
      </c>
      <c r="X30" s="4">
        <f t="shared" si="8"/>
        <v>1556.175371428571</v>
      </c>
      <c r="Y30" s="4">
        <f t="shared" si="8"/>
        <v>83.189</v>
      </c>
      <c r="Z30" s="4">
        <f t="shared" si="8"/>
        <v>351.51861428571425</v>
      </c>
      <c r="AA30" s="4">
        <f t="shared" si="8"/>
        <v>407.806457142857</v>
      </c>
      <c r="AB30" s="4">
        <f t="shared" si="8"/>
        <v>407.806457142857</v>
      </c>
      <c r="AC30" s="4">
        <f t="shared" si="8"/>
        <v>305.8548428571428</v>
      </c>
      <c r="AD30" s="4">
        <f t="shared" si="8"/>
        <v>0</v>
      </c>
      <c r="AE30" s="4">
        <f t="shared" si="8"/>
        <v>193.9456</v>
      </c>
      <c r="AH30" s="6"/>
    </row>
    <row r="31" spans="1:34" s="1" customFormat="1" ht="12.75" customHeight="1">
      <c r="A31" s="1" t="s">
        <v>90</v>
      </c>
      <c r="B31" s="1" t="s">
        <v>91</v>
      </c>
      <c r="E31" s="4">
        <f>SUM(I31:L31)</f>
        <v>60</v>
      </c>
      <c r="F31" s="4">
        <f>G31*E31</f>
        <v>18</v>
      </c>
      <c r="G31" s="5">
        <f>Contingency!E31*0.01</f>
        <v>0.3</v>
      </c>
      <c r="H31" s="4">
        <f>SUM(E31:F31)</f>
        <v>78</v>
      </c>
      <c r="I31" s="4">
        <f>P31*N2+T31*P2</f>
        <v>60</v>
      </c>
      <c r="J31" s="4">
        <f>V31*R1</f>
        <v>0</v>
      </c>
      <c r="K31" s="4"/>
      <c r="L31" s="4">
        <v>0</v>
      </c>
      <c r="M31" s="6">
        <f>N31+P31+R31+T31+V31</f>
        <v>2</v>
      </c>
      <c r="N31" s="6">
        <v>1</v>
      </c>
      <c r="O31" s="4">
        <f>N31*1760</f>
        <v>1760</v>
      </c>
      <c r="P31" s="6">
        <v>1</v>
      </c>
      <c r="Q31" s="4">
        <f>P31*1760</f>
        <v>1760</v>
      </c>
      <c r="R31" s="6"/>
      <c r="S31" s="4"/>
      <c r="T31" s="6"/>
      <c r="U31" s="4"/>
      <c r="V31" s="6"/>
      <c r="W31" s="4"/>
      <c r="X31" s="4">
        <f>SUM(Y31:AC31)</f>
        <v>60</v>
      </c>
      <c r="Y31" s="4">
        <f>E31*0.25</f>
        <v>15</v>
      </c>
      <c r="Z31" s="4">
        <f>E31*0.75</f>
        <v>45</v>
      </c>
      <c r="AA31" s="4"/>
      <c r="AB31" s="4"/>
      <c r="AC31" s="4"/>
      <c r="AD31" s="4"/>
      <c r="AE31" s="4">
        <f>N31*$M$2</f>
        <v>80</v>
      </c>
      <c r="AH31" s="6"/>
    </row>
    <row r="32" spans="1:34" s="1" customFormat="1" ht="12.75" customHeight="1">
      <c r="A32" s="1" t="s">
        <v>92</v>
      </c>
      <c r="B32" s="1" t="s">
        <v>93</v>
      </c>
      <c r="E32" s="4">
        <f>SUM(I32:L32)</f>
        <v>272.756</v>
      </c>
      <c r="F32" s="4">
        <f>G32*E32</f>
        <v>81.82679999999999</v>
      </c>
      <c r="G32" s="5">
        <f>Contingency!E32*0.01</f>
        <v>0.3</v>
      </c>
      <c r="H32" s="4">
        <f>SUM(E32:F32)</f>
        <v>354.58279999999996</v>
      </c>
      <c r="I32" s="4">
        <f>P32*N2+T32*P2</f>
        <v>135</v>
      </c>
      <c r="J32" s="4">
        <f>V32*R2</f>
        <v>60</v>
      </c>
      <c r="K32" s="4"/>
      <c r="L32" s="4">
        <v>77.756</v>
      </c>
      <c r="M32" s="6">
        <f>N32+P32+R32+T32+V32</f>
        <v>5.5</v>
      </c>
      <c r="N32" s="6">
        <v>1</v>
      </c>
      <c r="O32" s="4">
        <f>N32*1760</f>
        <v>1760</v>
      </c>
      <c r="P32" s="6">
        <v>1</v>
      </c>
      <c r="Q32" s="4">
        <f>P32*1760</f>
        <v>1760</v>
      </c>
      <c r="R32" s="6"/>
      <c r="S32" s="4"/>
      <c r="T32" s="6">
        <v>1.5</v>
      </c>
      <c r="U32" s="4">
        <f>T32*1760</f>
        <v>2640</v>
      </c>
      <c r="V32" s="6">
        <v>2</v>
      </c>
      <c r="W32" s="4">
        <f>V32*1760</f>
        <v>3520</v>
      </c>
      <c r="X32" s="4">
        <f>SUM(Y32:AC32)</f>
        <v>272.756</v>
      </c>
      <c r="Y32" s="4">
        <f>E32*0.25</f>
        <v>68.189</v>
      </c>
      <c r="Z32" s="4">
        <f>E32*0.75</f>
        <v>204.56699999999998</v>
      </c>
      <c r="AA32" s="4"/>
      <c r="AB32" s="4"/>
      <c r="AC32" s="4"/>
      <c r="AD32" s="4"/>
      <c r="AE32" s="4">
        <f>N32*$M$2</f>
        <v>80</v>
      </c>
      <c r="AH32" s="6"/>
    </row>
    <row r="33" spans="1:34" s="1" customFormat="1" ht="12.75" customHeight="1">
      <c r="A33" s="1" t="s">
        <v>94</v>
      </c>
      <c r="B33" s="1" t="s">
        <v>95</v>
      </c>
      <c r="E33" s="4">
        <f>SUM(I33:L33)</f>
        <v>1223.4193714285711</v>
      </c>
      <c r="F33" s="4">
        <f>G33*E33</f>
        <v>367.02581142857133</v>
      </c>
      <c r="G33" s="5">
        <f>Contingency!E33*0.01</f>
        <v>0.3</v>
      </c>
      <c r="H33" s="4">
        <f>SUM(E33:F33)</f>
        <v>1590.4451828571425</v>
      </c>
      <c r="I33" s="4">
        <f>P33*N2+T33*P2</f>
        <v>115.4592</v>
      </c>
      <c r="J33" s="4">
        <f>V33*R2</f>
        <v>538.4591999999999</v>
      </c>
      <c r="K33" s="4"/>
      <c r="L33" s="48">
        <f>Materials!M30/1000</f>
        <v>569.5009714285713</v>
      </c>
      <c r="M33" s="6">
        <f>N33+P33+R33+T33+V33</f>
        <v>20.297279999999997</v>
      </c>
      <c r="N33" s="49">
        <f>Labour!K20</f>
        <v>0.42432</v>
      </c>
      <c r="O33" s="4">
        <f>N33*1760</f>
        <v>746.8032</v>
      </c>
      <c r="P33" s="49">
        <f>Labour!L20</f>
        <v>1.92432</v>
      </c>
      <c r="Q33" s="4">
        <f>P33*1760</f>
        <v>3386.8032</v>
      </c>
      <c r="R33" s="6"/>
      <c r="S33" s="4"/>
      <c r="T33" s="6"/>
      <c r="U33" s="4"/>
      <c r="V33" s="49">
        <f>Labour!M20</f>
        <v>17.948639999999997</v>
      </c>
      <c r="W33" s="4">
        <f>V33*1760</f>
        <v>31589.606399999997</v>
      </c>
      <c r="X33" s="4">
        <f>SUM(Y33:AC33)</f>
        <v>1223.4193714285711</v>
      </c>
      <c r="Y33" s="4"/>
      <c r="Z33" s="4">
        <f>E33/12</f>
        <v>101.95161428571426</v>
      </c>
      <c r="AA33" s="4">
        <f>E33/3</f>
        <v>407.806457142857</v>
      </c>
      <c r="AB33" s="4">
        <f>E33/3</f>
        <v>407.806457142857</v>
      </c>
      <c r="AC33" s="4">
        <f>E33/4</f>
        <v>305.8548428571428</v>
      </c>
      <c r="AD33" s="4">
        <v>0</v>
      </c>
      <c r="AE33" s="4">
        <f>N33*$M$2</f>
        <v>33.9456</v>
      </c>
      <c r="AH33" s="6"/>
    </row>
    <row r="34" spans="5:34" s="1" customFormat="1" ht="12.75" customHeight="1">
      <c r="E34" s="4"/>
      <c r="F34" s="4"/>
      <c r="G34" s="5"/>
      <c r="H34" s="4"/>
      <c r="I34" s="4"/>
      <c r="J34" s="4"/>
      <c r="K34" s="4"/>
      <c r="L34" s="4"/>
      <c r="M34" s="6"/>
      <c r="N34" s="6"/>
      <c r="O34" s="4"/>
      <c r="P34" s="6"/>
      <c r="Q34" s="4"/>
      <c r="R34" s="6"/>
      <c r="S34" s="4"/>
      <c r="T34" s="6"/>
      <c r="U34" s="4"/>
      <c r="V34" s="6"/>
      <c r="W34" s="4"/>
      <c r="X34" s="4"/>
      <c r="Y34" s="4"/>
      <c r="Z34" s="4"/>
      <c r="AA34" s="4"/>
      <c r="AB34" s="4"/>
      <c r="AC34" s="4"/>
      <c r="AD34" s="4"/>
      <c r="AE34" s="4"/>
      <c r="AH34" s="6"/>
    </row>
    <row r="35" spans="1:34" s="1" customFormat="1" ht="12.75" customHeight="1">
      <c r="A35" s="1" t="s">
        <v>96</v>
      </c>
      <c r="B35" s="1" t="s">
        <v>97</v>
      </c>
      <c r="E35" s="4">
        <f>SUM(E36:E37)</f>
        <v>651.5</v>
      </c>
      <c r="F35" s="4">
        <f>SUM(F36:F37)</f>
        <v>143.33</v>
      </c>
      <c r="G35" s="5">
        <f>F35/E35</f>
        <v>0.22000000000000003</v>
      </c>
      <c r="H35" s="4">
        <f aca="true" t="shared" si="9" ref="H35:Q35">SUM(H36:H37)</f>
        <v>794.83</v>
      </c>
      <c r="I35" s="4">
        <f t="shared" si="9"/>
        <v>0</v>
      </c>
      <c r="J35" s="4">
        <f t="shared" si="9"/>
        <v>97.5</v>
      </c>
      <c r="K35" s="4">
        <f t="shared" si="9"/>
        <v>0</v>
      </c>
      <c r="L35" s="4">
        <f t="shared" si="9"/>
        <v>554</v>
      </c>
      <c r="M35" s="6">
        <f t="shared" si="9"/>
        <v>4.75</v>
      </c>
      <c r="N35" s="6">
        <f t="shared" si="9"/>
        <v>1.5</v>
      </c>
      <c r="O35" s="4">
        <f t="shared" si="9"/>
        <v>2640</v>
      </c>
      <c r="P35" s="6">
        <f t="shared" si="9"/>
        <v>0</v>
      </c>
      <c r="Q35" s="4">
        <f t="shared" si="9"/>
        <v>0</v>
      </c>
      <c r="R35" s="6"/>
      <c r="S35" s="4">
        <f aca="true" t="shared" si="10" ref="S35:AE35">SUM(S36:S37)</f>
        <v>0</v>
      </c>
      <c r="T35" s="6">
        <f t="shared" si="10"/>
        <v>0</v>
      </c>
      <c r="U35" s="4">
        <f t="shared" si="10"/>
        <v>0</v>
      </c>
      <c r="V35" s="6">
        <f t="shared" si="10"/>
        <v>3.25</v>
      </c>
      <c r="W35" s="4">
        <f t="shared" si="10"/>
        <v>5720</v>
      </c>
      <c r="X35" s="4">
        <f t="shared" si="10"/>
        <v>651.5</v>
      </c>
      <c r="Y35" s="4">
        <f t="shared" si="10"/>
        <v>8.125</v>
      </c>
      <c r="Z35" s="4">
        <f t="shared" si="10"/>
        <v>75.95833333333334</v>
      </c>
      <c r="AA35" s="4">
        <f t="shared" si="10"/>
        <v>206.33333333333334</v>
      </c>
      <c r="AB35" s="4">
        <f t="shared" si="10"/>
        <v>206.33333333333334</v>
      </c>
      <c r="AC35" s="4">
        <f t="shared" si="10"/>
        <v>154.75</v>
      </c>
      <c r="AD35" s="4">
        <f t="shared" si="10"/>
        <v>0</v>
      </c>
      <c r="AE35" s="4">
        <f t="shared" si="10"/>
        <v>120</v>
      </c>
      <c r="AH35" s="6"/>
    </row>
    <row r="36" spans="1:34" s="1" customFormat="1" ht="12.75" customHeight="1">
      <c r="A36" s="1" t="s">
        <v>98</v>
      </c>
      <c r="B36" s="1" t="s">
        <v>99</v>
      </c>
      <c r="E36" s="4">
        <f>SUM(I36:L36)</f>
        <v>32.5</v>
      </c>
      <c r="F36" s="4">
        <f>G36*E36</f>
        <v>7.15</v>
      </c>
      <c r="G36" s="5">
        <f>Contingency!E36*0.01</f>
        <v>0.22</v>
      </c>
      <c r="H36" s="4">
        <f>SUM(E36:F36)</f>
        <v>39.65</v>
      </c>
      <c r="I36" s="4">
        <f>P36*N2+T36*P2</f>
        <v>0</v>
      </c>
      <c r="J36" s="4">
        <f>V36*R2</f>
        <v>7.5</v>
      </c>
      <c r="K36" s="4"/>
      <c r="L36" s="4">
        <v>25</v>
      </c>
      <c r="M36" s="6">
        <f>N36+P36+R36+T36+V36</f>
        <v>0.75</v>
      </c>
      <c r="N36" s="6">
        <v>0.5</v>
      </c>
      <c r="O36" s="4">
        <f>N36*1760</f>
        <v>880</v>
      </c>
      <c r="P36" s="6"/>
      <c r="Q36" s="4"/>
      <c r="R36" s="6"/>
      <c r="S36" s="4"/>
      <c r="T36" s="6"/>
      <c r="U36" s="4"/>
      <c r="V36" s="6">
        <v>0.25</v>
      </c>
      <c r="W36" s="4">
        <f>V36*1760</f>
        <v>440</v>
      </c>
      <c r="X36" s="4">
        <f>SUM(Y36:AC36)</f>
        <v>32.5</v>
      </c>
      <c r="Y36" s="4">
        <f>E36*0.25</f>
        <v>8.125</v>
      </c>
      <c r="Z36" s="4">
        <f>E36*0.75</f>
        <v>24.375</v>
      </c>
      <c r="AA36" s="4"/>
      <c r="AB36" s="4"/>
      <c r="AC36" s="4"/>
      <c r="AD36" s="4"/>
      <c r="AE36" s="4">
        <f>N36*$M$2</f>
        <v>40</v>
      </c>
      <c r="AH36" s="6"/>
    </row>
    <row r="37" spans="1:34" s="1" customFormat="1" ht="12.75" customHeight="1">
      <c r="A37" s="1" t="s">
        <v>100</v>
      </c>
      <c r="B37" s="1" t="s">
        <v>101</v>
      </c>
      <c r="E37" s="4">
        <f>SUM(I37:L37)</f>
        <v>619</v>
      </c>
      <c r="F37" s="4">
        <f>G37*E37</f>
        <v>136.18</v>
      </c>
      <c r="G37" s="5">
        <f>Contingency!E37*0.01</f>
        <v>0.22</v>
      </c>
      <c r="H37" s="4">
        <f>SUM(E37:F37)</f>
        <v>755.1800000000001</v>
      </c>
      <c r="I37" s="4">
        <f>P37*N2+T37*P2</f>
        <v>0</v>
      </c>
      <c r="J37" s="4">
        <f>V37*R2</f>
        <v>90</v>
      </c>
      <c r="K37" s="4"/>
      <c r="L37" s="4">
        <v>529</v>
      </c>
      <c r="M37" s="6">
        <f>N37+P37+R37+T37+V37</f>
        <v>4</v>
      </c>
      <c r="N37" s="6">
        <v>1</v>
      </c>
      <c r="O37" s="4">
        <f>N37*1760</f>
        <v>1760</v>
      </c>
      <c r="P37" s="6"/>
      <c r="Q37" s="4"/>
      <c r="R37" s="6"/>
      <c r="S37" s="4"/>
      <c r="T37" s="6"/>
      <c r="U37" s="4"/>
      <c r="V37" s="6">
        <v>3</v>
      </c>
      <c r="W37" s="4">
        <f>V37*1760</f>
        <v>5280</v>
      </c>
      <c r="X37" s="4">
        <f>SUM(Y37:AC37)</f>
        <v>619</v>
      </c>
      <c r="Y37" s="4"/>
      <c r="Z37" s="4">
        <f>E37/12</f>
        <v>51.583333333333336</v>
      </c>
      <c r="AA37" s="4">
        <f>E37/3</f>
        <v>206.33333333333334</v>
      </c>
      <c r="AB37" s="4">
        <f>E37/3</f>
        <v>206.33333333333334</v>
      </c>
      <c r="AC37" s="4">
        <f>E37/4</f>
        <v>154.75</v>
      </c>
      <c r="AD37" s="4">
        <v>0</v>
      </c>
      <c r="AE37" s="4">
        <f>N37*$M$2</f>
        <v>80</v>
      </c>
      <c r="AH37" s="6"/>
    </row>
    <row r="38" spans="5:34" s="1" customFormat="1" ht="12.75" customHeight="1">
      <c r="E38" s="4"/>
      <c r="F38" s="4"/>
      <c r="G38" s="5"/>
      <c r="H38" s="4"/>
      <c r="I38" s="4"/>
      <c r="J38" s="4"/>
      <c r="K38" s="4"/>
      <c r="L38" s="4"/>
      <c r="M38" s="6"/>
      <c r="N38" s="6"/>
      <c r="O38" s="4"/>
      <c r="P38" s="6"/>
      <c r="Q38" s="4"/>
      <c r="R38" s="6"/>
      <c r="S38" s="4"/>
      <c r="T38" s="6"/>
      <c r="U38" s="4"/>
      <c r="V38" s="6"/>
      <c r="W38" s="4"/>
      <c r="X38" s="4"/>
      <c r="Y38" s="4"/>
      <c r="Z38" s="4"/>
      <c r="AA38" s="4"/>
      <c r="AB38" s="4"/>
      <c r="AC38" s="4"/>
      <c r="AD38" s="4"/>
      <c r="AE38" s="4"/>
      <c r="AH38" s="6"/>
    </row>
    <row r="39" spans="1:34" s="1" customFormat="1" ht="12.75" customHeight="1">
      <c r="A39" s="1" t="s">
        <v>102</v>
      </c>
      <c r="B39" s="1" t="s">
        <v>103</v>
      </c>
      <c r="E39" s="4">
        <f>E40+E42+E44+E46</f>
        <v>598.56</v>
      </c>
      <c r="F39" s="4">
        <f>F40+F42+F44+F46</f>
        <v>59.85600000000001</v>
      </c>
      <c r="G39" s="5">
        <f>F39/E39</f>
        <v>0.10000000000000002</v>
      </c>
      <c r="H39" s="4">
        <f aca="true" t="shared" si="11" ref="H39:AE39">H40+H42+H44+H46</f>
        <v>658.4159999999999</v>
      </c>
      <c r="I39" s="4">
        <f t="shared" si="11"/>
        <v>0</v>
      </c>
      <c r="J39" s="4">
        <f t="shared" si="11"/>
        <v>11.76</v>
      </c>
      <c r="K39" s="4">
        <f t="shared" si="11"/>
        <v>0</v>
      </c>
      <c r="L39" s="4">
        <f t="shared" si="11"/>
        <v>586.8</v>
      </c>
      <c r="M39" s="6">
        <f t="shared" si="11"/>
        <v>0.3823361823361824</v>
      </c>
      <c r="N39" s="6">
        <f t="shared" si="11"/>
        <v>0</v>
      </c>
      <c r="O39" s="4">
        <f t="shared" si="11"/>
        <v>0</v>
      </c>
      <c r="P39" s="6">
        <f t="shared" si="11"/>
        <v>0</v>
      </c>
      <c r="Q39" s="4">
        <f t="shared" si="11"/>
        <v>0</v>
      </c>
      <c r="R39" s="6">
        <f t="shared" si="11"/>
        <v>0</v>
      </c>
      <c r="S39" s="4">
        <f t="shared" si="11"/>
        <v>0</v>
      </c>
      <c r="T39" s="6">
        <f t="shared" si="11"/>
        <v>0</v>
      </c>
      <c r="U39" s="4">
        <f t="shared" si="11"/>
        <v>0</v>
      </c>
      <c r="V39" s="6">
        <f t="shared" si="11"/>
        <v>0.3823361823361824</v>
      </c>
      <c r="W39" s="4">
        <f t="shared" si="11"/>
        <v>320.91168091168095</v>
      </c>
      <c r="X39" s="4">
        <f t="shared" si="11"/>
        <v>598.56</v>
      </c>
      <c r="Y39" s="4">
        <f t="shared" si="11"/>
        <v>0</v>
      </c>
      <c r="Z39" s="4">
        <f t="shared" si="11"/>
        <v>60.824</v>
      </c>
      <c r="AA39" s="4">
        <f t="shared" si="11"/>
        <v>201.824</v>
      </c>
      <c r="AB39" s="4">
        <f t="shared" si="11"/>
        <v>194.912</v>
      </c>
      <c r="AC39" s="4">
        <f t="shared" si="11"/>
        <v>141</v>
      </c>
      <c r="AD39" s="4">
        <f t="shared" si="11"/>
        <v>0</v>
      </c>
      <c r="AE39" s="4">
        <f t="shared" si="11"/>
        <v>0</v>
      </c>
      <c r="AG39" s="1">
        <f>8*12*4*2*2*0.75</f>
        <v>1152</v>
      </c>
      <c r="AH39" s="6"/>
    </row>
    <row r="40" spans="1:34" s="1" customFormat="1" ht="12.75" customHeight="1">
      <c r="A40" s="1" t="s">
        <v>104</v>
      </c>
      <c r="B40" s="1" t="s">
        <v>105</v>
      </c>
      <c r="E40" s="4">
        <f>SUM(L41)</f>
        <v>366</v>
      </c>
      <c r="F40" s="4">
        <f>SUM(F41:F41)</f>
        <v>36.6</v>
      </c>
      <c r="G40" s="5">
        <f>Contingency!E40*0.01</f>
        <v>0.1</v>
      </c>
      <c r="H40" s="4">
        <f aca="true" t="shared" si="12" ref="H40:Q40">SUM(H41:H41)</f>
        <v>402.6</v>
      </c>
      <c r="I40" s="4">
        <f t="shared" si="12"/>
        <v>0</v>
      </c>
      <c r="J40" s="4">
        <f t="shared" si="12"/>
        <v>0</v>
      </c>
      <c r="K40" s="4">
        <f t="shared" si="12"/>
        <v>0</v>
      </c>
      <c r="L40" s="4">
        <f t="shared" si="12"/>
        <v>366</v>
      </c>
      <c r="M40" s="6">
        <f t="shared" si="12"/>
        <v>0</v>
      </c>
      <c r="N40" s="6">
        <f t="shared" si="12"/>
        <v>0</v>
      </c>
      <c r="O40" s="4">
        <f t="shared" si="12"/>
        <v>0</v>
      </c>
      <c r="P40" s="6">
        <f t="shared" si="12"/>
        <v>0</v>
      </c>
      <c r="Q40" s="4">
        <f t="shared" si="12"/>
        <v>0</v>
      </c>
      <c r="R40" s="6"/>
      <c r="S40" s="4">
        <f aca="true" t="shared" si="13" ref="S40:AE40">SUM(S41:S41)</f>
        <v>0</v>
      </c>
      <c r="T40" s="6">
        <f t="shared" si="13"/>
        <v>0</v>
      </c>
      <c r="U40" s="4">
        <f t="shared" si="13"/>
        <v>0</v>
      </c>
      <c r="V40" s="6">
        <f t="shared" si="13"/>
        <v>0</v>
      </c>
      <c r="W40" s="4">
        <f t="shared" si="13"/>
        <v>0</v>
      </c>
      <c r="X40" s="4">
        <f t="shared" si="13"/>
        <v>366</v>
      </c>
      <c r="Y40" s="4">
        <f t="shared" si="13"/>
        <v>0</v>
      </c>
      <c r="Z40" s="4">
        <f t="shared" si="13"/>
        <v>30.5</v>
      </c>
      <c r="AA40" s="4">
        <f t="shared" si="13"/>
        <v>122</v>
      </c>
      <c r="AB40" s="4">
        <f t="shared" si="13"/>
        <v>122</v>
      </c>
      <c r="AC40" s="4">
        <f t="shared" si="13"/>
        <v>91.5</v>
      </c>
      <c r="AD40" s="4">
        <f t="shared" si="13"/>
        <v>0</v>
      </c>
      <c r="AE40" s="4">
        <f t="shared" si="13"/>
        <v>0</v>
      </c>
      <c r="AH40" s="6"/>
    </row>
    <row r="41" spans="1:34" s="1" customFormat="1" ht="12.75" customHeight="1">
      <c r="A41" s="1" t="s">
        <v>106</v>
      </c>
      <c r="B41" s="1" t="s">
        <v>107</v>
      </c>
      <c r="E41" s="4">
        <f>SUM(I41:L41)</f>
        <v>366</v>
      </c>
      <c r="F41" s="4">
        <f>G41*E41</f>
        <v>36.6</v>
      </c>
      <c r="G41" s="5">
        <f>Contingency!E41*0.01</f>
        <v>0.1</v>
      </c>
      <c r="H41" s="4">
        <f>SUM(E41:F41)</f>
        <v>402.6</v>
      </c>
      <c r="I41" s="4"/>
      <c r="J41" s="4">
        <f>V41*R2</f>
        <v>0</v>
      </c>
      <c r="K41" s="4"/>
      <c r="L41" s="4">
        <v>366</v>
      </c>
      <c r="M41" s="6">
        <f>N41+P41+R41+T41+V41</f>
        <v>0</v>
      </c>
      <c r="N41" s="6"/>
      <c r="O41" s="4">
        <f>N41*1760</f>
        <v>0</v>
      </c>
      <c r="P41" s="6"/>
      <c r="Q41" s="4"/>
      <c r="R41" s="6"/>
      <c r="S41" s="4"/>
      <c r="T41" s="6"/>
      <c r="U41" s="4"/>
      <c r="V41" s="6"/>
      <c r="W41" s="4"/>
      <c r="X41" s="4">
        <f>SUM(Y41:AC41)</f>
        <v>366</v>
      </c>
      <c r="Y41" s="4"/>
      <c r="Z41" s="4">
        <f>E41/12</f>
        <v>30.5</v>
      </c>
      <c r="AA41" s="4">
        <f>E41/3</f>
        <v>122</v>
      </c>
      <c r="AB41" s="4">
        <f>E41/3</f>
        <v>122</v>
      </c>
      <c r="AC41" s="4">
        <f>E41/4</f>
        <v>91.5</v>
      </c>
      <c r="AD41" s="4">
        <v>0</v>
      </c>
      <c r="AE41" s="4">
        <f>N41*$M$2</f>
        <v>0</v>
      </c>
      <c r="AH41" s="6">
        <v>240</v>
      </c>
    </row>
    <row r="42" spans="1:34" s="1" customFormat="1" ht="12" customHeight="1">
      <c r="A42" s="1" t="s">
        <v>108</v>
      </c>
      <c r="B42" s="2" t="s">
        <v>109</v>
      </c>
      <c r="D42" s="2"/>
      <c r="E42" s="4">
        <f>SUM(L43)</f>
        <v>150</v>
      </c>
      <c r="F42" s="4">
        <f>SUM(F43)</f>
        <v>15</v>
      </c>
      <c r="G42" s="5">
        <f>Contingency!E42*0.01</f>
        <v>0.1</v>
      </c>
      <c r="H42" s="4">
        <f aca="true" t="shared" si="14" ref="H42:Q42">SUM(H43)</f>
        <v>165</v>
      </c>
      <c r="I42" s="4">
        <f t="shared" si="14"/>
        <v>0</v>
      </c>
      <c r="J42" s="4">
        <f t="shared" si="14"/>
        <v>0</v>
      </c>
      <c r="K42" s="4">
        <f t="shared" si="14"/>
        <v>0</v>
      </c>
      <c r="L42" s="4">
        <f t="shared" si="14"/>
        <v>150</v>
      </c>
      <c r="M42" s="6">
        <f t="shared" si="14"/>
        <v>0</v>
      </c>
      <c r="N42" s="6">
        <f t="shared" si="14"/>
        <v>0</v>
      </c>
      <c r="O42" s="4">
        <f t="shared" si="14"/>
        <v>0</v>
      </c>
      <c r="P42" s="6">
        <f t="shared" si="14"/>
        <v>0</v>
      </c>
      <c r="Q42" s="4">
        <f t="shared" si="14"/>
        <v>0</v>
      </c>
      <c r="R42" s="6"/>
      <c r="S42" s="4">
        <f aca="true" t="shared" si="15" ref="S42:AE42">SUM(S43)</f>
        <v>0</v>
      </c>
      <c r="T42" s="6">
        <f t="shared" si="15"/>
        <v>0</v>
      </c>
      <c r="U42" s="4">
        <f t="shared" si="15"/>
        <v>0</v>
      </c>
      <c r="V42" s="6">
        <f t="shared" si="15"/>
        <v>0</v>
      </c>
      <c r="W42" s="4">
        <f t="shared" si="15"/>
        <v>0</v>
      </c>
      <c r="X42" s="4">
        <f t="shared" si="15"/>
        <v>150</v>
      </c>
      <c r="Y42" s="4">
        <f t="shared" si="15"/>
        <v>0</v>
      </c>
      <c r="Z42" s="4">
        <f t="shared" si="15"/>
        <v>12.5</v>
      </c>
      <c r="AA42" s="4">
        <f t="shared" si="15"/>
        <v>50</v>
      </c>
      <c r="AB42" s="4">
        <f t="shared" si="15"/>
        <v>50</v>
      </c>
      <c r="AC42" s="4">
        <f t="shared" si="15"/>
        <v>37.5</v>
      </c>
      <c r="AD42" s="4">
        <f t="shared" si="15"/>
        <v>0</v>
      </c>
      <c r="AE42" s="4">
        <f t="shared" si="15"/>
        <v>0</v>
      </c>
      <c r="AH42" s="6"/>
    </row>
    <row r="43" spans="1:34" s="1" customFormat="1" ht="12.75" customHeight="1">
      <c r="A43" s="1" t="s">
        <v>110</v>
      </c>
      <c r="B43" s="1" t="s">
        <v>111</v>
      </c>
      <c r="E43" s="4">
        <f>SUM(I43:L43)</f>
        <v>150</v>
      </c>
      <c r="F43" s="4">
        <f>G43*E43</f>
        <v>15</v>
      </c>
      <c r="G43" s="5">
        <f>Contingency!E43*0.01</f>
        <v>0.1</v>
      </c>
      <c r="H43" s="4">
        <f>SUM(E43:F43)</f>
        <v>165</v>
      </c>
      <c r="I43" s="4"/>
      <c r="J43" s="4">
        <f>V43*R2</f>
        <v>0</v>
      </c>
      <c r="K43" s="4"/>
      <c r="L43" s="4">
        <f>150</f>
        <v>150</v>
      </c>
      <c r="M43" s="6">
        <f>N43+P43+R43+T43+V43</f>
        <v>0</v>
      </c>
      <c r="N43" s="6"/>
      <c r="O43" s="4">
        <f>N43*1760</f>
        <v>0</v>
      </c>
      <c r="P43" s="6"/>
      <c r="Q43" s="4"/>
      <c r="R43" s="6"/>
      <c r="S43" s="4"/>
      <c r="T43" s="6"/>
      <c r="U43" s="4"/>
      <c r="V43" s="6"/>
      <c r="W43" s="4"/>
      <c r="X43" s="4">
        <f>SUM(Y43:AC43)</f>
        <v>150</v>
      </c>
      <c r="Y43" s="4"/>
      <c r="Z43" s="4">
        <f>E43/12</f>
        <v>12.5</v>
      </c>
      <c r="AA43" s="4">
        <f>E43/3</f>
        <v>50</v>
      </c>
      <c r="AB43" s="4">
        <f>E43/3</f>
        <v>50</v>
      </c>
      <c r="AC43" s="4">
        <f>E43/4</f>
        <v>37.5</v>
      </c>
      <c r="AD43" s="4">
        <v>0</v>
      </c>
      <c r="AE43" s="4">
        <f>N43*$M$2</f>
        <v>0</v>
      </c>
      <c r="AH43" s="6">
        <v>100</v>
      </c>
    </row>
    <row r="44" spans="1:34" s="1" customFormat="1" ht="12.75" customHeight="1">
      <c r="A44" s="1" t="s">
        <v>112</v>
      </c>
      <c r="B44" s="1" t="s">
        <v>113</v>
      </c>
      <c r="E44" s="4">
        <f>SUM(E45:E45)</f>
        <v>48</v>
      </c>
      <c r="F44" s="4">
        <f>SUM(F45:F45)</f>
        <v>4.800000000000001</v>
      </c>
      <c r="G44" s="5">
        <f>Contingency!E44*0.01</f>
        <v>0.1</v>
      </c>
      <c r="H44" s="4">
        <f aca="true" t="shared" si="16" ref="H44:Q44">SUM(H45:H45)</f>
        <v>52.8</v>
      </c>
      <c r="I44" s="4">
        <f t="shared" si="16"/>
        <v>0</v>
      </c>
      <c r="J44" s="4">
        <f t="shared" si="16"/>
        <v>6</v>
      </c>
      <c r="K44" s="4">
        <f t="shared" si="16"/>
        <v>0</v>
      </c>
      <c r="L44" s="4">
        <f t="shared" si="16"/>
        <v>42</v>
      </c>
      <c r="M44" s="6">
        <f t="shared" si="16"/>
        <v>0.2</v>
      </c>
      <c r="N44" s="6">
        <f t="shared" si="16"/>
        <v>0</v>
      </c>
      <c r="O44" s="4">
        <f t="shared" si="16"/>
        <v>0</v>
      </c>
      <c r="P44" s="6">
        <f t="shared" si="16"/>
        <v>0</v>
      </c>
      <c r="Q44" s="4">
        <f t="shared" si="16"/>
        <v>0</v>
      </c>
      <c r="R44" s="6"/>
      <c r="S44" s="4">
        <f aca="true" t="shared" si="17" ref="S44:AE44">SUM(S45:S45)</f>
        <v>0</v>
      </c>
      <c r="T44" s="6">
        <f t="shared" si="17"/>
        <v>0</v>
      </c>
      <c r="U44" s="4">
        <f t="shared" si="17"/>
        <v>0</v>
      </c>
      <c r="V44" s="6">
        <f t="shared" si="17"/>
        <v>0.2</v>
      </c>
      <c r="W44" s="4">
        <f t="shared" si="17"/>
        <v>0</v>
      </c>
      <c r="X44" s="4">
        <f t="shared" si="17"/>
        <v>48</v>
      </c>
      <c r="Y44" s="4">
        <f t="shared" si="17"/>
        <v>0</v>
      </c>
      <c r="Z44" s="4">
        <f t="shared" si="17"/>
        <v>4</v>
      </c>
      <c r="AA44" s="4">
        <f t="shared" si="17"/>
        <v>16</v>
      </c>
      <c r="AB44" s="4">
        <f t="shared" si="17"/>
        <v>16</v>
      </c>
      <c r="AC44" s="4">
        <f t="shared" si="17"/>
        <v>12</v>
      </c>
      <c r="AD44" s="4">
        <f t="shared" si="17"/>
        <v>0</v>
      </c>
      <c r="AE44" s="4">
        <f t="shared" si="17"/>
        <v>0</v>
      </c>
      <c r="AH44" s="6"/>
    </row>
    <row r="45" spans="1:34" s="1" customFormat="1" ht="12.75" customHeight="1">
      <c r="A45" s="1" t="s">
        <v>114</v>
      </c>
      <c r="B45" s="1" t="s">
        <v>115</v>
      </c>
      <c r="E45" s="4">
        <f>SUM(I45:L45)</f>
        <v>48</v>
      </c>
      <c r="F45" s="4">
        <f>G45*E45</f>
        <v>4.800000000000001</v>
      </c>
      <c r="G45" s="5">
        <f>Contingency!E45*0.01</f>
        <v>0.1</v>
      </c>
      <c r="H45" s="4">
        <f>SUM(E45:F45)</f>
        <v>52.8</v>
      </c>
      <c r="I45" s="4"/>
      <c r="J45" s="4">
        <f>V45*R2</f>
        <v>6</v>
      </c>
      <c r="K45" s="4"/>
      <c r="L45" s="4">
        <v>42</v>
      </c>
      <c r="M45" s="6">
        <f>N45+P45+R45+T45+V45</f>
        <v>0.2</v>
      </c>
      <c r="N45" s="6"/>
      <c r="O45" s="4">
        <f>N45*1760</f>
        <v>0</v>
      </c>
      <c r="P45" s="6"/>
      <c r="Q45" s="4"/>
      <c r="R45" s="6"/>
      <c r="S45" s="4"/>
      <c r="T45" s="6"/>
      <c r="U45" s="4"/>
      <c r="V45" s="6">
        <v>0.2</v>
      </c>
      <c r="W45" s="4"/>
      <c r="X45" s="4">
        <f>SUM(Y45:AC45)</f>
        <v>48</v>
      </c>
      <c r="Y45" s="4"/>
      <c r="Z45" s="4">
        <f>E45/12</f>
        <v>4</v>
      </c>
      <c r="AA45" s="4">
        <f>E45/3</f>
        <v>16</v>
      </c>
      <c r="AB45" s="4">
        <f>E45/3</f>
        <v>16</v>
      </c>
      <c r="AC45" s="4">
        <f>E45/4</f>
        <v>12</v>
      </c>
      <c r="AD45" s="4">
        <v>0</v>
      </c>
      <c r="AE45" s="4">
        <f>N45*$M$2</f>
        <v>0</v>
      </c>
      <c r="AH45" s="6" t="s">
        <v>116</v>
      </c>
    </row>
    <row r="46" spans="1:34" s="1" customFormat="1" ht="12.75" customHeight="1">
      <c r="A46" s="1" t="s">
        <v>117</v>
      </c>
      <c r="B46" s="1" t="s">
        <v>118</v>
      </c>
      <c r="E46" s="4">
        <f>SUM(E47:E47)</f>
        <v>34.56</v>
      </c>
      <c r="F46" s="4">
        <f>SUM(F47:F47)</f>
        <v>3.4560000000000004</v>
      </c>
      <c r="G46" s="5">
        <f>Contingency!E46*0.01</f>
        <v>0.1</v>
      </c>
      <c r="H46" s="4">
        <f aca="true" t="shared" si="18" ref="H46:AC46">SUM(H47:H47)</f>
        <v>38.016000000000005</v>
      </c>
      <c r="I46" s="4">
        <f t="shared" si="18"/>
        <v>0</v>
      </c>
      <c r="J46" s="4">
        <f t="shared" si="18"/>
        <v>5.76</v>
      </c>
      <c r="K46" s="4">
        <f t="shared" si="18"/>
        <v>0</v>
      </c>
      <c r="L46" s="4">
        <f t="shared" si="18"/>
        <v>28.8</v>
      </c>
      <c r="M46" s="6">
        <f t="shared" si="18"/>
        <v>0.18233618233618235</v>
      </c>
      <c r="N46" s="6">
        <f t="shared" si="18"/>
        <v>0</v>
      </c>
      <c r="O46" s="4">
        <f t="shared" si="18"/>
        <v>0</v>
      </c>
      <c r="P46" s="6">
        <f t="shared" si="18"/>
        <v>0</v>
      </c>
      <c r="Q46" s="4">
        <f t="shared" si="18"/>
        <v>0</v>
      </c>
      <c r="R46" s="6">
        <f t="shared" si="18"/>
        <v>0</v>
      </c>
      <c r="S46" s="4">
        <f t="shared" si="18"/>
        <v>0</v>
      </c>
      <c r="T46" s="6">
        <f t="shared" si="18"/>
        <v>0</v>
      </c>
      <c r="U46" s="4">
        <f t="shared" si="18"/>
        <v>0</v>
      </c>
      <c r="V46" s="6">
        <f t="shared" si="18"/>
        <v>0.18233618233618235</v>
      </c>
      <c r="W46" s="4">
        <f t="shared" si="18"/>
        <v>320.91168091168095</v>
      </c>
      <c r="X46" s="4">
        <f t="shared" si="18"/>
        <v>34.56</v>
      </c>
      <c r="Y46" s="4">
        <f t="shared" si="18"/>
        <v>0</v>
      </c>
      <c r="Z46" s="4">
        <f t="shared" si="18"/>
        <v>13.824000000000002</v>
      </c>
      <c r="AA46" s="4">
        <f t="shared" si="18"/>
        <v>13.824000000000002</v>
      </c>
      <c r="AB46" s="4">
        <f t="shared" si="18"/>
        <v>6.912000000000001</v>
      </c>
      <c r="AC46" s="4">
        <f t="shared" si="18"/>
        <v>0</v>
      </c>
      <c r="AD46" s="4"/>
      <c r="AE46" s="4"/>
      <c r="AH46" s="6">
        <v>25</v>
      </c>
    </row>
    <row r="47" spans="1:34" s="1" customFormat="1" ht="12.75" customHeight="1">
      <c r="A47" s="1" t="s">
        <v>119</v>
      </c>
      <c r="B47" s="1" t="s">
        <v>120</v>
      </c>
      <c r="E47" s="4">
        <f>SUM(I47:L47)</f>
        <v>34.56</v>
      </c>
      <c r="F47" s="4">
        <f>G47*E47</f>
        <v>3.4560000000000004</v>
      </c>
      <c r="G47" s="5">
        <f>Contingency!E47*0.01</f>
        <v>0.1</v>
      </c>
      <c r="H47" s="4">
        <f>SUM(E47:F47)</f>
        <v>38.016000000000005</v>
      </c>
      <c r="I47" s="4"/>
      <c r="J47" s="4">
        <f>$AG39*5/1000</f>
        <v>5.76</v>
      </c>
      <c r="K47" s="4"/>
      <c r="L47" s="4">
        <f>$AG39*$AH46/1000</f>
        <v>28.8</v>
      </c>
      <c r="M47" s="6">
        <f>SUM(N47:V47)</f>
        <v>0.18233618233618235</v>
      </c>
      <c r="N47" s="6"/>
      <c r="O47" s="4">
        <f>N47*1760</f>
        <v>0</v>
      </c>
      <c r="P47" s="6"/>
      <c r="Q47" s="4"/>
      <c r="R47" s="6"/>
      <c r="S47" s="4"/>
      <c r="T47" s="6"/>
      <c r="U47" s="4"/>
      <c r="V47" s="6">
        <f>J47/$R$3/1.755</f>
        <v>0.18233618233618235</v>
      </c>
      <c r="W47" s="4">
        <f>V47*1760</f>
        <v>320.91168091168095</v>
      </c>
      <c r="X47" s="4">
        <f>SUM(Y47:AC47)</f>
        <v>34.56</v>
      </c>
      <c r="Y47" s="4">
        <f>E47*0</f>
        <v>0</v>
      </c>
      <c r="Z47" s="4">
        <f>E47*0.4</f>
        <v>13.824000000000002</v>
      </c>
      <c r="AA47" s="4">
        <f>E47*0.4</f>
        <v>13.824000000000002</v>
      </c>
      <c r="AB47" s="4">
        <f>E47*0.2</f>
        <v>6.912000000000001</v>
      </c>
      <c r="AC47" s="4"/>
      <c r="AD47" s="4">
        <f>X47-E47</f>
        <v>0</v>
      </c>
      <c r="AE47" s="4"/>
      <c r="AH47" s="6"/>
    </row>
    <row r="48" spans="5:34" s="1" customFormat="1" ht="12.75" customHeight="1">
      <c r="E48" s="4"/>
      <c r="F48" s="4"/>
      <c r="G48" s="5"/>
      <c r="H48" s="4"/>
      <c r="I48" s="4"/>
      <c r="J48" s="4"/>
      <c r="K48" s="4"/>
      <c r="L48" s="4"/>
      <c r="M48" s="6"/>
      <c r="N48" s="6"/>
      <c r="O48" s="4"/>
      <c r="P48" s="6"/>
      <c r="Q48" s="4"/>
      <c r="R48" s="6"/>
      <c r="S48" s="4"/>
      <c r="T48" s="6"/>
      <c r="U48" s="4"/>
      <c r="V48" s="6"/>
      <c r="W48" s="4"/>
      <c r="X48" s="4"/>
      <c r="Y48" s="4"/>
      <c r="Z48" s="4"/>
      <c r="AA48" s="4"/>
      <c r="AB48" s="4"/>
      <c r="AC48" s="4"/>
      <c r="AD48" s="4"/>
      <c r="AE48" s="4"/>
      <c r="AH48" s="6"/>
    </row>
    <row r="49" spans="1:34" s="1" customFormat="1" ht="12.75" customHeight="1">
      <c r="A49" s="1" t="s">
        <v>121</v>
      </c>
      <c r="B49" s="1" t="s">
        <v>122</v>
      </c>
      <c r="E49" s="4">
        <f>E51+E56+E61+E66+E71</f>
        <v>7951.847</v>
      </c>
      <c r="F49" s="4">
        <f>F51+F56+F61+F66+F71</f>
        <v>1661.0974</v>
      </c>
      <c r="G49" s="5">
        <f>F49/E49</f>
        <v>0.2088945373320186</v>
      </c>
      <c r="H49" s="4">
        <f aca="true" t="shared" si="19" ref="H49:Q49">H51+H56+H61+H66+H71</f>
        <v>9612.9444</v>
      </c>
      <c r="I49" s="4">
        <f t="shared" si="19"/>
        <v>1366</v>
      </c>
      <c r="J49" s="4">
        <f t="shared" si="19"/>
        <v>536</v>
      </c>
      <c r="K49" s="4">
        <f t="shared" si="19"/>
        <v>0</v>
      </c>
      <c r="L49" s="4">
        <f t="shared" si="19"/>
        <v>6049.847</v>
      </c>
      <c r="M49" s="6">
        <f t="shared" si="19"/>
        <v>44.29715099715099</v>
      </c>
      <c r="N49" s="6">
        <f t="shared" si="19"/>
        <v>3</v>
      </c>
      <c r="O49" s="4">
        <f t="shared" si="19"/>
        <v>5280</v>
      </c>
      <c r="P49" s="6">
        <f t="shared" si="19"/>
        <v>18.6</v>
      </c>
      <c r="Q49" s="4">
        <f t="shared" si="19"/>
        <v>31680</v>
      </c>
      <c r="R49" s="6"/>
      <c r="S49" s="4">
        <f aca="true" t="shared" si="20" ref="S49:AE49">S51+S56+S61+S66+S71</f>
        <v>0</v>
      </c>
      <c r="T49" s="6">
        <f t="shared" si="20"/>
        <v>5</v>
      </c>
      <c r="U49" s="4">
        <f t="shared" si="20"/>
        <v>8800</v>
      </c>
      <c r="V49" s="6">
        <f t="shared" si="20"/>
        <v>17.697150997150995</v>
      </c>
      <c r="W49" s="4">
        <f t="shared" si="20"/>
        <v>31146.985754985755</v>
      </c>
      <c r="X49" s="4">
        <f t="shared" si="20"/>
        <v>7951.847</v>
      </c>
      <c r="Y49" s="4">
        <f t="shared" si="20"/>
        <v>339.13675</v>
      </c>
      <c r="Z49" s="4">
        <f t="shared" si="20"/>
        <v>1640.0602500000002</v>
      </c>
      <c r="AA49" s="4">
        <f t="shared" si="20"/>
        <v>2269.25</v>
      </c>
      <c r="AB49" s="4">
        <f t="shared" si="20"/>
        <v>2145.05</v>
      </c>
      <c r="AC49" s="4">
        <f t="shared" si="20"/>
        <v>1558.3500000000001</v>
      </c>
      <c r="AD49" s="4">
        <f t="shared" si="20"/>
        <v>0</v>
      </c>
      <c r="AE49" s="4">
        <f t="shared" si="20"/>
        <v>240</v>
      </c>
      <c r="AH49" s="6"/>
    </row>
    <row r="50" spans="5:34" s="1" customFormat="1" ht="12.75" customHeight="1">
      <c r="E50" s="4"/>
      <c r="F50" s="4"/>
      <c r="G50" s="5"/>
      <c r="H50" s="4"/>
      <c r="I50" s="4"/>
      <c r="J50" s="4"/>
      <c r="K50" s="4"/>
      <c r="L50" s="4"/>
      <c r="M50" s="6"/>
      <c r="N50" s="6"/>
      <c r="O50" s="4"/>
      <c r="P50" s="6"/>
      <c r="Q50" s="4"/>
      <c r="R50" s="6"/>
      <c r="S50" s="4"/>
      <c r="T50" s="6"/>
      <c r="U50" s="4"/>
      <c r="V50" s="6"/>
      <c r="W50" s="4"/>
      <c r="X50" s="4"/>
      <c r="Y50" s="4"/>
      <c r="Z50" s="4"/>
      <c r="AA50" s="4"/>
      <c r="AB50" s="4"/>
      <c r="AC50" s="4"/>
      <c r="AD50" s="4"/>
      <c r="AE50" s="4"/>
      <c r="AH50" s="6"/>
    </row>
    <row r="51" spans="1:34" s="1" customFormat="1" ht="12.75" customHeight="1">
      <c r="A51" s="1" t="s">
        <v>123</v>
      </c>
      <c r="B51" s="1" t="s">
        <v>124</v>
      </c>
      <c r="E51" s="4">
        <f>SUM(E52:E54)</f>
        <v>2424.388</v>
      </c>
      <c r="F51" s="4">
        <f>SUM(F52:F54)</f>
        <v>484.8776000000001</v>
      </c>
      <c r="G51" s="5">
        <f>F51/E51</f>
        <v>0.20000000000000004</v>
      </c>
      <c r="H51" s="4">
        <f aca="true" t="shared" si="21" ref="H51:Q51">SUM(H52:H54)</f>
        <v>2909.2655999999997</v>
      </c>
      <c r="I51" s="4">
        <f t="shared" si="21"/>
        <v>610</v>
      </c>
      <c r="J51" s="4">
        <f t="shared" si="21"/>
        <v>240</v>
      </c>
      <c r="K51" s="4">
        <f t="shared" si="21"/>
        <v>0</v>
      </c>
      <c r="L51" s="4">
        <f t="shared" si="21"/>
        <v>1574.3880000000001</v>
      </c>
      <c r="M51" s="6">
        <f t="shared" si="21"/>
        <v>20</v>
      </c>
      <c r="N51" s="6">
        <f t="shared" si="21"/>
        <v>1</v>
      </c>
      <c r="O51" s="4">
        <f t="shared" si="21"/>
        <v>1760</v>
      </c>
      <c r="P51" s="6">
        <f t="shared" si="21"/>
        <v>6</v>
      </c>
      <c r="Q51" s="4">
        <f t="shared" si="21"/>
        <v>10560</v>
      </c>
      <c r="R51" s="6"/>
      <c r="S51" s="4">
        <f>SUM(S52:S54)</f>
        <v>0</v>
      </c>
      <c r="T51" s="6">
        <f>SUM(T52:T54)</f>
        <v>5</v>
      </c>
      <c r="U51" s="4">
        <f>SUM(U52:U54)</f>
        <v>8800</v>
      </c>
      <c r="V51" s="6">
        <f>SUM(V52:V54)</f>
        <v>8</v>
      </c>
      <c r="W51" s="4">
        <f aca="true" t="shared" si="22" ref="W51:AE51">SUM(W52:W54)</f>
        <v>14080</v>
      </c>
      <c r="X51" s="4">
        <f t="shared" si="22"/>
        <v>2424.388</v>
      </c>
      <c r="Y51" s="4">
        <f t="shared" si="22"/>
        <v>168.997</v>
      </c>
      <c r="Z51" s="4">
        <f t="shared" si="22"/>
        <v>652.691</v>
      </c>
      <c r="AA51" s="4">
        <f t="shared" si="22"/>
        <v>582.8000000000001</v>
      </c>
      <c r="AB51" s="4">
        <f t="shared" si="22"/>
        <v>582.8000000000001</v>
      </c>
      <c r="AC51" s="4">
        <f t="shared" si="22"/>
        <v>437.1</v>
      </c>
      <c r="AD51" s="4">
        <f t="shared" si="22"/>
        <v>0</v>
      </c>
      <c r="AE51" s="4">
        <f t="shared" si="22"/>
        <v>80</v>
      </c>
      <c r="AH51" s="6"/>
    </row>
    <row r="52" spans="1:34" s="1" customFormat="1" ht="12.75" customHeight="1">
      <c r="A52" s="1" t="s">
        <v>125</v>
      </c>
      <c r="B52" s="1" t="s">
        <v>126</v>
      </c>
      <c r="E52" s="4">
        <f>SUM(I52:L52)</f>
        <v>220</v>
      </c>
      <c r="F52" s="4">
        <f>G52*E52</f>
        <v>44</v>
      </c>
      <c r="G52" s="5">
        <f>Contingency!E52*0.01</f>
        <v>0.2</v>
      </c>
      <c r="H52" s="4">
        <f>SUM(E52:F52)</f>
        <v>264</v>
      </c>
      <c r="I52" s="4">
        <f>P52*N2+T52*P2</f>
        <v>220</v>
      </c>
      <c r="J52" s="4">
        <f>V52*R2</f>
        <v>0</v>
      </c>
      <c r="K52" s="4"/>
      <c r="L52" s="4"/>
      <c r="M52" s="6">
        <f>N52+P52+R52+T52+V52</f>
        <v>4.5</v>
      </c>
      <c r="N52" s="6">
        <v>0.5</v>
      </c>
      <c r="O52" s="4">
        <f>N52*1760</f>
        <v>880</v>
      </c>
      <c r="P52" s="6">
        <v>2</v>
      </c>
      <c r="Q52" s="4">
        <f>P52*1760</f>
        <v>3520</v>
      </c>
      <c r="R52" s="6"/>
      <c r="S52" s="4"/>
      <c r="T52" s="6">
        <v>2</v>
      </c>
      <c r="U52" s="4">
        <f>T52*1760</f>
        <v>3520</v>
      </c>
      <c r="V52" s="6"/>
      <c r="W52" s="4">
        <f>V52*1760</f>
        <v>0</v>
      </c>
      <c r="X52" s="4">
        <f>SUM(Y52:AC52)</f>
        <v>220</v>
      </c>
      <c r="Y52" s="4">
        <f>E52*0.25</f>
        <v>55</v>
      </c>
      <c r="Z52" s="4">
        <f>E52*0.75</f>
        <v>165</v>
      </c>
      <c r="AA52" s="4"/>
      <c r="AB52" s="4"/>
      <c r="AC52" s="4"/>
      <c r="AD52" s="4"/>
      <c r="AE52" s="4">
        <f>N52*$M$2</f>
        <v>40</v>
      </c>
      <c r="AH52" s="6"/>
    </row>
    <row r="53" spans="1:34" s="1" customFormat="1" ht="12.75" customHeight="1">
      <c r="A53" s="1" t="s">
        <v>127</v>
      </c>
      <c r="B53" s="1" t="s">
        <v>128</v>
      </c>
      <c r="E53" s="4">
        <f>SUM(I53:L53)</f>
        <v>455.988</v>
      </c>
      <c r="F53" s="4">
        <f>G53*E53</f>
        <v>91.19760000000001</v>
      </c>
      <c r="G53" s="5">
        <f>Contingency!E53*0.01</f>
        <v>0.2</v>
      </c>
      <c r="H53" s="4">
        <f>SUM(E53:F53)</f>
        <v>547.1856</v>
      </c>
      <c r="I53" s="4">
        <f>P53*N2+T53*P2</f>
        <v>300</v>
      </c>
      <c r="J53" s="4">
        <f>V53*R2</f>
        <v>60</v>
      </c>
      <c r="K53" s="4"/>
      <c r="L53" s="4">
        <v>95.988</v>
      </c>
      <c r="M53" s="6">
        <f>N53+P53+R53+T53+V53</f>
        <v>8</v>
      </c>
      <c r="N53" s="6">
        <v>0.5</v>
      </c>
      <c r="O53" s="4">
        <f>N53*1760</f>
        <v>880</v>
      </c>
      <c r="P53" s="6">
        <v>2.5</v>
      </c>
      <c r="Q53" s="4">
        <f>P53*1760</f>
        <v>4400</v>
      </c>
      <c r="R53" s="6"/>
      <c r="S53" s="4"/>
      <c r="T53" s="6">
        <v>3</v>
      </c>
      <c r="U53" s="4">
        <f>T53*1760</f>
        <v>5280</v>
      </c>
      <c r="V53" s="6">
        <v>2</v>
      </c>
      <c r="W53" s="4">
        <f>V53*1760</f>
        <v>3520</v>
      </c>
      <c r="X53" s="4">
        <f>SUM(Y53:AC53)</f>
        <v>455.988</v>
      </c>
      <c r="Y53" s="4">
        <f>E53*0.25</f>
        <v>113.997</v>
      </c>
      <c r="Z53" s="4">
        <f>E53*0.75</f>
        <v>341.991</v>
      </c>
      <c r="AA53" s="4"/>
      <c r="AB53" s="4"/>
      <c r="AC53" s="4"/>
      <c r="AD53" s="4"/>
      <c r="AE53" s="4">
        <f>N53*$M$2</f>
        <v>40</v>
      </c>
      <c r="AH53" s="6"/>
    </row>
    <row r="54" spans="1:34" s="1" customFormat="1" ht="12.75" customHeight="1">
      <c r="A54" s="1" t="s">
        <v>129</v>
      </c>
      <c r="B54" s="1" t="s">
        <v>130</v>
      </c>
      <c r="E54" s="4">
        <f>SUM(I54:L54)</f>
        <v>1748.4</v>
      </c>
      <c r="F54" s="4">
        <f>G54*E54</f>
        <v>349.68000000000006</v>
      </c>
      <c r="G54" s="5">
        <f>Contingency!E54*0.01</f>
        <v>0.2</v>
      </c>
      <c r="H54" s="4">
        <f>SUM(E54:F54)</f>
        <v>2098.08</v>
      </c>
      <c r="I54" s="4">
        <f>P54*N2+T54*P2</f>
        <v>90</v>
      </c>
      <c r="J54" s="21">
        <f>V54*R2</f>
        <v>180</v>
      </c>
      <c r="K54" s="4"/>
      <c r="L54" s="18">
        <f>1848*E191</f>
        <v>1478.4</v>
      </c>
      <c r="M54" s="6">
        <f>N54+P54+R54+T54+V54</f>
        <v>7.5</v>
      </c>
      <c r="N54" s="49">
        <f>Labour!K34</f>
        <v>0</v>
      </c>
      <c r="O54" s="4">
        <f>N54*1760</f>
        <v>0</v>
      </c>
      <c r="P54" s="49">
        <f>Labour!L34</f>
        <v>1.5</v>
      </c>
      <c r="Q54" s="4">
        <f>P54*1760</f>
        <v>2640</v>
      </c>
      <c r="R54" s="6"/>
      <c r="S54" s="4"/>
      <c r="T54" s="6"/>
      <c r="U54" s="4"/>
      <c r="V54" s="50">
        <f>Labour!M34</f>
        <v>6</v>
      </c>
      <c r="W54" s="4">
        <f>V54*1760</f>
        <v>10560</v>
      </c>
      <c r="X54" s="4">
        <f>SUM(Y54:AC54)</f>
        <v>1748.4</v>
      </c>
      <c r="Y54" s="4"/>
      <c r="Z54" s="4">
        <f>E54/12</f>
        <v>145.70000000000002</v>
      </c>
      <c r="AA54" s="4">
        <f>E54/3</f>
        <v>582.8000000000001</v>
      </c>
      <c r="AB54" s="4">
        <f>E54/3</f>
        <v>582.8000000000001</v>
      </c>
      <c r="AC54" s="4">
        <f>E54/4</f>
        <v>437.1</v>
      </c>
      <c r="AD54" s="4">
        <v>0</v>
      </c>
      <c r="AE54" s="4">
        <f>N54*$M$2</f>
        <v>0</v>
      </c>
      <c r="AH54" s="6"/>
    </row>
    <row r="55" spans="5:34" s="1" customFormat="1" ht="12.75" customHeight="1">
      <c r="E55" s="4"/>
      <c r="F55" s="4"/>
      <c r="G55" s="5"/>
      <c r="H55" s="4"/>
      <c r="I55" s="4"/>
      <c r="J55" s="4"/>
      <c r="K55" s="4"/>
      <c r="L55" s="4"/>
      <c r="M55" s="6"/>
      <c r="N55" s="6"/>
      <c r="O55" s="4"/>
      <c r="P55" s="6"/>
      <c r="Q55" s="4"/>
      <c r="R55" s="6"/>
      <c r="S55" s="4"/>
      <c r="T55" s="6"/>
      <c r="U55" s="4"/>
      <c r="V55" s="6"/>
      <c r="W55" s="4"/>
      <c r="X55" s="4"/>
      <c r="Y55" s="4"/>
      <c r="Z55" s="4"/>
      <c r="AA55" s="4"/>
      <c r="AB55" s="4"/>
      <c r="AC55" s="4"/>
      <c r="AD55" s="4"/>
      <c r="AE55" s="4"/>
      <c r="AH55" s="6"/>
    </row>
    <row r="56" spans="1:34" s="1" customFormat="1" ht="12.75" customHeight="1">
      <c r="A56" s="1" t="s">
        <v>131</v>
      </c>
      <c r="B56" s="1" t="s">
        <v>132</v>
      </c>
      <c r="E56" s="4">
        <f>SUM(E57:E59)</f>
        <v>2305.549</v>
      </c>
      <c r="F56" s="4">
        <f>SUM(F57:F59)</f>
        <v>461.1098</v>
      </c>
      <c r="G56" s="5">
        <f>F56/E56</f>
        <v>0.2</v>
      </c>
      <c r="H56" s="4">
        <f aca="true" t="shared" si="23" ref="H56:AE56">SUM(H57:H59)</f>
        <v>2766.6588</v>
      </c>
      <c r="I56" s="4">
        <f t="shared" si="23"/>
        <v>360</v>
      </c>
      <c r="J56" s="4">
        <f t="shared" si="23"/>
        <v>180</v>
      </c>
      <c r="K56" s="4">
        <f t="shared" si="23"/>
        <v>0</v>
      </c>
      <c r="L56" s="4">
        <f t="shared" si="23"/>
        <v>1765.549</v>
      </c>
      <c r="M56" s="6">
        <f t="shared" si="23"/>
        <v>13</v>
      </c>
      <c r="N56" s="6">
        <f t="shared" si="23"/>
        <v>1</v>
      </c>
      <c r="O56" s="4">
        <f t="shared" si="23"/>
        <v>1760</v>
      </c>
      <c r="P56" s="6">
        <f t="shared" si="23"/>
        <v>6</v>
      </c>
      <c r="Q56" s="4">
        <f t="shared" si="23"/>
        <v>10560</v>
      </c>
      <c r="R56" s="6">
        <f t="shared" si="23"/>
        <v>0</v>
      </c>
      <c r="S56" s="4">
        <f t="shared" si="23"/>
        <v>0</v>
      </c>
      <c r="T56" s="6">
        <f t="shared" si="23"/>
        <v>0</v>
      </c>
      <c r="U56" s="4">
        <f t="shared" si="23"/>
        <v>0</v>
      </c>
      <c r="V56" s="6">
        <f t="shared" si="23"/>
        <v>6</v>
      </c>
      <c r="W56" s="4">
        <f t="shared" si="23"/>
        <v>10560</v>
      </c>
      <c r="X56" s="4">
        <f t="shared" si="23"/>
        <v>2305.549</v>
      </c>
      <c r="Y56" s="4">
        <f t="shared" si="23"/>
        <v>87.88725</v>
      </c>
      <c r="Z56" s="4">
        <f t="shared" si="23"/>
        <v>426.49508333333335</v>
      </c>
      <c r="AA56" s="4">
        <f t="shared" si="23"/>
        <v>651.3333333333334</v>
      </c>
      <c r="AB56" s="4">
        <f t="shared" si="23"/>
        <v>651.3333333333334</v>
      </c>
      <c r="AC56" s="4">
        <f t="shared" si="23"/>
        <v>488.5</v>
      </c>
      <c r="AD56" s="4">
        <f t="shared" si="23"/>
        <v>0</v>
      </c>
      <c r="AE56" s="4">
        <f t="shared" si="23"/>
        <v>80</v>
      </c>
      <c r="AH56" s="6"/>
    </row>
    <row r="57" spans="1:34" s="1" customFormat="1" ht="12.75" customHeight="1">
      <c r="A57" s="1" t="s">
        <v>133</v>
      </c>
      <c r="B57" s="1" t="s">
        <v>134</v>
      </c>
      <c r="E57" s="4">
        <f>SUM(I57:L57)</f>
        <v>120</v>
      </c>
      <c r="F57" s="4">
        <f>G57*E57</f>
        <v>24</v>
      </c>
      <c r="G57" s="5">
        <f>Contingency!E57*0.01</f>
        <v>0.2</v>
      </c>
      <c r="H57" s="4">
        <f>SUM(E57:F57)</f>
        <v>144</v>
      </c>
      <c r="I57" s="4">
        <f>P57*N2+T57*P2</f>
        <v>120</v>
      </c>
      <c r="J57" s="4">
        <f>V57*R2</f>
        <v>0</v>
      </c>
      <c r="K57" s="4"/>
      <c r="L57" s="4"/>
      <c r="M57" s="6">
        <f>N57+P57+R57+T57+V57</f>
        <v>2.5</v>
      </c>
      <c r="N57" s="6">
        <v>0.5</v>
      </c>
      <c r="O57" s="4">
        <f>N57*1760</f>
        <v>880</v>
      </c>
      <c r="P57" s="6">
        <v>2</v>
      </c>
      <c r="Q57" s="4">
        <f>P57*1760</f>
        <v>3520</v>
      </c>
      <c r="R57" s="6"/>
      <c r="S57" s="4"/>
      <c r="T57" s="6"/>
      <c r="U57" s="4">
        <f>T57*1760</f>
        <v>0</v>
      </c>
      <c r="V57" s="6"/>
      <c r="W57" s="4">
        <f>V57*1760</f>
        <v>0</v>
      </c>
      <c r="X57" s="4">
        <f>SUM(Y57:AC57)</f>
        <v>120</v>
      </c>
      <c r="Y57" s="4">
        <f>E57*0.25</f>
        <v>30</v>
      </c>
      <c r="Z57" s="4">
        <f>E57*0.75</f>
        <v>90</v>
      </c>
      <c r="AA57" s="4"/>
      <c r="AB57" s="4"/>
      <c r="AC57" s="4"/>
      <c r="AD57" s="4"/>
      <c r="AE57" s="4">
        <f>N57*$M$2</f>
        <v>40</v>
      </c>
      <c r="AH57" s="6"/>
    </row>
    <row r="58" spans="1:34" s="1" customFormat="1" ht="12.75" customHeight="1">
      <c r="A58" s="1" t="s">
        <v>135</v>
      </c>
      <c r="B58" s="1" t="s">
        <v>136</v>
      </c>
      <c r="E58" s="4">
        <f>SUM(I58:L58)</f>
        <v>231.549</v>
      </c>
      <c r="F58" s="4">
        <f>G58*E58</f>
        <v>46.3098</v>
      </c>
      <c r="G58" s="5">
        <f>Contingency!E58*0.01</f>
        <v>0.2</v>
      </c>
      <c r="H58" s="4">
        <f>SUM(E58:F58)</f>
        <v>277.85880000000003</v>
      </c>
      <c r="I58" s="4">
        <f>P58*N2</f>
        <v>150</v>
      </c>
      <c r="J58" s="4"/>
      <c r="K58" s="4"/>
      <c r="L58" s="4">
        <v>81.549</v>
      </c>
      <c r="M58" s="6">
        <f>N58+P58+R58+T58+V58</f>
        <v>3</v>
      </c>
      <c r="N58" s="6">
        <v>0.5</v>
      </c>
      <c r="O58" s="4">
        <f>N58*1760</f>
        <v>880</v>
      </c>
      <c r="P58" s="6">
        <v>2.5</v>
      </c>
      <c r="Q58" s="4">
        <f>P58*1760</f>
        <v>4400</v>
      </c>
      <c r="R58" s="6"/>
      <c r="S58" s="4"/>
      <c r="T58" s="6"/>
      <c r="U58" s="4"/>
      <c r="V58" s="6"/>
      <c r="W58" s="4"/>
      <c r="X58" s="4">
        <f>SUM(Y58:AC58)</f>
        <v>231.549</v>
      </c>
      <c r="Y58" s="4">
        <f>E58*0.25</f>
        <v>57.88725</v>
      </c>
      <c r="Z58" s="4">
        <f>E58*0.75</f>
        <v>173.66175</v>
      </c>
      <c r="AA58" s="4"/>
      <c r="AB58" s="4"/>
      <c r="AC58" s="4"/>
      <c r="AD58" s="4"/>
      <c r="AE58" s="4">
        <f>N58*$M$2</f>
        <v>40</v>
      </c>
      <c r="AH58" s="6"/>
    </row>
    <row r="59" spans="1:38" s="1" customFormat="1" ht="12.75" customHeight="1">
      <c r="A59" s="15" t="s">
        <v>137</v>
      </c>
      <c r="B59" s="1" t="s">
        <v>138</v>
      </c>
      <c r="E59" s="4">
        <f>SUM(I59:L59)</f>
        <v>1954</v>
      </c>
      <c r="F59" s="4">
        <f>G59*E59</f>
        <v>390.8</v>
      </c>
      <c r="G59" s="5">
        <f>Contingency!E59*0.01</f>
        <v>0.2</v>
      </c>
      <c r="H59" s="4">
        <f>SUM(E59:F59)</f>
        <v>2344.8</v>
      </c>
      <c r="I59" s="4">
        <f>N59*M2+P59*N2</f>
        <v>90</v>
      </c>
      <c r="J59" s="21">
        <f>V59*R2</f>
        <v>180</v>
      </c>
      <c r="K59" s="4"/>
      <c r="L59" s="18">
        <f>2105*E191</f>
        <v>1684</v>
      </c>
      <c r="M59" s="6">
        <f>N59+P59+R59+T59+V59</f>
        <v>7.5</v>
      </c>
      <c r="N59" s="49">
        <f>Labour!K38</f>
        <v>0</v>
      </c>
      <c r="O59" s="4">
        <f>N59*1760</f>
        <v>0</v>
      </c>
      <c r="P59" s="49">
        <f>Labour!L38</f>
        <v>1.5</v>
      </c>
      <c r="Q59" s="4">
        <f>P59*1760</f>
        <v>2640</v>
      </c>
      <c r="R59" s="6"/>
      <c r="S59" s="4"/>
      <c r="T59" s="6"/>
      <c r="U59" s="4"/>
      <c r="V59" s="50">
        <f>Labour!M38</f>
        <v>6</v>
      </c>
      <c r="W59" s="4">
        <f>V59*1760</f>
        <v>10560</v>
      </c>
      <c r="X59" s="4">
        <f>SUM(Y59:AC59)</f>
        <v>1954</v>
      </c>
      <c r="Y59" s="4"/>
      <c r="Z59" s="4">
        <f>E59/12</f>
        <v>162.83333333333334</v>
      </c>
      <c r="AA59" s="4">
        <f>E59/3</f>
        <v>651.3333333333334</v>
      </c>
      <c r="AB59" s="4">
        <f>E59/3</f>
        <v>651.3333333333334</v>
      </c>
      <c r="AC59" s="4">
        <f>E59/4</f>
        <v>488.5</v>
      </c>
      <c r="AD59" s="4">
        <v>0</v>
      </c>
      <c r="AE59" s="4">
        <f>N59*$M$2</f>
        <v>0</v>
      </c>
      <c r="AF59" s="4"/>
      <c r="AG59" s="4"/>
      <c r="AH59" s="4"/>
      <c r="AL59" s="3"/>
    </row>
    <row r="60" spans="1:38" s="1" customFormat="1" ht="12.75" customHeight="1">
      <c r="A60" s="15"/>
      <c r="C60" s="4"/>
      <c r="E60" s="4"/>
      <c r="F60" s="4"/>
      <c r="G60" s="5"/>
      <c r="H60" s="4"/>
      <c r="I60" s="4"/>
      <c r="J60" s="4"/>
      <c r="K60" s="4"/>
      <c r="L60" s="4"/>
      <c r="M60" s="6"/>
      <c r="N60" s="6"/>
      <c r="O60" s="4"/>
      <c r="P60" s="6"/>
      <c r="Q60" s="4"/>
      <c r="R60" s="6"/>
      <c r="S60" s="4"/>
      <c r="T60" s="6"/>
      <c r="U60" s="4"/>
      <c r="V60" s="6"/>
      <c r="W60" s="4"/>
      <c r="X60" s="4"/>
      <c r="Y60" s="4"/>
      <c r="Z60" s="4"/>
      <c r="AA60" s="4"/>
      <c r="AB60" s="4"/>
      <c r="AC60" s="4"/>
      <c r="AD60" s="4"/>
      <c r="AE60" s="4"/>
      <c r="AF60" s="4"/>
      <c r="AH60" s="4"/>
      <c r="AL60" s="3"/>
    </row>
    <row r="61" spans="1:38" s="1" customFormat="1" ht="12.75" customHeight="1">
      <c r="A61" s="1" t="s">
        <v>139</v>
      </c>
      <c r="B61" s="1" t="s">
        <v>140</v>
      </c>
      <c r="E61" s="4">
        <f>SUM(E62:E64)</f>
        <v>2565.3100000000004</v>
      </c>
      <c r="F61" s="4">
        <f>SUM(F62:F64)</f>
        <v>513.062</v>
      </c>
      <c r="G61" s="5">
        <f>F61/E61</f>
        <v>0.19999999999999998</v>
      </c>
      <c r="H61" s="4">
        <f aca="true" t="shared" si="24" ref="H61:AE61">SUM(H62:H64)</f>
        <v>3078.3720000000003</v>
      </c>
      <c r="I61" s="4">
        <f t="shared" si="24"/>
        <v>240</v>
      </c>
      <c r="J61" s="4">
        <f t="shared" si="24"/>
        <v>67.5</v>
      </c>
      <c r="K61" s="4">
        <f t="shared" si="24"/>
        <v>0</v>
      </c>
      <c r="L61" s="4">
        <f t="shared" si="24"/>
        <v>2257.8100000000004</v>
      </c>
      <c r="M61" s="6">
        <f t="shared" si="24"/>
        <v>6.25</v>
      </c>
      <c r="N61" s="6">
        <f t="shared" si="24"/>
        <v>0</v>
      </c>
      <c r="O61" s="4">
        <f t="shared" si="24"/>
        <v>0</v>
      </c>
      <c r="P61" s="6">
        <f t="shared" si="24"/>
        <v>4</v>
      </c>
      <c r="Q61" s="4">
        <f t="shared" si="24"/>
        <v>7040</v>
      </c>
      <c r="R61" s="6">
        <f t="shared" si="24"/>
        <v>0</v>
      </c>
      <c r="S61" s="4">
        <f t="shared" si="24"/>
        <v>0</v>
      </c>
      <c r="T61" s="6">
        <f t="shared" si="24"/>
        <v>0</v>
      </c>
      <c r="U61" s="4">
        <f t="shared" si="24"/>
        <v>0</v>
      </c>
      <c r="V61" s="6">
        <f t="shared" si="24"/>
        <v>2.25</v>
      </c>
      <c r="W61" s="4">
        <f t="shared" si="24"/>
        <v>3960</v>
      </c>
      <c r="X61" s="4">
        <f t="shared" si="24"/>
        <v>2565.3100000000004</v>
      </c>
      <c r="Y61" s="4">
        <f t="shared" si="24"/>
        <v>49.7525</v>
      </c>
      <c r="Z61" s="4">
        <f t="shared" si="24"/>
        <v>346.44916666666666</v>
      </c>
      <c r="AA61" s="4">
        <f t="shared" si="24"/>
        <v>788.7666666666668</v>
      </c>
      <c r="AB61" s="4">
        <f t="shared" si="24"/>
        <v>788.7666666666668</v>
      </c>
      <c r="AC61" s="4">
        <f t="shared" si="24"/>
        <v>591.575</v>
      </c>
      <c r="AD61" s="4">
        <f t="shared" si="24"/>
        <v>0</v>
      </c>
      <c r="AE61" s="4">
        <f t="shared" si="24"/>
        <v>0</v>
      </c>
      <c r="AF61" s="4"/>
      <c r="AH61" s="4"/>
      <c r="AL61" s="3"/>
    </row>
    <row r="62" spans="1:38" s="1" customFormat="1" ht="12.75" customHeight="1">
      <c r="A62" s="1" t="s">
        <v>141</v>
      </c>
      <c r="B62" s="1" t="s">
        <v>142</v>
      </c>
      <c r="E62" s="4">
        <f>SUM(I62:L62)</f>
        <v>90</v>
      </c>
      <c r="F62" s="4">
        <f>G62*E62</f>
        <v>18</v>
      </c>
      <c r="G62" s="5">
        <f>Contingency!E62*0.01</f>
        <v>0.2</v>
      </c>
      <c r="H62" s="4">
        <f>SUM(E62:F62)</f>
        <v>108</v>
      </c>
      <c r="I62" s="4">
        <f>N62*M2+P62*N2</f>
        <v>90</v>
      </c>
      <c r="J62" s="4">
        <f>V62*R10</f>
        <v>0</v>
      </c>
      <c r="K62" s="4"/>
      <c r="L62" s="4"/>
      <c r="M62" s="6">
        <f>N62+P62+R62+T62+V62</f>
        <v>1.5</v>
      </c>
      <c r="N62" s="6"/>
      <c r="O62" s="4">
        <f>N62*1760</f>
        <v>0</v>
      </c>
      <c r="P62" s="6">
        <v>1.5</v>
      </c>
      <c r="Q62" s="4">
        <f>P62*1760</f>
        <v>2640</v>
      </c>
      <c r="R62" s="6"/>
      <c r="S62" s="4"/>
      <c r="T62" s="6"/>
      <c r="U62" s="4">
        <f>T62*1760</f>
        <v>0</v>
      </c>
      <c r="V62" s="6"/>
      <c r="W62" s="4">
        <f>V62*1760</f>
        <v>0</v>
      </c>
      <c r="X62" s="4">
        <f>SUM(Y62:AC62)</f>
        <v>90</v>
      </c>
      <c r="Y62" s="4">
        <f>E62*0.25</f>
        <v>22.5</v>
      </c>
      <c r="Z62" s="4">
        <f>E62*0.75</f>
        <v>67.5</v>
      </c>
      <c r="AA62" s="4"/>
      <c r="AB62" s="4"/>
      <c r="AC62" s="4"/>
      <c r="AD62" s="4"/>
      <c r="AE62" s="4">
        <f>N62*$M$2</f>
        <v>0</v>
      </c>
      <c r="AF62" s="4"/>
      <c r="AH62" s="4"/>
      <c r="AL62" s="3"/>
    </row>
    <row r="63" spans="1:38" s="1" customFormat="1" ht="12.75" customHeight="1">
      <c r="A63" s="15" t="s">
        <v>143</v>
      </c>
      <c r="B63" s="1" t="s">
        <v>144</v>
      </c>
      <c r="E63" s="4">
        <f>SUM(I63:L63)</f>
        <v>109.00999999999999</v>
      </c>
      <c r="F63" s="4">
        <f>G63*E63</f>
        <v>21.802</v>
      </c>
      <c r="G63" s="5">
        <f>Contingency!E63*0.01</f>
        <v>0.2</v>
      </c>
      <c r="H63" s="4">
        <f>SUM(E63:F63)</f>
        <v>130.81199999999998</v>
      </c>
      <c r="I63" s="4">
        <f>N63*M2+P63*N2+T63*P2</f>
        <v>60</v>
      </c>
      <c r="J63" s="4">
        <f>V63*R2</f>
        <v>0</v>
      </c>
      <c r="K63" s="4"/>
      <c r="L63" s="4">
        <v>49.01</v>
      </c>
      <c r="M63" s="6">
        <f>N63+P63+R63+T63+V63</f>
        <v>1</v>
      </c>
      <c r="N63" s="6"/>
      <c r="O63" s="4">
        <f>N63*1760</f>
        <v>0</v>
      </c>
      <c r="P63" s="6">
        <v>1</v>
      </c>
      <c r="Q63" s="4">
        <f>P63*1760</f>
        <v>1760</v>
      </c>
      <c r="R63" s="6"/>
      <c r="S63" s="4"/>
      <c r="T63" s="6"/>
      <c r="U63" s="4"/>
      <c r="V63" s="6"/>
      <c r="W63" s="4"/>
      <c r="X63" s="4">
        <f>SUM(Y63:AC63)</f>
        <v>109.00999999999999</v>
      </c>
      <c r="Y63" s="4">
        <f>E63*0.25</f>
        <v>27.252499999999998</v>
      </c>
      <c r="Z63" s="4">
        <f>E63*0.75</f>
        <v>81.7575</v>
      </c>
      <c r="AA63" s="4"/>
      <c r="AB63" s="4"/>
      <c r="AC63" s="4"/>
      <c r="AD63" s="4"/>
      <c r="AE63" s="4">
        <f>N63*$M$2</f>
        <v>0</v>
      </c>
      <c r="AF63" s="4"/>
      <c r="AH63" s="4"/>
      <c r="AL63" s="3"/>
    </row>
    <row r="64" spans="1:38" s="1" customFormat="1" ht="12.75" customHeight="1">
      <c r="A64" s="1" t="s">
        <v>145</v>
      </c>
      <c r="B64" s="1" t="s">
        <v>146</v>
      </c>
      <c r="E64" s="4">
        <f>SUM(I64:L64)</f>
        <v>2366.3</v>
      </c>
      <c r="F64" s="4">
        <f>G64*E64</f>
        <v>473.26000000000005</v>
      </c>
      <c r="G64" s="5">
        <f>Contingency!E64*0.01</f>
        <v>0.2</v>
      </c>
      <c r="H64" s="4">
        <f>SUM(E64:F64)</f>
        <v>2839.5600000000004</v>
      </c>
      <c r="I64" s="4">
        <f>N64*M2+P64*N2+T64*P2</f>
        <v>90</v>
      </c>
      <c r="J64" s="21">
        <f>V64*R2</f>
        <v>67.5</v>
      </c>
      <c r="K64" s="4"/>
      <c r="L64" s="18">
        <f>2761*E191</f>
        <v>2208.8</v>
      </c>
      <c r="M64" s="6">
        <f>N64+P64+R64+T64+V64</f>
        <v>3.75</v>
      </c>
      <c r="N64" s="49">
        <f>Labour!K42</f>
        <v>0</v>
      </c>
      <c r="O64" s="4">
        <f>N64*1760</f>
        <v>0</v>
      </c>
      <c r="P64" s="49">
        <f>Labour!L42</f>
        <v>1.5</v>
      </c>
      <c r="Q64" s="4">
        <f>P64*1760</f>
        <v>2640</v>
      </c>
      <c r="R64" s="6"/>
      <c r="S64" s="4"/>
      <c r="T64" s="6"/>
      <c r="U64" s="4"/>
      <c r="V64" s="50">
        <f>Labour!M42</f>
        <v>2.25</v>
      </c>
      <c r="W64" s="4">
        <f>V64*1760</f>
        <v>3960</v>
      </c>
      <c r="X64" s="4">
        <f>SUM(Y64:AC64)</f>
        <v>2366.3</v>
      </c>
      <c r="Y64" s="4"/>
      <c r="Z64" s="4">
        <f>E64/12</f>
        <v>197.1916666666667</v>
      </c>
      <c r="AA64" s="4">
        <f>E64/3</f>
        <v>788.7666666666668</v>
      </c>
      <c r="AB64" s="4">
        <f>E64/3</f>
        <v>788.7666666666668</v>
      </c>
      <c r="AC64" s="4">
        <f>E64/4</f>
        <v>591.575</v>
      </c>
      <c r="AD64" s="4">
        <v>0</v>
      </c>
      <c r="AE64" s="4">
        <f>N64*$M$2</f>
        <v>0</v>
      </c>
      <c r="AF64" s="4"/>
      <c r="AH64" s="4"/>
      <c r="AL64" s="3"/>
    </row>
    <row r="65" spans="5:38" s="1" customFormat="1" ht="12.75" customHeight="1">
      <c r="E65" s="4"/>
      <c r="F65" s="4"/>
      <c r="G65" s="5"/>
      <c r="H65" s="4"/>
      <c r="I65" s="4"/>
      <c r="J65" s="4"/>
      <c r="K65" s="4"/>
      <c r="L65" s="4"/>
      <c r="M65" s="6"/>
      <c r="N65" s="6"/>
      <c r="O65" s="4"/>
      <c r="P65" s="6"/>
      <c r="Q65" s="4"/>
      <c r="R65" s="6"/>
      <c r="S65" s="4"/>
      <c r="T65" s="6"/>
      <c r="U65" s="4"/>
      <c r="V65" s="6"/>
      <c r="W65" s="4"/>
      <c r="X65" s="4"/>
      <c r="Y65" s="4"/>
      <c r="Z65" s="4"/>
      <c r="AA65" s="4"/>
      <c r="AB65" s="4"/>
      <c r="AC65" s="4"/>
      <c r="AD65" s="4"/>
      <c r="AE65" s="4"/>
      <c r="AF65" s="4"/>
      <c r="AH65" s="4"/>
      <c r="AL65" s="3"/>
    </row>
    <row r="66" spans="1:38" s="1" customFormat="1" ht="12.75" customHeight="1">
      <c r="A66" s="15" t="s">
        <v>147</v>
      </c>
      <c r="B66" s="1" t="s">
        <v>148</v>
      </c>
      <c r="E66" s="4">
        <f>SUM(E67:E69)</f>
        <v>294.7</v>
      </c>
      <c r="F66" s="4">
        <f>SUM(F67:F69)</f>
        <v>129.668</v>
      </c>
      <c r="G66" s="5">
        <f>F66/E66</f>
        <v>0.44000000000000006</v>
      </c>
      <c r="H66" s="4">
        <f aca="true" t="shared" si="25" ref="H66:AE66">SUM(H67:H69)</f>
        <v>424.36799999999994</v>
      </c>
      <c r="I66" s="4">
        <f t="shared" si="25"/>
        <v>156</v>
      </c>
      <c r="J66" s="4">
        <f t="shared" si="25"/>
        <v>13.499999999999998</v>
      </c>
      <c r="K66" s="4">
        <f t="shared" si="25"/>
        <v>0</v>
      </c>
      <c r="L66" s="4">
        <f t="shared" si="25"/>
        <v>125.2</v>
      </c>
      <c r="M66" s="6">
        <f t="shared" si="25"/>
        <v>4.05</v>
      </c>
      <c r="N66" s="6">
        <f t="shared" si="25"/>
        <v>1</v>
      </c>
      <c r="O66" s="4">
        <f t="shared" si="25"/>
        <v>1760</v>
      </c>
      <c r="P66" s="6">
        <f t="shared" si="25"/>
        <v>2.6</v>
      </c>
      <c r="Q66" s="4">
        <f t="shared" si="25"/>
        <v>3520</v>
      </c>
      <c r="R66" s="6">
        <f t="shared" si="25"/>
        <v>0</v>
      </c>
      <c r="S66" s="4">
        <f t="shared" si="25"/>
        <v>0</v>
      </c>
      <c r="T66" s="6">
        <f t="shared" si="25"/>
        <v>0</v>
      </c>
      <c r="U66" s="4">
        <f t="shared" si="25"/>
        <v>0</v>
      </c>
      <c r="V66" s="6">
        <f t="shared" si="25"/>
        <v>0.44999999999999996</v>
      </c>
      <c r="W66" s="4">
        <f t="shared" si="25"/>
        <v>791.9999999999999</v>
      </c>
      <c r="X66" s="4">
        <f t="shared" si="25"/>
        <v>294.7</v>
      </c>
      <c r="Y66" s="4">
        <f t="shared" si="25"/>
        <v>32.5</v>
      </c>
      <c r="Z66" s="4">
        <f t="shared" si="25"/>
        <v>111.225</v>
      </c>
      <c r="AA66" s="4">
        <f t="shared" si="25"/>
        <v>54.9</v>
      </c>
      <c r="AB66" s="4">
        <f t="shared" si="25"/>
        <v>54.9</v>
      </c>
      <c r="AC66" s="4">
        <f t="shared" si="25"/>
        <v>41.175</v>
      </c>
      <c r="AD66" s="4">
        <f t="shared" si="25"/>
        <v>0</v>
      </c>
      <c r="AE66" s="4">
        <f t="shared" si="25"/>
        <v>80</v>
      </c>
      <c r="AF66" s="4"/>
      <c r="AH66" s="4"/>
      <c r="AL66" s="3"/>
    </row>
    <row r="67" spans="1:38" s="1" customFormat="1" ht="12.75" customHeight="1">
      <c r="A67" s="1" t="s">
        <v>149</v>
      </c>
      <c r="B67" s="1" t="s">
        <v>150</v>
      </c>
      <c r="E67" s="4">
        <f>SUM(I67:L67)</f>
        <v>60</v>
      </c>
      <c r="F67" s="4">
        <f>G67*E67</f>
        <v>26.4</v>
      </c>
      <c r="G67" s="5">
        <f>Contingency!E67*0.01</f>
        <v>0.44</v>
      </c>
      <c r="H67" s="4">
        <f>SUM(E67:F67)</f>
        <v>86.4</v>
      </c>
      <c r="I67" s="4">
        <f>P67*N2+T67*P2</f>
        <v>60</v>
      </c>
      <c r="J67" s="4">
        <f>V67*R16</f>
        <v>0</v>
      </c>
      <c r="K67" s="4"/>
      <c r="L67" s="4"/>
      <c r="M67" s="6">
        <f>N67+P67+R67+T67+V67</f>
        <v>1.5</v>
      </c>
      <c r="N67" s="6">
        <v>0.5</v>
      </c>
      <c r="O67" s="4">
        <f>N67*1760</f>
        <v>880</v>
      </c>
      <c r="P67" s="6">
        <v>1</v>
      </c>
      <c r="Q67" s="4">
        <f>P67*1760</f>
        <v>1760</v>
      </c>
      <c r="R67" s="6"/>
      <c r="S67" s="4"/>
      <c r="T67" s="6"/>
      <c r="U67" s="4">
        <f>T67*1760</f>
        <v>0</v>
      </c>
      <c r="V67" s="6"/>
      <c r="W67" s="4">
        <f>V67*1760</f>
        <v>0</v>
      </c>
      <c r="X67" s="4">
        <f>SUM(Y67:AC67)</f>
        <v>60</v>
      </c>
      <c r="Y67" s="4">
        <f>E67*0.25</f>
        <v>15</v>
      </c>
      <c r="Z67" s="4">
        <f>E67*0.75</f>
        <v>45</v>
      </c>
      <c r="AA67" s="4"/>
      <c r="AB67" s="4"/>
      <c r="AC67" s="4"/>
      <c r="AD67" s="4"/>
      <c r="AE67" s="4">
        <f>N67*$M$2</f>
        <v>40</v>
      </c>
      <c r="AF67" s="4"/>
      <c r="AH67" s="4"/>
      <c r="AL67" s="3"/>
    </row>
    <row r="68" spans="1:34" s="1" customFormat="1" ht="12.75" customHeight="1">
      <c r="A68" s="1" t="s">
        <v>151</v>
      </c>
      <c r="B68" s="1" t="s">
        <v>152</v>
      </c>
      <c r="E68" s="4">
        <f>SUM(I68:L68)</f>
        <v>70</v>
      </c>
      <c r="F68" s="4">
        <f>G68*E68</f>
        <v>30.8</v>
      </c>
      <c r="G68" s="5">
        <f>Contingency!E68*0.01</f>
        <v>0.44</v>
      </c>
      <c r="H68" s="4">
        <f>SUM(E68:F68)</f>
        <v>100.8</v>
      </c>
      <c r="I68" s="4">
        <f>P68*N2+T68*P2</f>
        <v>60</v>
      </c>
      <c r="J68" s="4">
        <f>V68*R2</f>
        <v>0</v>
      </c>
      <c r="K68" s="4"/>
      <c r="L68" s="4">
        <v>10</v>
      </c>
      <c r="M68" s="6">
        <f>N68+P68+R68+T68+V68</f>
        <v>1.5</v>
      </c>
      <c r="N68" s="6">
        <v>0.5</v>
      </c>
      <c r="O68" s="4">
        <f>N68*1760</f>
        <v>880</v>
      </c>
      <c r="P68" s="6">
        <v>1</v>
      </c>
      <c r="Q68" s="4">
        <f>P68*1760</f>
        <v>1760</v>
      </c>
      <c r="R68" s="6"/>
      <c r="S68" s="4"/>
      <c r="T68" s="6"/>
      <c r="U68" s="4"/>
      <c r="V68" s="6"/>
      <c r="W68" s="4"/>
      <c r="X68" s="4">
        <f>SUM(Y68:AC68)</f>
        <v>70</v>
      </c>
      <c r="Y68" s="4">
        <f>E68*0.25</f>
        <v>17.5</v>
      </c>
      <c r="Z68" s="4">
        <f>E68*0.75</f>
        <v>52.5</v>
      </c>
      <c r="AA68" s="4"/>
      <c r="AB68" s="4"/>
      <c r="AC68" s="4"/>
      <c r="AD68" s="4"/>
      <c r="AE68" s="4">
        <f>N68*$M$2</f>
        <v>40</v>
      </c>
      <c r="AH68" s="6"/>
    </row>
    <row r="69" spans="1:34" s="1" customFormat="1" ht="12.75" customHeight="1">
      <c r="A69" s="1" t="s">
        <v>153</v>
      </c>
      <c r="B69" s="2" t="s">
        <v>154</v>
      </c>
      <c r="D69" s="2"/>
      <c r="E69" s="4">
        <f>SUM(I69:L69)</f>
        <v>164.7</v>
      </c>
      <c r="F69" s="4">
        <f>G69*E69</f>
        <v>72.46799999999999</v>
      </c>
      <c r="G69" s="5">
        <f>Contingency!E69*0.01</f>
        <v>0.44</v>
      </c>
      <c r="H69" s="4">
        <f>SUM(E69:F69)</f>
        <v>237.16799999999998</v>
      </c>
      <c r="I69" s="4">
        <f>N69*M2+P69*N2+T69*P2</f>
        <v>36</v>
      </c>
      <c r="J69" s="4">
        <f>V69*R2</f>
        <v>13.499999999999998</v>
      </c>
      <c r="K69" s="4"/>
      <c r="L69" s="18">
        <f>144*E191</f>
        <v>115.2</v>
      </c>
      <c r="M69" s="6">
        <f>N69+P69+R69+T69+V69</f>
        <v>1.0499999999999998</v>
      </c>
      <c r="N69" s="49">
        <f>Labour!K43</f>
        <v>0</v>
      </c>
      <c r="O69" s="4">
        <f>N69*1760</f>
        <v>0</v>
      </c>
      <c r="P69" s="49">
        <f>Labour!L43</f>
        <v>0.6</v>
      </c>
      <c r="Q69" s="4"/>
      <c r="R69" s="6"/>
      <c r="S69" s="4"/>
      <c r="T69" s="6"/>
      <c r="U69" s="4"/>
      <c r="V69" s="49">
        <f>Labour!M43</f>
        <v>0.44999999999999996</v>
      </c>
      <c r="W69" s="4">
        <f>V69*1760</f>
        <v>791.9999999999999</v>
      </c>
      <c r="X69" s="4">
        <f>SUM(Y69:AC69)</f>
        <v>164.7</v>
      </c>
      <c r="Y69" s="4"/>
      <c r="Z69" s="4">
        <f>E69/12</f>
        <v>13.725</v>
      </c>
      <c r="AA69" s="4">
        <f>E69/3</f>
        <v>54.9</v>
      </c>
      <c r="AB69" s="4">
        <f>E69/3</f>
        <v>54.9</v>
      </c>
      <c r="AC69" s="4">
        <f>E69/4</f>
        <v>41.175</v>
      </c>
      <c r="AD69" s="4">
        <v>0</v>
      </c>
      <c r="AE69" s="4">
        <f>N69*$M$2</f>
        <v>0</v>
      </c>
      <c r="AH69" s="6"/>
    </row>
    <row r="70" spans="5:34" s="1" customFormat="1" ht="12.75" customHeight="1">
      <c r="E70" s="4"/>
      <c r="F70" s="4"/>
      <c r="G70" s="5"/>
      <c r="H70" s="4"/>
      <c r="I70" s="4"/>
      <c r="J70" s="4"/>
      <c r="K70" s="4"/>
      <c r="L70" s="4"/>
      <c r="M70" s="6"/>
      <c r="N70" s="6"/>
      <c r="O70" s="4"/>
      <c r="P70" s="6"/>
      <c r="Q70" s="4"/>
      <c r="R70" s="6"/>
      <c r="S70" s="4"/>
      <c r="T70" s="6"/>
      <c r="U70" s="4"/>
      <c r="V70" s="6"/>
      <c r="W70" s="4"/>
      <c r="X70" s="4"/>
      <c r="Y70" s="4"/>
      <c r="Z70" s="4"/>
      <c r="AA70" s="4"/>
      <c r="AB70" s="4"/>
      <c r="AC70" s="4"/>
      <c r="AD70" s="4"/>
      <c r="AE70" s="4"/>
      <c r="AH70" s="6"/>
    </row>
    <row r="71" spans="1:35" s="1" customFormat="1" ht="12.75" customHeight="1">
      <c r="A71" s="1" t="s">
        <v>155</v>
      </c>
      <c r="B71" s="1" t="s">
        <v>156</v>
      </c>
      <c r="E71" s="4">
        <f>E72+E75+E78</f>
        <v>361.9</v>
      </c>
      <c r="F71" s="4">
        <f>F72+F75+F78</f>
        <v>72.38000000000001</v>
      </c>
      <c r="G71" s="5">
        <f>F71/E71</f>
        <v>0.20000000000000004</v>
      </c>
      <c r="H71" s="4">
        <f aca="true" t="shared" si="26" ref="H71:AC71">H72+H75+H78</f>
        <v>434.28</v>
      </c>
      <c r="I71" s="4">
        <f t="shared" si="26"/>
        <v>0</v>
      </c>
      <c r="J71" s="4">
        <f t="shared" si="26"/>
        <v>35</v>
      </c>
      <c r="K71" s="4">
        <f t="shared" si="26"/>
        <v>0</v>
      </c>
      <c r="L71" s="4">
        <f t="shared" si="26"/>
        <v>326.9</v>
      </c>
      <c r="M71" s="6">
        <f t="shared" si="26"/>
        <v>0.9971509971509973</v>
      </c>
      <c r="N71" s="6">
        <f t="shared" si="26"/>
        <v>0</v>
      </c>
      <c r="O71" s="4">
        <f t="shared" si="26"/>
        <v>0</v>
      </c>
      <c r="P71" s="6">
        <f t="shared" si="26"/>
        <v>0</v>
      </c>
      <c r="Q71" s="4">
        <f t="shared" si="26"/>
        <v>0</v>
      </c>
      <c r="R71" s="6">
        <f t="shared" si="26"/>
        <v>0</v>
      </c>
      <c r="S71" s="4">
        <f t="shared" si="26"/>
        <v>0</v>
      </c>
      <c r="T71" s="6">
        <f t="shared" si="26"/>
        <v>0</v>
      </c>
      <c r="U71" s="4">
        <f t="shared" si="26"/>
        <v>0</v>
      </c>
      <c r="V71" s="6">
        <f t="shared" si="26"/>
        <v>0.9971509971509973</v>
      </c>
      <c r="W71" s="4">
        <f t="shared" si="26"/>
        <v>1754.9857549857552</v>
      </c>
      <c r="X71" s="4">
        <f t="shared" si="26"/>
        <v>361.9</v>
      </c>
      <c r="Y71" s="4">
        <f t="shared" si="26"/>
        <v>0</v>
      </c>
      <c r="Z71" s="4">
        <f t="shared" si="26"/>
        <v>103.2</v>
      </c>
      <c r="AA71" s="4">
        <f t="shared" si="26"/>
        <v>191.45</v>
      </c>
      <c r="AB71" s="4">
        <f t="shared" si="26"/>
        <v>67.25</v>
      </c>
      <c r="AC71" s="4">
        <f t="shared" si="26"/>
        <v>0</v>
      </c>
      <c r="AD71" s="4"/>
      <c r="AE71" s="4"/>
      <c r="AG71" s="1">
        <f>AG39</f>
        <v>1152</v>
      </c>
      <c r="AH71" s="6">
        <v>290</v>
      </c>
      <c r="AI71" s="1" t="s">
        <v>157</v>
      </c>
    </row>
    <row r="72" spans="1:35" s="1" customFormat="1" ht="12.75" customHeight="1">
      <c r="A72" s="1" t="s">
        <v>158</v>
      </c>
      <c r="B72" s="1" t="s">
        <v>159</v>
      </c>
      <c r="E72" s="4">
        <f>SUM(E73:E74)</f>
        <v>231.5</v>
      </c>
      <c r="F72" s="4">
        <f>SUM(F73:F74)</f>
        <v>46.300000000000004</v>
      </c>
      <c r="G72" s="5">
        <f>Contingency!E72*0.01</f>
        <v>0.2</v>
      </c>
      <c r="H72" s="4">
        <f aca="true" t="shared" si="27" ref="H72:AC72">SUM(H73:H74)</f>
        <v>277.8</v>
      </c>
      <c r="I72" s="4">
        <f t="shared" si="27"/>
        <v>0</v>
      </c>
      <c r="J72" s="4">
        <f t="shared" si="27"/>
        <v>32</v>
      </c>
      <c r="K72" s="4">
        <f t="shared" si="27"/>
        <v>0</v>
      </c>
      <c r="L72" s="4">
        <f t="shared" si="27"/>
        <v>199.5</v>
      </c>
      <c r="M72" s="6">
        <f t="shared" si="27"/>
        <v>0.9116809116809118</v>
      </c>
      <c r="N72" s="6">
        <f t="shared" si="27"/>
        <v>0</v>
      </c>
      <c r="O72" s="4">
        <f t="shared" si="27"/>
        <v>0</v>
      </c>
      <c r="P72" s="6">
        <f t="shared" si="27"/>
        <v>0</v>
      </c>
      <c r="Q72" s="4">
        <f t="shared" si="27"/>
        <v>0</v>
      </c>
      <c r="R72" s="6">
        <f t="shared" si="27"/>
        <v>0</v>
      </c>
      <c r="S72" s="4">
        <f t="shared" si="27"/>
        <v>0</v>
      </c>
      <c r="T72" s="6">
        <f t="shared" si="27"/>
        <v>0</v>
      </c>
      <c r="U72" s="4">
        <f t="shared" si="27"/>
        <v>0</v>
      </c>
      <c r="V72" s="6">
        <f t="shared" si="27"/>
        <v>0.9116809116809118</v>
      </c>
      <c r="W72" s="4">
        <f t="shared" si="27"/>
        <v>1604.5584045584048</v>
      </c>
      <c r="X72" s="4">
        <f t="shared" si="27"/>
        <v>231.5</v>
      </c>
      <c r="Y72" s="4">
        <f t="shared" si="27"/>
        <v>0</v>
      </c>
      <c r="Z72" s="4">
        <f t="shared" si="27"/>
        <v>57.875</v>
      </c>
      <c r="AA72" s="4">
        <f t="shared" si="27"/>
        <v>115.75</v>
      </c>
      <c r="AB72" s="4">
        <f t="shared" si="27"/>
        <v>57.875</v>
      </c>
      <c r="AC72" s="4">
        <f t="shared" si="27"/>
        <v>0</v>
      </c>
      <c r="AD72" s="4"/>
      <c r="AE72" s="4"/>
      <c r="AG72" s="1">
        <f>INT(AG71/AI72*(1+$K$2/100))</f>
        <v>105</v>
      </c>
      <c r="AH72" s="6">
        <v>1900</v>
      </c>
      <c r="AI72" s="1">
        <v>12</v>
      </c>
    </row>
    <row r="73" spans="1:34" s="1" customFormat="1" ht="12.75" customHeight="1">
      <c r="A73" s="1" t="s">
        <v>160</v>
      </c>
      <c r="B73" s="1" t="s">
        <v>161</v>
      </c>
      <c r="E73" s="4">
        <f>SUM(I73:L73)</f>
        <v>199.5</v>
      </c>
      <c r="F73" s="4">
        <f>G73*E73</f>
        <v>39.900000000000006</v>
      </c>
      <c r="G73" s="5">
        <f>Contingency!E73*0.01</f>
        <v>0.2</v>
      </c>
      <c r="H73" s="4">
        <f>SUM(E73:F73)</f>
        <v>239.4</v>
      </c>
      <c r="I73" s="4"/>
      <c r="J73" s="4"/>
      <c r="K73" s="4"/>
      <c r="L73" s="4">
        <f>$AG72*$AH72/1000</f>
        <v>199.5</v>
      </c>
      <c r="M73" s="6">
        <f>N73+P73+R73+T73+V73</f>
        <v>0</v>
      </c>
      <c r="N73" s="6"/>
      <c r="O73" s="4"/>
      <c r="P73" s="6"/>
      <c r="Q73" s="4"/>
      <c r="R73" s="6"/>
      <c r="S73" s="4"/>
      <c r="T73" s="6"/>
      <c r="U73" s="4"/>
      <c r="V73" s="6"/>
      <c r="W73" s="4"/>
      <c r="X73" s="4">
        <f>SUM(Y73:AC73)</f>
        <v>199.5</v>
      </c>
      <c r="Y73" s="4">
        <f>E73*0</f>
        <v>0</v>
      </c>
      <c r="Z73" s="4">
        <f>E73*0.25</f>
        <v>49.875</v>
      </c>
      <c r="AA73" s="4">
        <f>E73*0.5</f>
        <v>99.75</v>
      </c>
      <c r="AB73" s="4">
        <f>E73*0.25</f>
        <v>49.875</v>
      </c>
      <c r="AC73" s="4"/>
      <c r="AD73" s="4">
        <f>X73-E73</f>
        <v>0</v>
      </c>
      <c r="AE73" s="4"/>
      <c r="AH73" s="6"/>
    </row>
    <row r="74" spans="1:35" s="1" customFormat="1" ht="12.75" customHeight="1">
      <c r="A74" s="1" t="s">
        <v>162</v>
      </c>
      <c r="B74" s="1" t="s">
        <v>163</v>
      </c>
      <c r="E74" s="4">
        <f>SUM(I74:L74)</f>
        <v>32</v>
      </c>
      <c r="F74" s="4">
        <f>G74*E74</f>
        <v>6.4</v>
      </c>
      <c r="G74" s="5">
        <f>Contingency!E74*0.01</f>
        <v>0.2</v>
      </c>
      <c r="H74" s="4">
        <f>SUM(E74:F74)</f>
        <v>38.4</v>
      </c>
      <c r="I74" s="4"/>
      <c r="J74" s="4">
        <v>32</v>
      </c>
      <c r="K74" s="4"/>
      <c r="L74" s="4"/>
      <c r="M74" s="6">
        <f>N74+P74+R74+T74+V74</f>
        <v>0.9116809116809118</v>
      </c>
      <c r="N74" s="6"/>
      <c r="O74" s="4">
        <f>N74*1760</f>
        <v>0</v>
      </c>
      <c r="P74" s="6"/>
      <c r="Q74" s="4"/>
      <c r="R74" s="6"/>
      <c r="S74" s="4"/>
      <c r="T74" s="6"/>
      <c r="U74" s="4"/>
      <c r="V74" s="6">
        <f>J74/$P$3/1.755</f>
        <v>0.9116809116809118</v>
      </c>
      <c r="W74" s="4">
        <f>V74*1760</f>
        <v>1604.5584045584048</v>
      </c>
      <c r="X74" s="4">
        <f>SUM(Y74:AC74)</f>
        <v>32</v>
      </c>
      <c r="Y74" s="4">
        <f>E74*0</f>
        <v>0</v>
      </c>
      <c r="Z74" s="4">
        <f>E74*0.25</f>
        <v>8</v>
      </c>
      <c r="AA74" s="4">
        <f>E74*0.5</f>
        <v>16</v>
      </c>
      <c r="AB74" s="4">
        <f>E74*0.25</f>
        <v>8</v>
      </c>
      <c r="AC74" s="4"/>
      <c r="AD74" s="4">
        <f>X74-E74</f>
        <v>0</v>
      </c>
      <c r="AE74" s="4"/>
      <c r="AH74" s="6"/>
      <c r="AI74" s="1" t="s">
        <v>164</v>
      </c>
    </row>
    <row r="75" spans="1:35" s="1" customFormat="1" ht="12.75" customHeight="1">
      <c r="A75" s="1" t="s">
        <v>165</v>
      </c>
      <c r="B75" s="1" t="s">
        <v>166</v>
      </c>
      <c r="E75" s="4">
        <f>SUM(E76:E77)</f>
        <v>55.5</v>
      </c>
      <c r="F75" s="4">
        <f>SUM(F76:F77)</f>
        <v>11.1</v>
      </c>
      <c r="G75" s="5">
        <f>Contingency!E75*0.01</f>
        <v>0.2</v>
      </c>
      <c r="H75" s="4">
        <f aca="true" t="shared" si="28" ref="H75:AC75">SUM(H76:H77)</f>
        <v>66.6</v>
      </c>
      <c r="I75" s="4">
        <f t="shared" si="28"/>
        <v>0</v>
      </c>
      <c r="J75" s="4">
        <f t="shared" si="28"/>
        <v>3</v>
      </c>
      <c r="K75" s="4">
        <f t="shared" si="28"/>
        <v>0</v>
      </c>
      <c r="L75" s="4">
        <f t="shared" si="28"/>
        <v>52.5</v>
      </c>
      <c r="M75" s="6">
        <f t="shared" si="28"/>
        <v>0.08547008547008547</v>
      </c>
      <c r="N75" s="6">
        <f t="shared" si="28"/>
        <v>0</v>
      </c>
      <c r="O75" s="4">
        <f t="shared" si="28"/>
        <v>0</v>
      </c>
      <c r="P75" s="6">
        <f t="shared" si="28"/>
        <v>0</v>
      </c>
      <c r="Q75" s="4">
        <f t="shared" si="28"/>
        <v>0</v>
      </c>
      <c r="R75" s="6">
        <f t="shared" si="28"/>
        <v>0</v>
      </c>
      <c r="S75" s="4">
        <f t="shared" si="28"/>
        <v>0</v>
      </c>
      <c r="T75" s="6">
        <f t="shared" si="28"/>
        <v>0</v>
      </c>
      <c r="U75" s="4">
        <f t="shared" si="28"/>
        <v>0</v>
      </c>
      <c r="V75" s="6">
        <f t="shared" si="28"/>
        <v>0.08547008547008547</v>
      </c>
      <c r="W75" s="4">
        <f t="shared" si="28"/>
        <v>150.42735042735043</v>
      </c>
      <c r="X75" s="4">
        <f t="shared" si="28"/>
        <v>55.5</v>
      </c>
      <c r="Y75" s="4">
        <f t="shared" si="28"/>
        <v>0</v>
      </c>
      <c r="Z75" s="4">
        <f t="shared" si="28"/>
        <v>7.875</v>
      </c>
      <c r="AA75" s="4">
        <f t="shared" si="28"/>
        <v>38.25</v>
      </c>
      <c r="AB75" s="4">
        <f t="shared" si="28"/>
        <v>9.375</v>
      </c>
      <c r="AC75" s="4">
        <f t="shared" si="28"/>
        <v>0</v>
      </c>
      <c r="AD75" s="4"/>
      <c r="AE75" s="4"/>
      <c r="AG75" s="1">
        <f>ROUNDUP(AG71/AI72/AI75*(1+$K$2/100),0)</f>
        <v>14</v>
      </c>
      <c r="AH75" s="6">
        <v>3750</v>
      </c>
      <c r="AI75" s="1">
        <v>8</v>
      </c>
    </row>
    <row r="76" spans="1:34" s="1" customFormat="1" ht="12.75" customHeight="1">
      <c r="A76" s="1" t="s">
        <v>167</v>
      </c>
      <c r="B76" s="1" t="s">
        <v>168</v>
      </c>
      <c r="E76" s="4">
        <f>SUM(I76:L76)</f>
        <v>52.5</v>
      </c>
      <c r="F76" s="4">
        <f>G76*E76</f>
        <v>10.5</v>
      </c>
      <c r="G76" s="5">
        <f>Contingency!E76*0.01</f>
        <v>0.2</v>
      </c>
      <c r="H76" s="4">
        <f>SUM(E76:F76)</f>
        <v>63</v>
      </c>
      <c r="I76" s="4"/>
      <c r="J76" s="4"/>
      <c r="K76" s="4"/>
      <c r="L76" s="4">
        <f>$AG75*$AH75/1000</f>
        <v>52.5</v>
      </c>
      <c r="M76" s="6">
        <f>N76+P76+R76+T76+V76</f>
        <v>0</v>
      </c>
      <c r="N76" s="6"/>
      <c r="O76" s="4">
        <f>N76*1760</f>
        <v>0</v>
      </c>
      <c r="P76" s="6"/>
      <c r="Q76" s="4"/>
      <c r="R76" s="6"/>
      <c r="S76" s="4"/>
      <c r="T76" s="6"/>
      <c r="U76" s="4"/>
      <c r="V76" s="6"/>
      <c r="W76" s="4"/>
      <c r="X76" s="4">
        <f>SUM(Y76:AC76)</f>
        <v>52.5</v>
      </c>
      <c r="Y76" s="4">
        <f>E76*0</f>
        <v>0</v>
      </c>
      <c r="Z76" s="4">
        <f>E76*0.15</f>
        <v>7.875</v>
      </c>
      <c r="AA76" s="4">
        <f>E76*0.7</f>
        <v>36.75</v>
      </c>
      <c r="AB76" s="4">
        <f>E76*0.15</f>
        <v>7.875</v>
      </c>
      <c r="AC76" s="4"/>
      <c r="AD76" s="4">
        <f>X76-E76</f>
        <v>0</v>
      </c>
      <c r="AE76" s="4"/>
      <c r="AH76" s="6"/>
    </row>
    <row r="77" spans="1:35" s="1" customFormat="1" ht="12.75" customHeight="1">
      <c r="A77" s="1" t="s">
        <v>169</v>
      </c>
      <c r="B77" s="1" t="s">
        <v>170</v>
      </c>
      <c r="E77" s="4">
        <f>SUM(I77:L77)</f>
        <v>3</v>
      </c>
      <c r="F77" s="4">
        <f>G77*E77</f>
        <v>0.6000000000000001</v>
      </c>
      <c r="G77" s="5">
        <f>Contingency!E77*0.01</f>
        <v>0.2</v>
      </c>
      <c r="H77" s="4">
        <f>SUM(E77:F77)</f>
        <v>3.6</v>
      </c>
      <c r="I77" s="4"/>
      <c r="J77" s="4">
        <v>3</v>
      </c>
      <c r="K77" s="4"/>
      <c r="L77" s="4"/>
      <c r="M77" s="6">
        <f>N77+P77+R77+T77+V77</f>
        <v>0.08547008547008547</v>
      </c>
      <c r="N77" s="6"/>
      <c r="O77" s="4">
        <f>N77*1760</f>
        <v>0</v>
      </c>
      <c r="P77" s="6"/>
      <c r="Q77" s="4"/>
      <c r="R77" s="6"/>
      <c r="S77" s="4"/>
      <c r="T77" s="6"/>
      <c r="U77" s="4"/>
      <c r="V77" s="6">
        <f>J77/$P$3/1.755</f>
        <v>0.08547008547008547</v>
      </c>
      <c r="W77" s="4">
        <f>V77*1760</f>
        <v>150.42735042735043</v>
      </c>
      <c r="X77" s="4">
        <f>SUM(Y77:AC77)</f>
        <v>3</v>
      </c>
      <c r="Y77" s="4">
        <f>E77*0</f>
        <v>0</v>
      </c>
      <c r="Z77" s="4">
        <f>E77*0</f>
        <v>0</v>
      </c>
      <c r="AA77" s="4">
        <f>E77*0.5</f>
        <v>1.5</v>
      </c>
      <c r="AB77" s="4">
        <f>E77*0.5</f>
        <v>1.5</v>
      </c>
      <c r="AC77" s="4"/>
      <c r="AD77" s="4">
        <f>X77-E77</f>
        <v>0</v>
      </c>
      <c r="AE77" s="4"/>
      <c r="AH77" s="6"/>
      <c r="AI77" s="1" t="s">
        <v>171</v>
      </c>
    </row>
    <row r="78" spans="1:38" s="1" customFormat="1" ht="12.75" customHeight="1">
      <c r="A78" s="1" t="s">
        <v>172</v>
      </c>
      <c r="B78" s="1" t="s">
        <v>173</v>
      </c>
      <c r="E78" s="4">
        <f>SUM(E79:E79)</f>
        <v>74.9</v>
      </c>
      <c r="F78" s="4">
        <f>SUM(F79:F79)</f>
        <v>14.980000000000002</v>
      </c>
      <c r="G78" s="5">
        <f>Contingency!E78*0.01</f>
        <v>0.2</v>
      </c>
      <c r="H78" s="4">
        <f aca="true" t="shared" si="29" ref="H78:AC78">SUM(H79:H79)</f>
        <v>89.88000000000001</v>
      </c>
      <c r="I78" s="4">
        <f t="shared" si="29"/>
        <v>0</v>
      </c>
      <c r="J78" s="4">
        <f t="shared" si="29"/>
        <v>0</v>
      </c>
      <c r="K78" s="4">
        <f t="shared" si="29"/>
        <v>0</v>
      </c>
      <c r="L78" s="4">
        <f t="shared" si="29"/>
        <v>74.9</v>
      </c>
      <c r="M78" s="6">
        <f t="shared" si="29"/>
        <v>0</v>
      </c>
      <c r="N78" s="6">
        <f t="shared" si="29"/>
        <v>0</v>
      </c>
      <c r="O78" s="4">
        <f t="shared" si="29"/>
        <v>0</v>
      </c>
      <c r="P78" s="6">
        <f t="shared" si="29"/>
        <v>0</v>
      </c>
      <c r="Q78" s="4">
        <f t="shared" si="29"/>
        <v>0</v>
      </c>
      <c r="R78" s="6">
        <f t="shared" si="29"/>
        <v>0</v>
      </c>
      <c r="S78" s="4">
        <f t="shared" si="29"/>
        <v>0</v>
      </c>
      <c r="T78" s="6">
        <f t="shared" si="29"/>
        <v>0</v>
      </c>
      <c r="U78" s="4">
        <f t="shared" si="29"/>
        <v>0</v>
      </c>
      <c r="V78" s="6">
        <f t="shared" si="29"/>
        <v>0</v>
      </c>
      <c r="W78" s="4">
        <f t="shared" si="29"/>
        <v>0</v>
      </c>
      <c r="X78" s="4">
        <f t="shared" si="29"/>
        <v>74.9</v>
      </c>
      <c r="Y78" s="4">
        <f t="shared" si="29"/>
        <v>0</v>
      </c>
      <c r="Z78" s="4">
        <f t="shared" si="29"/>
        <v>37.45</v>
      </c>
      <c r="AA78" s="4">
        <f t="shared" si="29"/>
        <v>37.45</v>
      </c>
      <c r="AB78" s="4">
        <f t="shared" si="29"/>
        <v>0</v>
      </c>
      <c r="AC78" s="4">
        <f t="shared" si="29"/>
        <v>0</v>
      </c>
      <c r="AD78" s="4"/>
      <c r="AE78" s="4"/>
      <c r="AG78" s="1">
        <f>ROUNDUP(AG75/AI78,0)</f>
        <v>7</v>
      </c>
      <c r="AH78" s="6">
        <v>10700</v>
      </c>
      <c r="AI78" s="1">
        <v>2</v>
      </c>
      <c r="AL78" s="1">
        <f>AG78</f>
        <v>7</v>
      </c>
    </row>
    <row r="79" spans="1:34" s="1" customFormat="1" ht="12.75" customHeight="1">
      <c r="A79" s="1" t="s">
        <v>174</v>
      </c>
      <c r="B79" s="1" t="s">
        <v>175</v>
      </c>
      <c r="E79" s="4">
        <f>SUM(I79:L79)</f>
        <v>74.9</v>
      </c>
      <c r="F79" s="4">
        <f>G79*E79</f>
        <v>14.980000000000002</v>
      </c>
      <c r="G79" s="5">
        <f>Contingency!E79*0.01</f>
        <v>0.2</v>
      </c>
      <c r="H79" s="4">
        <f>SUM(E79:F79)</f>
        <v>89.88000000000001</v>
      </c>
      <c r="I79" s="4"/>
      <c r="J79" s="4"/>
      <c r="K79" s="4"/>
      <c r="L79" s="4">
        <f>$AG78*$AH78/1000</f>
        <v>74.9</v>
      </c>
      <c r="M79" s="6">
        <f>N79+P79+R79+T79+V79</f>
        <v>0</v>
      </c>
      <c r="N79" s="6"/>
      <c r="O79" s="4">
        <f>N79*1760</f>
        <v>0</v>
      </c>
      <c r="P79" s="6"/>
      <c r="Q79" s="4"/>
      <c r="R79" s="6"/>
      <c r="S79" s="4"/>
      <c r="T79" s="6"/>
      <c r="U79" s="4"/>
      <c r="V79" s="6"/>
      <c r="W79" s="4"/>
      <c r="X79" s="4">
        <f>SUM(Y79:AC79)</f>
        <v>74.9</v>
      </c>
      <c r="Y79" s="4">
        <f>E79*0</f>
        <v>0</v>
      </c>
      <c r="Z79" s="4">
        <f>E79*0.5</f>
        <v>37.45</v>
      </c>
      <c r="AA79" s="4">
        <f>E79*0.5</f>
        <v>37.45</v>
      </c>
      <c r="AB79" s="4">
        <f>E79*0</f>
        <v>0</v>
      </c>
      <c r="AC79" s="4"/>
      <c r="AD79" s="4"/>
      <c r="AE79" s="4"/>
      <c r="AH79" s="6"/>
    </row>
    <row r="80" spans="5:34" s="1" customFormat="1" ht="12.75" customHeight="1">
      <c r="E80" s="4"/>
      <c r="F80" s="4"/>
      <c r="G80" s="5"/>
      <c r="H80" s="4"/>
      <c r="I80" s="4"/>
      <c r="J80" s="4"/>
      <c r="K80" s="4"/>
      <c r="L80" s="4"/>
      <c r="M80" s="6"/>
      <c r="N80" s="6"/>
      <c r="O80" s="4"/>
      <c r="P80" s="6"/>
      <c r="Q80" s="4"/>
      <c r="R80" s="6"/>
      <c r="S80" s="4"/>
      <c r="T80" s="6"/>
      <c r="U80" s="4"/>
      <c r="V80" s="6"/>
      <c r="W80" s="4"/>
      <c r="X80" s="4"/>
      <c r="Y80" s="4"/>
      <c r="Z80" s="4"/>
      <c r="AA80" s="4"/>
      <c r="AB80" s="4"/>
      <c r="AC80" s="4"/>
      <c r="AD80" s="4"/>
      <c r="AE80" s="4"/>
      <c r="AH80" s="6"/>
    </row>
    <row r="81" spans="1:34" s="1" customFormat="1" ht="12.75" customHeight="1">
      <c r="A81" s="1" t="s">
        <v>176</v>
      </c>
      <c r="B81" s="1" t="s">
        <v>177</v>
      </c>
      <c r="E81" s="4">
        <f>E83+E87+E91</f>
        <v>3623.75</v>
      </c>
      <c r="F81" s="4">
        <f>F83+F87+F91</f>
        <v>2319.2000000000003</v>
      </c>
      <c r="G81" s="5">
        <f>F81/E81</f>
        <v>0.6400000000000001</v>
      </c>
      <c r="H81" s="4">
        <f aca="true" t="shared" si="30" ref="H81:Q81">H83+H87+H91</f>
        <v>5942.95</v>
      </c>
      <c r="I81" s="4">
        <f t="shared" si="30"/>
        <v>542.5</v>
      </c>
      <c r="J81" s="4">
        <f t="shared" si="30"/>
        <v>1121.25</v>
      </c>
      <c r="K81" s="4">
        <f t="shared" si="30"/>
        <v>0</v>
      </c>
      <c r="L81" s="4">
        <f t="shared" si="30"/>
        <v>1960</v>
      </c>
      <c r="M81" s="6">
        <f t="shared" si="30"/>
        <v>55.875</v>
      </c>
      <c r="N81" s="6">
        <f t="shared" si="30"/>
        <v>9.25</v>
      </c>
      <c r="O81" s="4">
        <f t="shared" si="30"/>
        <v>16280</v>
      </c>
      <c r="P81" s="6">
        <f t="shared" si="30"/>
        <v>8</v>
      </c>
      <c r="Q81" s="4">
        <f t="shared" si="30"/>
        <v>14080</v>
      </c>
      <c r="R81" s="6"/>
      <c r="S81" s="4">
        <f aca="true" t="shared" si="31" ref="S81:AE81">S83+S87+S91</f>
        <v>0</v>
      </c>
      <c r="T81" s="6">
        <f t="shared" si="31"/>
        <v>1.25</v>
      </c>
      <c r="U81" s="4">
        <f t="shared" si="31"/>
        <v>2200</v>
      </c>
      <c r="V81" s="6">
        <f t="shared" si="31"/>
        <v>37.375</v>
      </c>
      <c r="W81" s="4">
        <f t="shared" si="31"/>
        <v>65780</v>
      </c>
      <c r="X81" s="4">
        <f t="shared" si="31"/>
        <v>3623.75</v>
      </c>
      <c r="Y81" s="4">
        <f t="shared" si="31"/>
        <v>88.125</v>
      </c>
      <c r="Z81" s="4">
        <f t="shared" si="31"/>
        <v>536.9791666666666</v>
      </c>
      <c r="AA81" s="4">
        <f t="shared" si="31"/>
        <v>1090.4166666666667</v>
      </c>
      <c r="AB81" s="4">
        <f t="shared" si="31"/>
        <v>1090.4166666666667</v>
      </c>
      <c r="AC81" s="4">
        <f t="shared" si="31"/>
        <v>817.8125</v>
      </c>
      <c r="AD81" s="4">
        <f t="shared" si="31"/>
        <v>0</v>
      </c>
      <c r="AE81" s="4">
        <f t="shared" si="31"/>
        <v>740</v>
      </c>
      <c r="AH81" s="6"/>
    </row>
    <row r="82" spans="5:34" s="1" customFormat="1" ht="12.75" customHeight="1">
      <c r="E82" s="4"/>
      <c r="F82" s="4"/>
      <c r="G82" s="5"/>
      <c r="H82" s="4"/>
      <c r="I82" s="4"/>
      <c r="J82" s="4"/>
      <c r="K82" s="4"/>
      <c r="L82" s="4"/>
      <c r="M82" s="6"/>
      <c r="N82" s="6"/>
      <c r="O82" s="4"/>
      <c r="P82" s="6"/>
      <c r="Q82" s="4"/>
      <c r="R82" s="6"/>
      <c r="S82" s="4"/>
      <c r="T82" s="6"/>
      <c r="U82" s="4"/>
      <c r="V82" s="6"/>
      <c r="W82" s="4"/>
      <c r="X82" s="4"/>
      <c r="Y82" s="4"/>
      <c r="Z82" s="4"/>
      <c r="AA82" s="4"/>
      <c r="AB82" s="4"/>
      <c r="AC82" s="4"/>
      <c r="AD82" s="4"/>
      <c r="AE82" s="4"/>
      <c r="AH82" s="6"/>
    </row>
    <row r="83" spans="1:34" s="1" customFormat="1" ht="12.75" customHeight="1">
      <c r="A83" s="1" t="s">
        <v>178</v>
      </c>
      <c r="B83" s="1" t="s">
        <v>179</v>
      </c>
      <c r="E83" s="4">
        <f>SUM(E84:E86)</f>
        <v>1738.75</v>
      </c>
      <c r="F83" s="4">
        <f>SUM(F84:F86)</f>
        <v>1112.8</v>
      </c>
      <c r="G83" s="5">
        <f>F83/E83</f>
        <v>0.64</v>
      </c>
      <c r="H83" s="4">
        <f aca="true" t="shared" si="32" ref="H83:Q83">SUM(H84:H86)</f>
        <v>2851.5499999999997</v>
      </c>
      <c r="I83" s="4">
        <f t="shared" si="32"/>
        <v>265</v>
      </c>
      <c r="J83" s="4">
        <f t="shared" si="32"/>
        <v>813.75</v>
      </c>
      <c r="K83" s="4">
        <f t="shared" si="32"/>
        <v>0</v>
      </c>
      <c r="L83" s="4">
        <f t="shared" si="32"/>
        <v>660</v>
      </c>
      <c r="M83" s="6">
        <f t="shared" si="32"/>
        <v>37.125</v>
      </c>
      <c r="N83" s="6">
        <f t="shared" si="32"/>
        <v>5.5</v>
      </c>
      <c r="O83" s="4">
        <f t="shared" si="32"/>
        <v>9680</v>
      </c>
      <c r="P83" s="6">
        <f t="shared" si="32"/>
        <v>4</v>
      </c>
      <c r="Q83" s="4">
        <f t="shared" si="32"/>
        <v>7040</v>
      </c>
      <c r="R83" s="6"/>
      <c r="S83" s="4">
        <f aca="true" t="shared" si="33" ref="S83:AE83">SUM(S84:S86)</f>
        <v>0</v>
      </c>
      <c r="T83" s="6">
        <f t="shared" si="33"/>
        <v>0.5</v>
      </c>
      <c r="U83" s="4">
        <f t="shared" si="33"/>
        <v>880</v>
      </c>
      <c r="V83" s="6">
        <f t="shared" si="33"/>
        <v>27.125</v>
      </c>
      <c r="W83" s="4">
        <f t="shared" si="33"/>
        <v>47740</v>
      </c>
      <c r="X83" s="4">
        <f t="shared" si="33"/>
        <v>1738.75</v>
      </c>
      <c r="Y83" s="4">
        <f t="shared" si="33"/>
        <v>41.25</v>
      </c>
      <c r="Z83" s="4">
        <f t="shared" si="33"/>
        <v>254.89583333333334</v>
      </c>
      <c r="AA83" s="4">
        <f t="shared" si="33"/>
        <v>524.5833333333334</v>
      </c>
      <c r="AB83" s="4">
        <f t="shared" si="33"/>
        <v>524.5833333333334</v>
      </c>
      <c r="AC83" s="4">
        <f t="shared" si="33"/>
        <v>393.4375</v>
      </c>
      <c r="AD83" s="4">
        <f t="shared" si="33"/>
        <v>0</v>
      </c>
      <c r="AE83" s="4">
        <f t="shared" si="33"/>
        <v>440</v>
      </c>
      <c r="AH83" s="6"/>
    </row>
    <row r="84" spans="1:34" s="1" customFormat="1" ht="12.75" customHeight="1">
      <c r="A84" s="1" t="s">
        <v>180</v>
      </c>
      <c r="B84" s="1" t="s">
        <v>181</v>
      </c>
      <c r="E84" s="4">
        <f>SUM(I84:L84)</f>
        <v>55</v>
      </c>
      <c r="F84" s="4">
        <f>G84*E84</f>
        <v>35.2</v>
      </c>
      <c r="G84" s="5">
        <f>Contingency!E84*0.01</f>
        <v>0.64</v>
      </c>
      <c r="H84" s="4">
        <f>SUM(E84:F84)</f>
        <v>90.2</v>
      </c>
      <c r="I84" s="4">
        <f>P84*N2+T84*P2</f>
        <v>55</v>
      </c>
      <c r="J84" s="4">
        <f>V84*R1</f>
        <v>0</v>
      </c>
      <c r="K84" s="4"/>
      <c r="L84" s="4"/>
      <c r="M84" s="6">
        <f>N84+P84+R84+T84+V84</f>
        <v>1.5</v>
      </c>
      <c r="N84" s="6">
        <v>0.5</v>
      </c>
      <c r="O84" s="4">
        <f>N84*1760</f>
        <v>880</v>
      </c>
      <c r="P84" s="6">
        <v>0.5</v>
      </c>
      <c r="Q84" s="4">
        <f>P84*1760</f>
        <v>880</v>
      </c>
      <c r="R84" s="6"/>
      <c r="S84" s="4"/>
      <c r="T84" s="6">
        <v>0.5</v>
      </c>
      <c r="U84" s="4">
        <f>T84*1760</f>
        <v>880</v>
      </c>
      <c r="V84" s="6"/>
      <c r="W84" s="4">
        <f>V84*1760</f>
        <v>0</v>
      </c>
      <c r="X84" s="4">
        <f>SUM(Y84:AC84)</f>
        <v>55</v>
      </c>
      <c r="Y84" s="4">
        <f>E84*0.25</f>
        <v>13.75</v>
      </c>
      <c r="Z84" s="4">
        <f>E84*0.75</f>
        <v>41.25</v>
      </c>
      <c r="AA84" s="4"/>
      <c r="AB84" s="4"/>
      <c r="AC84" s="4"/>
      <c r="AD84" s="4"/>
      <c r="AE84" s="4">
        <f>N84*$M$2</f>
        <v>40</v>
      </c>
      <c r="AH84" s="6"/>
    </row>
    <row r="85" spans="1:34" s="1" customFormat="1" ht="12.75" customHeight="1">
      <c r="A85" s="15" t="s">
        <v>182</v>
      </c>
      <c r="B85" s="1" t="s">
        <v>183</v>
      </c>
      <c r="E85" s="4">
        <f>SUM(I85:L85)</f>
        <v>110</v>
      </c>
      <c r="F85" s="4">
        <f>G85*E85</f>
        <v>70.4</v>
      </c>
      <c r="G85" s="5">
        <f>Contingency!E85*0.01</f>
        <v>0.64</v>
      </c>
      <c r="H85" s="4">
        <f>SUM(E85:F85)</f>
        <v>180.4</v>
      </c>
      <c r="I85" s="4">
        <f>P85*N2+T85*P2</f>
        <v>30</v>
      </c>
      <c r="J85" s="4">
        <f>V85*R2</f>
        <v>60</v>
      </c>
      <c r="K85" s="4"/>
      <c r="L85" s="4">
        <v>20</v>
      </c>
      <c r="M85" s="6">
        <f>N85+P85+R85+T85+V85</f>
        <v>3</v>
      </c>
      <c r="N85" s="6">
        <v>0.5</v>
      </c>
      <c r="O85" s="4">
        <f>N85*1760</f>
        <v>880</v>
      </c>
      <c r="P85" s="6">
        <v>0.5</v>
      </c>
      <c r="Q85" s="4">
        <f>P85*1760</f>
        <v>880</v>
      </c>
      <c r="R85" s="6"/>
      <c r="S85" s="4"/>
      <c r="T85" s="6"/>
      <c r="U85" s="4"/>
      <c r="V85" s="6">
        <v>2</v>
      </c>
      <c r="W85" s="4">
        <f>V85*1760</f>
        <v>3520</v>
      </c>
      <c r="X85" s="4">
        <f>SUM(Y85:AC85)</f>
        <v>110</v>
      </c>
      <c r="Y85" s="4">
        <f>E85*0.25</f>
        <v>27.5</v>
      </c>
      <c r="Z85" s="4">
        <f>E85*0.75</f>
        <v>82.5</v>
      </c>
      <c r="AA85" s="4"/>
      <c r="AB85" s="4"/>
      <c r="AC85" s="4"/>
      <c r="AD85" s="4"/>
      <c r="AE85" s="4">
        <f>N85*$M$2</f>
        <v>40</v>
      </c>
      <c r="AH85" s="6"/>
    </row>
    <row r="86" spans="1:34" s="1" customFormat="1" ht="12.75" customHeight="1">
      <c r="A86" s="15" t="s">
        <v>184</v>
      </c>
      <c r="B86" s="1" t="s">
        <v>185</v>
      </c>
      <c r="E86" s="4">
        <f>SUM(I86:L86)</f>
        <v>1573.75</v>
      </c>
      <c r="F86" s="4">
        <f>G86*E86</f>
        <v>1007.2</v>
      </c>
      <c r="G86" s="5">
        <f>Contingency!E86*0.01</f>
        <v>0.64</v>
      </c>
      <c r="H86" s="4">
        <f>SUM(E86:F86)</f>
        <v>2580.95</v>
      </c>
      <c r="I86" s="4">
        <f>P86*N2+T86*P2</f>
        <v>180</v>
      </c>
      <c r="J86" s="4">
        <f>V86*R2</f>
        <v>753.75</v>
      </c>
      <c r="K86" s="4"/>
      <c r="L86" s="4">
        <v>640</v>
      </c>
      <c r="M86" s="6">
        <f>N86+P86+R86+T86+V86</f>
        <v>32.625</v>
      </c>
      <c r="N86" s="49">
        <f>Labour!K45</f>
        <v>4.5</v>
      </c>
      <c r="O86" s="4">
        <f>N86*1760</f>
        <v>7920</v>
      </c>
      <c r="P86" s="49">
        <f>Labour!L45</f>
        <v>3</v>
      </c>
      <c r="Q86" s="4">
        <f>P86*1760</f>
        <v>5280</v>
      </c>
      <c r="R86" s="6"/>
      <c r="S86" s="4"/>
      <c r="T86" s="6"/>
      <c r="U86" s="4"/>
      <c r="V86" s="49">
        <f>Labour!M45</f>
        <v>25.125</v>
      </c>
      <c r="W86" s="4">
        <f>V86*1760</f>
        <v>44220</v>
      </c>
      <c r="X86" s="4">
        <f>SUM(Y86:AC86)</f>
        <v>1573.75</v>
      </c>
      <c r="Y86" s="4"/>
      <c r="Z86" s="4">
        <f>E86/12</f>
        <v>131.14583333333334</v>
      </c>
      <c r="AA86" s="4">
        <f>E86/3</f>
        <v>524.5833333333334</v>
      </c>
      <c r="AB86" s="4">
        <f>E86/3</f>
        <v>524.5833333333334</v>
      </c>
      <c r="AC86" s="4">
        <f>E86/4</f>
        <v>393.4375</v>
      </c>
      <c r="AD86" s="4">
        <v>0</v>
      </c>
      <c r="AE86" s="4">
        <f>N86*$M$2</f>
        <v>360</v>
      </c>
      <c r="AH86" s="6"/>
    </row>
    <row r="87" spans="1:34" s="1" customFormat="1" ht="12.75" customHeight="1">
      <c r="A87" s="15" t="s">
        <v>186</v>
      </c>
      <c r="B87" s="1" t="s">
        <v>187</v>
      </c>
      <c r="E87" s="4">
        <f>SUM(E88:E90)</f>
        <v>1265</v>
      </c>
      <c r="F87" s="4">
        <f>SUM(F88:F90)</f>
        <v>809.6</v>
      </c>
      <c r="G87" s="5">
        <f>F87/E87</f>
        <v>0.64</v>
      </c>
      <c r="H87" s="4">
        <f aca="true" t="shared" si="34" ref="H87:Q87">SUM(H88:H90)</f>
        <v>2074.6</v>
      </c>
      <c r="I87" s="4">
        <f t="shared" si="34"/>
        <v>145</v>
      </c>
      <c r="J87" s="4">
        <f t="shared" si="34"/>
        <v>120</v>
      </c>
      <c r="K87" s="4">
        <f t="shared" si="34"/>
        <v>0</v>
      </c>
      <c r="L87" s="4">
        <f t="shared" si="34"/>
        <v>1000</v>
      </c>
      <c r="M87" s="6">
        <f t="shared" si="34"/>
        <v>8.5</v>
      </c>
      <c r="N87" s="6">
        <f t="shared" si="34"/>
        <v>2</v>
      </c>
      <c r="O87" s="4">
        <f t="shared" si="34"/>
        <v>3520</v>
      </c>
      <c r="P87" s="6">
        <f t="shared" si="34"/>
        <v>2</v>
      </c>
      <c r="Q87" s="4">
        <f t="shared" si="34"/>
        <v>3520</v>
      </c>
      <c r="R87" s="6"/>
      <c r="S87" s="4">
        <f aca="true" t="shared" si="35" ref="S87:AE87">SUM(S88:S90)</f>
        <v>0</v>
      </c>
      <c r="T87" s="6">
        <f t="shared" si="35"/>
        <v>0.5</v>
      </c>
      <c r="U87" s="4">
        <f t="shared" si="35"/>
        <v>880</v>
      </c>
      <c r="V87" s="6">
        <f t="shared" si="35"/>
        <v>4</v>
      </c>
      <c r="W87" s="4">
        <f t="shared" si="35"/>
        <v>7040</v>
      </c>
      <c r="X87" s="4">
        <f t="shared" si="35"/>
        <v>1265</v>
      </c>
      <c r="Y87" s="4">
        <f t="shared" si="35"/>
        <v>28.75</v>
      </c>
      <c r="Z87" s="4">
        <f t="shared" si="35"/>
        <v>182.08333333333331</v>
      </c>
      <c r="AA87" s="4">
        <f t="shared" si="35"/>
        <v>383.3333333333333</v>
      </c>
      <c r="AB87" s="4">
        <f t="shared" si="35"/>
        <v>383.3333333333333</v>
      </c>
      <c r="AC87" s="4">
        <f t="shared" si="35"/>
        <v>287.5</v>
      </c>
      <c r="AD87" s="4">
        <f t="shared" si="35"/>
        <v>0</v>
      </c>
      <c r="AE87" s="4">
        <f t="shared" si="35"/>
        <v>160</v>
      </c>
      <c r="AH87" s="6"/>
    </row>
    <row r="88" spans="1:34" s="1" customFormat="1" ht="12.75" customHeight="1">
      <c r="A88" s="1" t="s">
        <v>188</v>
      </c>
      <c r="B88" s="1" t="s">
        <v>189</v>
      </c>
      <c r="E88" s="4">
        <f>SUM(I88:L88)</f>
        <v>55</v>
      </c>
      <c r="F88" s="4">
        <f>G88*E88</f>
        <v>35.2</v>
      </c>
      <c r="G88" s="5">
        <f>Contingency!E88*0.01</f>
        <v>0.64</v>
      </c>
      <c r="H88" s="4">
        <f>SUM(E88:F88)</f>
        <v>90.2</v>
      </c>
      <c r="I88" s="4">
        <f>P88*N2+T88*P2</f>
        <v>55</v>
      </c>
      <c r="J88" s="4"/>
      <c r="K88" s="4"/>
      <c r="L88" s="4"/>
      <c r="M88" s="6">
        <f>N88+P88+R88+T88+V88</f>
        <v>1.5</v>
      </c>
      <c r="N88" s="6">
        <v>0.5</v>
      </c>
      <c r="O88" s="4">
        <f>N88*1760</f>
        <v>880</v>
      </c>
      <c r="P88" s="6">
        <v>0.5</v>
      </c>
      <c r="Q88" s="4">
        <f>P88*1760</f>
        <v>880</v>
      </c>
      <c r="R88" s="6"/>
      <c r="S88" s="4"/>
      <c r="T88" s="6">
        <v>0.5</v>
      </c>
      <c r="U88" s="4">
        <f>T88*1760</f>
        <v>880</v>
      </c>
      <c r="V88" s="6"/>
      <c r="W88" s="4">
        <f>V88*1760</f>
        <v>0</v>
      </c>
      <c r="X88" s="4">
        <f>SUM(Y88:AC88)</f>
        <v>55</v>
      </c>
      <c r="Y88" s="4">
        <f>E88*0.25</f>
        <v>13.75</v>
      </c>
      <c r="Z88" s="4">
        <f>E88*0.75</f>
        <v>41.25</v>
      </c>
      <c r="AA88" s="4"/>
      <c r="AB88" s="4"/>
      <c r="AC88" s="4"/>
      <c r="AD88" s="4"/>
      <c r="AE88" s="4">
        <f>N88*$M$2</f>
        <v>40</v>
      </c>
      <c r="AH88" s="6"/>
    </row>
    <row r="89" spans="1:34" s="1" customFormat="1" ht="12.75" customHeight="1">
      <c r="A89" s="15" t="s">
        <v>190</v>
      </c>
      <c r="B89" s="1" t="s">
        <v>191</v>
      </c>
      <c r="E89" s="4">
        <f>SUM(I89:L89)</f>
        <v>60</v>
      </c>
      <c r="F89" s="4">
        <f>G89*E89</f>
        <v>38.4</v>
      </c>
      <c r="G89" s="5">
        <f>Contingency!E89*0.01</f>
        <v>0.64</v>
      </c>
      <c r="H89" s="4">
        <f>SUM(E89:F89)</f>
        <v>98.4</v>
      </c>
      <c r="I89" s="4">
        <f>P89*N2+T89*P2</f>
        <v>30</v>
      </c>
      <c r="J89" s="4">
        <f>V89*R2</f>
        <v>30</v>
      </c>
      <c r="K89" s="4"/>
      <c r="L89" s="4"/>
      <c r="M89" s="6">
        <f>N89+P89+R89+T89+V89</f>
        <v>2</v>
      </c>
      <c r="N89" s="6">
        <v>0.5</v>
      </c>
      <c r="O89" s="4">
        <f>N89*1760</f>
        <v>880</v>
      </c>
      <c r="P89" s="6">
        <v>0.5</v>
      </c>
      <c r="Q89" s="4">
        <f>P89*1760</f>
        <v>880</v>
      </c>
      <c r="R89" s="6"/>
      <c r="S89" s="4"/>
      <c r="T89" s="6"/>
      <c r="U89" s="4"/>
      <c r="V89" s="6">
        <v>1</v>
      </c>
      <c r="W89" s="4">
        <f>V89*1760</f>
        <v>1760</v>
      </c>
      <c r="X89" s="4">
        <f>SUM(Y89:AC89)</f>
        <v>60</v>
      </c>
      <c r="Y89" s="4">
        <f>E89*0.25</f>
        <v>15</v>
      </c>
      <c r="Z89" s="4">
        <f>E89*0.75</f>
        <v>45</v>
      </c>
      <c r="AA89" s="4"/>
      <c r="AB89" s="4"/>
      <c r="AC89" s="4"/>
      <c r="AD89" s="4"/>
      <c r="AE89" s="4">
        <f>N89*$M$2</f>
        <v>40</v>
      </c>
      <c r="AG89" s="16"/>
      <c r="AH89" s="6"/>
    </row>
    <row r="90" spans="1:34" s="1" customFormat="1" ht="12.75" customHeight="1">
      <c r="A90" s="15" t="s">
        <v>192</v>
      </c>
      <c r="B90" s="1" t="s">
        <v>193</v>
      </c>
      <c r="E90" s="4">
        <f>SUM(I90:L90)</f>
        <v>1150</v>
      </c>
      <c r="F90" s="4">
        <f>G90*E90</f>
        <v>736</v>
      </c>
      <c r="G90" s="5">
        <f>Contingency!E90*0.01</f>
        <v>0.64</v>
      </c>
      <c r="H90" s="4">
        <f>SUM(E90:F90)</f>
        <v>1886</v>
      </c>
      <c r="I90" s="4">
        <f>P90*N2+T90*P2</f>
        <v>60</v>
      </c>
      <c r="J90" s="4">
        <f>V90*R2</f>
        <v>90</v>
      </c>
      <c r="K90" s="4"/>
      <c r="L90" s="4">
        <v>1000</v>
      </c>
      <c r="M90" s="6">
        <f>N90+P90+R90+T90+V90</f>
        <v>5</v>
      </c>
      <c r="N90" s="6">
        <v>1</v>
      </c>
      <c r="O90" s="4">
        <f>N90*1760</f>
        <v>1760</v>
      </c>
      <c r="P90" s="6">
        <v>1</v>
      </c>
      <c r="Q90" s="4">
        <f>P90*1760</f>
        <v>1760</v>
      </c>
      <c r="R90" s="6"/>
      <c r="S90" s="4"/>
      <c r="T90" s="6"/>
      <c r="U90" s="4"/>
      <c r="V90" s="6">
        <v>3</v>
      </c>
      <c r="W90" s="4">
        <f>V90*1760</f>
        <v>5280</v>
      </c>
      <c r="X90" s="4">
        <f>SUM(Y90:AC90)</f>
        <v>1150</v>
      </c>
      <c r="Y90" s="4"/>
      <c r="Z90" s="4">
        <f>E90/12</f>
        <v>95.83333333333333</v>
      </c>
      <c r="AA90" s="4">
        <f>E90/3</f>
        <v>383.3333333333333</v>
      </c>
      <c r="AB90" s="4">
        <f>E90/3</f>
        <v>383.3333333333333</v>
      </c>
      <c r="AC90" s="4">
        <f>E90/4</f>
        <v>287.5</v>
      </c>
      <c r="AD90" s="4">
        <v>0</v>
      </c>
      <c r="AE90" s="4">
        <f>N90*$M$2</f>
        <v>80</v>
      </c>
      <c r="AG90" s="16"/>
      <c r="AH90" s="6"/>
    </row>
    <row r="91" spans="1:34" s="1" customFormat="1" ht="12.75" customHeight="1">
      <c r="A91" s="15" t="s">
        <v>194</v>
      </c>
      <c r="B91" s="1" t="s">
        <v>195</v>
      </c>
      <c r="E91" s="4">
        <f>SUM(E92:E94)</f>
        <v>620</v>
      </c>
      <c r="F91" s="4">
        <f>SUM(F92:F94)</f>
        <v>396.8</v>
      </c>
      <c r="G91" s="5">
        <f>F91/E91</f>
        <v>0.64</v>
      </c>
      <c r="H91" s="4">
        <f aca="true" t="shared" si="36" ref="H91:Q91">SUM(H92:H94)</f>
        <v>1016.8000000000001</v>
      </c>
      <c r="I91" s="4">
        <f t="shared" si="36"/>
        <v>132.5</v>
      </c>
      <c r="J91" s="4">
        <f t="shared" si="36"/>
        <v>187.5</v>
      </c>
      <c r="K91" s="4">
        <f t="shared" si="36"/>
        <v>0</v>
      </c>
      <c r="L91" s="4">
        <f t="shared" si="36"/>
        <v>300</v>
      </c>
      <c r="M91" s="6">
        <f t="shared" si="36"/>
        <v>10.25</v>
      </c>
      <c r="N91" s="6">
        <f t="shared" si="36"/>
        <v>1.75</v>
      </c>
      <c r="O91" s="4">
        <f t="shared" si="36"/>
        <v>3080</v>
      </c>
      <c r="P91" s="6">
        <f t="shared" si="36"/>
        <v>2</v>
      </c>
      <c r="Q91" s="4">
        <f t="shared" si="36"/>
        <v>3520</v>
      </c>
      <c r="R91" s="6"/>
      <c r="S91" s="4">
        <f aca="true" t="shared" si="37" ref="S91:AE91">SUM(S92:S94)</f>
        <v>0</v>
      </c>
      <c r="T91" s="6">
        <f t="shared" si="37"/>
        <v>0.25</v>
      </c>
      <c r="U91" s="4">
        <f t="shared" si="37"/>
        <v>440</v>
      </c>
      <c r="V91" s="6">
        <f t="shared" si="37"/>
        <v>6.25</v>
      </c>
      <c r="W91" s="4">
        <f t="shared" si="37"/>
        <v>11000</v>
      </c>
      <c r="X91" s="4">
        <f t="shared" si="37"/>
        <v>620</v>
      </c>
      <c r="Y91" s="4">
        <f t="shared" si="37"/>
        <v>18.125</v>
      </c>
      <c r="Z91" s="4">
        <f t="shared" si="37"/>
        <v>100</v>
      </c>
      <c r="AA91" s="4">
        <f t="shared" si="37"/>
        <v>182.5</v>
      </c>
      <c r="AB91" s="4">
        <f t="shared" si="37"/>
        <v>182.5</v>
      </c>
      <c r="AC91" s="4">
        <f t="shared" si="37"/>
        <v>136.875</v>
      </c>
      <c r="AD91" s="4">
        <f t="shared" si="37"/>
        <v>0</v>
      </c>
      <c r="AE91" s="1">
        <f t="shared" si="37"/>
        <v>140</v>
      </c>
      <c r="AG91" s="3"/>
      <c r="AH91" s="6"/>
    </row>
    <row r="92" spans="1:34" s="1" customFormat="1" ht="12.75" customHeight="1">
      <c r="A92" s="15" t="s">
        <v>196</v>
      </c>
      <c r="B92" s="1" t="s">
        <v>197</v>
      </c>
      <c r="E92" s="4">
        <f>SUM(I92:L92)</f>
        <v>42.5</v>
      </c>
      <c r="F92" s="4">
        <f>G92*E92</f>
        <v>27.2</v>
      </c>
      <c r="G92" s="5">
        <f>Contingency!E92*0.01</f>
        <v>0.64</v>
      </c>
      <c r="H92" s="4">
        <f>SUM(E92:F92)</f>
        <v>69.7</v>
      </c>
      <c r="I92" s="4">
        <f>P92*N2+T92*P2</f>
        <v>42.5</v>
      </c>
      <c r="J92" s="4"/>
      <c r="K92" s="4"/>
      <c r="L92" s="4"/>
      <c r="M92" s="6">
        <f>N92+P92+R92+T92+V92</f>
        <v>1.25</v>
      </c>
      <c r="N92" s="6">
        <v>0.5</v>
      </c>
      <c r="O92" s="4">
        <f>N92*1760</f>
        <v>880</v>
      </c>
      <c r="P92" s="6">
        <v>0.5</v>
      </c>
      <c r="Q92" s="4">
        <f>P92*1760</f>
        <v>880</v>
      </c>
      <c r="R92" s="6"/>
      <c r="S92" s="4"/>
      <c r="T92" s="6">
        <v>0.25</v>
      </c>
      <c r="U92" s="4">
        <f>T92*1760</f>
        <v>440</v>
      </c>
      <c r="V92" s="6"/>
      <c r="W92" s="4">
        <f>V92*1760</f>
        <v>0</v>
      </c>
      <c r="X92" s="4">
        <f>SUM(Y92:AC92)</f>
        <v>42.5</v>
      </c>
      <c r="Y92" s="4">
        <f>E92*0.25</f>
        <v>10.625</v>
      </c>
      <c r="Z92" s="4">
        <f>E92*0.75</f>
        <v>31.875</v>
      </c>
      <c r="AA92" s="4"/>
      <c r="AB92" s="4"/>
      <c r="AC92" s="4"/>
      <c r="AD92" s="4"/>
      <c r="AE92" s="1">
        <f>N92*$M$2</f>
        <v>40</v>
      </c>
      <c r="AH92" s="6"/>
    </row>
    <row r="93" spans="1:34" s="1" customFormat="1" ht="12.75" customHeight="1">
      <c r="A93" s="15" t="s">
        <v>198</v>
      </c>
      <c r="B93" s="1" t="s">
        <v>199</v>
      </c>
      <c r="E93" s="4">
        <f>SUM(I93:L93)</f>
        <v>30</v>
      </c>
      <c r="F93" s="4">
        <f>G93*E93</f>
        <v>19.2</v>
      </c>
      <c r="G93" s="5">
        <f>Contingency!E93*0.01</f>
        <v>0.64</v>
      </c>
      <c r="H93" s="4">
        <f>SUM(E93:F93)</f>
        <v>49.2</v>
      </c>
      <c r="I93" s="4">
        <f>P93*N2+T93*P2</f>
        <v>0</v>
      </c>
      <c r="J93" s="4">
        <f>V93*R2</f>
        <v>30</v>
      </c>
      <c r="L93" s="4"/>
      <c r="M93" s="6">
        <f>N93+P93+R93+T93+V93</f>
        <v>1.5</v>
      </c>
      <c r="N93" s="6">
        <v>0.5</v>
      </c>
      <c r="O93" s="1">
        <f>N93*1760</f>
        <v>880</v>
      </c>
      <c r="P93" s="6"/>
      <c r="Q93" s="1">
        <f>P93*1760</f>
        <v>0</v>
      </c>
      <c r="R93" s="6"/>
      <c r="T93" s="6"/>
      <c r="V93" s="6">
        <v>1</v>
      </c>
      <c r="W93" s="4">
        <f>V93*1760</f>
        <v>1760</v>
      </c>
      <c r="X93" s="4">
        <f>SUM(Y93:AC93)</f>
        <v>30</v>
      </c>
      <c r="Y93" s="4">
        <f>E93*0.25</f>
        <v>7.5</v>
      </c>
      <c r="Z93" s="4">
        <f>E93*0.75</f>
        <v>22.5</v>
      </c>
      <c r="AA93" s="4"/>
      <c r="AB93" s="4"/>
      <c r="AC93" s="4"/>
      <c r="AD93" s="4"/>
      <c r="AE93" s="1">
        <f>N93*$M$2</f>
        <v>40</v>
      </c>
      <c r="AH93" s="6"/>
    </row>
    <row r="94" spans="1:34" s="1" customFormat="1" ht="12.75" customHeight="1">
      <c r="A94" s="15" t="s">
        <v>200</v>
      </c>
      <c r="B94" s="1" t="s">
        <v>201</v>
      </c>
      <c r="E94" s="4">
        <f>SUM(I94:L94)</f>
        <v>547.5</v>
      </c>
      <c r="F94" s="4">
        <f>G94*E94</f>
        <v>350.40000000000003</v>
      </c>
      <c r="G94" s="5">
        <f>Contingency!E94*0.01</f>
        <v>0.64</v>
      </c>
      <c r="H94" s="4">
        <f>SUM(E94:F94)</f>
        <v>897.9000000000001</v>
      </c>
      <c r="I94" s="4">
        <f>P94*N2+T94*P2</f>
        <v>90</v>
      </c>
      <c r="J94" s="4">
        <f>V94*R2</f>
        <v>157.5</v>
      </c>
      <c r="K94" s="4"/>
      <c r="L94" s="4">
        <v>300</v>
      </c>
      <c r="M94" s="6">
        <f>N94+P94+R94+T94+V94</f>
        <v>7.5</v>
      </c>
      <c r="N94" s="49">
        <f>Labour!K64</f>
        <v>0.75</v>
      </c>
      <c r="O94" s="4">
        <f>N94*1760</f>
        <v>1320</v>
      </c>
      <c r="P94" s="49">
        <f>Labour!L64</f>
        <v>1.5</v>
      </c>
      <c r="Q94" s="4">
        <f>P94*1760</f>
        <v>2640</v>
      </c>
      <c r="R94" s="6"/>
      <c r="S94" s="4"/>
      <c r="T94" s="6"/>
      <c r="U94" s="4"/>
      <c r="V94" s="49">
        <f>Labour!M64</f>
        <v>5.25</v>
      </c>
      <c r="W94" s="4">
        <f>V94*1760</f>
        <v>9240</v>
      </c>
      <c r="X94" s="4">
        <f>SUM(Y94:AC94)</f>
        <v>547.5</v>
      </c>
      <c r="Y94" s="4"/>
      <c r="Z94" s="4">
        <f>E94/12</f>
        <v>45.625</v>
      </c>
      <c r="AA94" s="4">
        <f>E94/3</f>
        <v>182.5</v>
      </c>
      <c r="AB94" s="4">
        <f>E94/3</f>
        <v>182.5</v>
      </c>
      <c r="AC94" s="4">
        <f>E94/4</f>
        <v>136.875</v>
      </c>
      <c r="AD94" s="4">
        <v>0</v>
      </c>
      <c r="AE94" s="1">
        <f>N94*$M$2</f>
        <v>60</v>
      </c>
      <c r="AH94" s="6"/>
    </row>
    <row r="95" spans="1:34" s="1" customFormat="1" ht="12.75" customHeight="1">
      <c r="A95" s="15"/>
      <c r="E95" s="4"/>
      <c r="F95" s="4"/>
      <c r="G95" s="5"/>
      <c r="H95" s="4"/>
      <c r="I95" s="4"/>
      <c r="J95" s="4"/>
      <c r="K95" s="4"/>
      <c r="L95" s="4"/>
      <c r="M95" s="6"/>
      <c r="N95" s="6"/>
      <c r="O95" s="4"/>
      <c r="P95" s="6"/>
      <c r="Q95" s="4"/>
      <c r="R95" s="6"/>
      <c r="S95" s="4"/>
      <c r="T95" s="6"/>
      <c r="U95" s="4"/>
      <c r="V95" s="6"/>
      <c r="W95" s="4"/>
      <c r="X95" s="4"/>
      <c r="Y95" s="4"/>
      <c r="Z95" s="4"/>
      <c r="AA95" s="4"/>
      <c r="AB95" s="4"/>
      <c r="AC95" s="4"/>
      <c r="AD95" s="4"/>
      <c r="AH95" s="6"/>
    </row>
    <row r="96" spans="1:34" s="1" customFormat="1" ht="12.75" customHeight="1">
      <c r="A96" s="15" t="s">
        <v>202</v>
      </c>
      <c r="B96" s="1" t="s">
        <v>203</v>
      </c>
      <c r="E96" s="4">
        <f>E98+E121+E157+E159+E165+E172</f>
        <v>2322.1284</v>
      </c>
      <c r="F96" s="4">
        <f>F98+F121+F157+F159+F165+F172</f>
        <v>325.097976</v>
      </c>
      <c r="G96" s="5">
        <f>F96/E96</f>
        <v>0.14</v>
      </c>
      <c r="H96" s="4">
        <f aca="true" t="shared" si="38" ref="H96:AE96">H98+H121+H157+H159+H165+H172</f>
        <v>2647.226376</v>
      </c>
      <c r="I96" s="4">
        <f t="shared" si="38"/>
        <v>10</v>
      </c>
      <c r="J96" s="4">
        <f t="shared" si="38"/>
        <v>726.352</v>
      </c>
      <c r="K96" s="4">
        <f t="shared" si="38"/>
        <v>0</v>
      </c>
      <c r="L96" s="4">
        <f t="shared" si="38"/>
        <v>1585.7764</v>
      </c>
      <c r="M96" s="25">
        <f t="shared" si="38"/>
        <v>25.205666350110796</v>
      </c>
      <c r="N96" s="25">
        <f t="shared" si="38"/>
        <v>2.2094017094017095</v>
      </c>
      <c r="O96" s="25">
        <f t="shared" si="38"/>
        <v>0</v>
      </c>
      <c r="P96" s="25">
        <f t="shared" si="38"/>
        <v>0.23741690408357077</v>
      </c>
      <c r="Q96" s="4">
        <f t="shared" si="38"/>
        <v>417.8537511870846</v>
      </c>
      <c r="R96" s="4">
        <f t="shared" si="38"/>
        <v>0</v>
      </c>
      <c r="S96" s="4">
        <f t="shared" si="38"/>
        <v>0</v>
      </c>
      <c r="T96" s="4">
        <f t="shared" si="38"/>
        <v>0</v>
      </c>
      <c r="U96" s="4">
        <f t="shared" si="38"/>
        <v>0</v>
      </c>
      <c r="V96" s="4">
        <f t="shared" si="38"/>
        <v>22.748847736625514</v>
      </c>
      <c r="W96" s="4">
        <f t="shared" si="38"/>
        <v>40055.57201646091</v>
      </c>
      <c r="X96" s="4">
        <f t="shared" si="38"/>
        <v>2322.1284</v>
      </c>
      <c r="Y96" s="4">
        <f t="shared" si="38"/>
        <v>0</v>
      </c>
      <c r="Z96" s="4">
        <f t="shared" si="38"/>
        <v>1052.95586</v>
      </c>
      <c r="AA96" s="4">
        <f t="shared" si="38"/>
        <v>911.01836</v>
      </c>
      <c r="AB96" s="4">
        <f t="shared" si="38"/>
        <v>358.15418</v>
      </c>
      <c r="AC96" s="4">
        <f t="shared" si="38"/>
        <v>0</v>
      </c>
      <c r="AD96" s="4">
        <f t="shared" si="38"/>
        <v>0</v>
      </c>
      <c r="AE96" s="4">
        <f t="shared" si="38"/>
        <v>72</v>
      </c>
      <c r="AH96" s="6"/>
    </row>
    <row r="97" spans="5:34" s="1" customFormat="1" ht="12.75" customHeight="1">
      <c r="E97" s="4"/>
      <c r="F97" s="4"/>
      <c r="G97" s="5"/>
      <c r="H97" s="4"/>
      <c r="I97" s="4"/>
      <c r="J97" s="4"/>
      <c r="K97" s="4"/>
      <c r="L97" s="4"/>
      <c r="M97" s="6"/>
      <c r="N97" s="6"/>
      <c r="O97" s="4"/>
      <c r="P97" s="6"/>
      <c r="Q97" s="4"/>
      <c r="R97" s="6"/>
      <c r="S97" s="4"/>
      <c r="T97" s="6"/>
      <c r="U97" s="4"/>
      <c r="V97" s="6"/>
      <c r="W97" s="4"/>
      <c r="X97" s="4"/>
      <c r="Y97" s="4"/>
      <c r="Z97" s="4"/>
      <c r="AA97" s="4"/>
      <c r="AB97" s="4"/>
      <c r="AC97" s="4"/>
      <c r="AH97" s="6"/>
    </row>
    <row r="98" spans="1:34" s="1" customFormat="1" ht="12.75" customHeight="1">
      <c r="A98" s="15" t="s">
        <v>204</v>
      </c>
      <c r="B98" s="1" t="s">
        <v>205</v>
      </c>
      <c r="E98" s="4">
        <f>E100+E109+E119</f>
        <v>1288.3784</v>
      </c>
      <c r="F98" s="4">
        <f>F100+F109+F119</f>
        <v>180.37297600000002</v>
      </c>
      <c r="G98" s="5">
        <f>F98/E98</f>
        <v>0.14</v>
      </c>
      <c r="H98" s="4">
        <f aca="true" t="shared" si="39" ref="H98:AE98">H100+H109+H119</f>
        <v>1468.751376</v>
      </c>
      <c r="I98" s="4">
        <f t="shared" si="39"/>
        <v>0</v>
      </c>
      <c r="J98" s="4">
        <f t="shared" si="39"/>
        <v>579.352</v>
      </c>
      <c r="K98" s="4">
        <f t="shared" si="39"/>
        <v>0</v>
      </c>
      <c r="L98" s="4">
        <f t="shared" si="39"/>
        <v>709.0264</v>
      </c>
      <c r="M98" s="6">
        <f t="shared" si="39"/>
        <v>18.339727761949984</v>
      </c>
      <c r="N98" s="6">
        <f t="shared" si="39"/>
        <v>0</v>
      </c>
      <c r="O98" s="4">
        <f t="shared" si="39"/>
        <v>0</v>
      </c>
      <c r="P98" s="6">
        <f t="shared" si="39"/>
        <v>0</v>
      </c>
      <c r="Q98" s="4">
        <f t="shared" si="39"/>
        <v>0</v>
      </c>
      <c r="R98" s="6">
        <f t="shared" si="39"/>
        <v>0</v>
      </c>
      <c r="S98" s="4">
        <f t="shared" si="39"/>
        <v>0</v>
      </c>
      <c r="T98" s="6">
        <f t="shared" si="39"/>
        <v>0</v>
      </c>
      <c r="U98" s="4">
        <f t="shared" si="39"/>
        <v>0</v>
      </c>
      <c r="V98" s="6">
        <f t="shared" si="39"/>
        <v>18.339727761949984</v>
      </c>
      <c r="W98" s="4">
        <f t="shared" si="39"/>
        <v>32277.920861031973</v>
      </c>
      <c r="X98" s="4">
        <f t="shared" si="39"/>
        <v>1288.3784</v>
      </c>
      <c r="Y98" s="4">
        <f t="shared" si="39"/>
        <v>0</v>
      </c>
      <c r="Z98" s="4">
        <f t="shared" si="39"/>
        <v>511.14336000000003</v>
      </c>
      <c r="AA98" s="4">
        <f t="shared" si="39"/>
        <v>511.14336000000003</v>
      </c>
      <c r="AB98" s="4">
        <f t="shared" si="39"/>
        <v>266.09168</v>
      </c>
      <c r="AC98" s="4">
        <f t="shared" si="39"/>
        <v>0</v>
      </c>
      <c r="AD98" s="4">
        <f t="shared" si="39"/>
        <v>0</v>
      </c>
      <c r="AE98" s="4">
        <f t="shared" si="39"/>
        <v>0</v>
      </c>
      <c r="AH98" s="6"/>
    </row>
    <row r="99" spans="5:34" s="1" customFormat="1" ht="12.75" customHeight="1">
      <c r="E99" s="4"/>
      <c r="F99" s="4"/>
      <c r="G99" s="5"/>
      <c r="H99" s="4"/>
      <c r="I99" s="4"/>
      <c r="J99" s="4"/>
      <c r="K99" s="4"/>
      <c r="L99" s="4"/>
      <c r="M99" s="6"/>
      <c r="N99" s="6"/>
      <c r="O99" s="4"/>
      <c r="P99" s="6"/>
      <c r="Q99" s="4"/>
      <c r="R99" s="6"/>
      <c r="S99" s="4"/>
      <c r="T99" s="6"/>
      <c r="U99" s="4"/>
      <c r="V99" s="6"/>
      <c r="W99" s="4"/>
      <c r="X99" s="4"/>
      <c r="Y99" s="4"/>
      <c r="Z99" s="4"/>
      <c r="AA99" s="4"/>
      <c r="AB99" s="4"/>
      <c r="AC99" s="4"/>
      <c r="AD99" s="4"/>
      <c r="AE99" s="4"/>
      <c r="AG99" s="3"/>
      <c r="AH99" s="6"/>
    </row>
    <row r="100" spans="1:34" s="1" customFormat="1" ht="12.75" customHeight="1">
      <c r="A100" s="15" t="s">
        <v>206</v>
      </c>
      <c r="B100" s="1" t="s">
        <v>207</v>
      </c>
      <c r="E100" s="4">
        <f>E102+E103+E104+E105+E106+E107</f>
        <v>731.0584</v>
      </c>
      <c r="F100" s="4">
        <f>F102+F103+F104+F105+F106+F107</f>
        <v>102.34817600000001</v>
      </c>
      <c r="G100" s="5">
        <f>F100/E100</f>
        <v>0.14</v>
      </c>
      <c r="H100" s="4">
        <f aca="true" t="shared" si="40" ref="H100:AE100">H102+H103+H104+H105+H106+H107</f>
        <v>833.4065760000001</v>
      </c>
      <c r="I100" s="4">
        <f t="shared" si="40"/>
        <v>0</v>
      </c>
      <c r="J100" s="4">
        <f t="shared" si="40"/>
        <v>449.712</v>
      </c>
      <c r="K100" s="4">
        <f t="shared" si="40"/>
        <v>0</v>
      </c>
      <c r="L100" s="4">
        <f t="shared" si="40"/>
        <v>281.34639999999996</v>
      </c>
      <c r="M100" s="6">
        <f t="shared" si="40"/>
        <v>14.235897435897437</v>
      </c>
      <c r="N100" s="6">
        <f t="shared" si="40"/>
        <v>0</v>
      </c>
      <c r="O100" s="4">
        <f t="shared" si="40"/>
        <v>0</v>
      </c>
      <c r="P100" s="6">
        <f t="shared" si="40"/>
        <v>0</v>
      </c>
      <c r="Q100" s="4">
        <f t="shared" si="40"/>
        <v>0</v>
      </c>
      <c r="R100" s="6">
        <f t="shared" si="40"/>
        <v>0</v>
      </c>
      <c r="S100" s="4">
        <f t="shared" si="40"/>
        <v>0</v>
      </c>
      <c r="T100" s="6">
        <f t="shared" si="40"/>
        <v>0</v>
      </c>
      <c r="U100" s="4">
        <f t="shared" si="40"/>
        <v>0</v>
      </c>
      <c r="V100" s="6">
        <f t="shared" si="40"/>
        <v>14.235897435897437</v>
      </c>
      <c r="W100" s="4">
        <f t="shared" si="40"/>
        <v>25055.17948717949</v>
      </c>
      <c r="X100" s="4">
        <f t="shared" si="40"/>
        <v>731.0584</v>
      </c>
      <c r="Y100" s="4">
        <f t="shared" si="40"/>
        <v>0</v>
      </c>
      <c r="Z100" s="4">
        <f t="shared" si="40"/>
        <v>290.00136000000003</v>
      </c>
      <c r="AA100" s="4">
        <f t="shared" si="40"/>
        <v>290.00136000000003</v>
      </c>
      <c r="AB100" s="4">
        <f t="shared" si="40"/>
        <v>151.05568</v>
      </c>
      <c r="AC100" s="4">
        <f t="shared" si="40"/>
        <v>0</v>
      </c>
      <c r="AD100" s="4">
        <f t="shared" si="40"/>
        <v>0</v>
      </c>
      <c r="AE100" s="4">
        <f t="shared" si="40"/>
        <v>0</v>
      </c>
      <c r="AF100" s="1" t="s">
        <v>208</v>
      </c>
      <c r="AG100" s="1">
        <f>1440*0.75</f>
        <v>1080</v>
      </c>
      <c r="AH100" s="6"/>
    </row>
    <row r="101" spans="1:34" s="1" customFormat="1" ht="12.75" customHeight="1">
      <c r="A101" s="15"/>
      <c r="E101" s="4"/>
      <c r="F101" s="4"/>
      <c r="G101" s="5"/>
      <c r="H101" s="4"/>
      <c r="I101" s="4"/>
      <c r="J101" s="4"/>
      <c r="K101" s="4"/>
      <c r="L101" s="4"/>
      <c r="M101" s="6"/>
      <c r="N101" s="6"/>
      <c r="O101" s="4"/>
      <c r="P101" s="6"/>
      <c r="Q101" s="4"/>
      <c r="R101" s="6"/>
      <c r="S101" s="4"/>
      <c r="T101" s="6"/>
      <c r="U101" s="4"/>
      <c r="V101" s="6"/>
      <c r="W101" s="4"/>
      <c r="X101" s="4"/>
      <c r="Y101" s="4"/>
      <c r="Z101" s="4"/>
      <c r="AA101" s="4"/>
      <c r="AB101" s="4"/>
      <c r="AC101" s="4"/>
      <c r="AD101" s="4"/>
      <c r="AE101" s="4"/>
      <c r="AH101" s="6"/>
    </row>
    <row r="102" spans="1:34" s="1" customFormat="1" ht="12.75" customHeight="1">
      <c r="A102" s="15" t="s">
        <v>209</v>
      </c>
      <c r="B102" s="1" t="s">
        <v>210</v>
      </c>
      <c r="E102" s="4">
        <f aca="true" t="shared" si="41" ref="E102:E107">SUM(I102:L102)</f>
        <v>156.0924</v>
      </c>
      <c r="F102" s="4">
        <f aca="true" t="shared" si="42" ref="F102:F107">G102*E102</f>
        <v>21.852936000000003</v>
      </c>
      <c r="G102" s="5">
        <f>Contingency!E102*0.01</f>
        <v>0.14</v>
      </c>
      <c r="H102" s="4">
        <f aca="true" t="shared" si="43" ref="H102:H107">SUM(E102:F102)</f>
        <v>177.945336</v>
      </c>
      <c r="I102" s="4"/>
      <c r="J102" s="4">
        <f>$AG102*108/1000</f>
        <v>116.64</v>
      </c>
      <c r="K102" s="4"/>
      <c r="L102" s="4">
        <f>$AG102*36.53/1000</f>
        <v>39.452400000000004</v>
      </c>
      <c r="M102" s="6">
        <f aca="true" t="shared" si="44" ref="M102:M107">N102+P102+R102+T102+V102</f>
        <v>3.692307692307693</v>
      </c>
      <c r="N102" s="6"/>
      <c r="O102" s="4"/>
      <c r="P102" s="6"/>
      <c r="Q102" s="4"/>
      <c r="R102" s="6"/>
      <c r="S102" s="4"/>
      <c r="T102" s="6"/>
      <c r="U102" s="4"/>
      <c r="V102" s="6">
        <f aca="true" t="shared" si="45" ref="V102:V107">J102/$R$3/1.755</f>
        <v>3.692307692307693</v>
      </c>
      <c r="W102" s="4">
        <f aca="true" t="shared" si="46" ref="W102:W107">V102*1760</f>
        <v>6498.46153846154</v>
      </c>
      <c r="X102" s="4">
        <f aca="true" t="shared" si="47" ref="X102:X107">SUM(Y102:AC102)</f>
        <v>156.0924</v>
      </c>
      <c r="Y102" s="4">
        <f aca="true" t="shared" si="48" ref="Y102:Y107">E102*0</f>
        <v>0</v>
      </c>
      <c r="Z102" s="4">
        <f>E102*0.4</f>
        <v>62.43696</v>
      </c>
      <c r="AA102" s="4">
        <f>E102*0.4</f>
        <v>62.43696</v>
      </c>
      <c r="AB102" s="4">
        <f>E102*0.2</f>
        <v>31.21848</v>
      </c>
      <c r="AC102" s="4"/>
      <c r="AD102" s="4">
        <f aca="true" t="shared" si="49" ref="AD102:AD107">X102-E102</f>
        <v>0</v>
      </c>
      <c r="AE102" s="4"/>
      <c r="AF102" s="1" t="s">
        <v>211</v>
      </c>
      <c r="AG102" s="1">
        <f>1440*0.75</f>
        <v>1080</v>
      </c>
      <c r="AH102" s="6"/>
    </row>
    <row r="103" spans="1:34" s="1" customFormat="1" ht="12.75" customHeight="1">
      <c r="A103" s="15" t="s">
        <v>212</v>
      </c>
      <c r="B103" s="1" t="s">
        <v>213</v>
      </c>
      <c r="E103" s="4">
        <f t="shared" si="41"/>
        <v>202.986</v>
      </c>
      <c r="F103" s="4">
        <f t="shared" si="42"/>
        <v>28.41804</v>
      </c>
      <c r="G103" s="5">
        <f>Contingency!E103*0.01</f>
        <v>0.14</v>
      </c>
      <c r="H103" s="4">
        <f t="shared" si="43"/>
        <v>231.40403999999998</v>
      </c>
      <c r="I103" s="4"/>
      <c r="J103" s="4">
        <f>$AG102*122.4/1000</f>
        <v>132.192</v>
      </c>
      <c r="K103" s="4"/>
      <c r="L103" s="4">
        <f>$AG102*65.55/1000</f>
        <v>70.794</v>
      </c>
      <c r="M103" s="6">
        <f t="shared" si="44"/>
        <v>4.184615384615385</v>
      </c>
      <c r="N103" s="6"/>
      <c r="O103" s="4"/>
      <c r="P103" s="6"/>
      <c r="Q103" s="4"/>
      <c r="R103" s="6"/>
      <c r="S103" s="4"/>
      <c r="T103" s="6"/>
      <c r="U103" s="4"/>
      <c r="V103" s="6">
        <f t="shared" si="45"/>
        <v>4.184615384615385</v>
      </c>
      <c r="W103" s="4">
        <f t="shared" si="46"/>
        <v>7364.923076923077</v>
      </c>
      <c r="X103" s="4">
        <f t="shared" si="47"/>
        <v>202.986</v>
      </c>
      <c r="Y103" s="4">
        <f t="shared" si="48"/>
        <v>0</v>
      </c>
      <c r="Z103" s="4">
        <f>E103*0.4</f>
        <v>81.1944</v>
      </c>
      <c r="AA103" s="4">
        <f>E103*0.4</f>
        <v>81.1944</v>
      </c>
      <c r="AB103" s="4">
        <f>E103*0.2</f>
        <v>40.5972</v>
      </c>
      <c r="AC103" s="4"/>
      <c r="AD103" s="4">
        <f t="shared" si="49"/>
        <v>0</v>
      </c>
      <c r="AE103" s="4"/>
      <c r="AH103" s="6"/>
    </row>
    <row r="104" spans="1:34" s="1" customFormat="1" ht="12.75" customHeight="1">
      <c r="A104" s="15" t="s">
        <v>214</v>
      </c>
      <c r="B104" s="1" t="s">
        <v>215</v>
      </c>
      <c r="E104" s="4">
        <f t="shared" si="41"/>
        <v>132.84</v>
      </c>
      <c r="F104" s="4">
        <f t="shared" si="42"/>
        <v>18.597600000000003</v>
      </c>
      <c r="G104" s="5">
        <f>Contingency!E104*0.01</f>
        <v>0.14</v>
      </c>
      <c r="H104" s="4">
        <f t="shared" si="43"/>
        <v>151.4376</v>
      </c>
      <c r="I104" s="4"/>
      <c r="J104" s="4">
        <f>$AG102*15/1000</f>
        <v>16.2</v>
      </c>
      <c r="K104" s="4"/>
      <c r="L104" s="4">
        <f>$AG102*108/1000</f>
        <v>116.64</v>
      </c>
      <c r="M104" s="6">
        <f t="shared" si="44"/>
        <v>0.5128205128205128</v>
      </c>
      <c r="N104" s="6"/>
      <c r="O104" s="4"/>
      <c r="P104" s="6"/>
      <c r="Q104" s="4"/>
      <c r="R104" s="6"/>
      <c r="S104" s="4"/>
      <c r="T104" s="6"/>
      <c r="U104" s="4"/>
      <c r="V104" s="6">
        <f t="shared" si="45"/>
        <v>0.5128205128205128</v>
      </c>
      <c r="W104" s="4">
        <f t="shared" si="46"/>
        <v>902.5641025641025</v>
      </c>
      <c r="X104" s="4">
        <f t="shared" si="47"/>
        <v>132.84</v>
      </c>
      <c r="Y104" s="4">
        <f t="shared" si="48"/>
        <v>0</v>
      </c>
      <c r="Z104" s="4">
        <f>E104*0.4</f>
        <v>53.136</v>
      </c>
      <c r="AA104" s="4">
        <f>E104*0.4</f>
        <v>53.136</v>
      </c>
      <c r="AB104" s="4">
        <f>E104*0.2</f>
        <v>26.568</v>
      </c>
      <c r="AC104" s="4"/>
      <c r="AD104" s="4">
        <f t="shared" si="49"/>
        <v>0</v>
      </c>
      <c r="AE104" s="4"/>
      <c r="AH104" s="6"/>
    </row>
    <row r="105" spans="1:34" s="1" customFormat="1" ht="12.75" customHeight="1">
      <c r="A105" s="15" t="s">
        <v>216</v>
      </c>
      <c r="B105" s="1" t="s">
        <v>217</v>
      </c>
      <c r="E105" s="4">
        <f t="shared" si="41"/>
        <v>176.04000000000002</v>
      </c>
      <c r="F105" s="4">
        <f t="shared" si="42"/>
        <v>24.645600000000005</v>
      </c>
      <c r="G105" s="5">
        <f>Contingency!E105*0.01</f>
        <v>0.14</v>
      </c>
      <c r="H105" s="4">
        <f t="shared" si="43"/>
        <v>200.68560000000002</v>
      </c>
      <c r="I105" s="4"/>
      <c r="J105" s="4">
        <f>$AG102*126/1000</f>
        <v>136.08</v>
      </c>
      <c r="K105" s="4"/>
      <c r="L105" s="4">
        <f>$AG102*37/1000</f>
        <v>39.96</v>
      </c>
      <c r="M105" s="6">
        <f t="shared" si="44"/>
        <v>4.307692307692308</v>
      </c>
      <c r="N105" s="6"/>
      <c r="O105" s="4"/>
      <c r="P105" s="6"/>
      <c r="Q105" s="4"/>
      <c r="R105" s="6"/>
      <c r="S105" s="4"/>
      <c r="T105" s="6"/>
      <c r="U105" s="4"/>
      <c r="V105" s="6">
        <f t="shared" si="45"/>
        <v>4.307692307692308</v>
      </c>
      <c r="W105" s="4">
        <f t="shared" si="46"/>
        <v>7581.538461538463</v>
      </c>
      <c r="X105" s="4">
        <f t="shared" si="47"/>
        <v>176.04000000000002</v>
      </c>
      <c r="Y105" s="4">
        <f t="shared" si="48"/>
        <v>0</v>
      </c>
      <c r="Z105" s="4">
        <f>E105*0.4</f>
        <v>70.41600000000001</v>
      </c>
      <c r="AA105" s="4">
        <f>E105*0.4</f>
        <v>70.41600000000001</v>
      </c>
      <c r="AB105" s="4">
        <f>E105*0.2</f>
        <v>35.208000000000006</v>
      </c>
      <c r="AC105" s="4"/>
      <c r="AD105" s="4">
        <f t="shared" si="49"/>
        <v>0</v>
      </c>
      <c r="AE105" s="4"/>
      <c r="AH105" s="6"/>
    </row>
    <row r="106" spans="1:34" s="1" customFormat="1" ht="12.75" customHeight="1">
      <c r="A106" s="15" t="s">
        <v>218</v>
      </c>
      <c r="B106" s="1" t="s">
        <v>219</v>
      </c>
      <c r="E106" s="4">
        <f t="shared" si="41"/>
        <v>38.88</v>
      </c>
      <c r="F106" s="4">
        <f t="shared" si="42"/>
        <v>5.443200000000001</v>
      </c>
      <c r="G106" s="5">
        <f>Contingency!E106*0.01</f>
        <v>0.14</v>
      </c>
      <c r="H106" s="4">
        <f t="shared" si="43"/>
        <v>44.3232</v>
      </c>
      <c r="I106" s="4"/>
      <c r="J106" s="4">
        <f>$AG102*36/1000</f>
        <v>38.88</v>
      </c>
      <c r="K106" s="4"/>
      <c r="L106" s="4"/>
      <c r="M106" s="6">
        <f t="shared" si="44"/>
        <v>1.2307692307692308</v>
      </c>
      <c r="N106" s="6"/>
      <c r="O106" s="4"/>
      <c r="P106" s="6"/>
      <c r="Q106" s="4"/>
      <c r="R106" s="6"/>
      <c r="S106" s="4"/>
      <c r="T106" s="6"/>
      <c r="U106" s="4"/>
      <c r="V106" s="6">
        <f t="shared" si="45"/>
        <v>1.2307692307692308</v>
      </c>
      <c r="W106" s="4">
        <f t="shared" si="46"/>
        <v>2166.153846153846</v>
      </c>
      <c r="X106" s="4">
        <f t="shared" si="47"/>
        <v>38.88</v>
      </c>
      <c r="Y106" s="4">
        <f t="shared" si="48"/>
        <v>0</v>
      </c>
      <c r="Z106" s="4">
        <f>E106*0.4</f>
        <v>15.552000000000001</v>
      </c>
      <c r="AA106" s="4">
        <f>E106*0.4</f>
        <v>15.552000000000001</v>
      </c>
      <c r="AB106" s="4">
        <f>E106*0.2</f>
        <v>7.776000000000001</v>
      </c>
      <c r="AC106" s="4"/>
      <c r="AD106" s="4">
        <f t="shared" si="49"/>
        <v>0</v>
      </c>
      <c r="AE106" s="4"/>
      <c r="AH106" s="6"/>
    </row>
    <row r="107" spans="1:34" s="1" customFormat="1" ht="12.75" customHeight="1">
      <c r="A107" s="1" t="s">
        <v>220</v>
      </c>
      <c r="B107" s="1" t="s">
        <v>221</v>
      </c>
      <c r="E107" s="4">
        <f t="shared" si="41"/>
        <v>24.22</v>
      </c>
      <c r="F107" s="4">
        <f t="shared" si="42"/>
        <v>3.3908</v>
      </c>
      <c r="G107" s="5">
        <f>Contingency!E107*0.01</f>
        <v>0.14</v>
      </c>
      <c r="H107" s="4">
        <f t="shared" si="43"/>
        <v>27.610799999999998</v>
      </c>
      <c r="I107" s="4"/>
      <c r="J107" s="4">
        <f>$AG102*9/1000</f>
        <v>9.72</v>
      </c>
      <c r="K107" s="4"/>
      <c r="L107" s="4">
        <f>$AG102*12.5/1000+1</f>
        <v>14.5</v>
      </c>
      <c r="M107" s="6">
        <f t="shared" si="44"/>
        <v>0.3076923076923077</v>
      </c>
      <c r="N107" s="6"/>
      <c r="O107" s="4"/>
      <c r="P107" s="6"/>
      <c r="Q107" s="4"/>
      <c r="R107" s="6"/>
      <c r="S107" s="4"/>
      <c r="T107" s="6"/>
      <c r="U107" s="4"/>
      <c r="V107" s="6">
        <f t="shared" si="45"/>
        <v>0.3076923076923077</v>
      </c>
      <c r="W107" s="4">
        <f t="shared" si="46"/>
        <v>541.5384615384615</v>
      </c>
      <c r="X107" s="4">
        <f t="shared" si="47"/>
        <v>24.22</v>
      </c>
      <c r="Y107" s="4">
        <f t="shared" si="48"/>
        <v>0</v>
      </c>
      <c r="Z107" s="4">
        <f>E107*0.3</f>
        <v>7.265999999999999</v>
      </c>
      <c r="AA107" s="4">
        <f>E107*0.3</f>
        <v>7.265999999999999</v>
      </c>
      <c r="AB107" s="4">
        <f>E107*0.4</f>
        <v>9.688</v>
      </c>
      <c r="AC107" s="4"/>
      <c r="AD107" s="4">
        <f t="shared" si="49"/>
        <v>0</v>
      </c>
      <c r="AE107" s="4"/>
      <c r="AH107" s="6"/>
    </row>
    <row r="108" spans="5:34" s="1" customFormat="1" ht="12.75" customHeight="1">
      <c r="E108" s="4"/>
      <c r="F108" s="4"/>
      <c r="G108" s="5"/>
      <c r="H108" s="4"/>
      <c r="I108" s="4"/>
      <c r="J108" s="4"/>
      <c r="K108" s="4"/>
      <c r="L108" s="4"/>
      <c r="M108" s="6"/>
      <c r="N108" s="6"/>
      <c r="O108" s="4"/>
      <c r="P108" s="6"/>
      <c r="Q108" s="4"/>
      <c r="R108" s="6"/>
      <c r="S108" s="4"/>
      <c r="T108" s="6"/>
      <c r="U108" s="4"/>
      <c r="V108" s="6"/>
      <c r="W108" s="4"/>
      <c r="X108" s="4"/>
      <c r="Y108" s="4"/>
      <c r="Z108" s="4"/>
      <c r="AA108" s="4"/>
      <c r="AB108" s="4"/>
      <c r="AC108" s="4"/>
      <c r="AD108" s="4"/>
      <c r="AE108" s="4"/>
      <c r="AH108" s="6"/>
    </row>
    <row r="109" spans="1:34" s="1" customFormat="1" ht="12.75" customHeight="1">
      <c r="A109" s="1" t="s">
        <v>222</v>
      </c>
      <c r="B109" s="1" t="s">
        <v>223</v>
      </c>
      <c r="E109" s="4">
        <f>E111+E112+E113+E114+E115+E116+E117</f>
        <v>544.32</v>
      </c>
      <c r="F109" s="4">
        <f>F111+F112+F113+F114+F115+F116+F117</f>
        <v>76.20480000000002</v>
      </c>
      <c r="G109" s="5">
        <f>F109/E109</f>
        <v>0.14</v>
      </c>
      <c r="H109" s="4">
        <f aca="true" t="shared" si="50" ref="H109:AE109">H111+H112+H113+H114+H115+H116+H117</f>
        <v>620.5247999999999</v>
      </c>
      <c r="I109" s="4">
        <f t="shared" si="50"/>
        <v>0</v>
      </c>
      <c r="J109" s="4">
        <f t="shared" si="50"/>
        <v>116.64</v>
      </c>
      <c r="K109" s="4">
        <f t="shared" si="50"/>
        <v>0</v>
      </c>
      <c r="L109" s="4">
        <f t="shared" si="50"/>
        <v>427.67999999999995</v>
      </c>
      <c r="M109" s="6">
        <f t="shared" si="50"/>
        <v>3.6923076923076925</v>
      </c>
      <c r="N109" s="6">
        <f t="shared" si="50"/>
        <v>0</v>
      </c>
      <c r="O109" s="4">
        <f t="shared" si="50"/>
        <v>0</v>
      </c>
      <c r="P109" s="6">
        <f t="shared" si="50"/>
        <v>0</v>
      </c>
      <c r="Q109" s="4">
        <f t="shared" si="50"/>
        <v>0</v>
      </c>
      <c r="R109" s="6">
        <f t="shared" si="50"/>
        <v>0</v>
      </c>
      <c r="S109" s="4">
        <f t="shared" si="50"/>
        <v>0</v>
      </c>
      <c r="T109" s="6">
        <f t="shared" si="50"/>
        <v>0</v>
      </c>
      <c r="U109" s="4">
        <f t="shared" si="50"/>
        <v>0</v>
      </c>
      <c r="V109" s="6">
        <f t="shared" si="50"/>
        <v>3.6923076923076925</v>
      </c>
      <c r="W109" s="4">
        <f t="shared" si="50"/>
        <v>6498.461538461539</v>
      </c>
      <c r="X109" s="4">
        <f t="shared" si="50"/>
        <v>544.32</v>
      </c>
      <c r="Y109" s="4">
        <f t="shared" si="50"/>
        <v>0</v>
      </c>
      <c r="Z109" s="4">
        <f t="shared" si="50"/>
        <v>217.24200000000002</v>
      </c>
      <c r="AA109" s="4">
        <f t="shared" si="50"/>
        <v>217.24200000000002</v>
      </c>
      <c r="AB109" s="4">
        <f t="shared" si="50"/>
        <v>109.83600000000001</v>
      </c>
      <c r="AC109" s="4">
        <f t="shared" si="50"/>
        <v>0</v>
      </c>
      <c r="AD109" s="4">
        <f t="shared" si="50"/>
        <v>0</v>
      </c>
      <c r="AE109" s="4">
        <f t="shared" si="50"/>
        <v>0</v>
      </c>
      <c r="AH109" s="6"/>
    </row>
    <row r="110" spans="1:34" s="1" customFormat="1" ht="12.75" customHeight="1">
      <c r="A110" s="15"/>
      <c r="E110" s="4"/>
      <c r="F110" s="4"/>
      <c r="G110" s="5"/>
      <c r="H110" s="4"/>
      <c r="I110" s="4"/>
      <c r="J110" s="4"/>
      <c r="K110" s="4"/>
      <c r="L110" s="4"/>
      <c r="M110" s="6"/>
      <c r="N110" s="6"/>
      <c r="O110" s="4"/>
      <c r="P110" s="6"/>
      <c r="Q110" s="4"/>
      <c r="R110" s="6"/>
      <c r="S110" s="4"/>
      <c r="T110" s="6"/>
      <c r="U110" s="4"/>
      <c r="V110" s="6"/>
      <c r="W110" s="4"/>
      <c r="X110" s="4"/>
      <c r="Y110" s="4"/>
      <c r="Z110" s="4"/>
      <c r="AA110" s="4"/>
      <c r="AB110" s="4"/>
      <c r="AC110" s="4"/>
      <c r="AD110" s="4"/>
      <c r="AE110" s="4"/>
      <c r="AF110" s="4" t="s">
        <v>224</v>
      </c>
      <c r="AG110" s="1">
        <f>AG102+0</f>
        <v>1080</v>
      </c>
      <c r="AH110" s="6"/>
    </row>
    <row r="111" spans="1:38" s="1" customFormat="1" ht="12.75" customHeight="1">
      <c r="A111" s="1" t="s">
        <v>225</v>
      </c>
      <c r="B111" s="1" t="s">
        <v>226</v>
      </c>
      <c r="E111" s="4">
        <f aca="true" t="shared" si="51" ref="E111:E117">SUM(I111:L111)</f>
        <v>219.24</v>
      </c>
      <c r="F111" s="4">
        <f aca="true" t="shared" si="52" ref="F111:F117">G111*E111</f>
        <v>30.693600000000004</v>
      </c>
      <c r="G111" s="5">
        <f>Contingency!E111*0.01</f>
        <v>0.14</v>
      </c>
      <c r="H111" s="4">
        <f aca="true" t="shared" si="53" ref="H111:H117">SUM(E111:F111)</f>
        <v>249.9336</v>
      </c>
      <c r="I111" s="4"/>
      <c r="J111" s="4">
        <f>$AG110*5/1000</f>
        <v>5.4</v>
      </c>
      <c r="K111" s="4"/>
      <c r="L111" s="4">
        <f>$AG110*198/1000</f>
        <v>213.84</v>
      </c>
      <c r="M111" s="6">
        <f aca="true" t="shared" si="54" ref="M111:M117">N111+P111+R111+T111+V111</f>
        <v>0.17094017094017097</v>
      </c>
      <c r="N111" s="6"/>
      <c r="O111" s="4"/>
      <c r="P111" s="6"/>
      <c r="Q111" s="4"/>
      <c r="R111" s="6"/>
      <c r="S111" s="4"/>
      <c r="T111" s="6"/>
      <c r="U111" s="4"/>
      <c r="V111" s="6">
        <f aca="true" t="shared" si="55" ref="V111:V117">J111/$R$3/1.755</f>
        <v>0.17094017094017097</v>
      </c>
      <c r="W111" s="4">
        <f aca="true" t="shared" si="56" ref="W111:W117">V111*1760</f>
        <v>300.8547008547009</v>
      </c>
      <c r="X111" s="4">
        <f aca="true" t="shared" si="57" ref="X111:X117">SUM(Y111:AC111)</f>
        <v>219.24000000000004</v>
      </c>
      <c r="Y111" s="4">
        <f aca="true" t="shared" si="58" ref="Y111:Y117">E111*0</f>
        <v>0</v>
      </c>
      <c r="Z111" s="4">
        <f aca="true" t="shared" si="59" ref="Z111:Z116">E111*0.4</f>
        <v>87.69600000000001</v>
      </c>
      <c r="AA111" s="4">
        <f aca="true" t="shared" si="60" ref="AA111:AA116">E111*0.4</f>
        <v>87.69600000000001</v>
      </c>
      <c r="AB111" s="4">
        <f aca="true" t="shared" si="61" ref="AB111:AB116">E111*0.2</f>
        <v>43.848000000000006</v>
      </c>
      <c r="AC111" s="4"/>
      <c r="AD111" s="4">
        <f aca="true" t="shared" si="62" ref="AD111:AD117">X111-E111</f>
        <v>0</v>
      </c>
      <c r="AE111" s="4"/>
      <c r="AF111" s="4"/>
      <c r="AG111" s="17"/>
      <c r="AH111" s="4"/>
      <c r="AL111" s="3"/>
    </row>
    <row r="112" spans="1:38" s="1" customFormat="1" ht="12.75" customHeight="1">
      <c r="A112" s="15" t="s">
        <v>227</v>
      </c>
      <c r="B112" s="1" t="s">
        <v>228</v>
      </c>
      <c r="E112" s="4">
        <f t="shared" si="51"/>
        <v>32.4</v>
      </c>
      <c r="F112" s="4">
        <f t="shared" si="52"/>
        <v>4.5360000000000005</v>
      </c>
      <c r="G112" s="5">
        <f>Contingency!E112*0.01</f>
        <v>0.14</v>
      </c>
      <c r="H112" s="4">
        <f t="shared" si="53"/>
        <v>36.936</v>
      </c>
      <c r="I112" s="4"/>
      <c r="J112" s="4">
        <f>$AG110*5/1000</f>
        <v>5.4</v>
      </c>
      <c r="K112" s="4"/>
      <c r="L112" s="4">
        <f>$AG110*25/1000</f>
        <v>27</v>
      </c>
      <c r="M112" s="6">
        <f t="shared" si="54"/>
        <v>0.17094017094017097</v>
      </c>
      <c r="N112" s="6"/>
      <c r="O112" s="4"/>
      <c r="P112" s="6"/>
      <c r="Q112" s="4"/>
      <c r="R112" s="6"/>
      <c r="S112" s="4"/>
      <c r="T112" s="6"/>
      <c r="U112" s="4"/>
      <c r="V112" s="6">
        <f t="shared" si="55"/>
        <v>0.17094017094017097</v>
      </c>
      <c r="W112" s="4">
        <f t="shared" si="56"/>
        <v>300.8547008547009</v>
      </c>
      <c r="X112" s="4">
        <f t="shared" si="57"/>
        <v>32.400000000000006</v>
      </c>
      <c r="Y112" s="4">
        <f t="shared" si="58"/>
        <v>0</v>
      </c>
      <c r="Z112" s="4">
        <f t="shared" si="59"/>
        <v>12.96</v>
      </c>
      <c r="AA112" s="4">
        <f t="shared" si="60"/>
        <v>12.96</v>
      </c>
      <c r="AB112" s="4">
        <f t="shared" si="61"/>
        <v>6.48</v>
      </c>
      <c r="AC112" s="4"/>
      <c r="AD112" s="4">
        <f t="shared" si="62"/>
        <v>0</v>
      </c>
      <c r="AE112" s="4"/>
      <c r="AF112" s="4"/>
      <c r="AH112" s="4"/>
      <c r="AL112" s="3"/>
    </row>
    <row r="113" spans="1:38" s="1" customFormat="1" ht="12.75" customHeight="1">
      <c r="A113" s="15" t="s">
        <v>229</v>
      </c>
      <c r="B113" s="1" t="s">
        <v>230</v>
      </c>
      <c r="E113" s="4">
        <f t="shared" si="51"/>
        <v>139.32</v>
      </c>
      <c r="F113" s="4">
        <f t="shared" si="52"/>
        <v>19.5048</v>
      </c>
      <c r="G113" s="5">
        <f>Contingency!E113*0.01</f>
        <v>0.14</v>
      </c>
      <c r="H113" s="4">
        <f t="shared" si="53"/>
        <v>158.82479999999998</v>
      </c>
      <c r="I113" s="4"/>
      <c r="J113" s="4">
        <f>$AG110*5/1000</f>
        <v>5.4</v>
      </c>
      <c r="K113" s="4"/>
      <c r="L113" s="4">
        <f>$AG110*124/1000</f>
        <v>133.92</v>
      </c>
      <c r="M113" s="6">
        <f t="shared" si="54"/>
        <v>0.17094017094017097</v>
      </c>
      <c r="N113" s="6"/>
      <c r="O113" s="4"/>
      <c r="P113" s="6"/>
      <c r="Q113" s="4"/>
      <c r="R113" s="6"/>
      <c r="S113" s="4"/>
      <c r="T113" s="6"/>
      <c r="U113" s="4"/>
      <c r="V113" s="6">
        <f t="shared" si="55"/>
        <v>0.17094017094017097</v>
      </c>
      <c r="W113" s="4">
        <f t="shared" si="56"/>
        <v>300.8547008547009</v>
      </c>
      <c r="X113" s="4">
        <f t="shared" si="57"/>
        <v>139.32</v>
      </c>
      <c r="Y113" s="4">
        <f t="shared" si="58"/>
        <v>0</v>
      </c>
      <c r="Z113" s="4">
        <f t="shared" si="59"/>
        <v>55.728</v>
      </c>
      <c r="AA113" s="4">
        <f t="shared" si="60"/>
        <v>55.728</v>
      </c>
      <c r="AB113" s="4">
        <f t="shared" si="61"/>
        <v>27.864</v>
      </c>
      <c r="AC113" s="4"/>
      <c r="AD113" s="4">
        <f t="shared" si="62"/>
        <v>0</v>
      </c>
      <c r="AE113" s="4"/>
      <c r="AF113" s="4"/>
      <c r="AH113" s="4"/>
      <c r="AL113" s="3"/>
    </row>
    <row r="114" spans="1:38" s="1" customFormat="1" ht="12.75" customHeight="1">
      <c r="A114" s="15" t="s">
        <v>231</v>
      </c>
      <c r="B114" s="1" t="s">
        <v>232</v>
      </c>
      <c r="E114" s="4">
        <f t="shared" si="51"/>
        <v>64.8</v>
      </c>
      <c r="F114" s="4">
        <f t="shared" si="52"/>
        <v>9.072000000000001</v>
      </c>
      <c r="G114" s="5">
        <f>Contingency!E114*0.01</f>
        <v>0.14</v>
      </c>
      <c r="H114" s="4">
        <f t="shared" si="53"/>
        <v>73.872</v>
      </c>
      <c r="I114" s="4"/>
      <c r="J114" s="4">
        <f>$AG110*30/1000</f>
        <v>32.4</v>
      </c>
      <c r="K114" s="4"/>
      <c r="L114" s="4">
        <f>$AG110*30/1000</f>
        <v>32.4</v>
      </c>
      <c r="M114" s="6">
        <f t="shared" si="54"/>
        <v>1.0256410256410255</v>
      </c>
      <c r="N114" s="6"/>
      <c r="O114" s="4"/>
      <c r="P114" s="6"/>
      <c r="Q114" s="4"/>
      <c r="R114" s="6"/>
      <c r="S114" s="4"/>
      <c r="T114" s="6"/>
      <c r="U114" s="4"/>
      <c r="V114" s="6">
        <f t="shared" si="55"/>
        <v>1.0256410256410255</v>
      </c>
      <c r="W114" s="4">
        <f t="shared" si="56"/>
        <v>1805.128205128205</v>
      </c>
      <c r="X114" s="4">
        <f t="shared" si="57"/>
        <v>64.80000000000001</v>
      </c>
      <c r="Y114" s="4">
        <f t="shared" si="58"/>
        <v>0</v>
      </c>
      <c r="Z114" s="4">
        <f t="shared" si="59"/>
        <v>25.92</v>
      </c>
      <c r="AA114" s="4">
        <f t="shared" si="60"/>
        <v>25.92</v>
      </c>
      <c r="AB114" s="4">
        <f t="shared" si="61"/>
        <v>12.96</v>
      </c>
      <c r="AC114" s="4"/>
      <c r="AD114" s="4">
        <f t="shared" si="62"/>
        <v>0</v>
      </c>
      <c r="AE114" s="4"/>
      <c r="AF114" s="4"/>
      <c r="AH114" s="4"/>
      <c r="AL114" s="3"/>
    </row>
    <row r="115" spans="1:38" s="1" customFormat="1" ht="12.75" customHeight="1">
      <c r="A115" s="15" t="s">
        <v>233</v>
      </c>
      <c r="B115" s="1" t="s">
        <v>234</v>
      </c>
      <c r="E115" s="4">
        <f t="shared" si="51"/>
        <v>78.84</v>
      </c>
      <c r="F115" s="4">
        <f t="shared" si="52"/>
        <v>11.037600000000001</v>
      </c>
      <c r="G115" s="5">
        <f>Contingency!E115*0.01</f>
        <v>0.14</v>
      </c>
      <c r="H115" s="4">
        <f t="shared" si="53"/>
        <v>89.8776</v>
      </c>
      <c r="I115" s="4"/>
      <c r="J115" s="4">
        <f>$AG110*54/1000</f>
        <v>58.32</v>
      </c>
      <c r="K115" s="4"/>
      <c r="L115" s="4">
        <f>$AG110*19/1000</f>
        <v>20.52</v>
      </c>
      <c r="M115" s="6">
        <f t="shared" si="54"/>
        <v>1.8461538461538465</v>
      </c>
      <c r="N115" s="6"/>
      <c r="O115" s="4"/>
      <c r="P115" s="6"/>
      <c r="Q115" s="4"/>
      <c r="R115" s="6"/>
      <c r="S115" s="4"/>
      <c r="T115" s="6"/>
      <c r="U115" s="4"/>
      <c r="V115" s="6">
        <f t="shared" si="55"/>
        <v>1.8461538461538465</v>
      </c>
      <c r="W115" s="4">
        <f t="shared" si="56"/>
        <v>3249.23076923077</v>
      </c>
      <c r="X115" s="4">
        <f t="shared" si="57"/>
        <v>78.84</v>
      </c>
      <c r="Y115" s="4">
        <f t="shared" si="58"/>
        <v>0</v>
      </c>
      <c r="Z115" s="4">
        <f t="shared" si="59"/>
        <v>31.536</v>
      </c>
      <c r="AA115" s="4">
        <f t="shared" si="60"/>
        <v>31.536</v>
      </c>
      <c r="AB115" s="4">
        <f t="shared" si="61"/>
        <v>15.768</v>
      </c>
      <c r="AC115" s="4"/>
      <c r="AD115" s="4">
        <f t="shared" si="62"/>
        <v>0</v>
      </c>
      <c r="AE115" s="4"/>
      <c r="AF115" s="4"/>
      <c r="AH115" s="4"/>
      <c r="AL115" s="3"/>
    </row>
    <row r="116" spans="1:38" s="1" customFormat="1" ht="12.75" customHeight="1">
      <c r="A116" s="15" t="s">
        <v>235</v>
      </c>
      <c r="B116" s="1" t="s">
        <v>236</v>
      </c>
      <c r="E116" s="4">
        <f t="shared" si="51"/>
        <v>4.86</v>
      </c>
      <c r="F116" s="4">
        <f t="shared" si="52"/>
        <v>0.6804000000000001</v>
      </c>
      <c r="G116" s="5">
        <f>Contingency!E116*0.01</f>
        <v>0.14</v>
      </c>
      <c r="H116" s="4">
        <f t="shared" si="53"/>
        <v>5.5404</v>
      </c>
      <c r="I116" s="4"/>
      <c r="J116" s="4">
        <f>$AG110*4.5/1000</f>
        <v>4.86</v>
      </c>
      <c r="K116" s="4"/>
      <c r="L116" s="4"/>
      <c r="M116" s="6">
        <f t="shared" si="54"/>
        <v>0.15384615384615385</v>
      </c>
      <c r="N116" s="6"/>
      <c r="O116" s="4"/>
      <c r="P116" s="6"/>
      <c r="Q116" s="4"/>
      <c r="R116" s="6"/>
      <c r="S116" s="4"/>
      <c r="T116" s="6"/>
      <c r="U116" s="4"/>
      <c r="V116" s="6">
        <f t="shared" si="55"/>
        <v>0.15384615384615385</v>
      </c>
      <c r="W116" s="4">
        <f t="shared" si="56"/>
        <v>270.7692307692308</v>
      </c>
      <c r="X116" s="4">
        <f t="shared" si="57"/>
        <v>4.86</v>
      </c>
      <c r="Y116" s="4">
        <f t="shared" si="58"/>
        <v>0</v>
      </c>
      <c r="Z116" s="4">
        <f t="shared" si="59"/>
        <v>1.9440000000000002</v>
      </c>
      <c r="AA116" s="4">
        <f t="shared" si="60"/>
        <v>1.9440000000000002</v>
      </c>
      <c r="AB116" s="4">
        <f t="shared" si="61"/>
        <v>0.9720000000000001</v>
      </c>
      <c r="AC116" s="4"/>
      <c r="AD116" s="4">
        <f t="shared" si="62"/>
        <v>0</v>
      </c>
      <c r="AE116" s="4"/>
      <c r="AF116" s="4"/>
      <c r="AH116" s="4"/>
      <c r="AL116" s="3"/>
    </row>
    <row r="117" spans="1:38" s="1" customFormat="1" ht="12.75" customHeight="1">
      <c r="A117" s="15" t="s">
        <v>237</v>
      </c>
      <c r="B117" s="1" t="s">
        <v>238</v>
      </c>
      <c r="E117" s="4">
        <f t="shared" si="51"/>
        <v>4.86</v>
      </c>
      <c r="F117" s="4">
        <f t="shared" si="52"/>
        <v>0.6804000000000001</v>
      </c>
      <c r="G117" s="5">
        <f>Contingency!E117*0.01</f>
        <v>0.14</v>
      </c>
      <c r="H117" s="4">
        <f t="shared" si="53"/>
        <v>5.5404</v>
      </c>
      <c r="I117" s="4"/>
      <c r="J117" s="4">
        <f>$AG110*4.5/1000</f>
        <v>4.86</v>
      </c>
      <c r="K117" s="4"/>
      <c r="L117" s="4"/>
      <c r="M117" s="6">
        <f t="shared" si="54"/>
        <v>0.15384615384615385</v>
      </c>
      <c r="N117" s="6"/>
      <c r="O117" s="4"/>
      <c r="P117" s="6"/>
      <c r="Q117" s="4"/>
      <c r="R117" s="6"/>
      <c r="S117" s="4"/>
      <c r="T117" s="6"/>
      <c r="U117" s="4"/>
      <c r="V117" s="6">
        <f t="shared" si="55"/>
        <v>0.15384615384615385</v>
      </c>
      <c r="W117" s="4">
        <f t="shared" si="56"/>
        <v>270.7692307692308</v>
      </c>
      <c r="X117" s="4">
        <f t="shared" si="57"/>
        <v>4.86</v>
      </c>
      <c r="Y117" s="4">
        <f t="shared" si="58"/>
        <v>0</v>
      </c>
      <c r="Z117" s="4">
        <f>E117*0.3</f>
        <v>1.458</v>
      </c>
      <c r="AA117" s="4">
        <f>E117*0.3</f>
        <v>1.458</v>
      </c>
      <c r="AB117" s="4">
        <f>E117*0.4</f>
        <v>1.9440000000000002</v>
      </c>
      <c r="AC117" s="4"/>
      <c r="AD117" s="4">
        <f t="shared" si="62"/>
        <v>0</v>
      </c>
      <c r="AE117" s="4"/>
      <c r="AF117" s="4"/>
      <c r="AH117" s="4"/>
      <c r="AL117" s="3"/>
    </row>
    <row r="118" spans="1:38" s="1" customFormat="1" ht="12.75" customHeight="1">
      <c r="A118" s="15"/>
      <c r="E118" s="4"/>
      <c r="F118" s="4"/>
      <c r="G118" s="5"/>
      <c r="H118" s="4"/>
      <c r="I118" s="4"/>
      <c r="J118" s="4"/>
      <c r="K118" s="4"/>
      <c r="L118" s="4"/>
      <c r="M118" s="6"/>
      <c r="N118" s="6"/>
      <c r="O118" s="4"/>
      <c r="P118" s="6"/>
      <c r="Q118" s="4"/>
      <c r="R118" s="6"/>
      <c r="S118" s="4"/>
      <c r="T118" s="6"/>
      <c r="U118" s="4"/>
      <c r="V118" s="6"/>
      <c r="W118" s="4"/>
      <c r="X118" s="4"/>
      <c r="Y118" s="4"/>
      <c r="Z118" s="4"/>
      <c r="AA118" s="4"/>
      <c r="AB118" s="4"/>
      <c r="AC118" s="4"/>
      <c r="AD118" s="4"/>
      <c r="AE118" s="4"/>
      <c r="AF118" s="4"/>
      <c r="AH118" s="4"/>
      <c r="AL118" s="3"/>
    </row>
    <row r="119" spans="1:38" s="1" customFormat="1" ht="12.75" customHeight="1">
      <c r="A119" s="15" t="s">
        <v>239</v>
      </c>
      <c r="B119" s="1" t="s">
        <v>240</v>
      </c>
      <c r="E119" s="4">
        <f>SUM(I119:L119)</f>
        <v>13</v>
      </c>
      <c r="F119" s="4">
        <f>G119*E119</f>
        <v>1.8200000000000003</v>
      </c>
      <c r="G119" s="5">
        <f>Contingency!E119*0.01</f>
        <v>0.14</v>
      </c>
      <c r="H119" s="4">
        <f>SUM(E119:F119)</f>
        <v>14.82</v>
      </c>
      <c r="I119" s="4"/>
      <c r="J119" s="4">
        <v>13</v>
      </c>
      <c r="K119" s="4"/>
      <c r="L119" s="4"/>
      <c r="M119" s="6">
        <f>N119+P119+R119+T119+V119</f>
        <v>0.411522633744856</v>
      </c>
      <c r="N119" s="6"/>
      <c r="O119" s="4"/>
      <c r="P119" s="6"/>
      <c r="Q119" s="4"/>
      <c r="R119" s="6"/>
      <c r="S119" s="4"/>
      <c r="T119" s="6"/>
      <c r="U119" s="4"/>
      <c r="V119" s="6">
        <f>J119/$R$3/1.755</f>
        <v>0.411522633744856</v>
      </c>
      <c r="W119" s="4">
        <f>V119*1760</f>
        <v>724.2798353909466</v>
      </c>
      <c r="X119" s="4">
        <f>SUM(Y119:AC119)</f>
        <v>13</v>
      </c>
      <c r="Y119" s="4">
        <f>E119*0</f>
        <v>0</v>
      </c>
      <c r="Z119" s="4">
        <f>E119*0.3</f>
        <v>3.9</v>
      </c>
      <c r="AA119" s="4">
        <f>E119*0.3</f>
        <v>3.9</v>
      </c>
      <c r="AB119" s="4">
        <f>E119*0.4</f>
        <v>5.2</v>
      </c>
      <c r="AC119" s="4"/>
      <c r="AD119" s="4">
        <f>X119-E119</f>
        <v>0</v>
      </c>
      <c r="AE119" s="4"/>
      <c r="AF119" s="4"/>
      <c r="AH119" s="4"/>
      <c r="AL119" s="3"/>
    </row>
    <row r="120" spans="1:38" s="1" customFormat="1" ht="12.75" customHeight="1">
      <c r="A120" s="15"/>
      <c r="E120" s="4"/>
      <c r="F120" s="4"/>
      <c r="G120" s="5"/>
      <c r="H120" s="4"/>
      <c r="I120" s="4"/>
      <c r="J120" s="4"/>
      <c r="K120" s="4"/>
      <c r="L120" s="4"/>
      <c r="M120" s="6"/>
      <c r="N120" s="6"/>
      <c r="O120" s="4"/>
      <c r="P120" s="6"/>
      <c r="Q120" s="4"/>
      <c r="R120" s="6"/>
      <c r="S120" s="4"/>
      <c r="T120" s="6"/>
      <c r="U120" s="4"/>
      <c r="V120" s="6"/>
      <c r="W120" s="4"/>
      <c r="X120" s="4"/>
      <c r="Y120" s="4"/>
      <c r="Z120" s="4"/>
      <c r="AA120" s="4"/>
      <c r="AB120" s="4"/>
      <c r="AC120" s="4"/>
      <c r="AD120" s="4"/>
      <c r="AE120" s="4"/>
      <c r="AF120" s="4"/>
      <c r="AH120" s="4"/>
      <c r="AL120" s="3"/>
    </row>
    <row r="121" spans="1:38" s="1" customFormat="1" ht="12.75" customHeight="1">
      <c r="A121" s="15" t="s">
        <v>241</v>
      </c>
      <c r="B121" s="1" t="s">
        <v>242</v>
      </c>
      <c r="E121" s="4">
        <f>E123+E129+E136+E142+E152</f>
        <v>760.75</v>
      </c>
      <c r="F121" s="4">
        <f>F123+F129+F136+F142+F152</f>
        <v>106.50500000000002</v>
      </c>
      <c r="G121" s="5">
        <f>F121/E121</f>
        <v>0.14000000000000004</v>
      </c>
      <c r="H121" s="4">
        <f aca="true" t="shared" si="63" ref="H121:AE121">H123+H129+H136+H142+H152</f>
        <v>867.255</v>
      </c>
      <c r="I121" s="4">
        <f t="shared" si="63"/>
        <v>10</v>
      </c>
      <c r="J121" s="4">
        <f t="shared" si="63"/>
        <v>74</v>
      </c>
      <c r="K121" s="4">
        <f t="shared" si="63"/>
        <v>0</v>
      </c>
      <c r="L121" s="4">
        <f t="shared" si="63"/>
        <v>676.75</v>
      </c>
      <c r="M121" s="6">
        <f t="shared" si="63"/>
        <v>2.345679012345679</v>
      </c>
      <c r="N121" s="6">
        <f t="shared" si="63"/>
        <v>0</v>
      </c>
      <c r="O121" s="4">
        <f t="shared" si="63"/>
        <v>0</v>
      </c>
      <c r="P121" s="6">
        <f t="shared" si="63"/>
        <v>0.23741690408357077</v>
      </c>
      <c r="Q121" s="4">
        <f t="shared" si="63"/>
        <v>417.8537511870846</v>
      </c>
      <c r="R121" s="6">
        <f t="shared" si="63"/>
        <v>0</v>
      </c>
      <c r="S121" s="4">
        <f t="shared" si="63"/>
        <v>0</v>
      </c>
      <c r="T121" s="6">
        <f t="shared" si="63"/>
        <v>0</v>
      </c>
      <c r="U121" s="4">
        <f t="shared" si="63"/>
        <v>0</v>
      </c>
      <c r="V121" s="6">
        <f t="shared" si="63"/>
        <v>2.0982621082621087</v>
      </c>
      <c r="W121" s="4">
        <f t="shared" si="63"/>
        <v>3710.5413105413113</v>
      </c>
      <c r="X121" s="4">
        <f t="shared" si="63"/>
        <v>760.75</v>
      </c>
      <c r="Y121" s="4">
        <f t="shared" si="63"/>
        <v>0</v>
      </c>
      <c r="Z121" s="4">
        <f t="shared" si="63"/>
        <v>325.3125</v>
      </c>
      <c r="AA121" s="4">
        <f t="shared" si="63"/>
        <v>343.375</v>
      </c>
      <c r="AB121" s="4">
        <f t="shared" si="63"/>
        <v>92.0625</v>
      </c>
      <c r="AC121" s="4">
        <f t="shared" si="63"/>
        <v>0</v>
      </c>
      <c r="AD121" s="4">
        <f t="shared" si="63"/>
        <v>0</v>
      </c>
      <c r="AE121" s="4">
        <f t="shared" si="63"/>
        <v>0</v>
      </c>
      <c r="AF121" s="4"/>
      <c r="AH121" s="4"/>
      <c r="AL121" s="3"/>
    </row>
    <row r="122" spans="1:38" s="1" customFormat="1" ht="12.75" customHeight="1">
      <c r="A122" s="15"/>
      <c r="E122" s="4"/>
      <c r="F122" s="4"/>
      <c r="G122" s="5"/>
      <c r="H122" s="4"/>
      <c r="I122" s="4"/>
      <c r="J122" s="4"/>
      <c r="K122" s="4"/>
      <c r="L122" s="4"/>
      <c r="M122" s="6"/>
      <c r="N122" s="6"/>
      <c r="O122" s="4"/>
      <c r="P122" s="6"/>
      <c r="Q122" s="4"/>
      <c r="R122" s="6"/>
      <c r="S122" s="4"/>
      <c r="T122" s="6"/>
      <c r="U122" s="4"/>
      <c r="V122" s="6"/>
      <c r="W122" s="4"/>
      <c r="X122" s="4"/>
      <c r="Y122" s="4"/>
      <c r="Z122" s="4"/>
      <c r="AA122" s="4"/>
      <c r="AB122" s="4"/>
      <c r="AC122" s="4"/>
      <c r="AD122" s="4"/>
      <c r="AE122" s="4"/>
      <c r="AF122" s="4"/>
      <c r="AG122" s="1">
        <f>AG100</f>
        <v>1080</v>
      </c>
      <c r="AH122" s="4">
        <f>L121/AG122*1000</f>
        <v>626.6203703703703</v>
      </c>
      <c r="AL122" s="3"/>
    </row>
    <row r="123" spans="1:38" s="1" customFormat="1" ht="12.75" customHeight="1">
      <c r="A123" s="15" t="s">
        <v>243</v>
      </c>
      <c r="B123" s="1" t="s">
        <v>244</v>
      </c>
      <c r="E123" s="4">
        <f>E125+E126+E127</f>
        <v>100</v>
      </c>
      <c r="F123" s="4">
        <f>F125+F126+F127</f>
        <v>14.000000000000002</v>
      </c>
      <c r="G123" s="5">
        <f>F123/E123</f>
        <v>0.14</v>
      </c>
      <c r="H123" s="4">
        <f aca="true" t="shared" si="64" ref="H123:AE123">H125+H126+H127</f>
        <v>113.99999999999999</v>
      </c>
      <c r="I123" s="4">
        <f t="shared" si="64"/>
        <v>0</v>
      </c>
      <c r="J123" s="4">
        <f t="shared" si="64"/>
        <v>0</v>
      </c>
      <c r="K123" s="4">
        <f t="shared" si="64"/>
        <v>0</v>
      </c>
      <c r="L123" s="4">
        <f t="shared" si="64"/>
        <v>100</v>
      </c>
      <c r="M123" s="6">
        <f t="shared" si="64"/>
        <v>0</v>
      </c>
      <c r="N123" s="6">
        <f t="shared" si="64"/>
        <v>0</v>
      </c>
      <c r="O123" s="4">
        <f t="shared" si="64"/>
        <v>0</v>
      </c>
      <c r="P123" s="6">
        <f t="shared" si="64"/>
        <v>0</v>
      </c>
      <c r="Q123" s="4">
        <f t="shared" si="64"/>
        <v>0</v>
      </c>
      <c r="R123" s="6">
        <f t="shared" si="64"/>
        <v>0</v>
      </c>
      <c r="S123" s="4">
        <f t="shared" si="64"/>
        <v>0</v>
      </c>
      <c r="T123" s="6">
        <f t="shared" si="64"/>
        <v>0</v>
      </c>
      <c r="U123" s="4">
        <f t="shared" si="64"/>
        <v>0</v>
      </c>
      <c r="V123" s="6">
        <f t="shared" si="64"/>
        <v>0</v>
      </c>
      <c r="W123" s="4">
        <f t="shared" si="64"/>
        <v>0</v>
      </c>
      <c r="X123" s="4">
        <f t="shared" si="64"/>
        <v>100</v>
      </c>
      <c r="Y123" s="4">
        <f t="shared" si="64"/>
        <v>0</v>
      </c>
      <c r="Z123" s="4">
        <f t="shared" si="64"/>
        <v>75</v>
      </c>
      <c r="AA123" s="4">
        <f t="shared" si="64"/>
        <v>25</v>
      </c>
      <c r="AB123" s="4">
        <f t="shared" si="64"/>
        <v>0</v>
      </c>
      <c r="AC123" s="4">
        <f t="shared" si="64"/>
        <v>0</v>
      </c>
      <c r="AD123" s="4">
        <f t="shared" si="64"/>
        <v>0</v>
      </c>
      <c r="AE123" s="4">
        <f t="shared" si="64"/>
        <v>0</v>
      </c>
      <c r="AF123" s="4"/>
      <c r="AG123" s="1">
        <f>INT(AG122/AI123*(1+$K$2/100))</f>
        <v>74</v>
      </c>
      <c r="AH123" s="4">
        <v>1040</v>
      </c>
      <c r="AI123" s="1">
        <v>16</v>
      </c>
      <c r="AJ123" s="1">
        <f>4*AI123</f>
        <v>64</v>
      </c>
      <c r="AK123" s="1">
        <f>12*AJ123</f>
        <v>768</v>
      </c>
      <c r="AL123" s="3">
        <f>ROUND(AG122/AK123,0)</f>
        <v>1</v>
      </c>
    </row>
    <row r="124" spans="1:38" s="1" customFormat="1" ht="12.75" customHeight="1">
      <c r="A124" s="15"/>
      <c r="E124" s="4"/>
      <c r="F124" s="4"/>
      <c r="G124" s="5"/>
      <c r="H124" s="4"/>
      <c r="I124" s="4"/>
      <c r="J124" s="4"/>
      <c r="K124" s="4"/>
      <c r="L124" s="4"/>
      <c r="M124" s="6"/>
      <c r="N124" s="6"/>
      <c r="O124" s="4"/>
      <c r="P124" s="6"/>
      <c r="Q124" s="4"/>
      <c r="R124" s="6"/>
      <c r="S124" s="4"/>
      <c r="T124" s="6"/>
      <c r="U124" s="4"/>
      <c r="V124" s="6"/>
      <c r="W124" s="4"/>
      <c r="X124" s="4"/>
      <c r="Y124" s="4"/>
      <c r="Z124" s="4"/>
      <c r="AA124" s="4"/>
      <c r="AB124" s="4"/>
      <c r="AC124" s="4"/>
      <c r="AD124" s="4"/>
      <c r="AE124" s="4"/>
      <c r="AF124" s="4"/>
      <c r="AH124" s="4"/>
      <c r="AL124" s="3"/>
    </row>
    <row r="125" spans="1:38" s="1" customFormat="1" ht="12.75" customHeight="1">
      <c r="A125" s="15" t="s">
        <v>245</v>
      </c>
      <c r="B125" s="1" t="s">
        <v>246</v>
      </c>
      <c r="C125" s="4"/>
      <c r="E125" s="4">
        <f>SUM(I125:L125)</f>
        <v>13</v>
      </c>
      <c r="F125" s="4">
        <f>G125*E125</f>
        <v>1.8200000000000003</v>
      </c>
      <c r="G125" s="5">
        <f>Contingency!E125*0.01</f>
        <v>0.14</v>
      </c>
      <c r="H125" s="4">
        <f>SUM(E125:F125)</f>
        <v>14.82</v>
      </c>
      <c r="I125" s="4"/>
      <c r="J125" s="4"/>
      <c r="K125" s="4"/>
      <c r="L125" s="4">
        <v>13</v>
      </c>
      <c r="M125" s="6">
        <f>N125+P125+R125+T125+V125</f>
        <v>0</v>
      </c>
      <c r="N125" s="6"/>
      <c r="O125" s="4"/>
      <c r="P125" s="6"/>
      <c r="Q125" s="4"/>
      <c r="R125" s="6"/>
      <c r="S125" s="4"/>
      <c r="T125" s="6"/>
      <c r="U125" s="4"/>
      <c r="V125" s="6">
        <f>J125/$R$3/1.755</f>
        <v>0</v>
      </c>
      <c r="W125" s="4">
        <f>V125*1760</f>
        <v>0</v>
      </c>
      <c r="X125" s="4">
        <f>SUM(Y125:AC125)</f>
        <v>13</v>
      </c>
      <c r="Y125" s="4">
        <f>E125*0</f>
        <v>0</v>
      </c>
      <c r="Z125" s="4">
        <f>E125*0.75</f>
        <v>9.75</v>
      </c>
      <c r="AA125" s="4">
        <f>E125*0.25</f>
        <v>3.25</v>
      </c>
      <c r="AB125" s="4">
        <f>E125*0</f>
        <v>0</v>
      </c>
      <c r="AC125" s="4"/>
      <c r="AD125" s="4">
        <f>X125-E125</f>
        <v>0</v>
      </c>
      <c r="AE125" s="4"/>
      <c r="AF125" s="4"/>
      <c r="AG125" s="1">
        <f>INT((AI125+AJ125)*(1+$K$2/100))</f>
        <v>26</v>
      </c>
      <c r="AH125" s="4">
        <v>4790</v>
      </c>
      <c r="AI125" s="1">
        <v>20</v>
      </c>
      <c r="AJ125" s="1">
        <v>4</v>
      </c>
      <c r="AL125" s="3">
        <f>ROUND((AI125+AJ125)/20,0)</f>
        <v>1</v>
      </c>
    </row>
    <row r="126" spans="1:38" s="1" customFormat="1" ht="12.75" customHeight="1">
      <c r="A126" s="15" t="s">
        <v>247</v>
      </c>
      <c r="B126" s="1" t="s">
        <v>248</v>
      </c>
      <c r="C126" s="4"/>
      <c r="E126" s="4">
        <f>SUM(I126:L126)</f>
        <v>67</v>
      </c>
      <c r="F126" s="4">
        <f>G126*E126</f>
        <v>9.38</v>
      </c>
      <c r="G126" s="5">
        <f>Contingency!E126*0.01</f>
        <v>0.14</v>
      </c>
      <c r="H126" s="4">
        <f>SUM(E126:F126)</f>
        <v>76.38</v>
      </c>
      <c r="I126" s="4"/>
      <c r="J126" s="4"/>
      <c r="K126" s="4"/>
      <c r="L126" s="4">
        <v>67</v>
      </c>
      <c r="M126" s="6">
        <f>N126+P126+R126+T126+V126</f>
        <v>0</v>
      </c>
      <c r="N126" s="6"/>
      <c r="O126" s="4"/>
      <c r="P126" s="6"/>
      <c r="Q126" s="4"/>
      <c r="R126" s="6"/>
      <c r="S126" s="4"/>
      <c r="T126" s="6"/>
      <c r="U126" s="4"/>
      <c r="V126" s="6">
        <f>J126/$R$3/1.755</f>
        <v>0</v>
      </c>
      <c r="W126" s="4">
        <f>V126*1760</f>
        <v>0</v>
      </c>
      <c r="X126" s="4">
        <f>SUM(Y126:AC126)</f>
        <v>67</v>
      </c>
      <c r="Y126" s="4">
        <f>E126*0</f>
        <v>0</v>
      </c>
      <c r="Z126" s="4">
        <f>E126*0.75</f>
        <v>50.25</v>
      </c>
      <c r="AA126" s="4">
        <f>E126*0.25</f>
        <v>16.75</v>
      </c>
      <c r="AB126" s="4">
        <f>E126*0</f>
        <v>0</v>
      </c>
      <c r="AC126" s="4"/>
      <c r="AD126" s="4">
        <f>X126-E126</f>
        <v>0</v>
      </c>
      <c r="AE126" s="4"/>
      <c r="AF126" s="4"/>
      <c r="AG126" s="1">
        <f>INT((AI126+AJ126)*(1+$K$2/100))</f>
        <v>26</v>
      </c>
      <c r="AH126" s="4">
        <v>4790</v>
      </c>
      <c r="AI126" s="1">
        <v>20</v>
      </c>
      <c r="AJ126" s="1">
        <v>4</v>
      </c>
      <c r="AL126" s="3">
        <f>ROUND((AI126+AJ126)/20,0)</f>
        <v>1</v>
      </c>
    </row>
    <row r="127" spans="1:38" s="1" customFormat="1" ht="12.75" customHeight="1">
      <c r="A127" s="15" t="s">
        <v>249</v>
      </c>
      <c r="B127" s="1" t="s">
        <v>250</v>
      </c>
      <c r="E127" s="4">
        <f>SUM(I127:L127)</f>
        <v>20</v>
      </c>
      <c r="F127" s="4">
        <f>G127*E127</f>
        <v>2.8000000000000003</v>
      </c>
      <c r="G127" s="5">
        <f>Contingency!E127*0.01</f>
        <v>0.14</v>
      </c>
      <c r="H127" s="4">
        <f>SUM(E127:F127)</f>
        <v>22.8</v>
      </c>
      <c r="I127" s="4"/>
      <c r="J127" s="4"/>
      <c r="K127" s="4"/>
      <c r="L127" s="4">
        <v>20</v>
      </c>
      <c r="M127" s="6">
        <f>N127+P127+R127+T127+V127</f>
        <v>0</v>
      </c>
      <c r="N127" s="6"/>
      <c r="O127" s="4"/>
      <c r="P127" s="6"/>
      <c r="Q127" s="4"/>
      <c r="R127" s="6"/>
      <c r="S127" s="4"/>
      <c r="T127" s="6"/>
      <c r="U127" s="4"/>
      <c r="V127" s="6">
        <f>J127/$R$3/1.755</f>
        <v>0</v>
      </c>
      <c r="W127" s="4">
        <f>V127*1760</f>
        <v>0</v>
      </c>
      <c r="X127" s="4">
        <f>SUM(Y127:AC127)</f>
        <v>20</v>
      </c>
      <c r="Y127" s="4">
        <f>E127*0</f>
        <v>0</v>
      </c>
      <c r="Z127" s="4">
        <f>E127*0.75</f>
        <v>15</v>
      </c>
      <c r="AA127" s="4">
        <f>E127*0.25</f>
        <v>5</v>
      </c>
      <c r="AB127" s="4">
        <f>E127*0</f>
        <v>0</v>
      </c>
      <c r="AC127" s="4"/>
      <c r="AD127" s="4">
        <f>X127-E127</f>
        <v>0</v>
      </c>
      <c r="AE127" s="4"/>
      <c r="AF127" s="4"/>
      <c r="AG127" s="1">
        <f>INT((AI127+AJ127)*(1+$K$2/100))</f>
        <v>26</v>
      </c>
      <c r="AH127" s="4">
        <v>4790</v>
      </c>
      <c r="AI127" s="1">
        <v>20</v>
      </c>
      <c r="AJ127" s="1">
        <v>4</v>
      </c>
      <c r="AL127" s="3">
        <f>ROUND((AI127+AJ127)/20,0)</f>
        <v>1</v>
      </c>
    </row>
    <row r="128" spans="1:38" s="1" customFormat="1" ht="12.75" customHeight="1">
      <c r="A128" s="15"/>
      <c r="E128" s="4"/>
      <c r="F128" s="4"/>
      <c r="G128" s="5"/>
      <c r="H128" s="4"/>
      <c r="I128" s="4"/>
      <c r="J128" s="4"/>
      <c r="K128" s="4"/>
      <c r="L128" s="4"/>
      <c r="M128" s="6"/>
      <c r="N128" s="6"/>
      <c r="O128" s="4"/>
      <c r="P128" s="6"/>
      <c r="Q128" s="4"/>
      <c r="R128" s="6"/>
      <c r="S128" s="4"/>
      <c r="T128" s="6"/>
      <c r="U128" s="4"/>
      <c r="V128" s="6"/>
      <c r="W128" s="4"/>
      <c r="X128" s="4"/>
      <c r="Y128" s="4"/>
      <c r="Z128" s="4"/>
      <c r="AA128" s="4"/>
      <c r="AB128" s="4"/>
      <c r="AC128" s="4"/>
      <c r="AD128" s="4"/>
      <c r="AE128" s="4"/>
      <c r="AF128" s="4"/>
      <c r="AH128" s="4"/>
      <c r="AL128" s="3"/>
    </row>
    <row r="129" spans="1:38" s="1" customFormat="1" ht="12.75" customHeight="1">
      <c r="A129" s="15" t="s">
        <v>251</v>
      </c>
      <c r="B129" s="1" t="s">
        <v>252</v>
      </c>
      <c r="E129" s="4">
        <f>E131+E132+E133+E134</f>
        <v>143</v>
      </c>
      <c r="F129" s="4">
        <f>F131+F132+F133+F134</f>
        <v>20.02</v>
      </c>
      <c r="G129" s="5">
        <f>F129/E129</f>
        <v>0.13999999999999999</v>
      </c>
      <c r="H129" s="4">
        <f aca="true" t="shared" si="65" ref="H129:AE129">H131+H132+H133+H134</f>
        <v>163.02</v>
      </c>
      <c r="I129" s="4">
        <f t="shared" si="65"/>
        <v>0</v>
      </c>
      <c r="J129" s="4">
        <f t="shared" si="65"/>
        <v>0</v>
      </c>
      <c r="K129" s="4">
        <f t="shared" si="65"/>
        <v>0</v>
      </c>
      <c r="L129" s="4">
        <f t="shared" si="65"/>
        <v>143</v>
      </c>
      <c r="M129" s="6">
        <f t="shared" si="65"/>
        <v>0</v>
      </c>
      <c r="N129" s="6">
        <f t="shared" si="65"/>
        <v>0</v>
      </c>
      <c r="O129" s="4">
        <f t="shared" si="65"/>
        <v>0</v>
      </c>
      <c r="P129" s="6">
        <f t="shared" si="65"/>
        <v>0</v>
      </c>
      <c r="Q129" s="4">
        <f t="shared" si="65"/>
        <v>0</v>
      </c>
      <c r="R129" s="6">
        <f t="shared" si="65"/>
        <v>0</v>
      </c>
      <c r="S129" s="4">
        <f t="shared" si="65"/>
        <v>0</v>
      </c>
      <c r="T129" s="6">
        <f t="shared" si="65"/>
        <v>0</v>
      </c>
      <c r="U129" s="4">
        <f t="shared" si="65"/>
        <v>0</v>
      </c>
      <c r="V129" s="6">
        <f t="shared" si="65"/>
        <v>0</v>
      </c>
      <c r="W129" s="4">
        <f t="shared" si="65"/>
        <v>0</v>
      </c>
      <c r="X129" s="4">
        <f t="shared" si="65"/>
        <v>143</v>
      </c>
      <c r="Y129" s="4">
        <f t="shared" si="65"/>
        <v>0</v>
      </c>
      <c r="Z129" s="4">
        <f t="shared" si="65"/>
        <v>107.25</v>
      </c>
      <c r="AA129" s="4">
        <f t="shared" si="65"/>
        <v>35.75</v>
      </c>
      <c r="AB129" s="4">
        <f t="shared" si="65"/>
        <v>0</v>
      </c>
      <c r="AC129" s="4">
        <f t="shared" si="65"/>
        <v>0</v>
      </c>
      <c r="AD129" s="4">
        <f t="shared" si="65"/>
        <v>0</v>
      </c>
      <c r="AE129" s="4">
        <f t="shared" si="65"/>
        <v>0</v>
      </c>
      <c r="AF129" s="4"/>
      <c r="AG129" s="1">
        <f>INT((AI129+AJ129)*(1+$K$2/100))</f>
        <v>26</v>
      </c>
      <c r="AH129" s="4">
        <v>4790</v>
      </c>
      <c r="AI129" s="1">
        <v>20</v>
      </c>
      <c r="AJ129" s="1">
        <v>4</v>
      </c>
      <c r="AL129" s="3">
        <f>ROUND((AI129+AJ129)/20,0)</f>
        <v>1</v>
      </c>
    </row>
    <row r="130" spans="5:38" s="1" customFormat="1" ht="12.75" customHeight="1">
      <c r="E130" s="4"/>
      <c r="F130" s="4"/>
      <c r="G130" s="5"/>
      <c r="H130" s="4"/>
      <c r="I130" s="4"/>
      <c r="J130" s="4"/>
      <c r="K130" s="4"/>
      <c r="L130" s="4"/>
      <c r="M130" s="6"/>
      <c r="N130" s="6"/>
      <c r="O130" s="4"/>
      <c r="P130" s="6"/>
      <c r="Q130" s="4"/>
      <c r="R130" s="6"/>
      <c r="S130" s="4"/>
      <c r="T130" s="6"/>
      <c r="U130" s="4"/>
      <c r="V130" s="6"/>
      <c r="W130" s="4"/>
      <c r="X130" s="4"/>
      <c r="Y130" s="4"/>
      <c r="Z130" s="4"/>
      <c r="AA130" s="4"/>
      <c r="AB130" s="4"/>
      <c r="AC130" s="4"/>
      <c r="AD130" s="4"/>
      <c r="AE130" s="4"/>
      <c r="AF130" s="4"/>
      <c r="AH130" s="4"/>
      <c r="AL130" s="3"/>
    </row>
    <row r="131" spans="1:38" s="1" customFormat="1" ht="12.75" customHeight="1">
      <c r="A131" s="15" t="s">
        <v>253</v>
      </c>
      <c r="B131" s="1" t="s">
        <v>254</v>
      </c>
      <c r="E131" s="4">
        <f>SUM(I131:L131)</f>
        <v>78</v>
      </c>
      <c r="F131" s="4">
        <f>G131*E131</f>
        <v>10.920000000000002</v>
      </c>
      <c r="G131" s="5">
        <f>Contingency!E131*0.01</f>
        <v>0.14</v>
      </c>
      <c r="H131" s="4">
        <f>SUM(E131:F131)</f>
        <v>88.92</v>
      </c>
      <c r="I131" s="4"/>
      <c r="J131" s="4"/>
      <c r="K131" s="4"/>
      <c r="L131" s="4">
        <v>78</v>
      </c>
      <c r="M131" s="6">
        <f>N131+P131+R131+T131+V131</f>
        <v>0</v>
      </c>
      <c r="N131" s="6"/>
      <c r="O131" s="4"/>
      <c r="P131" s="6"/>
      <c r="Q131" s="4"/>
      <c r="R131" s="6"/>
      <c r="S131" s="4"/>
      <c r="T131" s="6"/>
      <c r="U131" s="4"/>
      <c r="V131" s="6">
        <f>J131/$R$3/1.755</f>
        <v>0</v>
      </c>
      <c r="W131" s="4">
        <f>V131*1760</f>
        <v>0</v>
      </c>
      <c r="X131" s="4">
        <f>SUM(Y131:AC131)</f>
        <v>78</v>
      </c>
      <c r="Y131" s="4">
        <f>E131*0</f>
        <v>0</v>
      </c>
      <c r="Z131" s="4">
        <f>E131*0.75</f>
        <v>58.5</v>
      </c>
      <c r="AA131" s="4">
        <f>E131*0.25</f>
        <v>19.5</v>
      </c>
      <c r="AB131" s="4">
        <f>E131*0</f>
        <v>0</v>
      </c>
      <c r="AC131" s="4"/>
      <c r="AD131" s="4">
        <f>X131-E131</f>
        <v>0</v>
      </c>
      <c r="AE131" s="4"/>
      <c r="AF131" s="4"/>
      <c r="AG131" s="1">
        <f>INT((AI131+AJ131)*(1+$K$2/100))</f>
        <v>26</v>
      </c>
      <c r="AH131" s="4">
        <v>4790</v>
      </c>
      <c r="AI131" s="1">
        <v>20</v>
      </c>
      <c r="AJ131" s="1">
        <v>4</v>
      </c>
      <c r="AL131" s="3">
        <f>ROUND((AI131+AJ131)/20,0)</f>
        <v>1</v>
      </c>
    </row>
    <row r="132" spans="1:38" s="1" customFormat="1" ht="12.75" customHeight="1">
      <c r="A132" s="15" t="s">
        <v>255</v>
      </c>
      <c r="B132" s="1" t="s">
        <v>256</v>
      </c>
      <c r="E132" s="4">
        <f>SUM(I132:L132)</f>
        <v>28</v>
      </c>
      <c r="F132" s="4">
        <f>G132*E132</f>
        <v>3.9200000000000004</v>
      </c>
      <c r="G132" s="5">
        <f>Contingency!E132*0.01</f>
        <v>0.14</v>
      </c>
      <c r="H132" s="4">
        <f>SUM(E132:F132)</f>
        <v>31.92</v>
      </c>
      <c r="I132" s="4"/>
      <c r="J132" s="4"/>
      <c r="K132" s="4"/>
      <c r="L132" s="4">
        <v>28</v>
      </c>
      <c r="M132" s="6">
        <f>N132+P132+R132+T132+V132</f>
        <v>0</v>
      </c>
      <c r="N132" s="6"/>
      <c r="O132" s="4"/>
      <c r="P132" s="6"/>
      <c r="Q132" s="4"/>
      <c r="R132" s="6"/>
      <c r="S132" s="4"/>
      <c r="T132" s="6"/>
      <c r="U132" s="4"/>
      <c r="V132" s="6">
        <f>J132/$R$3/1.755</f>
        <v>0</v>
      </c>
      <c r="W132" s="4">
        <f>V132*1760</f>
        <v>0</v>
      </c>
      <c r="X132" s="4">
        <f>SUM(Y132:AC132)</f>
        <v>28</v>
      </c>
      <c r="Y132" s="4">
        <f>E132*0</f>
        <v>0</v>
      </c>
      <c r="Z132" s="4">
        <f>E132*0.75</f>
        <v>21</v>
      </c>
      <c r="AA132" s="4">
        <f>E132*0.25</f>
        <v>7</v>
      </c>
      <c r="AB132" s="4">
        <f>E132*0</f>
        <v>0</v>
      </c>
      <c r="AC132" s="4"/>
      <c r="AD132" s="4">
        <f>X132-E132</f>
        <v>0</v>
      </c>
      <c r="AE132" s="4"/>
      <c r="AF132" s="4"/>
      <c r="AG132" s="1">
        <f>INT((AI132+AJ132)*(1+$K$2/100))</f>
        <v>26</v>
      </c>
      <c r="AH132" s="4">
        <v>4790</v>
      </c>
      <c r="AI132" s="1">
        <v>20</v>
      </c>
      <c r="AJ132" s="1">
        <v>4</v>
      </c>
      <c r="AL132" s="3">
        <f>ROUND((AI132+AJ132)/20,0)</f>
        <v>1</v>
      </c>
    </row>
    <row r="133" spans="1:38" s="1" customFormat="1" ht="12.75" customHeight="1">
      <c r="A133" s="15" t="s">
        <v>257</v>
      </c>
      <c r="B133" s="1" t="s">
        <v>258</v>
      </c>
      <c r="C133" s="4"/>
      <c r="E133" s="4">
        <f>SUM(I133:L133)</f>
        <v>27</v>
      </c>
      <c r="F133" s="4">
        <f>G133*E133</f>
        <v>3.7800000000000002</v>
      </c>
      <c r="G133" s="5">
        <f>Contingency!E133*0.01</f>
        <v>0.14</v>
      </c>
      <c r="H133" s="4">
        <f>SUM(E133:F133)</f>
        <v>30.78</v>
      </c>
      <c r="I133" s="4"/>
      <c r="J133" s="4"/>
      <c r="K133" s="4"/>
      <c r="L133" s="4">
        <v>27</v>
      </c>
      <c r="M133" s="6">
        <f>N133+P133+R133+T133+V133</f>
        <v>0</v>
      </c>
      <c r="N133" s="6"/>
      <c r="O133" s="4"/>
      <c r="P133" s="6"/>
      <c r="Q133" s="4"/>
      <c r="R133" s="6"/>
      <c r="S133" s="4"/>
      <c r="T133" s="6"/>
      <c r="U133" s="4"/>
      <c r="V133" s="6">
        <f>J133/$R$3/1.755</f>
        <v>0</v>
      </c>
      <c r="W133" s="4">
        <f>V133*1760</f>
        <v>0</v>
      </c>
      <c r="X133" s="4">
        <f>SUM(Y133:AC133)</f>
        <v>27</v>
      </c>
      <c r="Y133" s="4">
        <f>E133*0</f>
        <v>0</v>
      </c>
      <c r="Z133" s="4">
        <f>E133*0.75</f>
        <v>20.25</v>
      </c>
      <c r="AA133" s="4">
        <f>E133*0.25</f>
        <v>6.75</v>
      </c>
      <c r="AB133" s="4">
        <f>E133*0</f>
        <v>0</v>
      </c>
      <c r="AC133" s="4"/>
      <c r="AD133" s="4">
        <f>X133-E133</f>
        <v>0</v>
      </c>
      <c r="AE133" s="4"/>
      <c r="AF133" s="4"/>
      <c r="AG133" s="4">
        <f>INT((AI133+AJ133)*(1+$K$2/100))</f>
        <v>26</v>
      </c>
      <c r="AH133" s="4">
        <v>4790</v>
      </c>
      <c r="AI133" s="1">
        <v>20</v>
      </c>
      <c r="AJ133" s="1">
        <v>4</v>
      </c>
      <c r="AL133" s="3">
        <f>ROUND((AI133+AJ133)/20,0)</f>
        <v>1</v>
      </c>
    </row>
    <row r="134" spans="1:38" s="1" customFormat="1" ht="12.75" customHeight="1">
      <c r="A134" s="1" t="s">
        <v>259</v>
      </c>
      <c r="B134" s="1" t="s">
        <v>260</v>
      </c>
      <c r="E134" s="4">
        <f>SUM(I134:L134)</f>
        <v>10</v>
      </c>
      <c r="F134" s="4">
        <f>G134*E134</f>
        <v>1.4000000000000001</v>
      </c>
      <c r="G134" s="5">
        <f>Contingency!E134*0.01</f>
        <v>0.14</v>
      </c>
      <c r="H134" s="4">
        <f>SUM(E134:F134)</f>
        <v>11.4</v>
      </c>
      <c r="I134" s="4"/>
      <c r="J134" s="4"/>
      <c r="K134" s="4"/>
      <c r="L134" s="4">
        <v>10</v>
      </c>
      <c r="M134" s="6">
        <f>N134+P134+R134+T134+V134</f>
        <v>0</v>
      </c>
      <c r="N134" s="6"/>
      <c r="O134" s="4"/>
      <c r="P134" s="6"/>
      <c r="Q134" s="4"/>
      <c r="R134" s="6"/>
      <c r="S134" s="4"/>
      <c r="T134" s="6"/>
      <c r="U134" s="4"/>
      <c r="V134" s="6">
        <f>J134/$R$3/1.755</f>
        <v>0</v>
      </c>
      <c r="W134" s="4">
        <f>V134*1760</f>
        <v>0</v>
      </c>
      <c r="X134" s="4">
        <f>SUM(Y134:AC134)</f>
        <v>10</v>
      </c>
      <c r="Y134" s="4">
        <f>E134*0</f>
        <v>0</v>
      </c>
      <c r="Z134" s="4">
        <f>E134*0.75</f>
        <v>7.5</v>
      </c>
      <c r="AA134" s="4">
        <f>E134*0.25</f>
        <v>2.5</v>
      </c>
      <c r="AB134" s="4">
        <f>E134*0</f>
        <v>0</v>
      </c>
      <c r="AC134" s="4"/>
      <c r="AD134" s="4">
        <f>X134-E134</f>
        <v>0</v>
      </c>
      <c r="AE134" s="4"/>
      <c r="AF134" s="4"/>
      <c r="AG134" s="1">
        <f>INT((AI134+AJ134)*(1+$K$2/100))</f>
        <v>26</v>
      </c>
      <c r="AH134" s="4">
        <v>4790</v>
      </c>
      <c r="AI134" s="1">
        <v>20</v>
      </c>
      <c r="AJ134" s="1">
        <v>4</v>
      </c>
      <c r="AL134" s="3">
        <f>ROUND((AI134+AJ134)/20,0)</f>
        <v>1</v>
      </c>
    </row>
    <row r="135" spans="5:38" s="1" customFormat="1" ht="12.75" customHeight="1">
      <c r="E135" s="4"/>
      <c r="F135" s="4"/>
      <c r="G135" s="5"/>
      <c r="H135" s="4"/>
      <c r="I135" s="4"/>
      <c r="J135" s="4"/>
      <c r="K135" s="4"/>
      <c r="L135" s="4"/>
      <c r="M135" s="6"/>
      <c r="N135" s="6"/>
      <c r="O135" s="4"/>
      <c r="P135" s="6"/>
      <c r="Q135" s="4"/>
      <c r="R135" s="6"/>
      <c r="S135" s="4"/>
      <c r="T135" s="6"/>
      <c r="U135" s="4"/>
      <c r="V135" s="6"/>
      <c r="W135" s="4"/>
      <c r="X135" s="4"/>
      <c r="Y135" s="4"/>
      <c r="Z135" s="4"/>
      <c r="AA135" s="4"/>
      <c r="AB135" s="4"/>
      <c r="AC135" s="4"/>
      <c r="AD135" s="4"/>
      <c r="AE135" s="4"/>
      <c r="AF135" s="4"/>
      <c r="AH135" s="4"/>
      <c r="AL135" s="3"/>
    </row>
    <row r="136" spans="1:38" s="1" customFormat="1" ht="12.75" customHeight="1">
      <c r="A136" s="15" t="s">
        <v>261</v>
      </c>
      <c r="B136" s="1" t="s">
        <v>262</v>
      </c>
      <c r="E136" s="4">
        <f>SUM(E138:E140)</f>
        <v>92</v>
      </c>
      <c r="F136" s="4">
        <f>SUM(F138:F140)</f>
        <v>12.880000000000003</v>
      </c>
      <c r="G136" s="5">
        <f>F136/E136</f>
        <v>0.14000000000000004</v>
      </c>
      <c r="H136" s="4">
        <f aca="true" t="shared" si="66" ref="H136:U136">SUM(H138:H140)</f>
        <v>104.88</v>
      </c>
      <c r="I136" s="4">
        <f t="shared" si="66"/>
        <v>10</v>
      </c>
      <c r="J136" s="4">
        <f t="shared" si="66"/>
        <v>55</v>
      </c>
      <c r="K136" s="4">
        <f t="shared" si="66"/>
        <v>0</v>
      </c>
      <c r="L136" s="4">
        <f t="shared" si="66"/>
        <v>27</v>
      </c>
      <c r="M136" s="6">
        <f t="shared" si="66"/>
        <v>1.804368471035138</v>
      </c>
      <c r="N136" s="6">
        <f t="shared" si="66"/>
        <v>0</v>
      </c>
      <c r="O136" s="4">
        <f t="shared" si="66"/>
        <v>0</v>
      </c>
      <c r="P136" s="6">
        <f t="shared" si="66"/>
        <v>0.23741690408357077</v>
      </c>
      <c r="Q136" s="4">
        <f t="shared" si="66"/>
        <v>417.8537511870846</v>
      </c>
      <c r="R136" s="6">
        <f t="shared" si="66"/>
        <v>0</v>
      </c>
      <c r="S136" s="4">
        <f t="shared" si="66"/>
        <v>0</v>
      </c>
      <c r="T136" s="6">
        <f t="shared" si="66"/>
        <v>0</v>
      </c>
      <c r="U136" s="4">
        <f t="shared" si="66"/>
        <v>0</v>
      </c>
      <c r="V136" s="6">
        <f>SUM(V138:V140)-0.01</f>
        <v>1.5569515669515672</v>
      </c>
      <c r="W136" s="4">
        <f aca="true" t="shared" si="67" ref="W136:AC136">SUM(W138:W140)</f>
        <v>2757.8347578347584</v>
      </c>
      <c r="X136" s="4">
        <f t="shared" si="67"/>
        <v>92</v>
      </c>
      <c r="Y136" s="4">
        <f t="shared" si="67"/>
        <v>0</v>
      </c>
      <c r="Z136" s="4">
        <f t="shared" si="67"/>
        <v>14</v>
      </c>
      <c r="AA136" s="4">
        <f t="shared" si="67"/>
        <v>60</v>
      </c>
      <c r="AB136" s="4">
        <f t="shared" si="67"/>
        <v>18</v>
      </c>
      <c r="AC136" s="4">
        <f t="shared" si="67"/>
        <v>0</v>
      </c>
      <c r="AD136" s="4"/>
      <c r="AE136" s="4"/>
      <c r="AF136" s="4"/>
      <c r="AH136" s="4"/>
      <c r="AI136" s="1" t="s">
        <v>263</v>
      </c>
      <c r="AJ136" s="1" t="s">
        <v>264</v>
      </c>
      <c r="AL136" s="3" t="s">
        <v>265</v>
      </c>
    </row>
    <row r="137" spans="5:38" s="1" customFormat="1" ht="12.75" customHeight="1">
      <c r="E137" s="4"/>
      <c r="F137" s="4"/>
      <c r="G137" s="5"/>
      <c r="H137" s="4"/>
      <c r="I137" s="4"/>
      <c r="J137" s="4"/>
      <c r="K137" s="4"/>
      <c r="L137" s="4"/>
      <c r="M137" s="6"/>
      <c r="N137" s="6"/>
      <c r="O137" s="4"/>
      <c r="P137" s="6"/>
      <c r="Q137" s="4"/>
      <c r="R137" s="6"/>
      <c r="S137" s="4"/>
      <c r="T137" s="6"/>
      <c r="U137" s="4"/>
      <c r="V137" s="6"/>
      <c r="W137" s="4"/>
      <c r="X137" s="4"/>
      <c r="Y137" s="4"/>
      <c r="Z137" s="4"/>
      <c r="AA137" s="4"/>
      <c r="AB137" s="4"/>
      <c r="AC137" s="4"/>
      <c r="AD137" s="4"/>
      <c r="AE137" s="4"/>
      <c r="AF137" s="4"/>
      <c r="AH137" s="4"/>
      <c r="AL137" s="3"/>
    </row>
    <row r="138" spans="1:38" s="1" customFormat="1" ht="12.75" customHeight="1">
      <c r="A138" s="1" t="s">
        <v>266</v>
      </c>
      <c r="B138" s="1" t="s">
        <v>267</v>
      </c>
      <c r="E138" s="4">
        <f>SUM(I138:L138)</f>
        <v>10</v>
      </c>
      <c r="F138" s="4">
        <f>G138*E138</f>
        <v>1.4000000000000001</v>
      </c>
      <c r="G138" s="5">
        <f>Contingency!E138*0.01</f>
        <v>0.14</v>
      </c>
      <c r="H138" s="4">
        <f>SUM(E138:F138)</f>
        <v>11.4</v>
      </c>
      <c r="I138" s="4">
        <v>10</v>
      </c>
      <c r="J138" s="4"/>
      <c r="K138" s="4"/>
      <c r="L138" s="4"/>
      <c r="M138" s="6">
        <f>N138+P138+R138+T138+V138</f>
        <v>0.23741690408357077</v>
      </c>
      <c r="N138" s="6"/>
      <c r="O138" s="4"/>
      <c r="P138" s="6">
        <f>I138/$N$3/1.755</f>
        <v>0.23741690408357077</v>
      </c>
      <c r="Q138" s="4">
        <f>P138*1760</f>
        <v>417.8537511870846</v>
      </c>
      <c r="R138" s="6"/>
      <c r="S138" s="4"/>
      <c r="T138" s="6"/>
      <c r="U138" s="4"/>
      <c r="V138" s="6"/>
      <c r="W138" s="4"/>
      <c r="X138" s="4">
        <f>SUM(Y138:AC138)</f>
        <v>10</v>
      </c>
      <c r="Y138" s="4">
        <f>E138*0</f>
        <v>0</v>
      </c>
      <c r="Z138" s="4">
        <f>E138*1</f>
        <v>10</v>
      </c>
      <c r="AA138" s="4">
        <f>E138*0</f>
        <v>0</v>
      </c>
      <c r="AB138" s="4">
        <f>E138*0</f>
        <v>0</v>
      </c>
      <c r="AC138" s="4"/>
      <c r="AD138" s="4">
        <f>X138-E138</f>
        <v>0</v>
      </c>
      <c r="AE138" s="4"/>
      <c r="AF138" s="4"/>
      <c r="AG138" s="1">
        <f>INT(AG122/AI138*(1+$K$2/100))</f>
        <v>18</v>
      </c>
      <c r="AH138" s="4">
        <v>1085</v>
      </c>
      <c r="AI138" s="1">
        <v>64</v>
      </c>
      <c r="AJ138" s="1">
        <v>8</v>
      </c>
      <c r="AL138" s="3">
        <f>ROUND(AG122/AI138/AJ138,0)</f>
        <v>2</v>
      </c>
    </row>
    <row r="139" spans="1:38" s="1" customFormat="1" ht="12.75" customHeight="1">
      <c r="A139" s="15" t="s">
        <v>268</v>
      </c>
      <c r="B139" s="1" t="s">
        <v>269</v>
      </c>
      <c r="E139" s="4">
        <f>SUM(I139:L139)</f>
        <v>10</v>
      </c>
      <c r="F139" s="4">
        <f>G139*E139</f>
        <v>1.4000000000000001</v>
      </c>
      <c r="G139" s="5">
        <f>Contingency!E139*0.01</f>
        <v>0.14</v>
      </c>
      <c r="H139" s="4">
        <f>SUM(E139:F139)</f>
        <v>11.4</v>
      </c>
      <c r="I139" s="4"/>
      <c r="J139" s="4">
        <v>5</v>
      </c>
      <c r="K139" s="4"/>
      <c r="L139" s="4">
        <v>5</v>
      </c>
      <c r="M139" s="6">
        <f>N139+P139+R139+T139+V139</f>
        <v>0.14245014245014245</v>
      </c>
      <c r="N139" s="6"/>
      <c r="O139" s="4"/>
      <c r="P139" s="6"/>
      <c r="Q139" s="4"/>
      <c r="R139" s="6"/>
      <c r="S139" s="4"/>
      <c r="T139" s="6"/>
      <c r="U139" s="4"/>
      <c r="V139" s="6">
        <f>J139/$P$3/1.755</f>
        <v>0.14245014245014245</v>
      </c>
      <c r="W139" s="4">
        <f>V139*1760</f>
        <v>250.71225071225072</v>
      </c>
      <c r="X139" s="4">
        <f>SUM(Y139:AC139)</f>
        <v>10</v>
      </c>
      <c r="Y139" s="4">
        <f>E139*0</f>
        <v>0</v>
      </c>
      <c r="Z139" s="4">
        <f>E139*0.4</f>
        <v>4</v>
      </c>
      <c r="AA139" s="4">
        <f>E139*0.6</f>
        <v>6</v>
      </c>
      <c r="AB139" s="4">
        <f>E139*0</f>
        <v>0</v>
      </c>
      <c r="AC139" s="4"/>
      <c r="AD139" s="4">
        <f>X139-E139</f>
        <v>0</v>
      </c>
      <c r="AE139" s="4"/>
      <c r="AF139" s="4"/>
      <c r="AH139" s="4"/>
      <c r="AL139" s="3"/>
    </row>
    <row r="140" spans="1:38" s="1" customFormat="1" ht="12.75" customHeight="1">
      <c r="A140" s="1" t="s">
        <v>270</v>
      </c>
      <c r="B140" s="1" t="s">
        <v>271</v>
      </c>
      <c r="E140" s="4">
        <f>SUM(I140:L140)</f>
        <v>72</v>
      </c>
      <c r="F140" s="4">
        <f>G140*E140</f>
        <v>10.080000000000002</v>
      </c>
      <c r="G140" s="5">
        <f>Contingency!E140*0.01</f>
        <v>0.14</v>
      </c>
      <c r="H140" s="4">
        <f>SUM(E140:F140)</f>
        <v>82.08</v>
      </c>
      <c r="I140" s="4"/>
      <c r="J140" s="4">
        <v>50</v>
      </c>
      <c r="K140" s="4"/>
      <c r="L140" s="4">
        <v>22</v>
      </c>
      <c r="M140" s="6">
        <f>N140+P140+R140+T140+V140</f>
        <v>1.4245014245014247</v>
      </c>
      <c r="N140" s="6"/>
      <c r="O140" s="4"/>
      <c r="P140" s="6"/>
      <c r="Q140" s="4"/>
      <c r="R140" s="6"/>
      <c r="S140" s="4"/>
      <c r="T140" s="6"/>
      <c r="U140" s="4"/>
      <c r="V140" s="6">
        <f>J140/$P$3/1.755</f>
        <v>1.4245014245014247</v>
      </c>
      <c r="W140" s="4">
        <f>V140*1760</f>
        <v>2507.1225071225076</v>
      </c>
      <c r="X140" s="4">
        <f>SUM(Y140:AC140)</f>
        <v>72</v>
      </c>
      <c r="Y140" s="4">
        <f>E140*0</f>
        <v>0</v>
      </c>
      <c r="Z140" s="4">
        <f>E140*0</f>
        <v>0</v>
      </c>
      <c r="AA140" s="4">
        <f>E140*0.75</f>
        <v>54</v>
      </c>
      <c r="AB140" s="4">
        <f>E140*0.25</f>
        <v>18</v>
      </c>
      <c r="AC140" s="4"/>
      <c r="AD140" s="4">
        <f>X140-E140</f>
        <v>0</v>
      </c>
      <c r="AE140" s="4"/>
      <c r="AF140" s="4"/>
      <c r="AH140" s="4"/>
      <c r="AL140" s="3"/>
    </row>
    <row r="141" spans="1:38" s="1" customFormat="1" ht="12.75" customHeight="1">
      <c r="A141" s="15"/>
      <c r="E141" s="4"/>
      <c r="F141" s="4"/>
      <c r="G141" s="5"/>
      <c r="H141" s="4"/>
      <c r="I141" s="4"/>
      <c r="J141" s="4"/>
      <c r="K141" s="4"/>
      <c r="L141" s="4"/>
      <c r="M141" s="6"/>
      <c r="N141" s="6"/>
      <c r="O141" s="4"/>
      <c r="P141" s="6"/>
      <c r="Q141" s="4"/>
      <c r="R141" s="6"/>
      <c r="S141" s="4"/>
      <c r="T141" s="6"/>
      <c r="U141" s="4"/>
      <c r="V141" s="6"/>
      <c r="W141" s="4"/>
      <c r="X141" s="4"/>
      <c r="Y141" s="4"/>
      <c r="Z141" s="4"/>
      <c r="AA141" s="4"/>
      <c r="AB141" s="4"/>
      <c r="AC141" s="4"/>
      <c r="AD141" s="4"/>
      <c r="AE141" s="4"/>
      <c r="AF141" s="4"/>
      <c r="AH141" s="4"/>
      <c r="AL141" s="3"/>
    </row>
    <row r="142" spans="1:38" s="1" customFormat="1" ht="12.75" customHeight="1">
      <c r="A142" s="15" t="s">
        <v>272</v>
      </c>
      <c r="B142" s="1" t="s">
        <v>273</v>
      </c>
      <c r="E142" s="4">
        <f>E144+E147+E150</f>
        <v>402.75</v>
      </c>
      <c r="F142" s="4">
        <f>F144+F147+F150</f>
        <v>56.38500000000001</v>
      </c>
      <c r="G142" s="5">
        <f>F142/E142</f>
        <v>0.14000000000000004</v>
      </c>
      <c r="H142" s="4">
        <f aca="true" t="shared" si="68" ref="H142:AE142">H144+H147+H150</f>
        <v>459.135</v>
      </c>
      <c r="I142" s="4">
        <f t="shared" si="68"/>
        <v>0</v>
      </c>
      <c r="J142" s="4">
        <f t="shared" si="68"/>
        <v>19</v>
      </c>
      <c r="K142" s="4">
        <f t="shared" si="68"/>
        <v>0</v>
      </c>
      <c r="L142" s="4">
        <f t="shared" si="68"/>
        <v>383.75</v>
      </c>
      <c r="M142" s="6">
        <f t="shared" si="68"/>
        <v>0.5413105413105413</v>
      </c>
      <c r="N142" s="6">
        <f t="shared" si="68"/>
        <v>0</v>
      </c>
      <c r="O142" s="4">
        <f t="shared" si="68"/>
        <v>0</v>
      </c>
      <c r="P142" s="6">
        <f t="shared" si="68"/>
        <v>0</v>
      </c>
      <c r="Q142" s="4">
        <f t="shared" si="68"/>
        <v>0</v>
      </c>
      <c r="R142" s="6">
        <f t="shared" si="68"/>
        <v>0</v>
      </c>
      <c r="S142" s="4">
        <f t="shared" si="68"/>
        <v>0</v>
      </c>
      <c r="T142" s="6">
        <f t="shared" si="68"/>
        <v>0</v>
      </c>
      <c r="U142" s="4">
        <f t="shared" si="68"/>
        <v>0</v>
      </c>
      <c r="V142" s="6">
        <f t="shared" si="68"/>
        <v>0.5413105413105413</v>
      </c>
      <c r="W142" s="4">
        <f t="shared" si="68"/>
        <v>952.7065527065529</v>
      </c>
      <c r="X142" s="4">
        <f t="shared" si="68"/>
        <v>402.75</v>
      </c>
      <c r="Y142" s="4">
        <f t="shared" si="68"/>
        <v>0</v>
      </c>
      <c r="Z142" s="4">
        <f t="shared" si="68"/>
        <v>117.5625</v>
      </c>
      <c r="AA142" s="4">
        <f t="shared" si="68"/>
        <v>211.125</v>
      </c>
      <c r="AB142" s="4">
        <f t="shared" si="68"/>
        <v>74.0625</v>
      </c>
      <c r="AC142" s="4">
        <f t="shared" si="68"/>
        <v>0</v>
      </c>
      <c r="AD142" s="4">
        <f t="shared" si="68"/>
        <v>0</v>
      </c>
      <c r="AE142" s="4">
        <f t="shared" si="68"/>
        <v>0</v>
      </c>
      <c r="AF142" s="4"/>
      <c r="AH142" s="4"/>
      <c r="AL142" s="3"/>
    </row>
    <row r="143" spans="1:38" s="1" customFormat="1" ht="12.75" customHeight="1">
      <c r="A143" s="15"/>
      <c r="E143" s="4"/>
      <c r="F143" s="4"/>
      <c r="G143" s="5"/>
      <c r="H143" s="4"/>
      <c r="I143" s="4"/>
      <c r="J143" s="4"/>
      <c r="K143" s="4"/>
      <c r="L143" s="4"/>
      <c r="M143" s="6"/>
      <c r="N143" s="6"/>
      <c r="O143" s="4"/>
      <c r="P143" s="6"/>
      <c r="Q143" s="4"/>
      <c r="R143" s="6"/>
      <c r="S143" s="4"/>
      <c r="T143" s="6"/>
      <c r="U143" s="4"/>
      <c r="V143" s="6"/>
      <c r="W143" s="4"/>
      <c r="X143" s="4"/>
      <c r="Y143" s="4"/>
      <c r="Z143" s="4"/>
      <c r="AA143" s="4"/>
      <c r="AB143" s="4"/>
      <c r="AC143" s="4"/>
      <c r="AD143" s="4"/>
      <c r="AE143" s="4"/>
      <c r="AF143" s="4"/>
      <c r="AH143" s="4"/>
      <c r="AL143" s="3"/>
    </row>
    <row r="144" spans="1:35" s="1" customFormat="1" ht="12.75" customHeight="1">
      <c r="A144" s="15" t="s">
        <v>274</v>
      </c>
      <c r="B144" s="1" t="s">
        <v>275</v>
      </c>
      <c r="E144" s="4">
        <f>SUM(E145:E146)</f>
        <v>261</v>
      </c>
      <c r="F144" s="4">
        <f>SUM(F145:F146)</f>
        <v>36.540000000000006</v>
      </c>
      <c r="G144" s="5">
        <f>F144/E144</f>
        <v>0.14</v>
      </c>
      <c r="H144" s="4">
        <f aca="true" t="shared" si="69" ref="H144:AC144">SUM(H145:H146)</f>
        <v>297.54</v>
      </c>
      <c r="I144" s="4">
        <f t="shared" si="69"/>
        <v>0</v>
      </c>
      <c r="J144" s="4">
        <f t="shared" si="69"/>
        <v>16</v>
      </c>
      <c r="K144" s="4">
        <f t="shared" si="69"/>
        <v>0</v>
      </c>
      <c r="L144" s="4">
        <f t="shared" si="69"/>
        <v>245</v>
      </c>
      <c r="M144" s="6">
        <f t="shared" si="69"/>
        <v>0.4558404558404559</v>
      </c>
      <c r="N144" s="6">
        <f t="shared" si="69"/>
        <v>0</v>
      </c>
      <c r="O144" s="4">
        <f t="shared" si="69"/>
        <v>0</v>
      </c>
      <c r="P144" s="6">
        <f t="shared" si="69"/>
        <v>0</v>
      </c>
      <c r="Q144" s="4">
        <f t="shared" si="69"/>
        <v>0</v>
      </c>
      <c r="R144" s="6">
        <f t="shared" si="69"/>
        <v>0</v>
      </c>
      <c r="S144" s="4">
        <f t="shared" si="69"/>
        <v>0</v>
      </c>
      <c r="T144" s="6">
        <f t="shared" si="69"/>
        <v>0</v>
      </c>
      <c r="U144" s="4">
        <f t="shared" si="69"/>
        <v>0</v>
      </c>
      <c r="V144" s="6">
        <f t="shared" si="69"/>
        <v>0.4558404558404559</v>
      </c>
      <c r="W144" s="4">
        <f t="shared" si="69"/>
        <v>802.2792022792024</v>
      </c>
      <c r="X144" s="4">
        <f t="shared" si="69"/>
        <v>261</v>
      </c>
      <c r="Y144" s="4">
        <f t="shared" si="69"/>
        <v>0</v>
      </c>
      <c r="Z144" s="4">
        <f t="shared" si="69"/>
        <v>65.25</v>
      </c>
      <c r="AA144" s="4">
        <f t="shared" si="69"/>
        <v>130.5</v>
      </c>
      <c r="AB144" s="4">
        <f t="shared" si="69"/>
        <v>65.25</v>
      </c>
      <c r="AC144" s="4">
        <f t="shared" si="69"/>
        <v>0</v>
      </c>
      <c r="AD144" s="4"/>
      <c r="AE144" s="4"/>
      <c r="AF144" s="4"/>
      <c r="AG144" s="1">
        <f>AG122</f>
        <v>1080</v>
      </c>
      <c r="AH144" s="1">
        <v>290</v>
      </c>
      <c r="AI144" s="4" t="s">
        <v>276</v>
      </c>
    </row>
    <row r="145" spans="1:35" s="1" customFormat="1" ht="12.75" customHeight="1">
      <c r="A145" s="15" t="s">
        <v>277</v>
      </c>
      <c r="B145" s="1" t="s">
        <v>278</v>
      </c>
      <c r="E145" s="4">
        <f>SUM(I145:L145)</f>
        <v>245</v>
      </c>
      <c r="F145" s="4">
        <f>G145*E145</f>
        <v>34.300000000000004</v>
      </c>
      <c r="G145" s="5">
        <f>Contingency!E145*0.01</f>
        <v>0.14</v>
      </c>
      <c r="H145" s="4">
        <f>SUM(E145:F145)</f>
        <v>279.3</v>
      </c>
      <c r="I145" s="4"/>
      <c r="J145" s="4"/>
      <c r="K145" s="4"/>
      <c r="L145" s="4">
        <v>245</v>
      </c>
      <c r="M145" s="6">
        <f>N145+P145+R145+T145+V145</f>
        <v>0</v>
      </c>
      <c r="N145" s="6"/>
      <c r="O145" s="4"/>
      <c r="P145" s="6"/>
      <c r="Q145" s="4"/>
      <c r="R145" s="6"/>
      <c r="S145" s="4"/>
      <c r="T145" s="6"/>
      <c r="U145" s="4"/>
      <c r="V145" s="6"/>
      <c r="W145" s="4"/>
      <c r="X145" s="4">
        <f>SUM(Y145:AC145)</f>
        <v>245</v>
      </c>
      <c r="Y145" s="4">
        <f>E145*0</f>
        <v>0</v>
      </c>
      <c r="Z145" s="4">
        <f>E145*0.25</f>
        <v>61.25</v>
      </c>
      <c r="AA145" s="4">
        <f>E145*0.5</f>
        <v>122.5</v>
      </c>
      <c r="AB145" s="4">
        <f>E145*0.25</f>
        <v>61.25</v>
      </c>
      <c r="AC145" s="4"/>
      <c r="AD145" s="4">
        <f>X145-E145</f>
        <v>0</v>
      </c>
      <c r="AE145" s="4"/>
      <c r="AF145" s="4"/>
      <c r="AG145" s="1">
        <f>INT(AG144/AI145*(1+$K$2/100))</f>
        <v>99</v>
      </c>
      <c r="AH145" s="1">
        <v>1900</v>
      </c>
      <c r="AI145" s="4">
        <v>12</v>
      </c>
    </row>
    <row r="146" spans="1:38" s="1" customFormat="1" ht="12.75" customHeight="1">
      <c r="A146" s="15" t="s">
        <v>279</v>
      </c>
      <c r="B146" s="1" t="s">
        <v>280</v>
      </c>
      <c r="E146" s="4">
        <f>SUM(I146:L146)</f>
        <v>16</v>
      </c>
      <c r="F146" s="4">
        <f>G146*E146</f>
        <v>2.24</v>
      </c>
      <c r="G146" s="5">
        <f>Contingency!E146*0.01</f>
        <v>0.14</v>
      </c>
      <c r="H146" s="4">
        <f>SUM(E146:F146)</f>
        <v>18.240000000000002</v>
      </c>
      <c r="I146" s="4"/>
      <c r="J146" s="4">
        <v>16</v>
      </c>
      <c r="K146" s="4"/>
      <c r="L146" s="4"/>
      <c r="M146" s="6">
        <f>N146+P146+R146+T146+V146</f>
        <v>0.4558404558404559</v>
      </c>
      <c r="N146" s="6"/>
      <c r="O146" s="4"/>
      <c r="P146" s="6"/>
      <c r="Q146" s="4"/>
      <c r="R146" s="6"/>
      <c r="S146" s="4"/>
      <c r="T146" s="6"/>
      <c r="U146" s="4"/>
      <c r="V146" s="6">
        <f>J146/$P$3/1.755</f>
        <v>0.4558404558404559</v>
      </c>
      <c r="W146" s="4">
        <f>V146*1760</f>
        <v>802.2792022792024</v>
      </c>
      <c r="X146" s="4">
        <f>SUM(Y146:AC146)</f>
        <v>16</v>
      </c>
      <c r="Y146" s="4">
        <f>E146*0</f>
        <v>0</v>
      </c>
      <c r="Z146" s="4">
        <f>E146*0.25</f>
        <v>4</v>
      </c>
      <c r="AA146" s="4">
        <f>E146*0.5</f>
        <v>8</v>
      </c>
      <c r="AB146" s="4">
        <f>E146*0.25</f>
        <v>4</v>
      </c>
      <c r="AC146" s="4"/>
      <c r="AD146" s="4">
        <f>X146-E146</f>
        <v>0</v>
      </c>
      <c r="AE146" s="4"/>
      <c r="AF146" s="4"/>
      <c r="AH146" s="4"/>
      <c r="AL146" s="3"/>
    </row>
    <row r="147" spans="1:35" s="1" customFormat="1" ht="12.75" customHeight="1">
      <c r="A147" s="15" t="s">
        <v>281</v>
      </c>
      <c r="B147" s="1" t="s">
        <v>282</v>
      </c>
      <c r="E147" s="4">
        <f>SUM(E148:E149)</f>
        <v>51.75</v>
      </c>
      <c r="F147" s="4">
        <f>SUM(F148:F149)</f>
        <v>7.245000000000001</v>
      </c>
      <c r="G147" s="5">
        <f>F147/E147</f>
        <v>0.14</v>
      </c>
      <c r="H147" s="4">
        <f aca="true" t="shared" si="70" ref="H147:AC147">SUM(H148:H149)</f>
        <v>58.995000000000005</v>
      </c>
      <c r="I147" s="4">
        <f t="shared" si="70"/>
        <v>0</v>
      </c>
      <c r="J147" s="4">
        <f t="shared" si="70"/>
        <v>3</v>
      </c>
      <c r="K147" s="4">
        <f t="shared" si="70"/>
        <v>0</v>
      </c>
      <c r="L147" s="4">
        <f t="shared" si="70"/>
        <v>48.75</v>
      </c>
      <c r="M147" s="6">
        <f t="shared" si="70"/>
        <v>0.08547008547008547</v>
      </c>
      <c r="N147" s="6">
        <f t="shared" si="70"/>
        <v>0</v>
      </c>
      <c r="O147" s="4">
        <f t="shared" si="70"/>
        <v>0</v>
      </c>
      <c r="P147" s="6">
        <f t="shared" si="70"/>
        <v>0</v>
      </c>
      <c r="Q147" s="4">
        <f t="shared" si="70"/>
        <v>0</v>
      </c>
      <c r="R147" s="6">
        <f t="shared" si="70"/>
        <v>0</v>
      </c>
      <c r="S147" s="4">
        <f t="shared" si="70"/>
        <v>0</v>
      </c>
      <c r="T147" s="6">
        <f t="shared" si="70"/>
        <v>0</v>
      </c>
      <c r="U147" s="4">
        <f t="shared" si="70"/>
        <v>0</v>
      </c>
      <c r="V147" s="6">
        <f t="shared" si="70"/>
        <v>0.08547008547008547</v>
      </c>
      <c r="W147" s="4">
        <f t="shared" si="70"/>
        <v>150.42735042735043</v>
      </c>
      <c r="X147" s="4">
        <f t="shared" si="70"/>
        <v>51.75</v>
      </c>
      <c r="Y147" s="4">
        <f t="shared" si="70"/>
        <v>0</v>
      </c>
      <c r="Z147" s="4">
        <f t="shared" si="70"/>
        <v>7.3125</v>
      </c>
      <c r="AA147" s="4">
        <f t="shared" si="70"/>
        <v>35.625</v>
      </c>
      <c r="AB147" s="4">
        <f t="shared" si="70"/>
        <v>8.8125</v>
      </c>
      <c r="AC147" s="4">
        <f t="shared" si="70"/>
        <v>0</v>
      </c>
      <c r="AD147" s="4"/>
      <c r="AE147" s="4"/>
      <c r="AF147" s="4"/>
      <c r="AI147" s="4" t="s">
        <v>283</v>
      </c>
    </row>
    <row r="148" spans="1:38" s="1" customFormat="1" ht="12.75" customHeight="1">
      <c r="A148" s="15" t="s">
        <v>284</v>
      </c>
      <c r="B148" s="1" t="s">
        <v>285</v>
      </c>
      <c r="E148" s="4">
        <f>SUM(I148:L148)</f>
        <v>48.75</v>
      </c>
      <c r="F148" s="4">
        <f>G148*E148</f>
        <v>6.825000000000001</v>
      </c>
      <c r="G148" s="5">
        <f>Contingency!E148*0.01</f>
        <v>0.14</v>
      </c>
      <c r="H148" s="4">
        <f>SUM(E148:F148)</f>
        <v>55.575</v>
      </c>
      <c r="I148" s="4"/>
      <c r="J148" s="4"/>
      <c r="K148" s="4"/>
      <c r="L148" s="4">
        <f>$AG148*$AH148/1000</f>
        <v>48.75</v>
      </c>
      <c r="M148" s="6">
        <f>N148+P148+R148+T148+V148</f>
        <v>0</v>
      </c>
      <c r="N148" s="6"/>
      <c r="O148" s="4"/>
      <c r="P148" s="6"/>
      <c r="Q148" s="4"/>
      <c r="R148" s="6"/>
      <c r="S148" s="4"/>
      <c r="T148" s="6"/>
      <c r="U148" s="4"/>
      <c r="V148" s="6"/>
      <c r="W148" s="4"/>
      <c r="X148" s="4">
        <f>SUM(Y148:AC148)</f>
        <v>48.75</v>
      </c>
      <c r="Y148" s="4">
        <f>E148*0</f>
        <v>0</v>
      </c>
      <c r="Z148" s="4">
        <f>E148*0.15</f>
        <v>7.3125</v>
      </c>
      <c r="AA148" s="4">
        <f>E148*0.7</f>
        <v>34.125</v>
      </c>
      <c r="AB148" s="4">
        <f>E148*0.15</f>
        <v>7.3125</v>
      </c>
      <c r="AC148" s="4"/>
      <c r="AD148" s="4">
        <f>X148-E148</f>
        <v>0</v>
      </c>
      <c r="AE148" s="4"/>
      <c r="AF148" s="4"/>
      <c r="AG148" s="1">
        <f>ROUNDUP(AG144/AI145/AI148*(1+$K$2/100),0)</f>
        <v>13</v>
      </c>
      <c r="AH148" s="4">
        <v>3750</v>
      </c>
      <c r="AI148" s="1">
        <v>8</v>
      </c>
      <c r="AL148" s="3"/>
    </row>
    <row r="149" spans="1:38" s="1" customFormat="1" ht="12.75" customHeight="1">
      <c r="A149" s="15" t="s">
        <v>286</v>
      </c>
      <c r="B149" s="1" t="s">
        <v>287</v>
      </c>
      <c r="E149" s="4">
        <f>SUM(I149:L149)</f>
        <v>3</v>
      </c>
      <c r="F149" s="4">
        <f>G149*E149</f>
        <v>0.42000000000000004</v>
      </c>
      <c r="G149" s="5">
        <f>Contingency!E149*0.01</f>
        <v>0.14</v>
      </c>
      <c r="H149" s="4">
        <f>SUM(E149:F149)</f>
        <v>3.42</v>
      </c>
      <c r="I149" s="4"/>
      <c r="J149" s="4">
        <v>3</v>
      </c>
      <c r="K149" s="4"/>
      <c r="L149" s="4"/>
      <c r="M149" s="6">
        <f>N149+P149+R149+T149+V149</f>
        <v>0.08547008547008547</v>
      </c>
      <c r="N149" s="6"/>
      <c r="O149" s="4"/>
      <c r="P149" s="6"/>
      <c r="Q149" s="4"/>
      <c r="R149" s="6"/>
      <c r="S149" s="4"/>
      <c r="T149" s="6"/>
      <c r="U149" s="4"/>
      <c r="V149" s="6">
        <f>J149/$P$3/1.755</f>
        <v>0.08547008547008547</v>
      </c>
      <c r="W149" s="4">
        <f>V149*1760</f>
        <v>150.42735042735043</v>
      </c>
      <c r="X149" s="4">
        <f>SUM(Y149:AC149)</f>
        <v>3</v>
      </c>
      <c r="Y149" s="4">
        <f>E149*0</f>
        <v>0</v>
      </c>
      <c r="Z149" s="4">
        <f>E149*0</f>
        <v>0</v>
      </c>
      <c r="AA149" s="4">
        <f>E149*0.5</f>
        <v>1.5</v>
      </c>
      <c r="AB149" s="4">
        <f>E149*0.5</f>
        <v>1.5</v>
      </c>
      <c r="AC149" s="4"/>
      <c r="AD149" s="4">
        <f>X149-E149</f>
        <v>0</v>
      </c>
      <c r="AE149" s="4"/>
      <c r="AF149" s="4"/>
      <c r="AH149" s="4"/>
      <c r="AL149" s="3"/>
    </row>
    <row r="150" spans="1:38" s="1" customFormat="1" ht="12.75" customHeight="1">
      <c r="A150" s="15" t="s">
        <v>288</v>
      </c>
      <c r="B150" s="1" t="s">
        <v>289</v>
      </c>
      <c r="E150" s="4">
        <f>SUM(I150:L150)</f>
        <v>90</v>
      </c>
      <c r="F150" s="4">
        <f>G150*E150</f>
        <v>12.600000000000001</v>
      </c>
      <c r="G150" s="5">
        <f>Contingency!E150*0.01</f>
        <v>0.14</v>
      </c>
      <c r="H150" s="4">
        <f>SUM(E150:F150)</f>
        <v>102.6</v>
      </c>
      <c r="I150" s="4"/>
      <c r="J150" s="4"/>
      <c r="K150" s="4"/>
      <c r="L150" s="4">
        <v>90</v>
      </c>
      <c r="M150" s="6">
        <f>N150+P150+R150+T150+V150</f>
        <v>0</v>
      </c>
      <c r="N150" s="6"/>
      <c r="O150" s="4"/>
      <c r="P150" s="6"/>
      <c r="Q150" s="4"/>
      <c r="R150" s="6"/>
      <c r="S150" s="4"/>
      <c r="T150" s="6"/>
      <c r="U150" s="4"/>
      <c r="V150" s="6"/>
      <c r="W150" s="4"/>
      <c r="X150" s="4">
        <f>SUM(Y150:AC150)</f>
        <v>90</v>
      </c>
      <c r="Y150" s="4">
        <f>E150*0</f>
        <v>0</v>
      </c>
      <c r="Z150" s="4">
        <f>E150*0.5</f>
        <v>45</v>
      </c>
      <c r="AA150" s="4">
        <f>E150*0.5</f>
        <v>45</v>
      </c>
      <c r="AB150" s="4">
        <f>E150*0</f>
        <v>0</v>
      </c>
      <c r="AC150" s="4"/>
      <c r="AD150" s="4"/>
      <c r="AE150" s="4"/>
      <c r="AF150" s="4"/>
      <c r="AG150" s="1">
        <f>ROUNDUP(AG148/AI150,0)</f>
        <v>7</v>
      </c>
      <c r="AH150" s="4">
        <v>10700</v>
      </c>
      <c r="AI150" s="1">
        <v>2</v>
      </c>
      <c r="AL150" s="3">
        <f>AG150</f>
        <v>7</v>
      </c>
    </row>
    <row r="151" spans="1:38" s="1" customFormat="1" ht="12.75" customHeight="1">
      <c r="A151" s="15"/>
      <c r="E151" s="4"/>
      <c r="F151" s="4"/>
      <c r="G151" s="5"/>
      <c r="H151" s="4"/>
      <c r="I151" s="4"/>
      <c r="J151" s="4"/>
      <c r="K151" s="4"/>
      <c r="L151" s="4"/>
      <c r="M151" s="6">
        <f>N151+P151+R151+T151+V151</f>
        <v>0</v>
      </c>
      <c r="N151" s="6"/>
      <c r="O151" s="4"/>
      <c r="P151" s="6"/>
      <c r="Q151" s="4"/>
      <c r="R151" s="6"/>
      <c r="S151" s="4"/>
      <c r="T151" s="6"/>
      <c r="U151" s="4"/>
      <c r="V151" s="6"/>
      <c r="W151" s="4"/>
      <c r="X151" s="4"/>
      <c r="Y151" s="4"/>
      <c r="Z151" s="4"/>
      <c r="AA151" s="4"/>
      <c r="AB151" s="4"/>
      <c r="AC151" s="4"/>
      <c r="AD151" s="4"/>
      <c r="AE151" s="4"/>
      <c r="AF151" s="4"/>
      <c r="AH151" s="4"/>
      <c r="AL151" s="3"/>
    </row>
    <row r="152" spans="1:38" s="1" customFormat="1" ht="12.75" customHeight="1">
      <c r="A152" s="15" t="s">
        <v>290</v>
      </c>
      <c r="B152" s="1" t="s">
        <v>291</v>
      </c>
      <c r="E152" s="4">
        <f>E154+E155</f>
        <v>23</v>
      </c>
      <c r="F152" s="4">
        <f>F154+F155</f>
        <v>3.2200000000000006</v>
      </c>
      <c r="G152" s="5">
        <f>F152/E152</f>
        <v>0.14000000000000004</v>
      </c>
      <c r="H152" s="4">
        <f aca="true" t="shared" si="71" ref="H152:AE152">H154+H155</f>
        <v>26.22</v>
      </c>
      <c r="I152" s="4">
        <f t="shared" si="71"/>
        <v>0</v>
      </c>
      <c r="J152" s="4">
        <f t="shared" si="71"/>
        <v>0</v>
      </c>
      <c r="K152" s="4">
        <f t="shared" si="71"/>
        <v>0</v>
      </c>
      <c r="L152" s="4">
        <f t="shared" si="71"/>
        <v>23</v>
      </c>
      <c r="M152" s="6">
        <f t="shared" si="71"/>
        <v>0</v>
      </c>
      <c r="N152" s="6">
        <f t="shared" si="71"/>
        <v>0</v>
      </c>
      <c r="O152" s="4">
        <f t="shared" si="71"/>
        <v>0</v>
      </c>
      <c r="P152" s="6">
        <f t="shared" si="71"/>
        <v>0</v>
      </c>
      <c r="Q152" s="4">
        <f t="shared" si="71"/>
        <v>0</v>
      </c>
      <c r="R152" s="6">
        <f t="shared" si="71"/>
        <v>0</v>
      </c>
      <c r="S152" s="4">
        <f t="shared" si="71"/>
        <v>0</v>
      </c>
      <c r="T152" s="6">
        <f t="shared" si="71"/>
        <v>0</v>
      </c>
      <c r="U152" s="4">
        <f t="shared" si="71"/>
        <v>0</v>
      </c>
      <c r="V152" s="6">
        <f t="shared" si="71"/>
        <v>0</v>
      </c>
      <c r="W152" s="4">
        <f t="shared" si="71"/>
        <v>0</v>
      </c>
      <c r="X152" s="4">
        <f t="shared" si="71"/>
        <v>23</v>
      </c>
      <c r="Y152" s="4">
        <f t="shared" si="71"/>
        <v>0</v>
      </c>
      <c r="Z152" s="4">
        <f t="shared" si="71"/>
        <v>11.5</v>
      </c>
      <c r="AA152" s="4">
        <f t="shared" si="71"/>
        <v>11.5</v>
      </c>
      <c r="AB152" s="4">
        <f t="shared" si="71"/>
        <v>0</v>
      </c>
      <c r="AC152" s="4">
        <f t="shared" si="71"/>
        <v>0</v>
      </c>
      <c r="AD152" s="4">
        <f t="shared" si="71"/>
        <v>0</v>
      </c>
      <c r="AE152" s="4">
        <f t="shared" si="71"/>
        <v>0</v>
      </c>
      <c r="AF152" s="4"/>
      <c r="AH152" s="4"/>
      <c r="AL152" s="3"/>
    </row>
    <row r="153" spans="1:35" s="1" customFormat="1" ht="12.75" customHeight="1">
      <c r="A153" s="15"/>
      <c r="E153" s="4"/>
      <c r="F153" s="4"/>
      <c r="G153" s="5"/>
      <c r="H153" s="4"/>
      <c r="I153" s="4"/>
      <c r="J153" s="4"/>
      <c r="K153" s="4"/>
      <c r="L153" s="4"/>
      <c r="M153" s="6"/>
      <c r="N153" s="6"/>
      <c r="O153" s="4"/>
      <c r="P153" s="6"/>
      <c r="Q153" s="4"/>
      <c r="R153" s="6"/>
      <c r="S153" s="4"/>
      <c r="T153" s="6"/>
      <c r="U153" s="4"/>
      <c r="V153" s="6"/>
      <c r="W153" s="4"/>
      <c r="X153" s="4"/>
      <c r="Y153" s="4"/>
      <c r="Z153" s="4"/>
      <c r="AA153" s="4"/>
      <c r="AB153" s="4"/>
      <c r="AC153" s="4"/>
      <c r="AD153" s="4"/>
      <c r="AE153" s="4"/>
      <c r="AF153" s="4"/>
      <c r="AG153" s="1">
        <f>ROUNDUP(14*(1+$K$2/100),0)</f>
        <v>16</v>
      </c>
      <c r="AH153" s="1">
        <v>410</v>
      </c>
      <c r="AI153" s="4"/>
    </row>
    <row r="154" spans="1:38" s="1" customFormat="1" ht="12.75" customHeight="1">
      <c r="A154" s="15" t="s">
        <v>292</v>
      </c>
      <c r="B154" s="1" t="s">
        <v>293</v>
      </c>
      <c r="E154" s="4">
        <f>SUM(I154:L154)</f>
        <v>5</v>
      </c>
      <c r="F154" s="4">
        <f>G154*E154</f>
        <v>0.7000000000000001</v>
      </c>
      <c r="G154" s="5">
        <f>Contingency!E154*0.01</f>
        <v>0.14</v>
      </c>
      <c r="H154" s="4">
        <f>SUM(E154:F154)</f>
        <v>5.7</v>
      </c>
      <c r="I154" s="4"/>
      <c r="J154" s="4"/>
      <c r="K154" s="4"/>
      <c r="L154" s="4">
        <v>5</v>
      </c>
      <c r="M154" s="6">
        <f>SUM(N154:V154)</f>
        <v>0</v>
      </c>
      <c r="N154" s="6"/>
      <c r="O154" s="4"/>
      <c r="P154" s="6"/>
      <c r="Q154" s="4"/>
      <c r="R154" s="6"/>
      <c r="S154" s="4"/>
      <c r="T154" s="6"/>
      <c r="U154" s="4"/>
      <c r="V154" s="6"/>
      <c r="W154" s="4"/>
      <c r="X154" s="4">
        <f>SUM(Y154:AC154)</f>
        <v>5</v>
      </c>
      <c r="Y154" s="4">
        <f>E154*0</f>
        <v>0</v>
      </c>
      <c r="Z154" s="4">
        <f>E154*0.5</f>
        <v>2.5</v>
      </c>
      <c r="AA154" s="4">
        <f>E154*0.5</f>
        <v>2.5</v>
      </c>
      <c r="AB154" s="4">
        <f>E154*0</f>
        <v>0</v>
      </c>
      <c r="AC154" s="4"/>
      <c r="AD154" s="4">
        <f>X154-E154</f>
        <v>0</v>
      </c>
      <c r="AE154" s="4"/>
      <c r="AF154" s="4"/>
      <c r="AG154" s="1">
        <f>ROUNDUP((AL150+AL138+AL129+AL123)/4+AG153/10,0)</f>
        <v>5</v>
      </c>
      <c r="AH154" s="4">
        <v>5250</v>
      </c>
      <c r="AL154" s="3"/>
    </row>
    <row r="155" spans="1:38" s="1" customFormat="1" ht="12.75" customHeight="1">
      <c r="A155" s="15" t="s">
        <v>294</v>
      </c>
      <c r="B155" s="1" t="s">
        <v>295</v>
      </c>
      <c r="E155" s="4">
        <f>SUM(I155:L155)</f>
        <v>18</v>
      </c>
      <c r="F155" s="4">
        <f>G155*E155</f>
        <v>2.5200000000000005</v>
      </c>
      <c r="G155" s="5">
        <f>Contingency!E155*0.01</f>
        <v>0.14</v>
      </c>
      <c r="H155" s="4">
        <f>SUM(E155:F155)</f>
        <v>20.52</v>
      </c>
      <c r="I155" s="4"/>
      <c r="J155" s="4"/>
      <c r="K155" s="4"/>
      <c r="L155" s="4">
        <v>18</v>
      </c>
      <c r="M155" s="6">
        <f>SUM(N155:V155)</f>
        <v>0</v>
      </c>
      <c r="N155" s="6"/>
      <c r="O155" s="4"/>
      <c r="P155" s="6"/>
      <c r="Q155" s="4"/>
      <c r="R155" s="6"/>
      <c r="S155" s="4"/>
      <c r="T155" s="6"/>
      <c r="U155" s="4"/>
      <c r="V155" s="6"/>
      <c r="W155" s="4"/>
      <c r="X155" s="4">
        <f>SUM(Y155:AC155)</f>
        <v>18</v>
      </c>
      <c r="Y155" s="4">
        <f>E155*0</f>
        <v>0</v>
      </c>
      <c r="Z155" s="4">
        <f>E155*0.5</f>
        <v>9</v>
      </c>
      <c r="AA155" s="4">
        <f>E155*0.5</f>
        <v>9</v>
      </c>
      <c r="AB155" s="4">
        <f>E155*0</f>
        <v>0</v>
      </c>
      <c r="AC155" s="4"/>
      <c r="AD155" s="4">
        <f>X155-E155</f>
        <v>0</v>
      </c>
      <c r="AE155" s="4"/>
      <c r="AF155" s="4"/>
      <c r="AH155" s="4"/>
      <c r="AL155" s="3"/>
    </row>
    <row r="156" spans="1:38" s="1" customFormat="1" ht="12.75" customHeight="1">
      <c r="A156" s="15"/>
      <c r="E156" s="4"/>
      <c r="F156" s="4"/>
      <c r="G156" s="5"/>
      <c r="H156" s="4"/>
      <c r="I156" s="4"/>
      <c r="J156" s="4"/>
      <c r="K156" s="4"/>
      <c r="L156" s="4"/>
      <c r="M156" s="6"/>
      <c r="N156" s="6"/>
      <c r="O156" s="4"/>
      <c r="P156" s="6"/>
      <c r="Q156" s="4"/>
      <c r="R156" s="6"/>
      <c r="S156" s="4"/>
      <c r="T156" s="6"/>
      <c r="U156" s="4"/>
      <c r="V156" s="6"/>
      <c r="W156" s="4"/>
      <c r="X156" s="4"/>
      <c r="Y156" s="4"/>
      <c r="Z156" s="4"/>
      <c r="AA156" s="4"/>
      <c r="AB156" s="4"/>
      <c r="AC156" s="4"/>
      <c r="AD156" s="4"/>
      <c r="AE156" s="4"/>
      <c r="AF156" s="4"/>
      <c r="AH156" s="4"/>
      <c r="AL156" s="3"/>
    </row>
    <row r="157" spans="1:38" s="1" customFormat="1" ht="12.75" customHeight="1">
      <c r="A157" s="15" t="s">
        <v>296</v>
      </c>
      <c r="B157" s="1" t="s">
        <v>297</v>
      </c>
      <c r="E157" s="4">
        <f>SUM(I157:L157)</f>
        <v>80</v>
      </c>
      <c r="F157" s="4">
        <f>G157*E157</f>
        <v>11.200000000000001</v>
      </c>
      <c r="G157" s="5">
        <f>Contingency!E157*0.01</f>
        <v>0.14</v>
      </c>
      <c r="H157" s="4">
        <f>SUM(E157:F157)</f>
        <v>91.2</v>
      </c>
      <c r="I157" s="4"/>
      <c r="J157" s="4"/>
      <c r="K157" s="4"/>
      <c r="L157" s="4">
        <v>80</v>
      </c>
      <c r="M157" s="6">
        <f>SUM(N157:V157)</f>
        <v>0</v>
      </c>
      <c r="N157" s="6"/>
      <c r="O157" s="4"/>
      <c r="P157" s="6"/>
      <c r="Q157" s="4"/>
      <c r="R157" s="6"/>
      <c r="S157" s="4"/>
      <c r="T157" s="6"/>
      <c r="U157" s="4"/>
      <c r="V157" s="6"/>
      <c r="W157" s="4"/>
      <c r="X157" s="4">
        <f>SUM(Y157:AC157)</f>
        <v>80</v>
      </c>
      <c r="Y157" s="4">
        <f>E157*0</f>
        <v>0</v>
      </c>
      <c r="Z157" s="4">
        <f>E157*0.5</f>
        <v>40</v>
      </c>
      <c r="AA157" s="4">
        <f>E157*0.5</f>
        <v>40</v>
      </c>
      <c r="AB157" s="4">
        <f>E157*0</f>
        <v>0</v>
      </c>
      <c r="AC157" s="4"/>
      <c r="AD157" s="4">
        <f>X157-E157</f>
        <v>0</v>
      </c>
      <c r="AE157" s="4"/>
      <c r="AF157" s="4"/>
      <c r="AG157" s="1">
        <v>1</v>
      </c>
      <c r="AH157" s="4">
        <v>5250</v>
      </c>
      <c r="AL157" s="3"/>
    </row>
    <row r="158" spans="1:38" s="1" customFormat="1" ht="12.75" customHeight="1">
      <c r="A158" s="15"/>
      <c r="E158" s="4"/>
      <c r="F158" s="4"/>
      <c r="G158" s="5"/>
      <c r="H158" s="4"/>
      <c r="I158" s="4"/>
      <c r="J158" s="4"/>
      <c r="K158" s="4"/>
      <c r="L158" s="4"/>
      <c r="M158" s="6"/>
      <c r="N158" s="6"/>
      <c r="O158" s="4"/>
      <c r="P158" s="6"/>
      <c r="Q158" s="4"/>
      <c r="R158" s="6"/>
      <c r="S158" s="4"/>
      <c r="T158" s="6"/>
      <c r="U158" s="4"/>
      <c r="V158" s="6"/>
      <c r="W158" s="4"/>
      <c r="X158" s="4"/>
      <c r="Y158" s="4"/>
      <c r="Z158" s="4"/>
      <c r="AA158" s="4"/>
      <c r="AB158" s="4"/>
      <c r="AC158" s="4"/>
      <c r="AD158" s="4"/>
      <c r="AE158" s="4"/>
      <c r="AF158" s="4"/>
      <c r="AH158" s="4"/>
      <c r="AL158" s="3"/>
    </row>
    <row r="159" spans="1:38" s="1" customFormat="1" ht="12.75" customHeight="1">
      <c r="A159" s="15" t="s">
        <v>298</v>
      </c>
      <c r="B159" s="1" t="s">
        <v>299</v>
      </c>
      <c r="E159" s="4">
        <f>SUM(E161:E163)</f>
        <v>84</v>
      </c>
      <c r="F159" s="4">
        <f>SUM(F161:F163)</f>
        <v>11.760000000000002</v>
      </c>
      <c r="G159" s="5">
        <f>F159/E159</f>
        <v>0.14</v>
      </c>
      <c r="H159" s="4">
        <f aca="true" t="shared" si="72" ref="H159:AE159">SUM(H161:H163)</f>
        <v>95.76</v>
      </c>
      <c r="I159" s="4">
        <f t="shared" si="72"/>
        <v>0</v>
      </c>
      <c r="J159" s="4">
        <f t="shared" si="72"/>
        <v>36</v>
      </c>
      <c r="K159" s="4">
        <f t="shared" si="72"/>
        <v>0</v>
      </c>
      <c r="L159" s="4">
        <f t="shared" si="72"/>
        <v>48</v>
      </c>
      <c r="M159" s="6">
        <f t="shared" si="72"/>
        <v>2.849002849002849</v>
      </c>
      <c r="N159" s="6">
        <f t="shared" si="72"/>
        <v>1.7094017094017095</v>
      </c>
      <c r="O159" s="4">
        <f t="shared" si="72"/>
        <v>0</v>
      </c>
      <c r="P159" s="6">
        <f t="shared" si="72"/>
        <v>0</v>
      </c>
      <c r="Q159" s="4">
        <f t="shared" si="72"/>
        <v>0</v>
      </c>
      <c r="R159" s="6">
        <f t="shared" si="72"/>
        <v>0</v>
      </c>
      <c r="S159" s="4">
        <f t="shared" si="72"/>
        <v>0</v>
      </c>
      <c r="T159" s="6">
        <f t="shared" si="72"/>
        <v>0</v>
      </c>
      <c r="U159" s="4">
        <f t="shared" si="72"/>
        <v>0</v>
      </c>
      <c r="V159" s="6">
        <f t="shared" si="72"/>
        <v>1.1396011396011396</v>
      </c>
      <c r="W159" s="4">
        <f t="shared" si="72"/>
        <v>2005.6980056980058</v>
      </c>
      <c r="X159" s="4">
        <f t="shared" si="72"/>
        <v>84</v>
      </c>
      <c r="Y159" s="4">
        <f t="shared" si="72"/>
        <v>0</v>
      </c>
      <c r="Z159" s="4">
        <f t="shared" si="72"/>
        <v>78.25</v>
      </c>
      <c r="AA159" s="4">
        <f t="shared" si="72"/>
        <v>5.75</v>
      </c>
      <c r="AB159" s="4">
        <f t="shared" si="72"/>
        <v>0</v>
      </c>
      <c r="AC159" s="4">
        <f t="shared" si="72"/>
        <v>0</v>
      </c>
      <c r="AD159" s="4">
        <f t="shared" si="72"/>
        <v>0</v>
      </c>
      <c r="AE159" s="4">
        <f t="shared" si="72"/>
        <v>72</v>
      </c>
      <c r="AF159" s="4"/>
      <c r="AG159" s="1">
        <f>ROUNDUP((AL153+AL141+AL138+AL137)/4+AG158/10,0)</f>
        <v>1</v>
      </c>
      <c r="AH159" s="4">
        <v>5250</v>
      </c>
      <c r="AL159" s="3"/>
    </row>
    <row r="160" spans="1:35" s="1" customFormat="1" ht="12.75" customHeight="1">
      <c r="A160" s="15"/>
      <c r="E160" s="4"/>
      <c r="F160" s="4"/>
      <c r="G160" s="5"/>
      <c r="H160" s="4"/>
      <c r="I160" s="4"/>
      <c r="J160" s="4"/>
      <c r="K160" s="4"/>
      <c r="L160" s="4"/>
      <c r="M160" s="6"/>
      <c r="N160" s="6"/>
      <c r="O160" s="4"/>
      <c r="P160" s="6"/>
      <c r="Q160" s="4"/>
      <c r="R160" s="6"/>
      <c r="S160" s="4"/>
      <c r="T160" s="6"/>
      <c r="U160" s="4"/>
      <c r="V160" s="6"/>
      <c r="W160" s="4"/>
      <c r="X160" s="4"/>
      <c r="Y160" s="4"/>
      <c r="Z160" s="4"/>
      <c r="AA160" s="4"/>
      <c r="AB160" s="4"/>
      <c r="AC160" s="4"/>
      <c r="AD160" s="4"/>
      <c r="AE160" s="4"/>
      <c r="AF160" s="4"/>
      <c r="AI160" s="4"/>
    </row>
    <row r="161" spans="1:38" s="1" customFormat="1" ht="12.75" customHeight="1">
      <c r="A161" s="15" t="s">
        <v>300</v>
      </c>
      <c r="B161" s="1" t="s">
        <v>301</v>
      </c>
      <c r="E161" s="4">
        <f>SUM(I161:L161)</f>
        <v>61</v>
      </c>
      <c r="F161" s="4">
        <f>G161*E161</f>
        <v>8.540000000000001</v>
      </c>
      <c r="G161" s="5">
        <f>Contingency!E161*0.01</f>
        <v>0.14</v>
      </c>
      <c r="H161" s="4">
        <f>SUM(E161:F161)</f>
        <v>69.54</v>
      </c>
      <c r="I161" s="4"/>
      <c r="J161" s="4">
        <v>18</v>
      </c>
      <c r="K161" s="4"/>
      <c r="L161" s="4">
        <v>43</v>
      </c>
      <c r="M161" s="6">
        <f>N161+P161+R161+T161+V161</f>
        <v>0.5698005698005698</v>
      </c>
      <c r="N161" s="6"/>
      <c r="O161" s="4"/>
      <c r="P161" s="6"/>
      <c r="Q161" s="4"/>
      <c r="R161" s="6"/>
      <c r="S161" s="4"/>
      <c r="T161" s="6"/>
      <c r="U161" s="4"/>
      <c r="V161" s="6">
        <f>J161/$R$3/1.755</f>
        <v>0.5698005698005698</v>
      </c>
      <c r="W161" s="4">
        <f>V161*1760</f>
        <v>1002.8490028490029</v>
      </c>
      <c r="X161" s="4">
        <f>SUM(Y161:AC161)</f>
        <v>61</v>
      </c>
      <c r="Y161" s="4">
        <f>E161*0</f>
        <v>0</v>
      </c>
      <c r="Z161" s="4">
        <f>E161*1</f>
        <v>61</v>
      </c>
      <c r="AA161" s="4">
        <f>E161*0</f>
        <v>0</v>
      </c>
      <c r="AB161" s="4">
        <f>E161*0</f>
        <v>0</v>
      </c>
      <c r="AC161" s="4"/>
      <c r="AD161" s="4">
        <f>X161-E161</f>
        <v>0</v>
      </c>
      <c r="AE161" s="4"/>
      <c r="AF161" s="4"/>
      <c r="AG161" s="1">
        <f>INT(AG159/AI161*(1+$K$2/100))</f>
        <v>0</v>
      </c>
      <c r="AH161" s="4">
        <v>1040</v>
      </c>
      <c r="AI161" s="1">
        <v>16</v>
      </c>
      <c r="AJ161" s="1">
        <f>4*AI161</f>
        <v>64</v>
      </c>
      <c r="AK161" s="1">
        <f>12*AJ161</f>
        <v>768</v>
      </c>
      <c r="AL161" s="3">
        <f>ROUND(AG159/AK161,0)</f>
        <v>0</v>
      </c>
    </row>
    <row r="162" spans="1:38" s="1" customFormat="1" ht="12.75" customHeight="1">
      <c r="A162" s="15" t="s">
        <v>302</v>
      </c>
      <c r="B162" s="1" t="s">
        <v>303</v>
      </c>
      <c r="E162" s="4">
        <f>SUM(I162:L162)</f>
        <v>23</v>
      </c>
      <c r="F162" s="4">
        <f>G162*E162</f>
        <v>3.22</v>
      </c>
      <c r="G162" s="5">
        <f>Contingency!E162*0.01</f>
        <v>0.14</v>
      </c>
      <c r="H162" s="4">
        <f>SUM(E162:F162)</f>
        <v>26.22</v>
      </c>
      <c r="I162" s="4"/>
      <c r="J162" s="4">
        <v>18</v>
      </c>
      <c r="K162" s="4"/>
      <c r="L162" s="4">
        <v>5</v>
      </c>
      <c r="M162" s="6">
        <f>N162+P162+R162+T162+V162</f>
        <v>0.5698005698005698</v>
      </c>
      <c r="N162" s="6"/>
      <c r="O162" s="4"/>
      <c r="P162" s="6"/>
      <c r="Q162" s="4"/>
      <c r="R162" s="6"/>
      <c r="S162" s="4"/>
      <c r="T162" s="6"/>
      <c r="U162" s="4"/>
      <c r="V162" s="6">
        <f>J162/$R$3/1.755</f>
        <v>0.5698005698005698</v>
      </c>
      <c r="W162" s="4">
        <f>V162*1760</f>
        <v>1002.8490028490029</v>
      </c>
      <c r="X162" s="4">
        <f>SUM(Y162:AC162)</f>
        <v>23</v>
      </c>
      <c r="Y162" s="4">
        <f>E162*0</f>
        <v>0</v>
      </c>
      <c r="Z162" s="4">
        <f>E162*0.75</f>
        <v>17.25</v>
      </c>
      <c r="AA162" s="4">
        <f>E162*0.25</f>
        <v>5.75</v>
      </c>
      <c r="AB162" s="4">
        <f>E162*0</f>
        <v>0</v>
      </c>
      <c r="AC162" s="4"/>
      <c r="AD162" s="4">
        <f>X162-E162</f>
        <v>0</v>
      </c>
      <c r="AE162" s="4"/>
      <c r="AF162" s="4"/>
      <c r="AG162" s="1">
        <f>INT((AI162+AJ162)*(1+$K$2/100))</f>
        <v>26</v>
      </c>
      <c r="AH162" s="4">
        <v>4790</v>
      </c>
      <c r="AI162" s="1">
        <v>20</v>
      </c>
      <c r="AJ162" s="1">
        <v>4</v>
      </c>
      <c r="AL162" s="3">
        <f>ROUND((AI162+AJ162)/20,0)</f>
        <v>1</v>
      </c>
    </row>
    <row r="163" spans="1:38" s="1" customFormat="1" ht="12.75" customHeight="1">
      <c r="A163" s="15" t="s">
        <v>304</v>
      </c>
      <c r="B163" s="1" t="s">
        <v>305</v>
      </c>
      <c r="E163" s="4">
        <f>SUM(I163:L163)</f>
        <v>0</v>
      </c>
      <c r="F163" s="4">
        <f>G163*E163</f>
        <v>0</v>
      </c>
      <c r="G163" s="5">
        <f>Contingency!E163*0.01</f>
        <v>0.14</v>
      </c>
      <c r="H163" s="4">
        <f>SUM(E163:F163)</f>
        <v>0</v>
      </c>
      <c r="I163" s="4"/>
      <c r="J163" s="4"/>
      <c r="K163" s="4"/>
      <c r="L163" s="4">
        <v>0</v>
      </c>
      <c r="M163" s="6">
        <f>N163+P163+R163+T163+V163</f>
        <v>1.7094017094017095</v>
      </c>
      <c r="N163" s="6">
        <f>AE163/$N$3/1.755</f>
        <v>1.7094017094017095</v>
      </c>
      <c r="O163" s="4"/>
      <c r="P163" s="6"/>
      <c r="Q163" s="4"/>
      <c r="R163" s="6"/>
      <c r="S163" s="4"/>
      <c r="T163" s="6"/>
      <c r="U163" s="4"/>
      <c r="V163" s="6">
        <f>J163/$R$3/1.755</f>
        <v>0</v>
      </c>
      <c r="W163" s="4">
        <f>V163*1760</f>
        <v>0</v>
      </c>
      <c r="X163" s="4">
        <f>SUM(Y163:AC163)</f>
        <v>0</v>
      </c>
      <c r="Y163" s="4">
        <f>E163*0</f>
        <v>0</v>
      </c>
      <c r="Z163" s="4">
        <f>E163*1</f>
        <v>0</v>
      </c>
      <c r="AA163" s="4">
        <f>E163*0</f>
        <v>0</v>
      </c>
      <c r="AB163" s="4">
        <f>E163*0</f>
        <v>0</v>
      </c>
      <c r="AC163" s="4"/>
      <c r="AD163" s="4">
        <f>X163-E163</f>
        <v>0</v>
      </c>
      <c r="AE163" s="4">
        <v>72</v>
      </c>
      <c r="AF163" s="4"/>
      <c r="AG163" s="1">
        <f>INT(AG162/AI163*(1+$K$2/100))</f>
        <v>1</v>
      </c>
      <c r="AH163" s="4">
        <v>1040</v>
      </c>
      <c r="AI163" s="1">
        <v>16</v>
      </c>
      <c r="AJ163" s="1">
        <f>4*AI163</f>
        <v>64</v>
      </c>
      <c r="AK163" s="1">
        <f>12*AJ163</f>
        <v>768</v>
      </c>
      <c r="AL163" s="3">
        <f>ROUND(AG162/AK163,0)</f>
        <v>0</v>
      </c>
    </row>
    <row r="164" spans="1:38" s="1" customFormat="1" ht="12.75" customHeight="1">
      <c r="A164" s="15"/>
      <c r="E164" s="4"/>
      <c r="F164" s="4"/>
      <c r="G164" s="5"/>
      <c r="H164" s="4"/>
      <c r="I164" s="4"/>
      <c r="J164" s="4"/>
      <c r="K164" s="4"/>
      <c r="L164" s="4"/>
      <c r="M164" s="6"/>
      <c r="N164" s="6"/>
      <c r="O164" s="4"/>
      <c r="P164" s="6"/>
      <c r="Q164" s="4"/>
      <c r="R164" s="6"/>
      <c r="S164" s="4"/>
      <c r="T164" s="6"/>
      <c r="U164" s="4"/>
      <c r="V164" s="6"/>
      <c r="W164" s="4"/>
      <c r="X164" s="4"/>
      <c r="Y164" s="4"/>
      <c r="Z164" s="4"/>
      <c r="AA164" s="4"/>
      <c r="AB164" s="4"/>
      <c r="AC164" s="4"/>
      <c r="AD164" s="4"/>
      <c r="AE164" s="4"/>
      <c r="AF164" s="4"/>
      <c r="AH164" s="4"/>
      <c r="AL164" s="3"/>
    </row>
    <row r="165" spans="1:34" s="1" customFormat="1" ht="12.75" customHeight="1">
      <c r="A165" s="1" t="s">
        <v>306</v>
      </c>
      <c r="B165" s="1" t="s">
        <v>307</v>
      </c>
      <c r="E165" s="4">
        <f>SUM(E167:E171)</f>
        <v>109</v>
      </c>
      <c r="F165" s="4">
        <f>SUM(F167:F171)</f>
        <v>15.260000000000002</v>
      </c>
      <c r="G165" s="5">
        <f>F165/E165</f>
        <v>0.14</v>
      </c>
      <c r="H165" s="4">
        <f aca="true" t="shared" si="73" ref="H165:AE165">SUM(H167:H171)</f>
        <v>124.26000000000002</v>
      </c>
      <c r="I165" s="4">
        <f t="shared" si="73"/>
        <v>0</v>
      </c>
      <c r="J165" s="4">
        <f t="shared" si="73"/>
        <v>37</v>
      </c>
      <c r="K165" s="4">
        <f t="shared" si="73"/>
        <v>0</v>
      </c>
      <c r="L165" s="4">
        <f t="shared" si="73"/>
        <v>72</v>
      </c>
      <c r="M165" s="6">
        <f t="shared" si="73"/>
        <v>1.6712567268122824</v>
      </c>
      <c r="N165" s="6">
        <f t="shared" si="73"/>
        <v>0.5</v>
      </c>
      <c r="O165" s="4">
        <f t="shared" si="73"/>
        <v>0</v>
      </c>
      <c r="P165" s="6">
        <f t="shared" si="73"/>
        <v>0</v>
      </c>
      <c r="Q165" s="4">
        <f t="shared" si="73"/>
        <v>0</v>
      </c>
      <c r="R165" s="6">
        <f t="shared" si="73"/>
        <v>0</v>
      </c>
      <c r="S165" s="4">
        <f t="shared" si="73"/>
        <v>0</v>
      </c>
      <c r="T165" s="6">
        <f t="shared" si="73"/>
        <v>0</v>
      </c>
      <c r="U165" s="4">
        <f t="shared" si="73"/>
        <v>0</v>
      </c>
      <c r="V165" s="6">
        <f t="shared" si="73"/>
        <v>1.1712567268122824</v>
      </c>
      <c r="W165" s="4">
        <f t="shared" si="73"/>
        <v>2061.4118391896172</v>
      </c>
      <c r="X165" s="4">
        <f t="shared" si="73"/>
        <v>109</v>
      </c>
      <c r="Y165" s="4">
        <f t="shared" si="73"/>
        <v>0</v>
      </c>
      <c r="Z165" s="4">
        <f t="shared" si="73"/>
        <v>98.25</v>
      </c>
      <c r="AA165" s="4">
        <f t="shared" si="73"/>
        <v>10.75</v>
      </c>
      <c r="AB165" s="4">
        <f t="shared" si="73"/>
        <v>0</v>
      </c>
      <c r="AC165" s="4">
        <f t="shared" si="73"/>
        <v>0</v>
      </c>
      <c r="AD165" s="4">
        <f t="shared" si="73"/>
        <v>0</v>
      </c>
      <c r="AE165" s="4">
        <f t="shared" si="73"/>
        <v>0</v>
      </c>
      <c r="AG165" s="1">
        <f>ROUNDUP((AL159+AL145+AL142+AL141)/4+AG164/10,0)</f>
        <v>0</v>
      </c>
      <c r="AH165" s="6">
        <v>5250</v>
      </c>
    </row>
    <row r="166" spans="5:34" s="1" customFormat="1" ht="12.75" customHeight="1">
      <c r="E166" s="4"/>
      <c r="F166" s="4"/>
      <c r="G166" s="5"/>
      <c r="H166" s="4"/>
      <c r="I166" s="4"/>
      <c r="J166" s="4"/>
      <c r="K166" s="4"/>
      <c r="L166" s="4"/>
      <c r="M166" s="6"/>
      <c r="N166" s="6"/>
      <c r="O166" s="4"/>
      <c r="P166" s="6"/>
      <c r="Q166" s="4"/>
      <c r="R166" s="6"/>
      <c r="S166" s="4"/>
      <c r="T166" s="6"/>
      <c r="U166" s="4"/>
      <c r="V166" s="6"/>
      <c r="W166" s="4"/>
      <c r="X166" s="4"/>
      <c r="Y166" s="4"/>
      <c r="Z166" s="4"/>
      <c r="AA166" s="4"/>
      <c r="AB166" s="4"/>
      <c r="AC166" s="4"/>
      <c r="AD166" s="4"/>
      <c r="AE166" s="4"/>
      <c r="AH166" s="6"/>
    </row>
    <row r="167" spans="1:38" s="1" customFormat="1" ht="12.75" customHeight="1">
      <c r="A167" s="1" t="s">
        <v>308</v>
      </c>
      <c r="B167" s="1" t="s">
        <v>309</v>
      </c>
      <c r="E167" s="4">
        <f>SUM(I167:L167)</f>
        <v>32</v>
      </c>
      <c r="F167" s="4">
        <f>G167*E167</f>
        <v>4.48</v>
      </c>
      <c r="G167" s="5">
        <f>Contingency!E167*0.01</f>
        <v>0.14</v>
      </c>
      <c r="H167" s="4">
        <f>SUM(E167:F167)</f>
        <v>36.480000000000004</v>
      </c>
      <c r="I167" s="4"/>
      <c r="J167" s="4">
        <v>3</v>
      </c>
      <c r="K167" s="4"/>
      <c r="L167" s="4">
        <v>29</v>
      </c>
      <c r="M167" s="6">
        <f>N167+P167+R167+T167+V167</f>
        <v>0.0949667616334283</v>
      </c>
      <c r="N167" s="6"/>
      <c r="O167" s="4"/>
      <c r="P167" s="6"/>
      <c r="Q167" s="4"/>
      <c r="R167" s="6"/>
      <c r="S167" s="4"/>
      <c r="T167" s="6"/>
      <c r="U167" s="4"/>
      <c r="V167" s="6">
        <f>J167/$R$3/1.755</f>
        <v>0.0949667616334283</v>
      </c>
      <c r="W167" s="4">
        <f>V167*1760</f>
        <v>167.14150047483383</v>
      </c>
      <c r="X167" s="4">
        <f>SUM(Y167:AC167)</f>
        <v>32</v>
      </c>
      <c r="Y167" s="4">
        <f>E167*0</f>
        <v>0</v>
      </c>
      <c r="Z167" s="4">
        <f>E167*1</f>
        <v>32</v>
      </c>
      <c r="AA167" s="4">
        <f>E167*0</f>
        <v>0</v>
      </c>
      <c r="AB167" s="4">
        <f>E167*0</f>
        <v>0</v>
      </c>
      <c r="AC167" s="4"/>
      <c r="AD167" s="4">
        <f>X167-E167</f>
        <v>0</v>
      </c>
      <c r="AE167" s="4"/>
      <c r="AG167" s="1">
        <f>INT(AG165/AI167*(1+$K$2/100))</f>
        <v>0</v>
      </c>
      <c r="AH167" s="6">
        <v>1040</v>
      </c>
      <c r="AI167" s="1">
        <v>16</v>
      </c>
      <c r="AJ167" s="1">
        <f>4*AI167</f>
        <v>64</v>
      </c>
      <c r="AK167" s="1">
        <f>12*AJ167</f>
        <v>768</v>
      </c>
      <c r="AL167" s="1">
        <f>ROUND(AG165/AK167,0)</f>
        <v>0</v>
      </c>
    </row>
    <row r="168" spans="1:38" s="1" customFormat="1" ht="12.75" customHeight="1">
      <c r="A168" s="1" t="s">
        <v>310</v>
      </c>
      <c r="B168" s="1" t="s">
        <v>311</v>
      </c>
      <c r="E168" s="4">
        <f>SUM(I168:L168)</f>
        <v>8</v>
      </c>
      <c r="F168" s="4">
        <f>G168*E168</f>
        <v>1.12</v>
      </c>
      <c r="G168" s="5">
        <f>Contingency!E168*0.01</f>
        <v>0.14</v>
      </c>
      <c r="H168" s="4">
        <f>SUM(E168:F168)</f>
        <v>9.120000000000001</v>
      </c>
      <c r="I168" s="4"/>
      <c r="J168" s="4">
        <v>4</v>
      </c>
      <c r="K168" s="4"/>
      <c r="L168" s="4">
        <v>4</v>
      </c>
      <c r="M168" s="6">
        <f>N168+P168+R168+T168+V168</f>
        <v>0.12662234884457108</v>
      </c>
      <c r="N168" s="6"/>
      <c r="O168" s="4"/>
      <c r="P168" s="6"/>
      <c r="Q168" s="4"/>
      <c r="R168" s="6"/>
      <c r="S168" s="4"/>
      <c r="T168" s="6"/>
      <c r="U168" s="4"/>
      <c r="V168" s="6">
        <f>J168/$R$3/1.755</f>
        <v>0.12662234884457108</v>
      </c>
      <c r="W168" s="4">
        <f>V168*1760</f>
        <v>222.8553339664451</v>
      </c>
      <c r="X168" s="4">
        <f>SUM(Y168:AC168)</f>
        <v>8</v>
      </c>
      <c r="Y168" s="4">
        <f>E168*0</f>
        <v>0</v>
      </c>
      <c r="Z168" s="4">
        <f>E168*0.75</f>
        <v>6</v>
      </c>
      <c r="AA168" s="4">
        <f>E168*0.25</f>
        <v>2</v>
      </c>
      <c r="AB168" s="4">
        <f>E168*0</f>
        <v>0</v>
      </c>
      <c r="AC168" s="4"/>
      <c r="AD168" s="4">
        <f>X168-E168</f>
        <v>0</v>
      </c>
      <c r="AE168" s="4"/>
      <c r="AG168" s="1">
        <f>INT((AI168+AJ168)*(1+$K$2/100))</f>
        <v>26</v>
      </c>
      <c r="AH168" s="6">
        <v>4790</v>
      </c>
      <c r="AI168" s="1">
        <v>20</v>
      </c>
      <c r="AJ168" s="1">
        <v>4</v>
      </c>
      <c r="AL168" s="1">
        <f>ROUND((AI168+AJ168)/20,0)</f>
        <v>1</v>
      </c>
    </row>
    <row r="169" spans="1:38" s="1" customFormat="1" ht="12.75" customHeight="1">
      <c r="A169" s="1" t="s">
        <v>312</v>
      </c>
      <c r="B169" s="1" t="s">
        <v>313</v>
      </c>
      <c r="E169" s="4">
        <f>SUM(I169:L169)</f>
        <v>34</v>
      </c>
      <c r="F169" s="4">
        <f>G169*E169</f>
        <v>4.760000000000001</v>
      </c>
      <c r="G169" s="5">
        <f>Contingency!E169*0.01</f>
        <v>0.14</v>
      </c>
      <c r="H169" s="4">
        <f>SUM(E169:F169)</f>
        <v>38.76</v>
      </c>
      <c r="I169" s="4"/>
      <c r="J169" s="4"/>
      <c r="K169" s="4"/>
      <c r="L169" s="4">
        <v>34</v>
      </c>
      <c r="M169" s="6">
        <f>N169+P169+R169+T169+V169</f>
        <v>0</v>
      </c>
      <c r="N169" s="6"/>
      <c r="O169" s="4"/>
      <c r="P169" s="6"/>
      <c r="Q169" s="4"/>
      <c r="R169" s="6"/>
      <c r="S169" s="4"/>
      <c r="T169" s="6"/>
      <c r="U169" s="4"/>
      <c r="V169" s="6">
        <f>J169/$R$3/1.755</f>
        <v>0</v>
      </c>
      <c r="W169" s="4">
        <f>V169*1760</f>
        <v>0</v>
      </c>
      <c r="X169" s="4">
        <f>SUM(Y169:AC169)</f>
        <v>34</v>
      </c>
      <c r="Y169" s="4">
        <f>E169*0</f>
        <v>0</v>
      </c>
      <c r="Z169" s="4">
        <f>E169*1</f>
        <v>34</v>
      </c>
      <c r="AA169" s="4">
        <f>E169*0</f>
        <v>0</v>
      </c>
      <c r="AB169" s="4">
        <f>E169*0</f>
        <v>0</v>
      </c>
      <c r="AC169" s="4"/>
      <c r="AD169" s="4">
        <f>X169-E169</f>
        <v>0</v>
      </c>
      <c r="AE169" s="4"/>
      <c r="AG169" s="1">
        <f>INT(AG168/AI169*(1+$K$2/100))</f>
        <v>1</v>
      </c>
      <c r="AH169" s="6">
        <v>1040</v>
      </c>
      <c r="AI169" s="1">
        <v>16</v>
      </c>
      <c r="AJ169" s="1">
        <f>4*AI169</f>
        <v>64</v>
      </c>
      <c r="AK169" s="1">
        <f>12*AJ169</f>
        <v>768</v>
      </c>
      <c r="AL169" s="1">
        <f>ROUND(AG168/AK169,0)</f>
        <v>0</v>
      </c>
    </row>
    <row r="170" spans="1:38" s="1" customFormat="1" ht="12.75" customHeight="1">
      <c r="A170" s="1" t="s">
        <v>314</v>
      </c>
      <c r="B170" s="1" t="s">
        <v>315</v>
      </c>
      <c r="E170" s="4">
        <f>SUM(I170:L170)</f>
        <v>25</v>
      </c>
      <c r="F170" s="4">
        <f>G170*E170</f>
        <v>3.5000000000000004</v>
      </c>
      <c r="G170" s="5">
        <f>Contingency!E170*0.01</f>
        <v>0.14</v>
      </c>
      <c r="H170" s="4">
        <f>SUM(E170:F170)</f>
        <v>28.5</v>
      </c>
      <c r="I170" s="4"/>
      <c r="J170" s="4">
        <v>20</v>
      </c>
      <c r="K170" s="4"/>
      <c r="L170" s="4">
        <v>5</v>
      </c>
      <c r="M170" s="6">
        <f>N170+P170+R170+T170+V170</f>
        <v>0.6331117442228554</v>
      </c>
      <c r="N170" s="6"/>
      <c r="O170" s="4"/>
      <c r="P170" s="6"/>
      <c r="Q170" s="4"/>
      <c r="R170" s="6"/>
      <c r="S170" s="4"/>
      <c r="T170" s="6"/>
      <c r="U170" s="4"/>
      <c r="V170" s="6">
        <f>J170/$R$3/1.755</f>
        <v>0.6331117442228554</v>
      </c>
      <c r="W170" s="4">
        <f>V170*1760</f>
        <v>1114.2766698322255</v>
      </c>
      <c r="X170" s="4">
        <f>SUM(Y170:AC170)</f>
        <v>25</v>
      </c>
      <c r="Y170" s="4">
        <f>E170*0</f>
        <v>0</v>
      </c>
      <c r="Z170" s="4">
        <f>E170*0.75</f>
        <v>18.75</v>
      </c>
      <c r="AA170" s="4">
        <f>E170*0.25</f>
        <v>6.25</v>
      </c>
      <c r="AB170" s="4">
        <f>E170*0</f>
        <v>0</v>
      </c>
      <c r="AC170" s="4"/>
      <c r="AD170" s="4">
        <f>X170-E170</f>
        <v>0</v>
      </c>
      <c r="AE170" s="4"/>
      <c r="AG170" s="1">
        <f>INT((AI170+AJ170)*(1+$K$2/100))</f>
        <v>26</v>
      </c>
      <c r="AH170" s="6">
        <v>4790</v>
      </c>
      <c r="AI170" s="1">
        <v>20</v>
      </c>
      <c r="AJ170" s="1">
        <v>4</v>
      </c>
      <c r="AL170" s="1">
        <f>ROUND((AI170+AJ170)/20,0)</f>
        <v>1</v>
      </c>
    </row>
    <row r="171" spans="1:38" s="1" customFormat="1" ht="12.75" customHeight="1">
      <c r="A171" s="1" t="s">
        <v>316</v>
      </c>
      <c r="B171" s="1" t="s">
        <v>317</v>
      </c>
      <c r="E171" s="4">
        <f>SUM(I171:L171)</f>
        <v>10</v>
      </c>
      <c r="F171" s="4">
        <f>G171*E171</f>
        <v>1.4000000000000001</v>
      </c>
      <c r="G171" s="5">
        <f>Contingency!E171*0.01</f>
        <v>0.14</v>
      </c>
      <c r="H171" s="4">
        <f>SUM(E171:F171)</f>
        <v>11.4</v>
      </c>
      <c r="I171" s="4"/>
      <c r="J171" s="4">
        <v>10</v>
      </c>
      <c r="K171" s="4"/>
      <c r="L171" s="4">
        <v>0</v>
      </c>
      <c r="M171" s="6">
        <f>N171+P171+R171+T171+V171</f>
        <v>0.8165558721114277</v>
      </c>
      <c r="N171" s="6">
        <v>0.5</v>
      </c>
      <c r="O171" s="4"/>
      <c r="P171" s="6"/>
      <c r="Q171" s="4"/>
      <c r="R171" s="6"/>
      <c r="S171" s="4"/>
      <c r="T171" s="6"/>
      <c r="U171" s="4"/>
      <c r="V171" s="6">
        <f>J171/$R$3/1.755</f>
        <v>0.3165558721114277</v>
      </c>
      <c r="W171" s="4">
        <f>V171*1760</f>
        <v>557.1383349161127</v>
      </c>
      <c r="X171" s="4">
        <f>SUM(Y171:AC171)</f>
        <v>10</v>
      </c>
      <c r="Y171" s="4">
        <f>E171*0</f>
        <v>0</v>
      </c>
      <c r="Z171" s="4">
        <f>E171*0.75</f>
        <v>7.5</v>
      </c>
      <c r="AA171" s="4">
        <f>E171*0.25</f>
        <v>2.5</v>
      </c>
      <c r="AB171" s="4">
        <f>E171*0</f>
        <v>0</v>
      </c>
      <c r="AC171" s="4"/>
      <c r="AD171" s="4">
        <f>X171-E171</f>
        <v>0</v>
      </c>
      <c r="AE171" s="4">
        <v>0</v>
      </c>
      <c r="AG171" s="1">
        <f>INT((AI171+AJ171)*(1+$K$2/100))</f>
        <v>26</v>
      </c>
      <c r="AH171" s="6">
        <v>4790</v>
      </c>
      <c r="AI171" s="1">
        <v>20</v>
      </c>
      <c r="AJ171" s="1">
        <v>4</v>
      </c>
      <c r="AL171" s="1">
        <f>ROUND((AI171+AJ171)/20,0)</f>
        <v>1</v>
      </c>
    </row>
    <row r="172" spans="5:34" s="1" customFormat="1" ht="12.75" customHeight="1">
      <c r="E172" s="4"/>
      <c r="F172" s="4"/>
      <c r="G172" s="5"/>
      <c r="H172" s="4"/>
      <c r="I172" s="4"/>
      <c r="J172" s="4"/>
      <c r="K172" s="4"/>
      <c r="L172" s="4"/>
      <c r="M172" s="6"/>
      <c r="N172" s="6"/>
      <c r="O172" s="6"/>
      <c r="P172" s="6"/>
      <c r="Q172" s="6"/>
      <c r="R172" s="6"/>
      <c r="S172" s="6"/>
      <c r="T172" s="6"/>
      <c r="U172" s="6"/>
      <c r="V172" s="6"/>
      <c r="W172" s="6"/>
      <c r="X172" s="4"/>
      <c r="Y172" s="4"/>
      <c r="Z172" s="4"/>
      <c r="AA172" s="4"/>
      <c r="AB172" s="4"/>
      <c r="AC172" s="4"/>
      <c r="AD172" s="4"/>
      <c r="AE172" s="4"/>
      <c r="AH172" s="6"/>
    </row>
    <row r="173" spans="1:34" s="1" customFormat="1" ht="12.75" customHeight="1">
      <c r="A173" s="1" t="s">
        <v>318</v>
      </c>
      <c r="B173" s="1" t="s">
        <v>319</v>
      </c>
      <c r="E173" s="4">
        <f>E175+E181</f>
        <v>607.2</v>
      </c>
      <c r="F173" s="4">
        <f>F175+F181</f>
        <v>340.03200000000004</v>
      </c>
      <c r="G173" s="5">
        <f>F173/E173</f>
        <v>0.56</v>
      </c>
      <c r="H173" s="4">
        <f aca="true" t="shared" si="74" ref="H173:AE173">H175+H181</f>
        <v>947.232</v>
      </c>
      <c r="I173" s="4">
        <f t="shared" si="74"/>
        <v>172.8</v>
      </c>
      <c r="J173" s="4">
        <f t="shared" si="74"/>
        <v>134.4</v>
      </c>
      <c r="K173" s="4">
        <f t="shared" si="74"/>
        <v>0</v>
      </c>
      <c r="L173" s="4">
        <f t="shared" si="74"/>
        <v>300</v>
      </c>
      <c r="M173" s="4">
        <f t="shared" si="74"/>
        <v>10.24</v>
      </c>
      <c r="N173" s="4">
        <f t="shared" si="74"/>
        <v>2.88</v>
      </c>
      <c r="O173" s="4">
        <f t="shared" si="74"/>
        <v>5068.8</v>
      </c>
      <c r="P173" s="4">
        <f t="shared" si="74"/>
        <v>2.88</v>
      </c>
      <c r="Q173" s="4">
        <f t="shared" si="74"/>
        <v>5068.8</v>
      </c>
      <c r="R173" s="4">
        <f t="shared" si="74"/>
        <v>0</v>
      </c>
      <c r="S173" s="4">
        <f t="shared" si="74"/>
        <v>0</v>
      </c>
      <c r="T173" s="4">
        <f t="shared" si="74"/>
        <v>0</v>
      </c>
      <c r="U173" s="4">
        <f t="shared" si="74"/>
        <v>0</v>
      </c>
      <c r="V173" s="4">
        <f t="shared" si="74"/>
        <v>4.48</v>
      </c>
      <c r="W173" s="4">
        <f t="shared" si="74"/>
        <v>7884.8</v>
      </c>
      <c r="X173" s="4">
        <f t="shared" si="74"/>
        <v>607.2</v>
      </c>
      <c r="Y173" s="4">
        <f t="shared" si="74"/>
        <v>0</v>
      </c>
      <c r="Z173" s="4">
        <f t="shared" si="74"/>
        <v>50.6</v>
      </c>
      <c r="AA173" s="4">
        <f t="shared" si="74"/>
        <v>202.4</v>
      </c>
      <c r="AB173" s="4">
        <f t="shared" si="74"/>
        <v>202.4</v>
      </c>
      <c r="AC173" s="4">
        <f t="shared" si="74"/>
        <v>151.8</v>
      </c>
      <c r="AD173" s="4">
        <f t="shared" si="74"/>
        <v>0</v>
      </c>
      <c r="AE173" s="4">
        <f t="shared" si="74"/>
        <v>230.4</v>
      </c>
      <c r="AH173" s="6"/>
    </row>
    <row r="174" spans="5:34" s="1" customFormat="1" ht="12.75">
      <c r="E174" s="4"/>
      <c r="F174" s="4"/>
      <c r="G174" s="5"/>
      <c r="H174" s="4"/>
      <c r="I174" s="4"/>
      <c r="J174" s="4"/>
      <c r="K174" s="4"/>
      <c r="L174" s="4"/>
      <c r="M174" s="6"/>
      <c r="N174" s="6"/>
      <c r="O174" s="6"/>
      <c r="P174" s="6"/>
      <c r="Q174" s="6"/>
      <c r="R174" s="6"/>
      <c r="S174" s="6"/>
      <c r="T174" s="6"/>
      <c r="U174" s="6"/>
      <c r="V174" s="6"/>
      <c r="W174" s="6"/>
      <c r="X174" s="4"/>
      <c r="Y174" s="4"/>
      <c r="Z174" s="4"/>
      <c r="AA174" s="4"/>
      <c r="AB174" s="4"/>
      <c r="AC174" s="4"/>
      <c r="AD174" s="4"/>
      <c r="AE174" s="4"/>
      <c r="AH174" s="6"/>
    </row>
    <row r="175" spans="1:34" s="1" customFormat="1" ht="12.75" customHeight="1">
      <c r="A175" s="1" t="s">
        <v>320</v>
      </c>
      <c r="B175" s="1" t="s">
        <v>321</v>
      </c>
      <c r="E175" s="4">
        <f>SUM(E177:E179)</f>
        <v>492</v>
      </c>
      <c r="F175" s="4">
        <f>SUM(F177:F179)</f>
        <v>275.52000000000004</v>
      </c>
      <c r="G175" s="5">
        <f>F175/E175</f>
        <v>0.56</v>
      </c>
      <c r="H175" s="4">
        <f aca="true" t="shared" si="75" ref="H175:Q175">SUM(H177:H179)</f>
        <v>767.52</v>
      </c>
      <c r="I175" s="4">
        <f t="shared" si="75"/>
        <v>96</v>
      </c>
      <c r="J175" s="4">
        <f t="shared" si="75"/>
        <v>96</v>
      </c>
      <c r="K175" s="4">
        <f t="shared" si="75"/>
        <v>0</v>
      </c>
      <c r="L175" s="4">
        <f t="shared" si="75"/>
        <v>300</v>
      </c>
      <c r="M175" s="6">
        <f t="shared" si="75"/>
        <v>6.4</v>
      </c>
      <c r="N175" s="6">
        <f t="shared" si="75"/>
        <v>1.6</v>
      </c>
      <c r="O175" s="6">
        <f t="shared" si="75"/>
        <v>2816</v>
      </c>
      <c r="P175" s="6">
        <f t="shared" si="75"/>
        <v>1.6</v>
      </c>
      <c r="Q175" s="6">
        <f t="shared" si="75"/>
        <v>2816</v>
      </c>
      <c r="R175" s="6"/>
      <c r="S175" s="6">
        <f aca="true" t="shared" si="76" ref="S175:AE175">SUM(S177:S179)</f>
        <v>0</v>
      </c>
      <c r="T175" s="6">
        <f t="shared" si="76"/>
        <v>0</v>
      </c>
      <c r="U175" s="6">
        <f t="shared" si="76"/>
        <v>0</v>
      </c>
      <c r="V175" s="6">
        <f t="shared" si="76"/>
        <v>3.2</v>
      </c>
      <c r="W175" s="6">
        <f t="shared" si="76"/>
        <v>5632</v>
      </c>
      <c r="X175" s="4">
        <f t="shared" si="76"/>
        <v>492</v>
      </c>
      <c r="Y175" s="4">
        <f t="shared" si="76"/>
        <v>0</v>
      </c>
      <c r="Z175" s="4">
        <f t="shared" si="76"/>
        <v>41</v>
      </c>
      <c r="AA175" s="4">
        <f t="shared" si="76"/>
        <v>164</v>
      </c>
      <c r="AB175" s="4">
        <f t="shared" si="76"/>
        <v>164</v>
      </c>
      <c r="AC175" s="4">
        <f t="shared" si="76"/>
        <v>123</v>
      </c>
      <c r="AD175" s="4">
        <f t="shared" si="76"/>
        <v>0</v>
      </c>
      <c r="AE175" s="4">
        <f t="shared" si="76"/>
        <v>128</v>
      </c>
      <c r="AH175" s="6"/>
    </row>
    <row r="176" spans="5:34" s="1" customFormat="1" ht="12.75">
      <c r="E176" s="4"/>
      <c r="F176" s="4"/>
      <c r="G176" s="5"/>
      <c r="H176" s="4"/>
      <c r="I176" s="4"/>
      <c r="J176" s="4"/>
      <c r="K176" s="4"/>
      <c r="L176" s="4"/>
      <c r="M176" s="6"/>
      <c r="N176" s="6"/>
      <c r="O176" s="6"/>
      <c r="P176" s="6"/>
      <c r="Q176" s="6"/>
      <c r="R176" s="6"/>
      <c r="S176" s="6"/>
      <c r="T176" s="6"/>
      <c r="U176" s="6"/>
      <c r="V176" s="6"/>
      <c r="W176" s="6"/>
      <c r="X176" s="4"/>
      <c r="Y176" s="4"/>
      <c r="Z176" s="4"/>
      <c r="AA176" s="4"/>
      <c r="AB176" s="4"/>
      <c r="AC176" s="4"/>
      <c r="AD176" s="4"/>
      <c r="AE176" s="4"/>
      <c r="AH176" s="6"/>
    </row>
    <row r="177" spans="1:34" s="1" customFormat="1" ht="12.75" customHeight="1">
      <c r="A177" s="1" t="s">
        <v>322</v>
      </c>
      <c r="B177" s="1" t="s">
        <v>323</v>
      </c>
      <c r="E177" s="4">
        <f>SUM(I177:L177)</f>
        <v>0</v>
      </c>
      <c r="F177" s="4">
        <f>G177*E177</f>
        <v>0</v>
      </c>
      <c r="G177" s="5">
        <v>0.56</v>
      </c>
      <c r="H177" s="4">
        <f>SUM(E177:F177)</f>
        <v>0</v>
      </c>
      <c r="I177" s="4">
        <f>P177*N93+T177*P93</f>
        <v>0</v>
      </c>
      <c r="J177" s="4"/>
      <c r="K177" s="4"/>
      <c r="L177" s="4"/>
      <c r="M177" s="6">
        <f>N177+P177+R177+T177+V177</f>
        <v>0</v>
      </c>
      <c r="N177" s="6">
        <v>0</v>
      </c>
      <c r="O177" s="6">
        <f>N177*1760</f>
        <v>0</v>
      </c>
      <c r="P177" s="6"/>
      <c r="Q177" s="6">
        <f>P177*1760</f>
        <v>0</v>
      </c>
      <c r="R177" s="6"/>
      <c r="S177" s="6"/>
      <c r="T177" s="6"/>
      <c r="U177" s="6">
        <f>T177*1760</f>
        <v>0</v>
      </c>
      <c r="V177" s="6"/>
      <c r="W177" s="6">
        <f>V177*1760</f>
        <v>0</v>
      </c>
      <c r="X177" s="4">
        <f>SUM(Y177:AC177)</f>
        <v>0</v>
      </c>
      <c r="Y177" s="4">
        <f>E177*0.25</f>
        <v>0</v>
      </c>
      <c r="Z177" s="4">
        <f>E177*0.75</f>
        <v>0</v>
      </c>
      <c r="AA177" s="4"/>
      <c r="AB177" s="4"/>
      <c r="AC177" s="4"/>
      <c r="AD177" s="4"/>
      <c r="AE177" s="4">
        <f>N177*$M$2</f>
        <v>0</v>
      </c>
      <c r="AH177" s="6"/>
    </row>
    <row r="178" spans="1:34" s="1" customFormat="1" ht="12.75" customHeight="1">
      <c r="A178" s="1" t="s">
        <v>324</v>
      </c>
      <c r="B178" s="1" t="s">
        <v>325</v>
      </c>
      <c r="E178" s="4">
        <f>SUM(I178:L178)</f>
        <v>0</v>
      </c>
      <c r="F178" s="4">
        <f>G178*E178</f>
        <v>0</v>
      </c>
      <c r="G178" s="5">
        <v>0.56</v>
      </c>
      <c r="H178" s="4">
        <f>SUM(E178:F178)</f>
        <v>0</v>
      </c>
      <c r="I178" s="4">
        <f>P178*N93+T178*P93</f>
        <v>0</v>
      </c>
      <c r="J178" s="4">
        <f>V178*R93</f>
        <v>0</v>
      </c>
      <c r="K178" s="4"/>
      <c r="L178" s="4"/>
      <c r="M178" s="6">
        <f>N178+P178+R178+T178+V178</f>
        <v>0</v>
      </c>
      <c r="N178" s="6">
        <v>0</v>
      </c>
      <c r="O178" s="6">
        <f>N178*1760</f>
        <v>0</v>
      </c>
      <c r="P178" s="6"/>
      <c r="Q178" s="6">
        <f>P178*1760</f>
        <v>0</v>
      </c>
      <c r="R178" s="6"/>
      <c r="S178" s="6"/>
      <c r="T178" s="6"/>
      <c r="U178" s="6"/>
      <c r="V178" s="6"/>
      <c r="W178" s="6">
        <f>V178*1760</f>
        <v>0</v>
      </c>
      <c r="X178" s="4">
        <f>SUM(Y178:AC178)</f>
        <v>0</v>
      </c>
      <c r="Y178" s="4">
        <f>E178*0.25</f>
        <v>0</v>
      </c>
      <c r="Z178" s="4">
        <f>E178*0.75</f>
        <v>0</v>
      </c>
      <c r="AA178" s="4"/>
      <c r="AB178" s="4"/>
      <c r="AC178" s="4"/>
      <c r="AD178" s="4"/>
      <c r="AE178" s="4">
        <f>N178*$M$2</f>
        <v>0</v>
      </c>
      <c r="AH178" s="6"/>
    </row>
    <row r="179" spans="1:34" s="1" customFormat="1" ht="12.75" customHeight="1">
      <c r="A179" s="1" t="s">
        <v>326</v>
      </c>
      <c r="B179" s="1" t="s">
        <v>327</v>
      </c>
      <c r="E179" s="4">
        <f>SUM(I179:L179)</f>
        <v>492</v>
      </c>
      <c r="F179" s="4">
        <f>G179*E179</f>
        <v>275.52000000000004</v>
      </c>
      <c r="G179" s="5">
        <v>0.56</v>
      </c>
      <c r="H179" s="4">
        <f>SUM(E179:F179)</f>
        <v>767.52</v>
      </c>
      <c r="I179" s="4">
        <f>P179*N2+T179*P2</f>
        <v>96</v>
      </c>
      <c r="J179" s="4">
        <f>V179*R2</f>
        <v>96</v>
      </c>
      <c r="K179" s="4"/>
      <c r="L179" s="4">
        <v>300</v>
      </c>
      <c r="M179" s="6">
        <f>N179+P179+R179+T179+V179</f>
        <v>6.4</v>
      </c>
      <c r="N179" s="22">
        <v>1.6</v>
      </c>
      <c r="O179" s="6">
        <f>N179*1760</f>
        <v>2816</v>
      </c>
      <c r="P179" s="22">
        <v>1.6</v>
      </c>
      <c r="Q179" s="6">
        <f>P179*1760</f>
        <v>2816</v>
      </c>
      <c r="R179" s="6"/>
      <c r="S179" s="6"/>
      <c r="T179" s="6"/>
      <c r="U179" s="6"/>
      <c r="V179" s="22">
        <v>3.2</v>
      </c>
      <c r="W179" s="6">
        <f>V179*1760</f>
        <v>5632</v>
      </c>
      <c r="X179" s="4">
        <f>SUM(Y179:AC179)</f>
        <v>492</v>
      </c>
      <c r="Y179" s="4"/>
      <c r="Z179" s="4">
        <f>E179/12</f>
        <v>41</v>
      </c>
      <c r="AA179" s="4">
        <f>E179/3</f>
        <v>164</v>
      </c>
      <c r="AB179" s="4">
        <f>E179/3</f>
        <v>164</v>
      </c>
      <c r="AC179" s="4">
        <f>E179/4</f>
        <v>123</v>
      </c>
      <c r="AD179" s="4">
        <v>0</v>
      </c>
      <c r="AE179" s="4">
        <f>N179*$M$2</f>
        <v>128</v>
      </c>
      <c r="AH179" s="6"/>
    </row>
    <row r="180" spans="5:34" s="1" customFormat="1" ht="12.75" customHeight="1">
      <c r="E180" s="4"/>
      <c r="F180" s="4"/>
      <c r="G180" s="5"/>
      <c r="H180" s="4"/>
      <c r="I180" s="4"/>
      <c r="J180" s="4"/>
      <c r="K180" s="4"/>
      <c r="L180" s="4"/>
      <c r="M180" s="6"/>
      <c r="N180" s="6"/>
      <c r="O180" s="6"/>
      <c r="P180" s="6"/>
      <c r="Q180" s="6"/>
      <c r="R180" s="6"/>
      <c r="S180" s="6"/>
      <c r="T180" s="6"/>
      <c r="U180" s="6"/>
      <c r="V180" s="6"/>
      <c r="W180" s="6"/>
      <c r="X180" s="4"/>
      <c r="Y180" s="4"/>
      <c r="Z180" s="4"/>
      <c r="AA180" s="4"/>
      <c r="AB180" s="4"/>
      <c r="AC180" s="4"/>
      <c r="AD180" s="4"/>
      <c r="AE180" s="4"/>
      <c r="AH180" s="6"/>
    </row>
    <row r="181" spans="1:34" s="1" customFormat="1" ht="11.25" customHeight="1">
      <c r="A181" s="1" t="s">
        <v>328</v>
      </c>
      <c r="B181" s="1" t="s">
        <v>329</v>
      </c>
      <c r="E181" s="4">
        <f>SUM(E183)</f>
        <v>115.19999999999999</v>
      </c>
      <c r="F181" s="4">
        <f>SUM(F183)</f>
        <v>64.512</v>
      </c>
      <c r="G181" s="5">
        <f>F181/E181</f>
        <v>0.56</v>
      </c>
      <c r="H181" s="4">
        <f aca="true" t="shared" si="77" ref="H181:AE181">SUM(H183)</f>
        <v>179.712</v>
      </c>
      <c r="I181" s="4">
        <f t="shared" si="77"/>
        <v>76.8</v>
      </c>
      <c r="J181" s="4">
        <f t="shared" si="77"/>
        <v>38.4</v>
      </c>
      <c r="K181" s="4">
        <f t="shared" si="77"/>
        <v>0</v>
      </c>
      <c r="L181" s="4">
        <f t="shared" si="77"/>
        <v>0</v>
      </c>
      <c r="M181" s="4">
        <f t="shared" si="77"/>
        <v>3.84</v>
      </c>
      <c r="N181" s="4">
        <f t="shared" si="77"/>
        <v>1.28</v>
      </c>
      <c r="O181" s="4">
        <f t="shared" si="77"/>
        <v>2252.8</v>
      </c>
      <c r="P181" s="4">
        <f t="shared" si="77"/>
        <v>1.28</v>
      </c>
      <c r="Q181" s="4">
        <f t="shared" si="77"/>
        <v>2252.8</v>
      </c>
      <c r="R181" s="4">
        <f t="shared" si="77"/>
        <v>0</v>
      </c>
      <c r="S181" s="4">
        <f t="shared" si="77"/>
        <v>0</v>
      </c>
      <c r="T181" s="4">
        <f t="shared" si="77"/>
        <v>0</v>
      </c>
      <c r="U181" s="4">
        <f t="shared" si="77"/>
        <v>0</v>
      </c>
      <c r="V181" s="4">
        <f t="shared" si="77"/>
        <v>1.28</v>
      </c>
      <c r="W181" s="4">
        <f t="shared" si="77"/>
        <v>2252.8</v>
      </c>
      <c r="X181" s="4">
        <f t="shared" si="77"/>
        <v>115.2</v>
      </c>
      <c r="Y181" s="4">
        <f t="shared" si="77"/>
        <v>0</v>
      </c>
      <c r="Z181" s="4">
        <f t="shared" si="77"/>
        <v>9.6</v>
      </c>
      <c r="AA181" s="4">
        <f t="shared" si="77"/>
        <v>38.4</v>
      </c>
      <c r="AB181" s="4">
        <f t="shared" si="77"/>
        <v>38.4</v>
      </c>
      <c r="AC181" s="4">
        <f t="shared" si="77"/>
        <v>28.799999999999997</v>
      </c>
      <c r="AD181" s="4">
        <f t="shared" si="77"/>
        <v>0</v>
      </c>
      <c r="AE181" s="4">
        <f t="shared" si="77"/>
        <v>102.4</v>
      </c>
      <c r="AH181" s="6"/>
    </row>
    <row r="182" spans="5:34" s="1" customFormat="1" ht="12.75" customHeight="1">
      <c r="E182" s="4"/>
      <c r="F182" s="4"/>
      <c r="G182" s="5"/>
      <c r="H182" s="4"/>
      <c r="I182" s="4"/>
      <c r="J182" s="4"/>
      <c r="K182" s="4"/>
      <c r="L182" s="4"/>
      <c r="M182" s="6"/>
      <c r="N182" s="6"/>
      <c r="O182" s="6"/>
      <c r="P182" s="6"/>
      <c r="Q182" s="6"/>
      <c r="R182" s="6"/>
      <c r="S182" s="6"/>
      <c r="T182" s="6"/>
      <c r="U182" s="6"/>
      <c r="V182" s="6"/>
      <c r="W182" s="6"/>
      <c r="X182" s="4"/>
      <c r="Y182" s="4"/>
      <c r="Z182" s="4"/>
      <c r="AA182" s="4"/>
      <c r="AB182" s="4"/>
      <c r="AC182" s="4"/>
      <c r="AD182" s="4"/>
      <c r="AE182" s="4"/>
      <c r="AH182" s="6"/>
    </row>
    <row r="183" spans="1:34" s="1" customFormat="1" ht="12.75" customHeight="1">
      <c r="A183" s="1" t="s">
        <v>330</v>
      </c>
      <c r="B183" s="1" t="s">
        <v>331</v>
      </c>
      <c r="E183" s="4">
        <f>SUM(I183:L183)</f>
        <v>115.19999999999999</v>
      </c>
      <c r="F183" s="4">
        <f>G183*E183</f>
        <v>64.512</v>
      </c>
      <c r="G183" s="5">
        <v>0.56</v>
      </c>
      <c r="H183" s="4">
        <f>SUM(E183:F183)</f>
        <v>179.712</v>
      </c>
      <c r="I183" s="4">
        <f>P183*N2+T183*P2</f>
        <v>76.8</v>
      </c>
      <c r="J183" s="4">
        <f>V183*R2</f>
        <v>38.4</v>
      </c>
      <c r="K183" s="4"/>
      <c r="L183" s="4"/>
      <c r="M183" s="6">
        <f>N183+P183+R183+T183+V183</f>
        <v>3.84</v>
      </c>
      <c r="N183" s="6">
        <v>1.28</v>
      </c>
      <c r="O183" s="6">
        <f>N183*1760</f>
        <v>2252.8</v>
      </c>
      <c r="P183" s="6">
        <v>1.28</v>
      </c>
      <c r="Q183" s="6">
        <f>P183*1760</f>
        <v>2252.8</v>
      </c>
      <c r="R183" s="6"/>
      <c r="S183" s="6"/>
      <c r="T183" s="6"/>
      <c r="U183" s="6"/>
      <c r="V183" s="6">
        <v>1.28</v>
      </c>
      <c r="W183" s="6">
        <f>V183*1760</f>
        <v>2252.8</v>
      </c>
      <c r="X183" s="4">
        <f>SUM(Y183:AC183)</f>
        <v>115.2</v>
      </c>
      <c r="Y183" s="4"/>
      <c r="Z183" s="4">
        <f>E183/12</f>
        <v>9.6</v>
      </c>
      <c r="AA183" s="4">
        <f>E183/3</f>
        <v>38.4</v>
      </c>
      <c r="AB183" s="4">
        <f>E183/3</f>
        <v>38.4</v>
      </c>
      <c r="AC183" s="4">
        <f>E183/4</f>
        <v>28.799999999999997</v>
      </c>
      <c r="AD183" s="4">
        <v>0</v>
      </c>
      <c r="AE183" s="4">
        <f>N183*$M$2</f>
        <v>102.4</v>
      </c>
      <c r="AH183" s="6"/>
    </row>
    <row r="184" spans="5:34" s="1" customFormat="1" ht="12.75">
      <c r="E184" s="4"/>
      <c r="F184" s="4"/>
      <c r="G184" s="5"/>
      <c r="H184" s="4"/>
      <c r="I184" s="4"/>
      <c r="J184" s="4"/>
      <c r="K184" s="4"/>
      <c r="L184" s="4"/>
      <c r="M184" s="6"/>
      <c r="N184" s="6"/>
      <c r="O184" s="6"/>
      <c r="P184" s="6"/>
      <c r="Q184" s="6"/>
      <c r="R184" s="6"/>
      <c r="S184" s="6"/>
      <c r="T184" s="6"/>
      <c r="U184" s="6"/>
      <c r="V184" s="6"/>
      <c r="W184" s="6"/>
      <c r="X184" s="4"/>
      <c r="Y184" s="4"/>
      <c r="Z184" s="4"/>
      <c r="AA184" s="4"/>
      <c r="AB184" s="4"/>
      <c r="AC184" s="4"/>
      <c r="AD184" s="4"/>
      <c r="AE184" s="4"/>
      <c r="AH184" s="6"/>
    </row>
    <row r="185" spans="1:34" s="1" customFormat="1" ht="12.75" customHeight="1">
      <c r="A185" s="1" t="s">
        <v>332</v>
      </c>
      <c r="B185" s="1" t="s">
        <v>333</v>
      </c>
      <c r="E185" s="4">
        <f>SUM(I185:L185)</f>
        <v>300</v>
      </c>
      <c r="F185" s="4">
        <f>G185*E185</f>
        <v>12</v>
      </c>
      <c r="G185" s="5">
        <v>0.04</v>
      </c>
      <c r="H185" s="4">
        <f>SUM(E185:F185)</f>
        <v>312</v>
      </c>
      <c r="I185" s="4">
        <f>P185*N2+T185*P2</f>
        <v>300</v>
      </c>
      <c r="J185" s="4"/>
      <c r="K185" s="4"/>
      <c r="L185" s="4"/>
      <c r="M185" s="6">
        <f>N185+P185+R185+T185+V185</f>
        <v>10</v>
      </c>
      <c r="N185" s="6">
        <v>5</v>
      </c>
      <c r="O185" s="6">
        <f>N185*1760</f>
        <v>8800</v>
      </c>
      <c r="P185" s="6">
        <v>5</v>
      </c>
      <c r="Q185" s="6">
        <f>P185*1760</f>
        <v>8800</v>
      </c>
      <c r="R185" s="6"/>
      <c r="S185" s="6"/>
      <c r="T185" s="19">
        <v>0</v>
      </c>
      <c r="U185" s="6">
        <f>T185*1760</f>
        <v>0</v>
      </c>
      <c r="V185" s="6"/>
      <c r="W185" s="6"/>
      <c r="X185" s="4">
        <f>SUM(Y185:AC185)</f>
        <v>300</v>
      </c>
      <c r="Y185" s="4">
        <f>E185*0.2</f>
        <v>60</v>
      </c>
      <c r="Z185" s="4">
        <f>E185*0.2</f>
        <v>60</v>
      </c>
      <c r="AA185" s="4">
        <f>E185*0.2</f>
        <v>60</v>
      </c>
      <c r="AB185" s="4">
        <f>E185*0.2</f>
        <v>60</v>
      </c>
      <c r="AC185" s="4">
        <f>E185*0.2</f>
        <v>60</v>
      </c>
      <c r="AD185" s="4">
        <v>0</v>
      </c>
      <c r="AE185" s="4">
        <f>N185*$M$2</f>
        <v>400</v>
      </c>
      <c r="AH185" s="6"/>
    </row>
    <row r="188" ht="12.75">
      <c r="A188" s="20" t="s">
        <v>336</v>
      </c>
    </row>
    <row r="189" ht="12.75">
      <c r="A189" s="20" t="s">
        <v>334</v>
      </c>
    </row>
    <row r="190" ht="12.75">
      <c r="A190" s="20" t="s">
        <v>335</v>
      </c>
    </row>
    <row r="191" spans="1:5" ht="12.75">
      <c r="A191" s="20" t="s">
        <v>473</v>
      </c>
      <c r="E191">
        <v>0.8</v>
      </c>
    </row>
    <row r="192" ht="12.75">
      <c r="A192" s="20" t="s">
        <v>337</v>
      </c>
    </row>
    <row r="193" ht="12.75">
      <c r="A193" s="20" t="s">
        <v>338</v>
      </c>
    </row>
    <row r="194" ht="12.75">
      <c r="A194" s="20" t="s">
        <v>340</v>
      </c>
    </row>
    <row r="195" ht="12.75">
      <c r="A195" s="20" t="s">
        <v>339</v>
      </c>
    </row>
    <row r="196" ht="12.75">
      <c r="A196" s="20" t="s">
        <v>341</v>
      </c>
    </row>
  </sheetData>
  <printOptions/>
  <pageMargins left="0.5" right="0.5" top="0.7875" bottom="0.7875" header="0.5" footer="0.5"/>
  <pageSetup cellComments="asDisplayed" horizontalDpi="300" verticalDpi="300" orientation="landscape" scale="65" r:id="rId1"/>
</worksheet>
</file>

<file path=xl/worksheets/sheet2.xml><?xml version="1.0" encoding="utf-8"?>
<worksheet xmlns="http://schemas.openxmlformats.org/spreadsheetml/2006/main" xmlns:r="http://schemas.openxmlformats.org/officeDocument/2006/relationships">
  <dimension ref="A2:N69"/>
  <sheetViews>
    <sheetView workbookViewId="0" topLeftCell="A4">
      <selection activeCell="M5" sqref="M5"/>
    </sheetView>
  </sheetViews>
  <sheetFormatPr defaultColWidth="9.140625" defaultRowHeight="12.75"/>
  <cols>
    <col min="11" max="12" width="9.140625" style="29" customWidth="1"/>
    <col min="13" max="13" width="9.140625" style="30" customWidth="1"/>
  </cols>
  <sheetData>
    <row r="1" ht="12.75"/>
    <row r="2" ht="18">
      <c r="G2" s="28" t="s">
        <v>347</v>
      </c>
    </row>
    <row r="3" ht="12.75"/>
    <row r="4" spans="6:9" ht="12.75">
      <c r="F4" s="31" t="s">
        <v>348</v>
      </c>
      <c r="G4" s="31" t="s">
        <v>349</v>
      </c>
      <c r="I4" s="31" t="s">
        <v>350</v>
      </c>
    </row>
    <row r="5" spans="6:13" ht="12.75">
      <c r="F5" t="s">
        <v>351</v>
      </c>
      <c r="L5" s="29" t="s">
        <v>475</v>
      </c>
      <c r="M5" s="30">
        <v>0.8</v>
      </c>
    </row>
    <row r="6" ht="12.75"/>
    <row r="7" spans="1:14" ht="15.75">
      <c r="A7" s="32" t="s">
        <v>352</v>
      </c>
      <c r="F7" t="s">
        <v>353</v>
      </c>
      <c r="J7" s="31"/>
      <c r="K7" s="33" t="s">
        <v>354</v>
      </c>
      <c r="L7" s="33" t="s">
        <v>355</v>
      </c>
      <c r="M7" s="34" t="s">
        <v>476</v>
      </c>
      <c r="N7" s="31"/>
    </row>
    <row r="8" spans="1:14" ht="15.75">
      <c r="A8" s="32"/>
      <c r="J8" s="31"/>
      <c r="K8" s="33" t="s">
        <v>356</v>
      </c>
      <c r="L8" s="33"/>
      <c r="M8" s="34"/>
      <c r="N8" s="31"/>
    </row>
    <row r="9" spans="1:14" ht="15.75">
      <c r="A9" s="32" t="s">
        <v>357</v>
      </c>
      <c r="F9">
        <f>SUM(F11:F22)+F23</f>
        <v>184407</v>
      </c>
      <c r="J9" s="31"/>
      <c r="K9" s="33">
        <f>SUM(K11:K23)</f>
        <v>62639.5</v>
      </c>
      <c r="L9" s="33">
        <f>SUM(L11:L23)</f>
        <v>2129743</v>
      </c>
      <c r="M9" s="34">
        <f>SUM(M11:M25)</f>
        <v>1340212</v>
      </c>
      <c r="N9" s="31"/>
    </row>
    <row r="10" spans="2:13" ht="12.75">
      <c r="B10" s="35"/>
      <c r="C10" s="35"/>
      <c r="D10" s="35"/>
      <c r="E10" s="35"/>
      <c r="F10" s="35"/>
      <c r="G10" s="35"/>
      <c r="H10" s="35"/>
      <c r="I10" s="35"/>
      <c r="J10" s="35"/>
      <c r="K10" s="36"/>
      <c r="L10" s="36"/>
      <c r="M10" s="37"/>
    </row>
    <row r="11" spans="1:13" ht="12.75">
      <c r="A11" s="35" t="s">
        <v>358</v>
      </c>
      <c r="B11" s="35"/>
      <c r="C11" s="35"/>
      <c r="D11" s="35"/>
      <c r="E11" s="35"/>
      <c r="F11" s="35">
        <v>28000</v>
      </c>
      <c r="G11" s="35"/>
      <c r="H11" s="35"/>
      <c r="I11" s="35" t="s">
        <v>359</v>
      </c>
      <c r="J11" s="38" t="s">
        <v>360</v>
      </c>
      <c r="K11" s="36">
        <f>F11/2</f>
        <v>14000</v>
      </c>
      <c r="L11" s="36">
        <f>K11*34</f>
        <v>476000</v>
      </c>
      <c r="M11" s="37">
        <f>L11/1.4*0</f>
        <v>0</v>
      </c>
    </row>
    <row r="12" spans="1:13" ht="12.75">
      <c r="A12" s="35" t="s">
        <v>361</v>
      </c>
      <c r="B12" s="35"/>
      <c r="C12" s="35"/>
      <c r="D12" s="35"/>
      <c r="E12" s="35"/>
      <c r="F12" s="35">
        <v>250</v>
      </c>
      <c r="G12" s="35">
        <v>250</v>
      </c>
      <c r="H12" s="35"/>
      <c r="I12" s="35" t="s">
        <v>362</v>
      </c>
      <c r="J12" s="35"/>
      <c r="K12" s="36"/>
      <c r="L12" s="36">
        <f aca="true" t="shared" si="0" ref="L12:L22">K12*34</f>
        <v>0</v>
      </c>
      <c r="M12" s="37"/>
    </row>
    <row r="13" spans="1:13" ht="12.75">
      <c r="A13" s="35" t="s">
        <v>363</v>
      </c>
      <c r="B13" s="35"/>
      <c r="C13" s="35"/>
      <c r="D13" s="35"/>
      <c r="E13" s="35"/>
      <c r="F13" s="35">
        <v>2435</v>
      </c>
      <c r="G13" s="35">
        <v>2435</v>
      </c>
      <c r="H13" s="35"/>
      <c r="I13" s="35" t="s">
        <v>359</v>
      </c>
      <c r="J13" s="35"/>
      <c r="K13" s="36"/>
      <c r="L13" s="36">
        <f t="shared" si="0"/>
        <v>0</v>
      </c>
      <c r="M13" s="37"/>
    </row>
    <row r="14" spans="1:13" ht="12.75">
      <c r="A14" s="35" t="s">
        <v>364</v>
      </c>
      <c r="B14" s="35"/>
      <c r="C14" s="35"/>
      <c r="D14" s="35"/>
      <c r="E14" s="35"/>
      <c r="F14" s="35">
        <v>15800</v>
      </c>
      <c r="G14" s="35"/>
      <c r="H14" s="35"/>
      <c r="I14" s="35"/>
      <c r="J14" s="35"/>
      <c r="K14" s="36"/>
      <c r="L14" s="36">
        <f t="shared" si="0"/>
        <v>0</v>
      </c>
      <c r="M14" s="37"/>
    </row>
    <row r="15" spans="1:13" ht="12.75">
      <c r="A15" s="35" t="s">
        <v>365</v>
      </c>
      <c r="B15" s="35"/>
      <c r="C15" s="35"/>
      <c r="D15" s="35"/>
      <c r="E15" s="35"/>
      <c r="F15" s="35">
        <v>35000</v>
      </c>
      <c r="G15" s="35"/>
      <c r="H15" s="35"/>
      <c r="I15" s="35"/>
      <c r="J15" s="35"/>
      <c r="K15" s="36">
        <f>F15</f>
        <v>35000</v>
      </c>
      <c r="L15" s="36">
        <f t="shared" si="0"/>
        <v>1190000</v>
      </c>
      <c r="M15" s="37">
        <f>L15*M5</f>
        <v>952000</v>
      </c>
    </row>
    <row r="16" spans="1:13" ht="12.75">
      <c r="A16" s="35" t="s">
        <v>366</v>
      </c>
      <c r="B16" s="35"/>
      <c r="C16" s="35"/>
      <c r="D16" s="35"/>
      <c r="E16" s="35"/>
      <c r="F16" s="35">
        <v>35392</v>
      </c>
      <c r="G16" s="35"/>
      <c r="H16" s="35"/>
      <c r="I16" s="35"/>
      <c r="J16" s="35"/>
      <c r="K16" s="36"/>
      <c r="L16" s="36">
        <f t="shared" si="0"/>
        <v>0</v>
      </c>
      <c r="M16" s="37"/>
    </row>
    <row r="17" spans="1:13" ht="12.75">
      <c r="A17" s="35" t="s">
        <v>367</v>
      </c>
      <c r="B17" s="35"/>
      <c r="C17" s="35"/>
      <c r="D17" s="35"/>
      <c r="E17" s="35"/>
      <c r="F17" s="35">
        <v>7000</v>
      </c>
      <c r="G17" s="35"/>
      <c r="H17" s="35"/>
      <c r="I17" s="35"/>
      <c r="J17" s="35"/>
      <c r="K17" s="36"/>
      <c r="L17" s="36">
        <f t="shared" si="0"/>
        <v>0</v>
      </c>
      <c r="M17" s="37"/>
    </row>
    <row r="18" spans="1:13" ht="12.75">
      <c r="A18" s="35" t="s">
        <v>368</v>
      </c>
      <c r="B18" s="35"/>
      <c r="C18" s="35"/>
      <c r="D18" s="35"/>
      <c r="E18" s="35"/>
      <c r="F18" s="35">
        <v>3000</v>
      </c>
      <c r="G18" s="35"/>
      <c r="H18" s="35"/>
      <c r="I18" s="35"/>
      <c r="J18" s="35"/>
      <c r="K18" s="36"/>
      <c r="L18" s="36">
        <f t="shared" si="0"/>
        <v>0</v>
      </c>
      <c r="M18" s="37"/>
    </row>
    <row r="19" spans="1:13" ht="12.75">
      <c r="A19" s="35" t="s">
        <v>369</v>
      </c>
      <c r="B19" s="35"/>
      <c r="C19" s="35"/>
      <c r="D19" s="35"/>
      <c r="E19" s="35"/>
      <c r="F19" s="35">
        <v>4000</v>
      </c>
      <c r="G19" s="35"/>
      <c r="H19" s="35"/>
      <c r="I19" s="35"/>
      <c r="J19" s="35"/>
      <c r="K19" s="36"/>
      <c r="L19" s="36">
        <f t="shared" si="0"/>
        <v>0</v>
      </c>
      <c r="M19" s="37"/>
    </row>
    <row r="20" spans="1:13" ht="12.75">
      <c r="A20" s="35" t="s">
        <v>370</v>
      </c>
      <c r="B20" s="35"/>
      <c r="C20" s="35"/>
      <c r="D20" s="35"/>
      <c r="E20" s="35"/>
      <c r="F20" s="35">
        <v>7000</v>
      </c>
      <c r="G20" s="35"/>
      <c r="H20" s="35"/>
      <c r="I20" s="35"/>
      <c r="J20" s="35"/>
      <c r="K20" s="36">
        <f>F20*0.75</f>
        <v>5250</v>
      </c>
      <c r="L20" s="36">
        <f>K20*34</f>
        <v>178500</v>
      </c>
      <c r="M20" s="37">
        <f>L20*M5</f>
        <v>142800</v>
      </c>
    </row>
    <row r="21" spans="1:13" ht="12.75">
      <c r="A21" s="35" t="s">
        <v>371</v>
      </c>
      <c r="B21" s="35"/>
      <c r="C21" s="35"/>
      <c r="D21" s="35"/>
      <c r="E21" s="35"/>
      <c r="F21" s="35">
        <v>24000</v>
      </c>
      <c r="G21" s="35"/>
      <c r="H21" s="35"/>
      <c r="I21" s="35"/>
      <c r="J21" s="38" t="s">
        <v>372</v>
      </c>
      <c r="K21" s="36">
        <f>F21*0.05*0.75</f>
        <v>900</v>
      </c>
      <c r="L21" s="36">
        <f t="shared" si="0"/>
        <v>30600</v>
      </c>
      <c r="M21" s="37">
        <f>L21*M5</f>
        <v>24480</v>
      </c>
    </row>
    <row r="22" spans="1:13" ht="12.75">
      <c r="A22" s="35" t="s">
        <v>373</v>
      </c>
      <c r="B22" s="35"/>
      <c r="C22" s="35"/>
      <c r="D22" s="35"/>
      <c r="E22" s="35"/>
      <c r="F22" s="35">
        <v>19600</v>
      </c>
      <c r="G22" s="35"/>
      <c r="H22" s="35"/>
      <c r="I22" s="35"/>
      <c r="J22" s="35"/>
      <c r="K22" s="36">
        <f>F22/625*225*0.75</f>
        <v>5292</v>
      </c>
      <c r="L22" s="36">
        <f t="shared" si="0"/>
        <v>179928</v>
      </c>
      <c r="M22" s="37">
        <f>L22/1.4</f>
        <v>128520.00000000001</v>
      </c>
    </row>
    <row r="23" spans="1:13" ht="12.75">
      <c r="A23" s="35" t="s">
        <v>374</v>
      </c>
      <c r="B23" s="35"/>
      <c r="C23" s="35"/>
      <c r="D23" s="35"/>
      <c r="E23" s="35"/>
      <c r="F23" s="35">
        <v>2930</v>
      </c>
      <c r="G23" s="35"/>
      <c r="H23" s="35"/>
      <c r="I23" s="35"/>
      <c r="J23" s="35"/>
      <c r="K23" s="36">
        <f>F23*0.75</f>
        <v>2197.5</v>
      </c>
      <c r="L23" s="36">
        <f>K23*34</f>
        <v>74715</v>
      </c>
      <c r="M23" s="37">
        <f>L23*M5</f>
        <v>59772</v>
      </c>
    </row>
    <row r="24" spans="1:13" ht="12.75">
      <c r="A24" s="35" t="s">
        <v>375</v>
      </c>
      <c r="B24" s="35"/>
      <c r="C24" s="35"/>
      <c r="D24" s="35"/>
      <c r="E24" s="35"/>
      <c r="F24" s="35"/>
      <c r="G24" s="35"/>
      <c r="H24" s="35"/>
      <c r="I24" s="35"/>
      <c r="J24" s="35"/>
      <c r="K24" s="36">
        <v>150</v>
      </c>
      <c r="L24" s="36">
        <f>K24*34</f>
        <v>5100</v>
      </c>
      <c r="M24" s="37">
        <f>L24*M5</f>
        <v>4080</v>
      </c>
    </row>
    <row r="25" spans="1:13" ht="12.75">
      <c r="A25" s="35" t="s">
        <v>376</v>
      </c>
      <c r="B25" s="35"/>
      <c r="C25" s="35"/>
      <c r="D25" s="35"/>
      <c r="E25" s="35"/>
      <c r="F25" s="35"/>
      <c r="G25" s="35"/>
      <c r="H25" s="35"/>
      <c r="I25" s="35"/>
      <c r="J25" s="38" t="s">
        <v>377</v>
      </c>
      <c r="K25" s="36">
        <f>1400*0.75</f>
        <v>1050</v>
      </c>
      <c r="L25" s="36">
        <f>K25*34</f>
        <v>35700</v>
      </c>
      <c r="M25" s="37">
        <f>L25*M5</f>
        <v>28560</v>
      </c>
    </row>
    <row r="26" spans="1:13" ht="12.75">
      <c r="A26" s="35"/>
      <c r="B26" s="35"/>
      <c r="C26" s="35"/>
      <c r="D26" s="35"/>
      <c r="E26" s="35"/>
      <c r="F26" s="35"/>
      <c r="G26" s="35"/>
      <c r="H26" s="35"/>
      <c r="I26" s="35"/>
      <c r="J26" s="35"/>
      <c r="K26" s="36"/>
      <c r="L26" s="36"/>
      <c r="M26" s="37"/>
    </row>
    <row r="27" spans="1:13" ht="12.75">
      <c r="A27" s="35" t="s">
        <v>69</v>
      </c>
      <c r="B27" s="35"/>
      <c r="C27" s="35"/>
      <c r="D27" s="35"/>
      <c r="E27" s="35"/>
      <c r="F27" s="35"/>
      <c r="G27" s="35"/>
      <c r="H27" s="35"/>
      <c r="I27" s="35"/>
      <c r="J27" s="35"/>
      <c r="K27" s="36"/>
      <c r="L27" s="36"/>
      <c r="M27" s="37"/>
    </row>
    <row r="28" spans="1:13" ht="12.75">
      <c r="A28" s="35" t="s">
        <v>378</v>
      </c>
      <c r="B28" s="35"/>
      <c r="C28" s="35"/>
      <c r="D28" s="35"/>
      <c r="E28" s="35"/>
      <c r="F28" s="35" t="s">
        <v>379</v>
      </c>
      <c r="G28" s="35"/>
      <c r="H28" s="35"/>
      <c r="I28" s="35"/>
      <c r="J28" s="35"/>
      <c r="K28" s="36"/>
      <c r="L28" s="36"/>
      <c r="M28" s="37"/>
    </row>
    <row r="29" spans="1:13" ht="12.75">
      <c r="A29" s="35"/>
      <c r="B29" s="35"/>
      <c r="C29" s="35"/>
      <c r="D29" s="35"/>
      <c r="E29" s="35"/>
      <c r="F29" s="35"/>
      <c r="G29" s="35"/>
      <c r="H29" s="35"/>
      <c r="I29" s="35"/>
      <c r="J29" s="35"/>
      <c r="K29" s="36"/>
      <c r="L29" s="36"/>
      <c r="M29" s="37"/>
    </row>
    <row r="30" spans="1:13" ht="15.75">
      <c r="A30" s="39" t="s">
        <v>380</v>
      </c>
      <c r="B30" s="35"/>
      <c r="C30" s="35"/>
      <c r="D30" s="35"/>
      <c r="E30" s="35"/>
      <c r="F30" s="35">
        <f>SUM(F32:F41)+F43+F44+F46+F47+F49</f>
        <v>87851</v>
      </c>
      <c r="G30" s="35"/>
      <c r="H30" s="35"/>
      <c r="I30" s="35"/>
      <c r="J30" s="35"/>
      <c r="K30" s="36">
        <f>SUM(K32:K49)</f>
        <v>23279.25</v>
      </c>
      <c r="L30" s="36">
        <f>SUM(L32:L49)</f>
        <v>791494.5</v>
      </c>
      <c r="M30" s="37">
        <f>SUM(M32:M49)</f>
        <v>569500.9714285714</v>
      </c>
    </row>
    <row r="31" spans="1:13" ht="12.75">
      <c r="A31" s="35"/>
      <c r="B31" s="35"/>
      <c r="C31" s="35"/>
      <c r="D31" s="35"/>
      <c r="E31" s="35"/>
      <c r="F31" s="35"/>
      <c r="G31" s="35"/>
      <c r="H31" s="35"/>
      <c r="I31" s="35"/>
      <c r="J31" s="35"/>
      <c r="K31" s="36"/>
      <c r="L31" s="36"/>
      <c r="M31" s="37"/>
    </row>
    <row r="32" spans="1:13" ht="12.75">
      <c r="A32" s="35" t="s">
        <v>381</v>
      </c>
      <c r="B32" s="35"/>
      <c r="C32" s="35"/>
      <c r="D32" s="35"/>
      <c r="E32" s="35"/>
      <c r="F32" s="35">
        <v>30000</v>
      </c>
      <c r="G32" s="35"/>
      <c r="H32" s="35"/>
      <c r="I32" s="35"/>
      <c r="J32" s="35"/>
      <c r="K32" s="36"/>
      <c r="L32" s="36"/>
      <c r="M32" s="37"/>
    </row>
    <row r="33" spans="1:13" ht="12.75">
      <c r="A33" s="35" t="s">
        <v>382</v>
      </c>
      <c r="B33" s="35"/>
      <c r="C33" s="35"/>
      <c r="D33" s="35"/>
      <c r="E33" s="35"/>
      <c r="F33" s="35">
        <v>6300</v>
      </c>
      <c r="G33" s="35">
        <v>6300</v>
      </c>
      <c r="H33" s="35"/>
      <c r="I33" s="35" t="s">
        <v>362</v>
      </c>
      <c r="J33" s="38" t="s">
        <v>383</v>
      </c>
      <c r="K33" s="36">
        <f>F33*0.75</f>
        <v>4725</v>
      </c>
      <c r="L33" s="36">
        <f>K33*34</f>
        <v>160650</v>
      </c>
      <c r="M33" s="37">
        <f>L33*1.2/1.4*M5</f>
        <v>110160</v>
      </c>
    </row>
    <row r="34" spans="1:13" ht="12.75">
      <c r="A34" s="35" t="s">
        <v>384</v>
      </c>
      <c r="B34" s="35"/>
      <c r="C34" s="35"/>
      <c r="D34" s="35"/>
      <c r="E34" s="35"/>
      <c r="F34" s="35">
        <v>7056</v>
      </c>
      <c r="G34" s="35">
        <v>7056</v>
      </c>
      <c r="H34" s="35"/>
      <c r="I34" s="35" t="s">
        <v>362</v>
      </c>
      <c r="J34" s="38" t="s">
        <v>383</v>
      </c>
      <c r="K34" s="36">
        <f>F34*0.75</f>
        <v>5292</v>
      </c>
      <c r="L34" s="36">
        <f aca="true" t="shared" si="1" ref="L34:L49">K34*34</f>
        <v>179928</v>
      </c>
      <c r="M34" s="37">
        <f>L34*1.2/1.4*M5</f>
        <v>123379.20000000001</v>
      </c>
    </row>
    <row r="35" spans="1:13" ht="12.75">
      <c r="A35" s="35" t="s">
        <v>385</v>
      </c>
      <c r="B35" s="35"/>
      <c r="C35" s="35"/>
      <c r="D35" s="35"/>
      <c r="E35" s="35"/>
      <c r="F35" s="35">
        <v>4000</v>
      </c>
      <c r="G35" s="35"/>
      <c r="H35" s="35"/>
      <c r="I35" s="35"/>
      <c r="J35" s="35"/>
      <c r="K35" s="36"/>
      <c r="L35" s="36">
        <f t="shared" si="1"/>
        <v>0</v>
      </c>
      <c r="M35" s="37">
        <f>L35*1.2/1.4*M5</f>
        <v>0</v>
      </c>
    </row>
    <row r="36" spans="1:13" ht="12.75">
      <c r="A36" s="35" t="s">
        <v>386</v>
      </c>
      <c r="B36" s="35"/>
      <c r="C36" s="35"/>
      <c r="D36" s="35"/>
      <c r="E36" s="35"/>
      <c r="F36" s="35">
        <v>2000</v>
      </c>
      <c r="G36" s="35"/>
      <c r="H36" s="35"/>
      <c r="I36" s="35"/>
      <c r="J36" s="35"/>
      <c r="K36" s="36"/>
      <c r="L36" s="36">
        <f t="shared" si="1"/>
        <v>0</v>
      </c>
      <c r="M36" s="37">
        <f>L36*1.2/1.4*M5</f>
        <v>0</v>
      </c>
    </row>
    <row r="37" spans="1:13" ht="12.75">
      <c r="A37" s="35" t="s">
        <v>387</v>
      </c>
      <c r="B37" s="35"/>
      <c r="C37" s="35"/>
      <c r="D37" s="35"/>
      <c r="E37" s="35"/>
      <c r="F37" s="35">
        <v>2400</v>
      </c>
      <c r="G37" s="35"/>
      <c r="H37" s="35"/>
      <c r="I37" s="35"/>
      <c r="J37" s="35"/>
      <c r="K37" s="36"/>
      <c r="L37" s="36">
        <f t="shared" si="1"/>
        <v>0</v>
      </c>
      <c r="M37" s="37">
        <f>L37*1.2/1.4*M5</f>
        <v>0</v>
      </c>
    </row>
    <row r="38" spans="1:13" ht="12.75">
      <c r="A38" s="35" t="s">
        <v>388</v>
      </c>
      <c r="B38" s="35"/>
      <c r="C38" s="35"/>
      <c r="D38" s="35"/>
      <c r="E38" s="35"/>
      <c r="F38" s="35">
        <v>3000</v>
      </c>
      <c r="G38" s="35"/>
      <c r="H38" s="35"/>
      <c r="I38" s="35"/>
      <c r="J38" s="35"/>
      <c r="K38" s="36"/>
      <c r="L38" s="36">
        <f t="shared" si="1"/>
        <v>0</v>
      </c>
      <c r="M38" s="37">
        <f>L38*1.2/1.4*M5</f>
        <v>0</v>
      </c>
    </row>
    <row r="39" spans="1:13" ht="12.75">
      <c r="A39" s="35" t="s">
        <v>389</v>
      </c>
      <c r="B39" s="35"/>
      <c r="C39" s="35"/>
      <c r="D39" s="35"/>
      <c r="E39" s="35"/>
      <c r="F39" s="35"/>
      <c r="G39" s="35"/>
      <c r="H39" s="35"/>
      <c r="I39" s="35"/>
      <c r="J39" s="35"/>
      <c r="K39" s="36"/>
      <c r="L39" s="36">
        <f t="shared" si="1"/>
        <v>0</v>
      </c>
      <c r="M39" s="37">
        <f>L39*1.2/1.4*M5</f>
        <v>0</v>
      </c>
    </row>
    <row r="40" spans="1:13" ht="12.75">
      <c r="A40" s="35" t="s">
        <v>390</v>
      </c>
      <c r="B40" s="35"/>
      <c r="C40" s="35"/>
      <c r="D40" s="35"/>
      <c r="E40" s="35"/>
      <c r="F40" s="35">
        <v>1000</v>
      </c>
      <c r="G40" s="35"/>
      <c r="H40" s="35"/>
      <c r="I40" s="35"/>
      <c r="J40" s="35"/>
      <c r="K40" s="36">
        <f>F40*0.75</f>
        <v>750</v>
      </c>
      <c r="L40" s="36">
        <f t="shared" si="1"/>
        <v>25500</v>
      </c>
      <c r="M40" s="37">
        <f>L40*1.2/1.4*M5</f>
        <v>17485.714285714286</v>
      </c>
    </row>
    <row r="41" spans="1:13" ht="12.75">
      <c r="A41" s="35" t="s">
        <v>391</v>
      </c>
      <c r="B41" s="35"/>
      <c r="C41" s="35"/>
      <c r="D41" s="35"/>
      <c r="E41" s="35"/>
      <c r="F41" s="35">
        <v>15000</v>
      </c>
      <c r="G41" s="35"/>
      <c r="H41" s="35"/>
      <c r="I41" s="35"/>
      <c r="J41" s="38" t="s">
        <v>383</v>
      </c>
      <c r="K41" s="36">
        <f>F41*0.5*0.75</f>
        <v>5625</v>
      </c>
      <c r="L41" s="36">
        <f t="shared" si="1"/>
        <v>191250</v>
      </c>
      <c r="M41" s="37">
        <f>L41*1.2/1.4*M5</f>
        <v>131142.85714285716</v>
      </c>
    </row>
    <row r="42" spans="1:13" ht="12.75">
      <c r="A42" s="35" t="s">
        <v>392</v>
      </c>
      <c r="B42" s="35"/>
      <c r="C42" s="35"/>
      <c r="D42" s="35"/>
      <c r="E42" s="35"/>
      <c r="F42" s="35" t="s">
        <v>379</v>
      </c>
      <c r="G42" s="35"/>
      <c r="H42" s="35"/>
      <c r="I42" s="35"/>
      <c r="J42" s="35"/>
      <c r="K42" s="36"/>
      <c r="L42" s="36">
        <f t="shared" si="1"/>
        <v>0</v>
      </c>
      <c r="M42" s="37"/>
    </row>
    <row r="43" spans="1:13" ht="12.75">
      <c r="A43" s="35" t="s">
        <v>393</v>
      </c>
      <c r="B43" s="35"/>
      <c r="C43" s="35"/>
      <c r="D43" s="35"/>
      <c r="E43" s="35"/>
      <c r="F43" s="35">
        <v>4500</v>
      </c>
      <c r="G43" s="35"/>
      <c r="H43" s="35"/>
      <c r="I43" s="35"/>
      <c r="J43" s="35"/>
      <c r="K43" s="36">
        <f>F43*0.75*0.75</f>
        <v>2531.25</v>
      </c>
      <c r="L43" s="36">
        <f t="shared" si="1"/>
        <v>86062.5</v>
      </c>
      <c r="M43" s="37">
        <f>L43*M5</f>
        <v>68850</v>
      </c>
    </row>
    <row r="44" spans="1:13" ht="12.75">
      <c r="A44" s="35" t="s">
        <v>394</v>
      </c>
      <c r="B44" s="35"/>
      <c r="C44" s="35"/>
      <c r="D44" s="35"/>
      <c r="E44" s="35"/>
      <c r="F44" s="35">
        <v>5000</v>
      </c>
      <c r="G44" s="35"/>
      <c r="H44" s="35"/>
      <c r="I44" s="35"/>
      <c r="J44" s="35"/>
      <c r="K44" s="36"/>
      <c r="L44" s="36">
        <f t="shared" si="1"/>
        <v>0</v>
      </c>
      <c r="M44" s="37"/>
    </row>
    <row r="45" spans="1:13" ht="12.75">
      <c r="A45" s="35" t="s">
        <v>395</v>
      </c>
      <c r="B45" s="35"/>
      <c r="C45" s="35"/>
      <c r="D45" s="35"/>
      <c r="E45" s="35"/>
      <c r="F45" s="35" t="s">
        <v>379</v>
      </c>
      <c r="G45" s="35"/>
      <c r="H45" s="35"/>
      <c r="I45" s="35"/>
      <c r="J45" s="35"/>
      <c r="K45" s="36"/>
      <c r="L45" s="36">
        <f t="shared" si="1"/>
        <v>0</v>
      </c>
      <c r="M45" s="37"/>
    </row>
    <row r="46" spans="1:13" ht="12.75">
      <c r="A46" s="35" t="s">
        <v>396</v>
      </c>
      <c r="B46" s="35"/>
      <c r="C46" s="35"/>
      <c r="D46" s="35"/>
      <c r="E46" s="35"/>
      <c r="F46" s="35">
        <v>3808</v>
      </c>
      <c r="G46" s="35"/>
      <c r="H46" s="35"/>
      <c r="I46" s="35" t="s">
        <v>359</v>
      </c>
      <c r="J46" s="35"/>
      <c r="K46" s="36">
        <f>F46*0.75</f>
        <v>2856</v>
      </c>
      <c r="L46" s="36">
        <f t="shared" si="1"/>
        <v>97104</v>
      </c>
      <c r="M46" s="37">
        <f>L46*M5</f>
        <v>77683.2</v>
      </c>
    </row>
    <row r="47" spans="1:13" ht="12.75">
      <c r="A47" s="35" t="s">
        <v>397</v>
      </c>
      <c r="B47" s="35"/>
      <c r="C47" s="35"/>
      <c r="D47" s="35"/>
      <c r="E47" s="35"/>
      <c r="F47" s="35">
        <v>2000</v>
      </c>
      <c r="G47" s="35"/>
      <c r="H47" s="35"/>
      <c r="I47" s="35"/>
      <c r="J47" s="35"/>
      <c r="K47" s="36">
        <f>F47*0.75</f>
        <v>1500</v>
      </c>
      <c r="L47" s="36">
        <f t="shared" si="1"/>
        <v>51000</v>
      </c>
      <c r="M47" s="37">
        <f>L47*M5</f>
        <v>40800</v>
      </c>
    </row>
    <row r="48" spans="1:13" ht="12.75">
      <c r="A48" s="35" t="s">
        <v>398</v>
      </c>
      <c r="B48" s="35"/>
      <c r="C48" s="35"/>
      <c r="D48" s="35"/>
      <c r="E48" s="35"/>
      <c r="F48" s="35" t="s">
        <v>379</v>
      </c>
      <c r="G48" s="35"/>
      <c r="H48" s="35"/>
      <c r="I48" s="35"/>
      <c r="J48" s="35"/>
      <c r="K48" s="36"/>
      <c r="L48" s="36">
        <f t="shared" si="1"/>
        <v>0</v>
      </c>
      <c r="M48" s="37"/>
    </row>
    <row r="49" spans="1:12" ht="12.75">
      <c r="A49" s="35" t="s">
        <v>399</v>
      </c>
      <c r="B49" s="35"/>
      <c r="C49" s="35"/>
      <c r="D49" s="35"/>
      <c r="E49" s="35"/>
      <c r="F49" s="35">
        <v>1787</v>
      </c>
      <c r="G49" s="35"/>
      <c r="I49" s="35" t="s">
        <v>359</v>
      </c>
      <c r="L49" s="36">
        <f t="shared" si="1"/>
        <v>0</v>
      </c>
    </row>
    <row r="50" spans="1:12" ht="12.75">
      <c r="A50" s="35"/>
      <c r="B50" s="35"/>
      <c r="C50" s="35"/>
      <c r="D50" s="35"/>
      <c r="E50" s="35"/>
      <c r="F50" s="35"/>
      <c r="G50" s="35"/>
      <c r="I50" s="35"/>
      <c r="L50" s="36"/>
    </row>
    <row r="51" spans="1:7" ht="12.75">
      <c r="A51" s="35"/>
      <c r="G51" s="35"/>
    </row>
    <row r="52" spans="1:13" ht="12.75">
      <c r="A52" s="35" t="s">
        <v>400</v>
      </c>
      <c r="B52" s="35"/>
      <c r="C52" s="35"/>
      <c r="D52" s="35"/>
      <c r="E52" s="35"/>
      <c r="F52" s="35" t="s">
        <v>379</v>
      </c>
      <c r="G52" s="35"/>
      <c r="H52" s="35"/>
      <c r="I52" s="35"/>
      <c r="J52" s="35"/>
      <c r="K52" s="36"/>
      <c r="L52" s="36"/>
      <c r="M52" s="37"/>
    </row>
    <row r="53" spans="1:13" ht="12.75">
      <c r="A53" s="35" t="s">
        <v>401</v>
      </c>
      <c r="B53" s="35"/>
      <c r="C53" s="35"/>
      <c r="D53" s="35"/>
      <c r="E53" s="35"/>
      <c r="F53" s="35" t="s">
        <v>379</v>
      </c>
      <c r="G53" s="35"/>
      <c r="H53" s="35"/>
      <c r="I53" s="35"/>
      <c r="J53" s="35"/>
      <c r="K53" s="36"/>
      <c r="L53" s="36"/>
      <c r="M53" s="37"/>
    </row>
    <row r="54" spans="1:13" ht="12.75">
      <c r="A54" s="35" t="s">
        <v>402</v>
      </c>
      <c r="B54" s="35"/>
      <c r="C54" s="35"/>
      <c r="D54" s="35"/>
      <c r="E54" s="35"/>
      <c r="F54" s="35" t="s">
        <v>379</v>
      </c>
      <c r="G54" s="35"/>
      <c r="H54" s="35"/>
      <c r="I54" s="35"/>
      <c r="J54" s="35"/>
      <c r="K54" s="36"/>
      <c r="L54" s="36"/>
      <c r="M54" s="37"/>
    </row>
    <row r="55" spans="1:7" ht="15.75">
      <c r="A55" s="39" t="s">
        <v>403</v>
      </c>
      <c r="F55" s="40">
        <f>F9+F30</f>
        <v>272258</v>
      </c>
      <c r="G55" s="41">
        <f>SUM(G10:G54)</f>
        <v>16041</v>
      </c>
    </row>
    <row r="56" spans="1:6" ht="12.75">
      <c r="A56" s="35"/>
      <c r="F56" s="35"/>
    </row>
    <row r="57" ht="12.75">
      <c r="A57" s="35"/>
    </row>
    <row r="58" ht="12.75">
      <c r="A58" s="35"/>
    </row>
    <row r="59" ht="12.75">
      <c r="A59" s="35"/>
    </row>
    <row r="60" ht="12.75">
      <c r="A60" s="35"/>
    </row>
    <row r="61" ht="12.75">
      <c r="A61" s="35"/>
    </row>
    <row r="62" ht="12.75">
      <c r="A62" s="35"/>
    </row>
    <row r="63" ht="12.75">
      <c r="A63" s="35"/>
    </row>
    <row r="64" ht="12.75">
      <c r="A64" s="35"/>
    </row>
    <row r="65" ht="12.75">
      <c r="A65" s="35"/>
    </row>
    <row r="66" ht="12.75">
      <c r="A66" s="35"/>
    </row>
    <row r="67" ht="12.75">
      <c r="A67" s="35"/>
    </row>
    <row r="68" ht="12.75">
      <c r="A68" s="35"/>
    </row>
    <row r="69" ht="12.75">
      <c r="A69" s="35"/>
    </row>
  </sheetData>
  <printOptions/>
  <pageMargins left="0.75" right="0.75" top="1" bottom="1" header="0.5" footer="0.5"/>
  <pageSetup horizontalDpi="600" verticalDpi="600" orientation="landscape" r:id="rId3"/>
  <legacyDrawing r:id="rId2"/>
</worksheet>
</file>

<file path=xl/worksheets/sheet3.xml><?xml version="1.0" encoding="utf-8"?>
<worksheet xmlns="http://schemas.openxmlformats.org/spreadsheetml/2006/main" xmlns:r="http://schemas.openxmlformats.org/officeDocument/2006/relationships">
  <dimension ref="A1:M64"/>
  <sheetViews>
    <sheetView workbookViewId="0" topLeftCell="A32">
      <selection activeCell="M26" sqref="M26"/>
    </sheetView>
  </sheetViews>
  <sheetFormatPr defaultColWidth="9.140625" defaultRowHeight="12.75"/>
  <cols>
    <col min="1" max="1" width="15.7109375" style="0" customWidth="1"/>
    <col min="2" max="2" width="25.57421875" style="0" customWidth="1"/>
    <col min="3" max="3" width="11.57421875" style="0" customWidth="1"/>
    <col min="4" max="16384" width="10.140625" style="0" customWidth="1"/>
  </cols>
  <sheetData>
    <row r="1" spans="1:2" s="43" customFormat="1" ht="12.75" customHeight="1">
      <c r="A1" s="42"/>
      <c r="B1" s="43" t="s">
        <v>404</v>
      </c>
    </row>
    <row r="2" spans="1:11" s="43" customFormat="1" ht="12.75" customHeight="1">
      <c r="A2" s="42"/>
      <c r="D2" s="43" t="s">
        <v>405</v>
      </c>
      <c r="G2" s="43" t="s">
        <v>406</v>
      </c>
      <c r="K2" s="43" t="s">
        <v>407</v>
      </c>
    </row>
    <row r="3" spans="1:13" s="43" customFormat="1" ht="12.75" customHeight="1">
      <c r="A3" s="42"/>
      <c r="C3" s="43" t="s">
        <v>408</v>
      </c>
      <c r="D3" s="43" t="s">
        <v>409</v>
      </c>
      <c r="E3" s="43" t="s">
        <v>410</v>
      </c>
      <c r="G3" s="43" t="s">
        <v>411</v>
      </c>
      <c r="H3" s="43" t="s">
        <v>412</v>
      </c>
      <c r="I3" s="43" t="s">
        <v>413</v>
      </c>
      <c r="K3" s="43" t="s">
        <v>414</v>
      </c>
      <c r="L3" s="43" t="s">
        <v>415</v>
      </c>
      <c r="M3" s="43" t="s">
        <v>416</v>
      </c>
    </row>
    <row r="4" s="43" customFormat="1" ht="12.75" customHeight="1">
      <c r="A4" s="42"/>
    </row>
    <row r="5" spans="1:13" s="43" customFormat="1" ht="12.75" customHeight="1">
      <c r="A5" s="42" t="s">
        <v>56</v>
      </c>
      <c r="B5" s="43" t="s">
        <v>57</v>
      </c>
      <c r="G5" s="43">
        <f>G6+G20+G45</f>
        <v>3</v>
      </c>
      <c r="H5" s="43">
        <f>H6+H20+H45+H64</f>
        <v>2.5</v>
      </c>
      <c r="I5" s="43">
        <f>I6+I20+I45</f>
        <v>25.3</v>
      </c>
      <c r="K5" s="43">
        <f>K6+K20+K45+K62+K64</f>
        <v>9.04932</v>
      </c>
      <c r="L5" s="43">
        <f>L6+L20+L45+L62+L64</f>
        <v>8.67432</v>
      </c>
      <c r="M5" s="43">
        <f>M6+M20+M45+M62+M64</f>
        <v>81.62364</v>
      </c>
    </row>
    <row r="6" spans="1:13" s="43" customFormat="1" ht="12.75" customHeight="1">
      <c r="A6" s="44" t="s">
        <v>58</v>
      </c>
      <c r="B6" s="43" t="s">
        <v>417</v>
      </c>
      <c r="G6" s="43">
        <f>SUM(G8:G18)</f>
        <v>1.5</v>
      </c>
      <c r="H6" s="43">
        <f>SUM(H8:H18)</f>
        <v>1</v>
      </c>
      <c r="I6" s="43">
        <f>SUM(I8:I18)</f>
        <v>14.8</v>
      </c>
      <c r="K6" s="43">
        <f>SUM(K8:K18)</f>
        <v>3.375</v>
      </c>
      <c r="L6" s="43">
        <f>SUM(L8:L18)</f>
        <v>2.25</v>
      </c>
      <c r="M6" s="43">
        <f>SUM(M8:M18)</f>
        <v>33.3</v>
      </c>
    </row>
    <row r="7" s="43" customFormat="1" ht="12.75" customHeight="1">
      <c r="A7" s="44"/>
    </row>
    <row r="8" spans="1:13" s="43" customFormat="1" ht="12.75" customHeight="1">
      <c r="A8" s="44"/>
      <c r="B8" s="43" t="s">
        <v>418</v>
      </c>
      <c r="C8" s="43">
        <f>C47*8</f>
        <v>272</v>
      </c>
      <c r="D8" s="43">
        <f aca="true" t="shared" si="0" ref="D8:D18">C8/E8</f>
        <v>1.8133333333333332</v>
      </c>
      <c r="E8" s="43">
        <v>150</v>
      </c>
      <c r="G8" s="43">
        <v>0.5</v>
      </c>
      <c r="H8" s="43">
        <v>1</v>
      </c>
      <c r="K8" s="43">
        <f>G8*E8/50*0.75</f>
        <v>1.125</v>
      </c>
      <c r="L8" s="43">
        <f>H8*E8/50*0.75</f>
        <v>2.25</v>
      </c>
      <c r="M8" s="43">
        <f>I8*E8/50*0.75</f>
        <v>0</v>
      </c>
    </row>
    <row r="9" spans="1:13" s="43" customFormat="1" ht="12.75" customHeight="1">
      <c r="A9" s="44"/>
      <c r="B9" s="43" t="s">
        <v>419</v>
      </c>
      <c r="C9" s="43">
        <f>C47*8</f>
        <v>272</v>
      </c>
      <c r="D9" s="43">
        <f t="shared" si="0"/>
        <v>1.8133333333333332</v>
      </c>
      <c r="E9" s="43">
        <v>150</v>
      </c>
      <c r="I9" s="43">
        <v>0.4</v>
      </c>
      <c r="K9" s="43">
        <f aca="true" t="shared" si="1" ref="K9:K18">G9*E9/50*0.75</f>
        <v>0</v>
      </c>
      <c r="L9" s="43">
        <f aca="true" t="shared" si="2" ref="L9:L18">H9*E9/50*0.75</f>
        <v>0</v>
      </c>
      <c r="M9" s="43">
        <f aca="true" t="shared" si="3" ref="M9:M18">I9*E9/50*0.75</f>
        <v>0.8999999999999999</v>
      </c>
    </row>
    <row r="10" spans="1:13" s="43" customFormat="1" ht="12.75" customHeight="1">
      <c r="A10" s="44"/>
      <c r="B10" s="43" t="s">
        <v>420</v>
      </c>
      <c r="C10" s="43">
        <f>C47*8</f>
        <v>272</v>
      </c>
      <c r="D10" s="43">
        <f t="shared" si="0"/>
        <v>1.8133333333333332</v>
      </c>
      <c r="E10" s="43">
        <v>150</v>
      </c>
      <c r="I10" s="43">
        <v>1</v>
      </c>
      <c r="K10" s="43">
        <f t="shared" si="1"/>
        <v>0</v>
      </c>
      <c r="L10" s="43">
        <f t="shared" si="2"/>
        <v>0</v>
      </c>
      <c r="M10" s="43">
        <f t="shared" si="3"/>
        <v>2.25</v>
      </c>
    </row>
    <row r="11" spans="1:13" s="43" customFormat="1" ht="12.75" customHeight="1">
      <c r="A11" s="44"/>
      <c r="B11" s="43" t="s">
        <v>421</v>
      </c>
      <c r="C11" s="43">
        <f>C47*8</f>
        <v>272</v>
      </c>
      <c r="D11" s="43">
        <f t="shared" si="0"/>
        <v>1.8133333333333332</v>
      </c>
      <c r="E11" s="43">
        <v>150</v>
      </c>
      <c r="I11" s="43">
        <v>1</v>
      </c>
      <c r="K11" s="43">
        <f t="shared" si="1"/>
        <v>0</v>
      </c>
      <c r="L11" s="43">
        <f t="shared" si="2"/>
        <v>0</v>
      </c>
      <c r="M11" s="43">
        <f t="shared" si="3"/>
        <v>2.25</v>
      </c>
    </row>
    <row r="12" spans="1:13" s="43" customFormat="1" ht="12.75" customHeight="1">
      <c r="A12" s="44"/>
      <c r="B12" s="43" t="s">
        <v>422</v>
      </c>
      <c r="C12" s="43">
        <f>C47*8</f>
        <v>272</v>
      </c>
      <c r="D12" s="43">
        <f t="shared" si="0"/>
        <v>1.8133333333333332</v>
      </c>
      <c r="E12" s="43">
        <v>150</v>
      </c>
      <c r="I12" s="43">
        <v>2</v>
      </c>
      <c r="K12" s="43">
        <f t="shared" si="1"/>
        <v>0</v>
      </c>
      <c r="L12" s="43">
        <f t="shared" si="2"/>
        <v>0</v>
      </c>
      <c r="M12" s="43">
        <f t="shared" si="3"/>
        <v>4.5</v>
      </c>
    </row>
    <row r="13" spans="1:13" s="43" customFormat="1" ht="12.75" customHeight="1">
      <c r="A13" s="45"/>
      <c r="B13" s="46" t="s">
        <v>423</v>
      </c>
      <c r="C13" s="43">
        <f>C47*8</f>
        <v>272</v>
      </c>
      <c r="D13" s="43">
        <f t="shared" si="0"/>
        <v>1.8133333333333332</v>
      </c>
      <c r="E13" s="43">
        <v>150</v>
      </c>
      <c r="I13" s="43">
        <v>4</v>
      </c>
      <c r="K13" s="43">
        <f t="shared" si="1"/>
        <v>0</v>
      </c>
      <c r="L13" s="43">
        <f t="shared" si="2"/>
        <v>0</v>
      </c>
      <c r="M13" s="43">
        <f t="shared" si="3"/>
        <v>9</v>
      </c>
    </row>
    <row r="14" spans="1:13" s="43" customFormat="1" ht="12.75" customHeight="1">
      <c r="A14" s="45"/>
      <c r="B14" s="43" t="s">
        <v>424</v>
      </c>
      <c r="C14" s="43">
        <f>C47*8</f>
        <v>272</v>
      </c>
      <c r="D14" s="43">
        <f t="shared" si="0"/>
        <v>1.8133333333333332</v>
      </c>
      <c r="E14" s="43">
        <v>150</v>
      </c>
      <c r="I14" s="43">
        <v>2</v>
      </c>
      <c r="K14" s="43">
        <f t="shared" si="1"/>
        <v>0</v>
      </c>
      <c r="L14" s="43">
        <f t="shared" si="2"/>
        <v>0</v>
      </c>
      <c r="M14" s="43">
        <f t="shared" si="3"/>
        <v>4.5</v>
      </c>
    </row>
    <row r="15" spans="1:13" s="43" customFormat="1" ht="12.75" customHeight="1">
      <c r="A15" s="45"/>
      <c r="B15" s="43" t="s">
        <v>425</v>
      </c>
      <c r="C15" s="43">
        <f>C47*8</f>
        <v>272</v>
      </c>
      <c r="D15" s="43">
        <f t="shared" si="0"/>
        <v>1.8133333333333332</v>
      </c>
      <c r="E15" s="43">
        <v>150</v>
      </c>
      <c r="I15" s="43">
        <v>2</v>
      </c>
      <c r="K15" s="43">
        <f t="shared" si="1"/>
        <v>0</v>
      </c>
      <c r="L15" s="43">
        <f t="shared" si="2"/>
        <v>0</v>
      </c>
      <c r="M15" s="43">
        <f t="shared" si="3"/>
        <v>4.5</v>
      </c>
    </row>
    <row r="16" spans="1:13" s="43" customFormat="1" ht="12.75" customHeight="1">
      <c r="A16" s="45"/>
      <c r="B16" s="43" t="s">
        <v>426</v>
      </c>
      <c r="C16" s="43">
        <f>C47*8</f>
        <v>272</v>
      </c>
      <c r="D16" s="43">
        <f t="shared" si="0"/>
        <v>1.8133333333333332</v>
      </c>
      <c r="E16" s="43">
        <v>150</v>
      </c>
      <c r="I16" s="43">
        <v>0.4</v>
      </c>
      <c r="K16" s="43">
        <f t="shared" si="1"/>
        <v>0</v>
      </c>
      <c r="L16" s="43">
        <f t="shared" si="2"/>
        <v>0</v>
      </c>
      <c r="M16" s="43">
        <f t="shared" si="3"/>
        <v>0.8999999999999999</v>
      </c>
    </row>
    <row r="17" spans="1:13" s="43" customFormat="1" ht="12.75" customHeight="1">
      <c r="A17" s="45"/>
      <c r="B17" s="43" t="s">
        <v>427</v>
      </c>
      <c r="C17" s="43">
        <f>C47*8</f>
        <v>272</v>
      </c>
      <c r="D17" s="43">
        <f t="shared" si="0"/>
        <v>1.8133333333333332</v>
      </c>
      <c r="E17" s="43">
        <v>150</v>
      </c>
      <c r="G17" s="43">
        <v>1</v>
      </c>
      <c r="I17" s="43">
        <v>1</v>
      </c>
      <c r="K17" s="43">
        <f t="shared" si="1"/>
        <v>2.25</v>
      </c>
      <c r="L17" s="43">
        <f t="shared" si="2"/>
        <v>0</v>
      </c>
      <c r="M17" s="43">
        <f t="shared" si="3"/>
        <v>2.25</v>
      </c>
    </row>
    <row r="18" spans="1:13" s="43" customFormat="1" ht="12.75" customHeight="1">
      <c r="A18" s="45"/>
      <c r="B18" s="43" t="s">
        <v>428</v>
      </c>
      <c r="C18" s="43">
        <f>C47*8</f>
        <v>272</v>
      </c>
      <c r="D18" s="43">
        <f t="shared" si="0"/>
        <v>1.8133333333333332</v>
      </c>
      <c r="E18" s="43">
        <v>150</v>
      </c>
      <c r="I18" s="43">
        <v>1</v>
      </c>
      <c r="K18" s="43">
        <f t="shared" si="1"/>
        <v>0</v>
      </c>
      <c r="L18" s="43">
        <f t="shared" si="2"/>
        <v>0</v>
      </c>
      <c r="M18" s="43">
        <f t="shared" si="3"/>
        <v>2.25</v>
      </c>
    </row>
    <row r="19" s="43" customFormat="1" ht="12.75" customHeight="1">
      <c r="A19" s="45"/>
    </row>
    <row r="20" spans="1:13" s="43" customFormat="1" ht="12.75" customHeight="1">
      <c r="A20" s="45" t="s">
        <v>86</v>
      </c>
      <c r="B20" s="43" t="s">
        <v>429</v>
      </c>
      <c r="K20" s="43">
        <f>SUM(K22:K30)</f>
        <v>0.42432</v>
      </c>
      <c r="L20" s="43">
        <f>SUM(L22:L30)</f>
        <v>1.92432</v>
      </c>
      <c r="M20" s="43">
        <f>SUM(M22:M30)</f>
        <v>17.948639999999997</v>
      </c>
    </row>
    <row r="21" s="43" customFormat="1" ht="12.75" customHeight="1">
      <c r="A21" s="45"/>
    </row>
    <row r="22" spans="1:13" s="43" customFormat="1" ht="12.75" customHeight="1">
      <c r="A22" s="45"/>
      <c r="B22" s="43" t="s">
        <v>430</v>
      </c>
      <c r="C22" s="43">
        <f>C26*26*1.2</f>
        <v>9547.199999999999</v>
      </c>
      <c r="D22" s="43">
        <v>450</v>
      </c>
      <c r="E22" s="43">
        <f>C22/D22</f>
        <v>21.215999999999998</v>
      </c>
      <c r="H22" s="43">
        <v>1</v>
      </c>
      <c r="I22" s="43">
        <v>1</v>
      </c>
      <c r="K22" s="43">
        <f>G22*E22/50</f>
        <v>0</v>
      </c>
      <c r="L22" s="43">
        <f>H22*E22/50</f>
        <v>0.42432</v>
      </c>
      <c r="M22" s="43">
        <f>I22*E22/50</f>
        <v>0.42432</v>
      </c>
    </row>
    <row r="23" spans="1:13" s="43" customFormat="1" ht="12.75" customHeight="1">
      <c r="A23" s="45"/>
      <c r="B23" s="43" t="s">
        <v>431</v>
      </c>
      <c r="C23" s="43">
        <f>C22</f>
        <v>9547.199999999999</v>
      </c>
      <c r="D23" s="43">
        <v>450</v>
      </c>
      <c r="E23" s="43">
        <f>C23/D23</f>
        <v>21.215999999999998</v>
      </c>
      <c r="I23" s="43">
        <v>1</v>
      </c>
      <c r="K23" s="43">
        <f>G23*E23/50</f>
        <v>0</v>
      </c>
      <c r="L23" s="43">
        <f>H23*E23/50</f>
        <v>0</v>
      </c>
      <c r="M23" s="43">
        <f>I23*E23/50</f>
        <v>0.42432</v>
      </c>
    </row>
    <row r="24" spans="1:13" s="43" customFormat="1" ht="12.75" customHeight="1">
      <c r="A24" s="45"/>
      <c r="B24" s="43" t="s">
        <v>432</v>
      </c>
      <c r="C24" s="43">
        <f>C22</f>
        <v>9547.199999999999</v>
      </c>
      <c r="D24" s="43">
        <v>450</v>
      </c>
      <c r="E24" s="43">
        <f>C24/D24</f>
        <v>21.215999999999998</v>
      </c>
      <c r="G24" s="43">
        <v>1</v>
      </c>
      <c r="K24" s="43">
        <f>G24*E24/50</f>
        <v>0.42432</v>
      </c>
      <c r="L24" s="43">
        <f>H24*E24/50</f>
        <v>0</v>
      </c>
      <c r="M24" s="43">
        <f>I24*E24/50</f>
        <v>0</v>
      </c>
    </row>
    <row r="25" s="43" customFormat="1" ht="12.75" customHeight="1">
      <c r="A25" s="45"/>
    </row>
    <row r="26" spans="1:13" s="43" customFormat="1" ht="12.75" customHeight="1">
      <c r="A26" s="45"/>
      <c r="B26" s="43" t="s">
        <v>433</v>
      </c>
      <c r="C26" s="43">
        <f>C47*9</f>
        <v>306</v>
      </c>
      <c r="D26" s="43">
        <f>C26/E26</f>
        <v>2.04</v>
      </c>
      <c r="E26" s="43">
        <v>150</v>
      </c>
      <c r="I26" s="43">
        <v>2</v>
      </c>
      <c r="K26" s="43">
        <f>G26*E26/50</f>
        <v>0</v>
      </c>
      <c r="L26" s="43">
        <f>H26*E26/50</f>
        <v>0</v>
      </c>
      <c r="M26" s="43">
        <f>I26*E26/50*0.75</f>
        <v>4.5</v>
      </c>
    </row>
    <row r="27" spans="1:13" s="43" customFormat="1" ht="12.75" customHeight="1">
      <c r="A27" s="45"/>
      <c r="B27" s="43" t="s">
        <v>434</v>
      </c>
      <c r="C27" s="43">
        <f>C47*9</f>
        <v>306</v>
      </c>
      <c r="D27" s="43">
        <f>C27/E27</f>
        <v>2.04</v>
      </c>
      <c r="E27" s="43">
        <v>150</v>
      </c>
      <c r="I27" s="51">
        <v>1</v>
      </c>
      <c r="K27" s="43">
        <f>G27*E27/50</f>
        <v>0</v>
      </c>
      <c r="L27" s="43">
        <f>H27*E27/50</f>
        <v>0</v>
      </c>
      <c r="M27" s="43">
        <f>I27*E27/50</f>
        <v>3</v>
      </c>
    </row>
    <row r="28" spans="1:13" s="43" customFormat="1" ht="12.75" customHeight="1">
      <c r="A28" s="45"/>
      <c r="B28" s="43" t="s">
        <v>435</v>
      </c>
      <c r="C28" s="43">
        <f>C47*9</f>
        <v>306</v>
      </c>
      <c r="D28" s="43">
        <f>C28/E28</f>
        <v>2.04</v>
      </c>
      <c r="E28" s="43">
        <v>150</v>
      </c>
      <c r="I28" s="43">
        <v>0.2</v>
      </c>
      <c r="K28" s="43">
        <f>G28*E28/50</f>
        <v>0</v>
      </c>
      <c r="L28" s="43">
        <f>H28*E28/50</f>
        <v>0</v>
      </c>
      <c r="M28" s="43">
        <f>I28*E28/50</f>
        <v>0.6</v>
      </c>
    </row>
    <row r="29" spans="1:13" s="43" customFormat="1" ht="12.75" customHeight="1">
      <c r="A29" s="45"/>
      <c r="B29" s="43" t="s">
        <v>436</v>
      </c>
      <c r="C29" s="43">
        <f>C47*9</f>
        <v>306</v>
      </c>
      <c r="D29" s="43">
        <f>C29/E29</f>
        <v>2.04</v>
      </c>
      <c r="E29" s="43">
        <v>150</v>
      </c>
      <c r="H29" s="43">
        <v>0.5</v>
      </c>
      <c r="I29" s="43">
        <v>1.5</v>
      </c>
      <c r="K29" s="43">
        <f>G29*E29/50</f>
        <v>0</v>
      </c>
      <c r="L29" s="43">
        <f>H29*E29/50</f>
        <v>1.5</v>
      </c>
      <c r="M29" s="43">
        <f>I29*E29/50</f>
        <v>4.5</v>
      </c>
    </row>
    <row r="30" spans="1:13" s="43" customFormat="1" ht="12.75" customHeight="1">
      <c r="A30" s="45"/>
      <c r="B30" s="43" t="s">
        <v>437</v>
      </c>
      <c r="C30" s="43">
        <f>C47*9</f>
        <v>306</v>
      </c>
      <c r="D30" s="43">
        <f>C30/E30</f>
        <v>2.04</v>
      </c>
      <c r="E30" s="43">
        <v>150</v>
      </c>
      <c r="I30" s="43">
        <v>1.5</v>
      </c>
      <c r="K30" s="43">
        <f>G30*E30/50</f>
        <v>0</v>
      </c>
      <c r="L30" s="43">
        <f>H30*E30/50</f>
        <v>0</v>
      </c>
      <c r="M30" s="43">
        <f>I30*E30/50</f>
        <v>4.5</v>
      </c>
    </row>
    <row r="31" spans="1:13" s="43" customFormat="1" ht="12.75" customHeight="1">
      <c r="A31" s="45"/>
      <c r="B31" s="43" t="s">
        <v>474</v>
      </c>
      <c r="C31" s="43">
        <f>C47*9</f>
        <v>306</v>
      </c>
      <c r="D31" s="43">
        <f>C31/E31</f>
        <v>2.04</v>
      </c>
      <c r="E31" s="43">
        <v>150</v>
      </c>
      <c r="G31" s="51">
        <v>0.5</v>
      </c>
      <c r="K31" s="43">
        <f>G31*E31/50</f>
        <v>1.5</v>
      </c>
      <c r="L31" s="43">
        <f>H31*E31/50</f>
        <v>0</v>
      </c>
      <c r="M31" s="43">
        <f>I31*E31/50</f>
        <v>0</v>
      </c>
    </row>
    <row r="32" spans="1:12" s="43" customFormat="1" ht="12.75" customHeight="1">
      <c r="A32" s="45"/>
      <c r="L32" s="43" t="s">
        <v>438</v>
      </c>
    </row>
    <row r="33" spans="1:13" s="43" customFormat="1" ht="12.75" customHeight="1">
      <c r="A33" s="45" t="s">
        <v>121</v>
      </c>
      <c r="B33" s="43" t="s">
        <v>439</v>
      </c>
      <c r="G33" s="43">
        <f>G34+G38+G42+G43</f>
        <v>0</v>
      </c>
      <c r="H33" s="43">
        <f>H34+H38+H42+H43</f>
        <v>1.7</v>
      </c>
      <c r="I33" s="43">
        <f>I34+I38+I42+I43</f>
        <v>5.2</v>
      </c>
      <c r="K33" s="43">
        <f>K34+K38+K42+K43</f>
        <v>0</v>
      </c>
      <c r="L33" s="43">
        <f>L34+L38+L42+L43</f>
        <v>5.1</v>
      </c>
      <c r="M33" s="43">
        <f>M34+M38+M42+M43</f>
        <v>14.7</v>
      </c>
    </row>
    <row r="34" spans="1:13" s="43" customFormat="1" ht="12.75" customHeight="1">
      <c r="A34" s="45" t="s">
        <v>123</v>
      </c>
      <c r="B34" s="43" t="s">
        <v>440</v>
      </c>
      <c r="H34" s="43">
        <f>SUM(H35:H37)</f>
        <v>0.5</v>
      </c>
      <c r="I34" s="43">
        <f>SUM(I35:I37)</f>
        <v>2</v>
      </c>
      <c r="K34" s="43">
        <f>SUM(K35:K37)</f>
        <v>0</v>
      </c>
      <c r="L34" s="43">
        <f>SUM(L35:L37)</f>
        <v>1.5</v>
      </c>
      <c r="M34" s="43">
        <f>SUM(M35:M37)</f>
        <v>6</v>
      </c>
    </row>
    <row r="35" spans="1:13" s="43" customFormat="1" ht="12.75" customHeight="1">
      <c r="A35" s="45"/>
      <c r="B35" s="43" t="s">
        <v>441</v>
      </c>
      <c r="C35" s="43">
        <f>C47*8*18</f>
        <v>4896</v>
      </c>
      <c r="D35" s="43">
        <f>C35/E35</f>
        <v>32.64</v>
      </c>
      <c r="E35" s="43">
        <v>150</v>
      </c>
      <c r="I35" s="43">
        <v>0.5</v>
      </c>
      <c r="K35" s="43">
        <f>G35*E35/50</f>
        <v>0</v>
      </c>
      <c r="L35" s="43">
        <f>H35*E35/50</f>
        <v>0</v>
      </c>
      <c r="M35" s="43">
        <f>I35*E35/50</f>
        <v>1.5</v>
      </c>
    </row>
    <row r="36" spans="1:13" s="43" customFormat="1" ht="12.75" customHeight="1">
      <c r="A36" s="45"/>
      <c r="B36" s="43" t="s">
        <v>442</v>
      </c>
      <c r="C36" s="43">
        <f>C47*8*3</f>
        <v>816</v>
      </c>
      <c r="D36" s="43">
        <f>C36/E36</f>
        <v>5.44</v>
      </c>
      <c r="E36" s="43">
        <v>150</v>
      </c>
      <c r="H36" s="43">
        <v>0.5</v>
      </c>
      <c r="I36" s="43">
        <v>1</v>
      </c>
      <c r="K36" s="43">
        <f>G36*E36/50</f>
        <v>0</v>
      </c>
      <c r="L36" s="43">
        <f>H36*E36/50</f>
        <v>1.5</v>
      </c>
      <c r="M36" s="43">
        <f>I36*E36/50</f>
        <v>3</v>
      </c>
    </row>
    <row r="37" spans="1:13" s="43" customFormat="1" ht="12.75" customHeight="1">
      <c r="A37" s="45"/>
      <c r="B37" s="43" t="s">
        <v>443</v>
      </c>
      <c r="C37" s="43">
        <f>C47*8*18</f>
        <v>4896</v>
      </c>
      <c r="D37" s="43">
        <f>C37/E37</f>
        <v>32.64</v>
      </c>
      <c r="E37" s="43">
        <v>150</v>
      </c>
      <c r="I37" s="43">
        <v>0.5</v>
      </c>
      <c r="K37" s="43">
        <f>G37*E37/50</f>
        <v>0</v>
      </c>
      <c r="L37" s="43">
        <f>H37*E37/50</f>
        <v>0</v>
      </c>
      <c r="M37" s="43">
        <f>I37*E37/50</f>
        <v>1.5</v>
      </c>
    </row>
    <row r="38" spans="1:13" s="43" customFormat="1" ht="12.75" customHeight="1">
      <c r="A38" s="45" t="s">
        <v>131</v>
      </c>
      <c r="B38" s="43" t="s">
        <v>444</v>
      </c>
      <c r="H38" s="43">
        <f>SUM(H39:H41)</f>
        <v>0.5</v>
      </c>
      <c r="I38" s="43">
        <f>SUM(I39:I41)</f>
        <v>2</v>
      </c>
      <c r="K38" s="43">
        <f>SUM(K39:K41)</f>
        <v>0</v>
      </c>
      <c r="L38" s="43">
        <f>SUM(L39:L41)</f>
        <v>1.5</v>
      </c>
      <c r="M38" s="43">
        <f>SUM(M39:M41)</f>
        <v>6</v>
      </c>
    </row>
    <row r="39" spans="1:13" s="43" customFormat="1" ht="12.75" customHeight="1">
      <c r="A39" s="45"/>
      <c r="B39" s="43" t="s">
        <v>441</v>
      </c>
      <c r="C39" s="43">
        <f>C47*8*18</f>
        <v>4896</v>
      </c>
      <c r="D39" s="43">
        <f>C39/E39</f>
        <v>32.64</v>
      </c>
      <c r="E39" s="43">
        <v>150</v>
      </c>
      <c r="I39" s="43">
        <v>0.5</v>
      </c>
      <c r="K39" s="43">
        <f>G39*E39/50</f>
        <v>0</v>
      </c>
      <c r="L39" s="43">
        <f>H39*E39/50</f>
        <v>0</v>
      </c>
      <c r="M39" s="43">
        <f>I39*E39/50</f>
        <v>1.5</v>
      </c>
    </row>
    <row r="40" spans="1:13" s="43" customFormat="1" ht="12.75" customHeight="1">
      <c r="A40" s="45"/>
      <c r="B40" s="43" t="s">
        <v>445</v>
      </c>
      <c r="C40" s="43">
        <f>C47*8*3</f>
        <v>816</v>
      </c>
      <c r="D40" s="43">
        <f>C40/E40</f>
        <v>5.44</v>
      </c>
      <c r="E40" s="43">
        <v>150</v>
      </c>
      <c r="H40" s="43">
        <v>0.5</v>
      </c>
      <c r="I40" s="43">
        <v>1</v>
      </c>
      <c r="K40" s="43">
        <f>G40*E40/50</f>
        <v>0</v>
      </c>
      <c r="L40" s="43">
        <f>H40*E40/50</f>
        <v>1.5</v>
      </c>
      <c r="M40" s="43">
        <f>I40*E40/50</f>
        <v>3</v>
      </c>
    </row>
    <row r="41" spans="1:13" s="43" customFormat="1" ht="12.75" customHeight="1">
      <c r="A41" s="45"/>
      <c r="B41" s="43" t="s">
        <v>443</v>
      </c>
      <c r="C41" s="43">
        <f>C47*8*18</f>
        <v>4896</v>
      </c>
      <c r="D41" s="43">
        <f>C41/E41</f>
        <v>32.64</v>
      </c>
      <c r="E41" s="43">
        <v>150</v>
      </c>
      <c r="I41" s="43">
        <v>0.5</v>
      </c>
      <c r="K41" s="43">
        <f>G41*E41/50</f>
        <v>0</v>
      </c>
      <c r="L41" s="43">
        <f>H41*E41/50</f>
        <v>0</v>
      </c>
      <c r="M41" s="43">
        <f>I41*E41/50</f>
        <v>1.5</v>
      </c>
    </row>
    <row r="42" spans="1:13" s="43" customFormat="1" ht="12.75" customHeight="1">
      <c r="A42" s="45" t="s">
        <v>139</v>
      </c>
      <c r="B42" s="43" t="s">
        <v>446</v>
      </c>
      <c r="C42" s="43">
        <f>C47</f>
        <v>34</v>
      </c>
      <c r="D42" s="43">
        <f>C42/E42</f>
        <v>0.22666666666666666</v>
      </c>
      <c r="E42" s="43">
        <v>150</v>
      </c>
      <c r="H42" s="43">
        <v>0.5</v>
      </c>
      <c r="I42" s="43">
        <v>1</v>
      </c>
      <c r="K42" s="43">
        <f>G42*E42/50</f>
        <v>0</v>
      </c>
      <c r="L42" s="43">
        <f>H42*E42/50</f>
        <v>1.5</v>
      </c>
      <c r="M42" s="43">
        <f>I42*E42/50*0.75</f>
        <v>2.25</v>
      </c>
    </row>
    <row r="43" spans="1:13" s="43" customFormat="1" ht="12.75" customHeight="1">
      <c r="A43" s="45" t="s">
        <v>147</v>
      </c>
      <c r="B43" s="43" t="s">
        <v>447</v>
      </c>
      <c r="C43" s="43">
        <f>C47</f>
        <v>34</v>
      </c>
      <c r="D43" s="43">
        <f>C43/E43</f>
        <v>0.22666666666666666</v>
      </c>
      <c r="E43" s="43">
        <v>150</v>
      </c>
      <c r="H43" s="43">
        <v>0.2</v>
      </c>
      <c r="I43" s="43">
        <v>0.2</v>
      </c>
      <c r="K43" s="43">
        <f>G43*E43/50</f>
        <v>0</v>
      </c>
      <c r="L43" s="43">
        <f>H43*E43/50</f>
        <v>0.6</v>
      </c>
      <c r="M43" s="43">
        <f>I43*E43/50*0.75</f>
        <v>0.44999999999999996</v>
      </c>
    </row>
    <row r="44" s="43" customFormat="1" ht="12.75" customHeight="1">
      <c r="A44" s="45"/>
    </row>
    <row r="45" spans="1:13" s="43" customFormat="1" ht="12.75" customHeight="1">
      <c r="A45" s="45" t="s">
        <v>178</v>
      </c>
      <c r="B45" s="43" t="s">
        <v>448</v>
      </c>
      <c r="G45" s="43">
        <f>SUM(G47:G60)</f>
        <v>1.5</v>
      </c>
      <c r="H45" s="43">
        <f>SUM(H47:H60)</f>
        <v>1</v>
      </c>
      <c r="I45" s="43">
        <f>SUM(I48:I60)</f>
        <v>10.5</v>
      </c>
      <c r="K45" s="43">
        <f>SUM(K47:K60)</f>
        <v>4.5</v>
      </c>
      <c r="L45" s="43">
        <f>SUM(L47:L60)</f>
        <v>3</v>
      </c>
      <c r="M45" s="43">
        <f>SUM(M47:M60)</f>
        <v>25.125</v>
      </c>
    </row>
    <row r="46" s="43" customFormat="1" ht="12.75" customHeight="1">
      <c r="A46" s="45"/>
    </row>
    <row r="47" spans="1:13" s="43" customFormat="1" ht="12.75" customHeight="1">
      <c r="A47" s="45"/>
      <c r="B47" s="43" t="s">
        <v>418</v>
      </c>
      <c r="C47" s="43">
        <v>34</v>
      </c>
      <c r="D47" s="43">
        <f aca="true" t="shared" si="4" ref="D47:D60">C47/E47</f>
        <v>0.22666666666666666</v>
      </c>
      <c r="E47" s="43">
        <v>150</v>
      </c>
      <c r="G47" s="43">
        <v>0.5</v>
      </c>
      <c r="H47" s="43">
        <v>1</v>
      </c>
      <c r="K47" s="43">
        <f>G47*E47/50</f>
        <v>1.5</v>
      </c>
      <c r="L47" s="43">
        <f aca="true" t="shared" si="5" ref="L47:L60">H47*E47/50</f>
        <v>3</v>
      </c>
      <c r="M47" s="43">
        <f>I47*E47/50</f>
        <v>0</v>
      </c>
    </row>
    <row r="48" spans="1:13" s="43" customFormat="1" ht="12.75" customHeight="1">
      <c r="A48" s="45"/>
      <c r="B48" s="43" t="s">
        <v>449</v>
      </c>
      <c r="C48" s="43">
        <v>34</v>
      </c>
      <c r="D48" s="43">
        <f t="shared" si="4"/>
        <v>0.22666666666666666</v>
      </c>
      <c r="E48" s="43">
        <v>150</v>
      </c>
      <c r="I48" s="43">
        <v>0.25</v>
      </c>
      <c r="K48" s="43">
        <f aca="true" t="shared" si="6" ref="K48:K60">G48*E48/50</f>
        <v>0</v>
      </c>
      <c r="L48" s="43">
        <f t="shared" si="5"/>
        <v>0</v>
      </c>
      <c r="M48" s="43">
        <f>I48*E48/50*0.75</f>
        <v>0.5625</v>
      </c>
    </row>
    <row r="49" spans="1:13" s="43" customFormat="1" ht="12.75" customHeight="1">
      <c r="A49" s="45"/>
      <c r="B49" s="43" t="s">
        <v>450</v>
      </c>
      <c r="C49" s="43">
        <v>34</v>
      </c>
      <c r="D49" s="43">
        <f t="shared" si="4"/>
        <v>0.22666666666666666</v>
      </c>
      <c r="E49" s="43">
        <v>150</v>
      </c>
      <c r="I49" s="43">
        <v>0.5</v>
      </c>
      <c r="K49" s="43">
        <f t="shared" si="6"/>
        <v>0</v>
      </c>
      <c r="L49" s="43">
        <f t="shared" si="5"/>
        <v>0</v>
      </c>
      <c r="M49" s="43">
        <f>I49*E49/50*0.75</f>
        <v>1.125</v>
      </c>
    </row>
    <row r="50" spans="1:13" s="43" customFormat="1" ht="12.75" customHeight="1">
      <c r="A50" s="45"/>
      <c r="B50" s="43" t="s">
        <v>451</v>
      </c>
      <c r="C50" s="43">
        <v>34</v>
      </c>
      <c r="D50" s="43">
        <f t="shared" si="4"/>
        <v>0.22666666666666666</v>
      </c>
      <c r="E50" s="43">
        <v>150</v>
      </c>
      <c r="I50" s="43">
        <v>0.25</v>
      </c>
      <c r="K50" s="43">
        <f t="shared" si="6"/>
        <v>0</v>
      </c>
      <c r="L50" s="43">
        <f t="shared" si="5"/>
        <v>0</v>
      </c>
      <c r="M50" s="43">
        <f>I50*E50/50*0.75</f>
        <v>0.5625</v>
      </c>
    </row>
    <row r="51" spans="1:13" s="43" customFormat="1" ht="12.75" customHeight="1">
      <c r="A51" s="45"/>
      <c r="B51" s="43" t="s">
        <v>452</v>
      </c>
      <c r="C51" s="43">
        <v>34</v>
      </c>
      <c r="D51" s="43">
        <f t="shared" si="4"/>
        <v>0.22666666666666666</v>
      </c>
      <c r="E51" s="43">
        <v>150</v>
      </c>
      <c r="I51" s="43">
        <v>0.5</v>
      </c>
      <c r="K51" s="43">
        <f t="shared" si="6"/>
        <v>0</v>
      </c>
      <c r="L51" s="43">
        <f t="shared" si="5"/>
        <v>0</v>
      </c>
      <c r="M51" s="43">
        <f>I51*E51/50*0.75</f>
        <v>1.125</v>
      </c>
    </row>
    <row r="52" spans="1:13" s="43" customFormat="1" ht="12.75" customHeight="1">
      <c r="A52" s="45"/>
      <c r="B52" s="43" t="s">
        <v>453</v>
      </c>
      <c r="C52" s="43">
        <v>34</v>
      </c>
      <c r="D52" s="43">
        <f t="shared" si="4"/>
        <v>0.22666666666666666</v>
      </c>
      <c r="E52" s="43">
        <v>150</v>
      </c>
      <c r="I52" s="43">
        <v>0.25</v>
      </c>
      <c r="K52" s="43">
        <f t="shared" si="6"/>
        <v>0</v>
      </c>
      <c r="L52" s="43">
        <f t="shared" si="5"/>
        <v>0</v>
      </c>
      <c r="M52" s="43">
        <f>I52*E52/50*0.75</f>
        <v>0.5625</v>
      </c>
    </row>
    <row r="53" spans="1:13" s="43" customFormat="1" ht="12.75" customHeight="1">
      <c r="A53" s="45"/>
      <c r="B53" s="43" t="s">
        <v>454</v>
      </c>
      <c r="C53" s="43">
        <v>34</v>
      </c>
      <c r="D53" s="43">
        <f t="shared" si="4"/>
        <v>0.22666666666666666</v>
      </c>
      <c r="E53" s="43">
        <v>150</v>
      </c>
      <c r="I53" s="43">
        <v>0.5</v>
      </c>
      <c r="K53" s="43">
        <f t="shared" si="6"/>
        <v>0</v>
      </c>
      <c r="L53" s="43">
        <f t="shared" si="5"/>
        <v>0</v>
      </c>
      <c r="M53" s="43">
        <f>I53*E53/50*0.75</f>
        <v>1.125</v>
      </c>
    </row>
    <row r="54" spans="1:13" s="43" customFormat="1" ht="12.75" customHeight="1">
      <c r="A54" s="45"/>
      <c r="B54" s="43" t="s">
        <v>455</v>
      </c>
      <c r="C54" s="43">
        <v>34</v>
      </c>
      <c r="D54" s="43">
        <f t="shared" si="4"/>
        <v>0.22666666666666666</v>
      </c>
      <c r="E54" s="43">
        <v>150</v>
      </c>
      <c r="I54" s="43">
        <v>0.25</v>
      </c>
      <c r="K54" s="43">
        <f t="shared" si="6"/>
        <v>0</v>
      </c>
      <c r="L54" s="43">
        <f t="shared" si="5"/>
        <v>0</v>
      </c>
      <c r="M54" s="43">
        <f>I54*E54/50</f>
        <v>0.75</v>
      </c>
    </row>
    <row r="55" spans="1:13" s="43" customFormat="1" ht="12.75" customHeight="1">
      <c r="A55" s="45"/>
      <c r="B55" s="43" t="s">
        <v>456</v>
      </c>
      <c r="C55" s="43">
        <v>34</v>
      </c>
      <c r="D55" s="43">
        <f t="shared" si="4"/>
        <v>0.22666666666666666</v>
      </c>
      <c r="E55" s="43">
        <v>150</v>
      </c>
      <c r="I55" s="43">
        <v>0.25</v>
      </c>
      <c r="K55" s="43">
        <f t="shared" si="6"/>
        <v>0</v>
      </c>
      <c r="L55" s="43">
        <f t="shared" si="5"/>
        <v>0</v>
      </c>
      <c r="M55" s="43">
        <f>I55*E55/50</f>
        <v>0.75</v>
      </c>
    </row>
    <row r="56" spans="1:13" s="43" customFormat="1" ht="12.75" customHeight="1">
      <c r="A56" s="45"/>
      <c r="B56" s="43" t="s">
        <v>457</v>
      </c>
      <c r="C56" s="43">
        <v>34</v>
      </c>
      <c r="D56" s="43">
        <f t="shared" si="4"/>
        <v>0.22666666666666666</v>
      </c>
      <c r="E56" s="43">
        <v>150</v>
      </c>
      <c r="I56" s="43">
        <v>0.5</v>
      </c>
      <c r="K56" s="43">
        <f t="shared" si="6"/>
        <v>0</v>
      </c>
      <c r="L56" s="43">
        <f t="shared" si="5"/>
        <v>0</v>
      </c>
      <c r="M56" s="43">
        <f>I56*E56/50</f>
        <v>1.5</v>
      </c>
    </row>
    <row r="57" spans="1:13" s="43" customFormat="1" ht="12.75" customHeight="1">
      <c r="A57" s="45"/>
      <c r="B57" s="43" t="s">
        <v>458</v>
      </c>
      <c r="C57" s="43">
        <v>34</v>
      </c>
      <c r="D57" s="43">
        <f t="shared" si="4"/>
        <v>0.22666666666666666</v>
      </c>
      <c r="E57" s="43">
        <v>150</v>
      </c>
      <c r="I57" s="43">
        <v>0.25</v>
      </c>
      <c r="K57" s="43">
        <f t="shared" si="6"/>
        <v>0</v>
      </c>
      <c r="L57" s="43">
        <f t="shared" si="5"/>
        <v>0</v>
      </c>
      <c r="M57" s="43">
        <f>I57*E57/50*0.75</f>
        <v>0.5625</v>
      </c>
    </row>
    <row r="58" spans="1:13" s="43" customFormat="1" ht="12.75" customHeight="1">
      <c r="A58" s="45"/>
      <c r="B58" s="43" t="s">
        <v>459</v>
      </c>
      <c r="C58" s="43">
        <v>34</v>
      </c>
      <c r="D58" s="43">
        <f t="shared" si="4"/>
        <v>0.22666666666666666</v>
      </c>
      <c r="E58" s="43">
        <v>150</v>
      </c>
      <c r="I58" s="43">
        <v>2</v>
      </c>
      <c r="K58" s="43">
        <f t="shared" si="6"/>
        <v>0</v>
      </c>
      <c r="L58" s="43">
        <f t="shared" si="5"/>
        <v>0</v>
      </c>
      <c r="M58" s="43">
        <f>I58*E58/50*0.75</f>
        <v>4.5</v>
      </c>
    </row>
    <row r="59" spans="1:13" s="43" customFormat="1" ht="12.75" customHeight="1">
      <c r="A59" s="45"/>
      <c r="B59" s="43" t="s">
        <v>460</v>
      </c>
      <c r="C59" s="43">
        <v>34</v>
      </c>
      <c r="D59" s="43">
        <f t="shared" si="4"/>
        <v>0.22666666666666666</v>
      </c>
      <c r="E59" s="43">
        <v>150</v>
      </c>
      <c r="I59" s="43">
        <v>4</v>
      </c>
      <c r="K59" s="43">
        <f t="shared" si="6"/>
        <v>0</v>
      </c>
      <c r="L59" s="43">
        <f t="shared" si="5"/>
        <v>0</v>
      </c>
      <c r="M59" s="43">
        <f>I59*E59/50*0.75</f>
        <v>9</v>
      </c>
    </row>
    <row r="60" spans="1:13" s="43" customFormat="1" ht="12.75" customHeight="1">
      <c r="A60" s="45"/>
      <c r="B60" s="43" t="s">
        <v>461</v>
      </c>
      <c r="C60" s="43">
        <v>34</v>
      </c>
      <c r="D60" s="43">
        <f t="shared" si="4"/>
        <v>0.22666666666666666</v>
      </c>
      <c r="E60" s="43">
        <v>150</v>
      </c>
      <c r="G60" s="43">
        <v>1</v>
      </c>
      <c r="I60" s="43">
        <v>1</v>
      </c>
      <c r="K60" s="43">
        <f t="shared" si="6"/>
        <v>3</v>
      </c>
      <c r="L60" s="43">
        <f t="shared" si="5"/>
        <v>0</v>
      </c>
      <c r="M60" s="43">
        <f>I60*E60/50</f>
        <v>3</v>
      </c>
    </row>
    <row r="61" s="43" customFormat="1" ht="12.75" customHeight="1">
      <c r="A61" s="45"/>
    </row>
    <row r="62" spans="1:2" s="43" customFormat="1" ht="12.75" customHeight="1">
      <c r="A62" s="45" t="s">
        <v>186</v>
      </c>
      <c r="B62" s="43" t="s">
        <v>187</v>
      </c>
    </row>
    <row r="63" s="43" customFormat="1" ht="12.75" customHeight="1">
      <c r="A63" s="45"/>
    </row>
    <row r="64" spans="1:13" s="43" customFormat="1" ht="12.75" customHeight="1">
      <c r="A64" s="45" t="s">
        <v>194</v>
      </c>
      <c r="B64" s="43" t="s">
        <v>462</v>
      </c>
      <c r="C64" s="43">
        <v>34</v>
      </c>
      <c r="D64" s="43">
        <f>C64/E64</f>
        <v>0.22666666666666666</v>
      </c>
      <c r="E64" s="43">
        <v>150</v>
      </c>
      <c r="G64" s="43">
        <v>0.25</v>
      </c>
      <c r="H64" s="43">
        <v>0.5</v>
      </c>
      <c r="I64" s="43">
        <v>1</v>
      </c>
      <c r="K64" s="43">
        <f>G64*E64/50</f>
        <v>0.75</v>
      </c>
      <c r="L64" s="43">
        <f>H64*E64/50</f>
        <v>1.5</v>
      </c>
      <c r="M64" s="43">
        <f>(G64+H64+I64)*E64/50</f>
        <v>5.25</v>
      </c>
    </row>
  </sheetData>
  <printOptions/>
  <pageMargins left="0.75" right="0.75" top="1" bottom="1" header="0.5" footer="0.5"/>
  <pageSetup horizontalDpi="600" verticalDpi="600" orientation="landscape" scale="70" r:id="rId1"/>
</worksheet>
</file>

<file path=xl/worksheets/sheet4.xml><?xml version="1.0" encoding="utf-8"?>
<worksheet xmlns="http://schemas.openxmlformats.org/spreadsheetml/2006/main" xmlns:r="http://schemas.openxmlformats.org/officeDocument/2006/relationships">
  <dimension ref="A1:F190"/>
  <sheetViews>
    <sheetView workbookViewId="0" topLeftCell="A29">
      <selection activeCell="F41" sqref="F41"/>
    </sheetView>
  </sheetViews>
  <sheetFormatPr defaultColWidth="9.140625" defaultRowHeight="12.75"/>
  <cols>
    <col min="1" max="1" width="14.8515625" style="0" customWidth="1"/>
    <col min="2" max="2" width="9.00390625" style="0" customWidth="1"/>
    <col min="5" max="5" width="13.8515625" style="0" customWidth="1"/>
    <col min="6" max="6" width="76.00390625" style="47" bestFit="1" customWidth="1"/>
  </cols>
  <sheetData>
    <row r="1" spans="1:6" ht="12.75">
      <c r="A1" s="10" t="s">
        <v>26</v>
      </c>
      <c r="B1" s="2"/>
      <c r="E1" t="s">
        <v>483</v>
      </c>
      <c r="F1" s="47" t="s">
        <v>482</v>
      </c>
    </row>
    <row r="2" spans="1:2" ht="12.75">
      <c r="A2" s="15" t="s">
        <v>56</v>
      </c>
      <c r="B2" s="1" t="s">
        <v>57</v>
      </c>
    </row>
    <row r="3" spans="1:2" ht="12.75">
      <c r="A3" s="1"/>
      <c r="B3" s="2"/>
    </row>
    <row r="4" spans="1:2" ht="12.75">
      <c r="A4" s="1" t="s">
        <v>58</v>
      </c>
      <c r="B4" s="1" t="s">
        <v>59</v>
      </c>
    </row>
    <row r="5" spans="1:2" ht="12.75">
      <c r="A5" s="1"/>
      <c r="B5" s="1"/>
    </row>
    <row r="6" spans="1:2" ht="12.75">
      <c r="A6" s="1" t="s">
        <v>60</v>
      </c>
      <c r="B6" s="1" t="s">
        <v>61</v>
      </c>
    </row>
    <row r="7" spans="1:2" ht="12.75">
      <c r="A7" s="1"/>
      <c r="B7" s="1"/>
    </row>
    <row r="8" spans="1:2" ht="12.75">
      <c r="A8" s="1" t="s">
        <v>62</v>
      </c>
      <c r="B8" s="1" t="s">
        <v>63</v>
      </c>
    </row>
    <row r="9" spans="1:2" ht="12.75">
      <c r="A9" s="1" t="s">
        <v>64</v>
      </c>
      <c r="B9" s="1" t="s">
        <v>65</v>
      </c>
    </row>
    <row r="10" spans="1:6" ht="25.5">
      <c r="A10" s="1" t="s">
        <v>66</v>
      </c>
      <c r="B10" s="1" t="s">
        <v>67</v>
      </c>
      <c r="E10" t="s">
        <v>480</v>
      </c>
      <c r="F10" s="47" t="s">
        <v>478</v>
      </c>
    </row>
    <row r="11" spans="1:2" ht="12.75">
      <c r="A11" s="1"/>
      <c r="B11" s="1"/>
    </row>
    <row r="12" spans="1:2" ht="12.75">
      <c r="A12" s="1" t="s">
        <v>68</v>
      </c>
      <c r="B12" s="1" t="s">
        <v>69</v>
      </c>
    </row>
    <row r="13" spans="1:2" ht="12.75">
      <c r="A13" s="1" t="s">
        <v>70</v>
      </c>
      <c r="B13" s="1" t="s">
        <v>63</v>
      </c>
    </row>
    <row r="14" spans="1:2" ht="12.75">
      <c r="A14" s="1" t="s">
        <v>72</v>
      </c>
      <c r="B14" s="1" t="s">
        <v>65</v>
      </c>
    </row>
    <row r="15" spans="1:2" ht="12.75">
      <c r="A15" s="1" t="s">
        <v>74</v>
      </c>
      <c r="B15" s="1" t="s">
        <v>67</v>
      </c>
    </row>
    <row r="16" spans="1:6" ht="38.25">
      <c r="A16" s="1" t="s">
        <v>76</v>
      </c>
      <c r="B16" s="1" t="s">
        <v>77</v>
      </c>
      <c r="E16" t="s">
        <v>481</v>
      </c>
      <c r="F16" s="47" t="s">
        <v>463</v>
      </c>
    </row>
    <row r="17" spans="1:6" ht="12.75">
      <c r="A17" s="1" t="s">
        <v>78</v>
      </c>
      <c r="B17" s="1" t="s">
        <v>79</v>
      </c>
      <c r="E17" t="s">
        <v>484</v>
      </c>
      <c r="F17" s="47" t="s">
        <v>464</v>
      </c>
    </row>
    <row r="18" spans="1:6" ht="25.5">
      <c r="A18" s="1" t="s">
        <v>80</v>
      </c>
      <c r="B18" s="1" t="s">
        <v>81</v>
      </c>
      <c r="E18" t="s">
        <v>484</v>
      </c>
      <c r="F18" s="47" t="s">
        <v>465</v>
      </c>
    </row>
    <row r="19" spans="1:6" ht="25.5">
      <c r="A19" s="1" t="s">
        <v>82</v>
      </c>
      <c r="B19" s="1" t="s">
        <v>83</v>
      </c>
      <c r="E19" t="s">
        <v>484</v>
      </c>
      <c r="F19" s="47" t="s">
        <v>479</v>
      </c>
    </row>
    <row r="20" spans="1:6" ht="12.75">
      <c r="A20" s="1" t="s">
        <v>84</v>
      </c>
      <c r="B20" s="1" t="s">
        <v>85</v>
      </c>
      <c r="E20" t="s">
        <v>484</v>
      </c>
      <c r="F20" s="47" t="s">
        <v>466</v>
      </c>
    </row>
    <row r="21" spans="1:2" ht="12.75">
      <c r="A21" s="1"/>
      <c r="B21" s="1"/>
    </row>
    <row r="22" spans="1:2" ht="12.75">
      <c r="A22" s="1" t="s">
        <v>86</v>
      </c>
      <c r="B22" s="1" t="s">
        <v>87</v>
      </c>
    </row>
    <row r="23" spans="1:2" ht="12.75">
      <c r="A23" s="1"/>
      <c r="B23" s="1"/>
    </row>
    <row r="24" spans="1:2" ht="12.75">
      <c r="A24" s="1" t="s">
        <v>88</v>
      </c>
      <c r="B24" s="1" t="s">
        <v>89</v>
      </c>
    </row>
    <row r="25" spans="1:2" ht="12.75">
      <c r="A25" s="1" t="s">
        <v>90</v>
      </c>
      <c r="B25" s="1" t="s">
        <v>63</v>
      </c>
    </row>
    <row r="26" spans="1:5" ht="12.75">
      <c r="A26" s="1" t="s">
        <v>92</v>
      </c>
      <c r="B26" s="1" t="s">
        <v>65</v>
      </c>
      <c r="E26" t="s">
        <v>480</v>
      </c>
    </row>
    <row r="27" spans="1:6" ht="25.5">
      <c r="A27" s="1" t="s">
        <v>94</v>
      </c>
      <c r="B27" s="1" t="s">
        <v>67</v>
      </c>
      <c r="E27" t="s">
        <v>480</v>
      </c>
      <c r="F27" s="47" t="s">
        <v>486</v>
      </c>
    </row>
    <row r="28" spans="1:2" ht="12.75">
      <c r="A28" s="1"/>
      <c r="B28" s="1"/>
    </row>
    <row r="29" spans="1:2" ht="12.75">
      <c r="A29" s="1" t="s">
        <v>96</v>
      </c>
      <c r="B29" s="1" t="s">
        <v>97</v>
      </c>
    </row>
    <row r="30" spans="1:5" ht="12.75">
      <c r="A30" s="1" t="s">
        <v>98</v>
      </c>
      <c r="B30" s="1" t="s">
        <v>65</v>
      </c>
      <c r="E30" t="s">
        <v>480</v>
      </c>
    </row>
    <row r="31" spans="1:6" ht="76.5">
      <c r="A31" s="1" t="s">
        <v>100</v>
      </c>
      <c r="B31" s="1" t="s">
        <v>67</v>
      </c>
      <c r="E31" t="s">
        <v>480</v>
      </c>
      <c r="F31" s="47" t="s">
        <v>485</v>
      </c>
    </row>
    <row r="32" spans="1:6" ht="12.75">
      <c r="A32" s="1"/>
      <c r="B32" s="1"/>
      <c r="F32" s="47" t="s">
        <v>467</v>
      </c>
    </row>
    <row r="33" spans="1:6" ht="12.75">
      <c r="A33" s="1" t="s">
        <v>102</v>
      </c>
      <c r="B33" s="1" t="s">
        <v>103</v>
      </c>
      <c r="F33" s="47" t="s">
        <v>467</v>
      </c>
    </row>
    <row r="34" spans="1:6" ht="12.75">
      <c r="A34" s="1" t="s">
        <v>104</v>
      </c>
      <c r="B34" s="1" t="s">
        <v>105</v>
      </c>
      <c r="F34" s="47" t="s">
        <v>468</v>
      </c>
    </row>
    <row r="35" spans="1:6" ht="25.5">
      <c r="A35" s="1" t="s">
        <v>106</v>
      </c>
      <c r="B35" s="1" t="s">
        <v>107</v>
      </c>
      <c r="E35" t="s">
        <v>480</v>
      </c>
      <c r="F35" s="47" t="s">
        <v>496</v>
      </c>
    </row>
    <row r="36" spans="1:2" ht="12.75">
      <c r="A36" s="1" t="s">
        <v>108</v>
      </c>
      <c r="B36" s="2" t="s">
        <v>109</v>
      </c>
    </row>
    <row r="37" spans="1:6" ht="12.75">
      <c r="A37" s="1" t="s">
        <v>110</v>
      </c>
      <c r="B37" s="1" t="s">
        <v>107</v>
      </c>
      <c r="E37" t="s">
        <v>484</v>
      </c>
      <c r="F37" s="47" t="s">
        <v>487</v>
      </c>
    </row>
    <row r="38" spans="1:2" ht="12.75">
      <c r="A38" s="1" t="s">
        <v>112</v>
      </c>
      <c r="B38" s="1" t="s">
        <v>113</v>
      </c>
    </row>
    <row r="39" spans="1:6" ht="25.5">
      <c r="A39" s="1" t="s">
        <v>114</v>
      </c>
      <c r="B39" s="1" t="s">
        <v>107</v>
      </c>
      <c r="F39" s="47" t="s">
        <v>470</v>
      </c>
    </row>
    <row r="40" spans="1:6" ht="12.75">
      <c r="A40" s="1" t="s">
        <v>117</v>
      </c>
      <c r="B40" s="1" t="s">
        <v>118</v>
      </c>
      <c r="F40" s="47" t="s">
        <v>438</v>
      </c>
    </row>
    <row r="41" spans="1:6" ht="12.75">
      <c r="A41" s="1" t="s">
        <v>114</v>
      </c>
      <c r="B41" s="1" t="s">
        <v>67</v>
      </c>
      <c r="F41" s="47" t="s">
        <v>497</v>
      </c>
    </row>
    <row r="42" spans="1:2" ht="12.75">
      <c r="A42" s="1"/>
      <c r="B42" s="1"/>
    </row>
    <row r="43" spans="1:2" ht="12.75">
      <c r="A43" s="1" t="s">
        <v>121</v>
      </c>
      <c r="B43" s="1" t="s">
        <v>122</v>
      </c>
    </row>
    <row r="44" spans="1:2" ht="12.75">
      <c r="A44" s="1"/>
      <c r="B44" s="1"/>
    </row>
    <row r="45" spans="1:2" ht="12.75">
      <c r="A45" s="1" t="s">
        <v>123</v>
      </c>
      <c r="B45" s="1" t="s">
        <v>124</v>
      </c>
    </row>
    <row r="46" spans="1:2" ht="12.75">
      <c r="A46" s="1" t="s">
        <v>125</v>
      </c>
      <c r="B46" s="1" t="s">
        <v>63</v>
      </c>
    </row>
    <row r="47" spans="1:2" ht="12.75">
      <c r="A47" s="1" t="s">
        <v>127</v>
      </c>
      <c r="B47" s="1" t="s">
        <v>65</v>
      </c>
    </row>
    <row r="48" spans="1:6" ht="63.75">
      <c r="A48" s="1" t="s">
        <v>129</v>
      </c>
      <c r="B48" s="1" t="s">
        <v>67</v>
      </c>
      <c r="E48" t="s">
        <v>480</v>
      </c>
      <c r="F48" s="47" t="s">
        <v>488</v>
      </c>
    </row>
    <row r="49" spans="1:2" ht="12.75">
      <c r="A49" s="1"/>
      <c r="B49" s="1"/>
    </row>
    <row r="50" spans="1:2" ht="12.75">
      <c r="A50" s="1" t="s">
        <v>131</v>
      </c>
      <c r="B50" s="1" t="s">
        <v>132</v>
      </c>
    </row>
    <row r="51" spans="1:2" ht="12.75">
      <c r="A51" s="1" t="s">
        <v>133</v>
      </c>
      <c r="B51" s="1" t="s">
        <v>63</v>
      </c>
    </row>
    <row r="52" spans="1:2" ht="12.75">
      <c r="A52" s="1" t="s">
        <v>135</v>
      </c>
      <c r="B52" s="1" t="s">
        <v>65</v>
      </c>
    </row>
    <row r="53" spans="1:6" ht="63.75">
      <c r="A53" s="15" t="s">
        <v>137</v>
      </c>
      <c r="B53" s="1" t="s">
        <v>67</v>
      </c>
      <c r="E53" t="s">
        <v>480</v>
      </c>
      <c r="F53" s="47" t="s">
        <v>488</v>
      </c>
    </row>
    <row r="54" spans="1:2" ht="12.75">
      <c r="A54" s="15"/>
      <c r="B54" s="1"/>
    </row>
    <row r="55" spans="1:2" ht="12.75">
      <c r="A55" s="1" t="s">
        <v>139</v>
      </c>
      <c r="B55" s="1" t="s">
        <v>140</v>
      </c>
    </row>
    <row r="56" spans="1:2" ht="12.75">
      <c r="A56" s="1" t="s">
        <v>141</v>
      </c>
      <c r="B56" s="1" t="s">
        <v>63</v>
      </c>
    </row>
    <row r="57" spans="1:2" ht="12.75">
      <c r="A57" s="15" t="s">
        <v>143</v>
      </c>
      <c r="B57" s="1" t="s">
        <v>65</v>
      </c>
    </row>
    <row r="58" spans="1:6" ht="38.25">
      <c r="A58" s="1" t="s">
        <v>145</v>
      </c>
      <c r="B58" s="1" t="s">
        <v>67</v>
      </c>
      <c r="E58" t="s">
        <v>484</v>
      </c>
      <c r="F58" s="47" t="s">
        <v>494</v>
      </c>
    </row>
    <row r="59" spans="1:2" ht="12.75">
      <c r="A59" s="1"/>
      <c r="B59" s="1"/>
    </row>
    <row r="60" spans="1:2" ht="12.75">
      <c r="A60" s="15" t="s">
        <v>147</v>
      </c>
      <c r="B60" s="1" t="s">
        <v>148</v>
      </c>
    </row>
    <row r="61" spans="1:2" ht="12.75">
      <c r="A61" s="1" t="s">
        <v>149</v>
      </c>
      <c r="B61" s="1" t="s">
        <v>63</v>
      </c>
    </row>
    <row r="62" spans="1:2" ht="12.75">
      <c r="A62" s="1" t="s">
        <v>151</v>
      </c>
      <c r="B62" s="1" t="s">
        <v>65</v>
      </c>
    </row>
    <row r="63" spans="1:6" ht="12.75">
      <c r="A63" s="1" t="s">
        <v>153</v>
      </c>
      <c r="B63" s="2" t="s">
        <v>67</v>
      </c>
      <c r="E63" t="s">
        <v>484</v>
      </c>
      <c r="F63" s="47" t="s">
        <v>495</v>
      </c>
    </row>
    <row r="64" spans="1:2" ht="12.75">
      <c r="A64" s="1"/>
      <c r="B64" s="1"/>
    </row>
    <row r="65" spans="1:2" ht="12.75">
      <c r="A65" s="1" t="s">
        <v>155</v>
      </c>
      <c r="B65" s="1" t="s">
        <v>156</v>
      </c>
    </row>
    <row r="66" spans="1:2" ht="12.75">
      <c r="A66" s="1" t="s">
        <v>158</v>
      </c>
      <c r="B66" s="1" t="s">
        <v>159</v>
      </c>
    </row>
    <row r="67" spans="1:2" ht="12.75">
      <c r="A67" s="1" t="s">
        <v>160</v>
      </c>
      <c r="B67" s="1" t="s">
        <v>67</v>
      </c>
    </row>
    <row r="68" spans="1:2" ht="12.75">
      <c r="A68" s="1" t="s">
        <v>162</v>
      </c>
      <c r="B68" s="1" t="s">
        <v>163</v>
      </c>
    </row>
    <row r="69" spans="1:2" ht="12.75">
      <c r="A69" s="1" t="s">
        <v>165</v>
      </c>
      <c r="B69" s="1" t="s">
        <v>166</v>
      </c>
    </row>
    <row r="70" spans="1:2" ht="12.75">
      <c r="A70" s="1" t="s">
        <v>167</v>
      </c>
      <c r="B70" s="1" t="s">
        <v>67</v>
      </c>
    </row>
    <row r="71" spans="1:2" ht="12.75">
      <c r="A71" s="1" t="s">
        <v>169</v>
      </c>
      <c r="B71" s="1" t="s">
        <v>163</v>
      </c>
    </row>
    <row r="72" spans="1:2" ht="12.75">
      <c r="A72" s="1" t="s">
        <v>172</v>
      </c>
      <c r="B72" s="1" t="s">
        <v>173</v>
      </c>
    </row>
    <row r="73" spans="1:2" ht="12.75">
      <c r="A73" s="1" t="s">
        <v>174</v>
      </c>
      <c r="B73" s="1" t="s">
        <v>67</v>
      </c>
    </row>
    <row r="74" spans="1:2" ht="12.75">
      <c r="A74" s="1"/>
      <c r="B74" s="1"/>
    </row>
    <row r="75" spans="1:2" ht="12.75">
      <c r="A75" s="1" t="s">
        <v>176</v>
      </c>
      <c r="B75" s="1" t="s">
        <v>177</v>
      </c>
    </row>
    <row r="76" spans="1:2" ht="12.75">
      <c r="A76" s="1"/>
      <c r="B76" s="1"/>
    </row>
    <row r="77" spans="1:6" ht="12.75">
      <c r="A77" s="1" t="s">
        <v>178</v>
      </c>
      <c r="B77" s="1" t="s">
        <v>179</v>
      </c>
      <c r="F77" s="47" t="s">
        <v>489</v>
      </c>
    </row>
    <row r="78" spans="1:2" ht="12.75">
      <c r="A78" s="1" t="s">
        <v>180</v>
      </c>
      <c r="B78" s="1" t="s">
        <v>63</v>
      </c>
    </row>
    <row r="79" spans="1:2" ht="12.75">
      <c r="A79" s="15" t="s">
        <v>182</v>
      </c>
      <c r="B79" s="1" t="s">
        <v>65</v>
      </c>
    </row>
    <row r="80" spans="1:5" ht="12.75">
      <c r="A80" s="15" t="s">
        <v>184</v>
      </c>
      <c r="B80" s="1" t="s">
        <v>185</v>
      </c>
      <c r="E80" t="s">
        <v>484</v>
      </c>
    </row>
    <row r="81" spans="1:2" ht="12.75">
      <c r="A81" s="15" t="s">
        <v>186</v>
      </c>
      <c r="B81" s="1" t="s">
        <v>187</v>
      </c>
    </row>
    <row r="82" spans="1:2" ht="12.75">
      <c r="A82" s="1" t="s">
        <v>188</v>
      </c>
      <c r="B82" s="1" t="s">
        <v>63</v>
      </c>
    </row>
    <row r="83" spans="1:2" ht="12.75">
      <c r="A83" s="15" t="s">
        <v>190</v>
      </c>
      <c r="B83" s="1" t="s">
        <v>65</v>
      </c>
    </row>
    <row r="84" spans="1:5" ht="12.75">
      <c r="A84" s="15" t="s">
        <v>192</v>
      </c>
      <c r="B84" s="1" t="s">
        <v>185</v>
      </c>
      <c r="E84" t="s">
        <v>484</v>
      </c>
    </row>
    <row r="85" spans="1:6" ht="12.75">
      <c r="A85" s="15" t="s">
        <v>194</v>
      </c>
      <c r="B85" s="26" t="s">
        <v>195</v>
      </c>
      <c r="F85" s="47" t="s">
        <v>471</v>
      </c>
    </row>
    <row r="86" spans="1:2" ht="12.75">
      <c r="A86" s="15" t="s">
        <v>196</v>
      </c>
      <c r="B86" s="1" t="s">
        <v>63</v>
      </c>
    </row>
    <row r="87" spans="1:2" ht="12.75">
      <c r="A87" s="15" t="s">
        <v>198</v>
      </c>
      <c r="B87" s="1" t="s">
        <v>65</v>
      </c>
    </row>
    <row r="88" spans="1:6" ht="12.75">
      <c r="A88" s="15" t="s">
        <v>200</v>
      </c>
      <c r="B88" s="1" t="s">
        <v>185</v>
      </c>
      <c r="E88" t="s">
        <v>490</v>
      </c>
      <c r="F88" s="47" t="s">
        <v>491</v>
      </c>
    </row>
    <row r="89" spans="1:2" ht="12.75">
      <c r="A89" s="15"/>
      <c r="B89" s="1"/>
    </row>
    <row r="90" spans="1:2" ht="12.75">
      <c r="A90" s="15" t="s">
        <v>202</v>
      </c>
      <c r="B90" s="1" t="s">
        <v>203</v>
      </c>
    </row>
    <row r="91" spans="1:2" ht="12.75">
      <c r="A91" s="1"/>
      <c r="B91" s="1"/>
    </row>
    <row r="92" spans="1:2" ht="12.75">
      <c r="A92" s="15" t="s">
        <v>204</v>
      </c>
      <c r="B92" s="1" t="s">
        <v>205</v>
      </c>
    </row>
    <row r="93" spans="1:2" ht="12.75">
      <c r="A93" s="1"/>
      <c r="B93" s="1"/>
    </row>
    <row r="94" spans="1:2" ht="12.75">
      <c r="A94" s="15" t="s">
        <v>206</v>
      </c>
      <c r="B94" s="1" t="s">
        <v>207</v>
      </c>
    </row>
    <row r="95" spans="1:2" ht="12.75">
      <c r="A95" s="15"/>
      <c r="B95" s="1"/>
    </row>
    <row r="96" spans="1:2" ht="12.75">
      <c r="A96" s="15" t="s">
        <v>209</v>
      </c>
      <c r="B96" s="1" t="s">
        <v>210</v>
      </c>
    </row>
    <row r="97" spans="1:2" ht="12.75">
      <c r="A97" s="15" t="s">
        <v>212</v>
      </c>
      <c r="B97" s="1" t="s">
        <v>213</v>
      </c>
    </row>
    <row r="98" spans="1:2" ht="12.75">
      <c r="A98" s="15" t="s">
        <v>214</v>
      </c>
      <c r="B98" s="1" t="s">
        <v>215</v>
      </c>
    </row>
    <row r="99" spans="1:2" ht="12.75">
      <c r="A99" s="15" t="s">
        <v>216</v>
      </c>
      <c r="B99" s="1" t="s">
        <v>217</v>
      </c>
    </row>
    <row r="100" spans="1:2" ht="12.75">
      <c r="A100" s="15" t="s">
        <v>218</v>
      </c>
      <c r="B100" s="1" t="s">
        <v>219</v>
      </c>
    </row>
    <row r="101" spans="1:2" ht="12.75">
      <c r="A101" s="1" t="s">
        <v>220</v>
      </c>
      <c r="B101" s="1" t="s">
        <v>221</v>
      </c>
    </row>
    <row r="102" spans="1:2" ht="12.75">
      <c r="A102" s="1"/>
      <c r="B102" s="1"/>
    </row>
    <row r="103" spans="1:2" ht="12.75">
      <c r="A103" s="1" t="s">
        <v>222</v>
      </c>
      <c r="B103" s="1" t="s">
        <v>223</v>
      </c>
    </row>
    <row r="104" spans="1:2" ht="12.75">
      <c r="A104" s="15"/>
      <c r="B104" s="1"/>
    </row>
    <row r="105" spans="1:2" ht="12.75">
      <c r="A105" s="1" t="s">
        <v>225</v>
      </c>
      <c r="B105" s="1" t="s">
        <v>226</v>
      </c>
    </row>
    <row r="106" spans="1:2" ht="12.75">
      <c r="A106" s="15" t="s">
        <v>227</v>
      </c>
      <c r="B106" s="1" t="s">
        <v>228</v>
      </c>
    </row>
    <row r="107" spans="1:2" ht="12.75">
      <c r="A107" s="15" t="s">
        <v>229</v>
      </c>
      <c r="B107" s="1" t="s">
        <v>230</v>
      </c>
    </row>
    <row r="108" spans="1:2" ht="12.75">
      <c r="A108" s="15" t="s">
        <v>231</v>
      </c>
      <c r="B108" s="1" t="s">
        <v>232</v>
      </c>
    </row>
    <row r="109" spans="1:2" ht="12.75">
      <c r="A109" s="15" t="s">
        <v>233</v>
      </c>
      <c r="B109" s="1" t="s">
        <v>217</v>
      </c>
    </row>
    <row r="110" spans="1:2" ht="12.75">
      <c r="A110" s="15" t="s">
        <v>235</v>
      </c>
      <c r="B110" s="1" t="s">
        <v>219</v>
      </c>
    </row>
    <row r="111" spans="1:2" ht="12.75">
      <c r="A111" s="15" t="s">
        <v>237</v>
      </c>
      <c r="B111" s="1" t="s">
        <v>238</v>
      </c>
    </row>
    <row r="112" spans="1:2" ht="12.75">
      <c r="A112" s="15"/>
      <c r="B112" s="1"/>
    </row>
    <row r="113" spans="1:2" ht="12.75">
      <c r="A113" s="15" t="s">
        <v>239</v>
      </c>
      <c r="B113" s="1" t="s">
        <v>240</v>
      </c>
    </row>
    <row r="114" spans="1:2" ht="12.75">
      <c r="A114" s="15"/>
      <c r="B114" s="1"/>
    </row>
    <row r="115" spans="1:2" ht="12.75">
      <c r="A115" s="15" t="s">
        <v>241</v>
      </c>
      <c r="B115" s="1" t="s">
        <v>242</v>
      </c>
    </row>
    <row r="116" spans="1:2" ht="12.75">
      <c r="A116" s="15"/>
      <c r="B116" s="1"/>
    </row>
    <row r="117" spans="1:2" ht="12.75">
      <c r="A117" s="15" t="s">
        <v>243</v>
      </c>
      <c r="B117" s="1" t="s">
        <v>244</v>
      </c>
    </row>
    <row r="118" spans="1:2" ht="12.75">
      <c r="A118" s="15"/>
      <c r="B118" s="1"/>
    </row>
    <row r="119" spans="1:2" ht="12.75">
      <c r="A119" s="15" t="s">
        <v>245</v>
      </c>
      <c r="B119" s="1" t="s">
        <v>246</v>
      </c>
    </row>
    <row r="120" spans="1:2" ht="12.75">
      <c r="A120" s="15" t="s">
        <v>247</v>
      </c>
      <c r="B120" s="1" t="s">
        <v>248</v>
      </c>
    </row>
    <row r="121" spans="1:2" ht="12.75">
      <c r="A121" s="15" t="s">
        <v>249</v>
      </c>
      <c r="B121" s="1" t="s">
        <v>250</v>
      </c>
    </row>
    <row r="122" spans="1:2" ht="12.75">
      <c r="A122" s="15"/>
      <c r="B122" s="1"/>
    </row>
    <row r="123" spans="1:2" ht="12.75">
      <c r="A123" s="15" t="s">
        <v>251</v>
      </c>
      <c r="B123" s="1" t="s">
        <v>252</v>
      </c>
    </row>
    <row r="124" spans="1:2" ht="12.75">
      <c r="A124" s="1"/>
      <c r="B124" s="1"/>
    </row>
    <row r="125" spans="1:2" ht="12.75">
      <c r="A125" s="15" t="s">
        <v>253</v>
      </c>
      <c r="B125" s="1" t="s">
        <v>254</v>
      </c>
    </row>
    <row r="126" spans="1:2" ht="12.75">
      <c r="A126" s="15" t="s">
        <v>255</v>
      </c>
      <c r="B126" s="1" t="s">
        <v>256</v>
      </c>
    </row>
    <row r="127" spans="1:2" ht="12.75">
      <c r="A127" s="15" t="s">
        <v>257</v>
      </c>
      <c r="B127" s="1" t="s">
        <v>258</v>
      </c>
    </row>
    <row r="128" spans="1:2" ht="12.75">
      <c r="A128" s="1" t="s">
        <v>259</v>
      </c>
      <c r="B128" s="1" t="s">
        <v>260</v>
      </c>
    </row>
    <row r="129" spans="1:2" ht="12.75">
      <c r="A129" s="1"/>
      <c r="B129" s="1"/>
    </row>
    <row r="130" spans="1:2" ht="12.75">
      <c r="A130" s="15" t="s">
        <v>261</v>
      </c>
      <c r="B130" s="1" t="s">
        <v>262</v>
      </c>
    </row>
    <row r="131" spans="1:2" ht="12.75">
      <c r="A131" s="1"/>
      <c r="B131" s="1"/>
    </row>
    <row r="132" spans="1:2" ht="12.75">
      <c r="A132" s="1" t="s">
        <v>266</v>
      </c>
      <c r="B132" s="1" t="s">
        <v>63</v>
      </c>
    </row>
    <row r="133" spans="1:2" ht="12.75">
      <c r="A133" s="15" t="s">
        <v>268</v>
      </c>
      <c r="B133" s="1" t="s">
        <v>65</v>
      </c>
    </row>
    <row r="134" spans="1:2" ht="12.75">
      <c r="A134" s="1" t="s">
        <v>270</v>
      </c>
      <c r="B134" s="1" t="s">
        <v>67</v>
      </c>
    </row>
    <row r="135" spans="1:2" ht="12.75">
      <c r="A135" s="15"/>
      <c r="B135" s="1"/>
    </row>
    <row r="136" spans="1:2" ht="12.75">
      <c r="A136" s="15" t="s">
        <v>272</v>
      </c>
      <c r="B136" s="1" t="s">
        <v>273</v>
      </c>
    </row>
    <row r="137" spans="1:2" ht="12.75">
      <c r="A137" s="15"/>
      <c r="B137" s="1"/>
    </row>
    <row r="138" spans="1:2" ht="12.75">
      <c r="A138" s="15" t="s">
        <v>274</v>
      </c>
      <c r="B138" s="1" t="s">
        <v>275</v>
      </c>
    </row>
    <row r="139" spans="1:2" ht="12.75">
      <c r="A139" s="15" t="s">
        <v>277</v>
      </c>
      <c r="B139" s="1" t="s">
        <v>67</v>
      </c>
    </row>
    <row r="140" spans="1:2" ht="12.75">
      <c r="A140" s="15" t="s">
        <v>279</v>
      </c>
      <c r="B140" s="1" t="s">
        <v>163</v>
      </c>
    </row>
    <row r="141" spans="1:2" ht="12.75">
      <c r="A141" s="15" t="s">
        <v>281</v>
      </c>
      <c r="B141" s="1" t="s">
        <v>282</v>
      </c>
    </row>
    <row r="142" spans="1:2" ht="12.75">
      <c r="A142" s="15" t="s">
        <v>284</v>
      </c>
      <c r="B142" s="1" t="s">
        <v>67</v>
      </c>
    </row>
    <row r="143" spans="1:2" ht="12.75">
      <c r="A143" s="15" t="s">
        <v>286</v>
      </c>
      <c r="B143" s="1" t="s">
        <v>163</v>
      </c>
    </row>
    <row r="144" spans="1:2" ht="12.75">
      <c r="A144" s="15" t="s">
        <v>288</v>
      </c>
      <c r="B144" s="1" t="s">
        <v>289</v>
      </c>
    </row>
    <row r="145" spans="1:2" ht="12.75">
      <c r="A145" s="15"/>
      <c r="B145" s="1"/>
    </row>
    <row r="146" spans="1:2" ht="12.75">
      <c r="A146" s="15" t="s">
        <v>290</v>
      </c>
      <c r="B146" s="1" t="s">
        <v>291</v>
      </c>
    </row>
    <row r="147" spans="1:2" ht="12.75">
      <c r="A147" s="15"/>
      <c r="B147" s="1"/>
    </row>
    <row r="148" spans="1:2" ht="12.75">
      <c r="A148" s="15" t="s">
        <v>292</v>
      </c>
      <c r="B148" s="1" t="s">
        <v>293</v>
      </c>
    </row>
    <row r="149" spans="1:2" ht="12.75">
      <c r="A149" s="15" t="s">
        <v>294</v>
      </c>
      <c r="B149" s="1" t="s">
        <v>295</v>
      </c>
    </row>
    <row r="150" spans="1:2" ht="12.75">
      <c r="A150" s="15"/>
      <c r="B150" s="1"/>
    </row>
    <row r="151" spans="1:2" ht="12.75">
      <c r="A151" s="15" t="s">
        <v>296</v>
      </c>
      <c r="B151" s="1" t="s">
        <v>297</v>
      </c>
    </row>
    <row r="152" spans="1:2" ht="12.75">
      <c r="A152" s="15"/>
      <c r="B152" s="1"/>
    </row>
    <row r="153" spans="1:2" ht="12.75">
      <c r="A153" s="15" t="s">
        <v>298</v>
      </c>
      <c r="B153" s="1" t="s">
        <v>299</v>
      </c>
    </row>
    <row r="154" spans="1:2" ht="12.75">
      <c r="A154" s="15"/>
      <c r="B154" s="1"/>
    </row>
    <row r="155" spans="1:2" ht="12.75">
      <c r="A155" s="15" t="s">
        <v>300</v>
      </c>
      <c r="B155" s="1" t="s">
        <v>301</v>
      </c>
    </row>
    <row r="156" spans="1:2" ht="12.75">
      <c r="A156" s="15" t="s">
        <v>302</v>
      </c>
      <c r="B156" s="1" t="s">
        <v>303</v>
      </c>
    </row>
    <row r="157" spans="1:2" ht="12.75">
      <c r="A157" s="15" t="s">
        <v>304</v>
      </c>
      <c r="B157" s="1" t="s">
        <v>305</v>
      </c>
    </row>
    <row r="158" spans="1:2" ht="12.75">
      <c r="A158" s="15"/>
      <c r="B158" s="1"/>
    </row>
    <row r="159" spans="1:2" ht="12.75">
      <c r="A159" s="1" t="s">
        <v>306</v>
      </c>
      <c r="B159" s="1" t="s">
        <v>307</v>
      </c>
    </row>
    <row r="160" spans="1:2" ht="12.75">
      <c r="A160" s="1"/>
      <c r="B160" s="1"/>
    </row>
    <row r="161" spans="1:2" ht="12.75">
      <c r="A161" s="1" t="s">
        <v>308</v>
      </c>
      <c r="B161" s="1" t="s">
        <v>309</v>
      </c>
    </row>
    <row r="162" spans="1:2" ht="12.75">
      <c r="A162" s="1" t="s">
        <v>310</v>
      </c>
      <c r="B162" s="1" t="s">
        <v>311</v>
      </c>
    </row>
    <row r="163" spans="1:2" ht="12.75">
      <c r="A163" s="1" t="s">
        <v>312</v>
      </c>
      <c r="B163" s="1" t="s">
        <v>313</v>
      </c>
    </row>
    <row r="164" spans="1:2" ht="12.75">
      <c r="A164" s="1" t="s">
        <v>314</v>
      </c>
      <c r="B164" s="1" t="s">
        <v>315</v>
      </c>
    </row>
    <row r="165" spans="1:2" ht="12.75">
      <c r="A165" s="1" t="s">
        <v>316</v>
      </c>
      <c r="B165" s="1" t="s">
        <v>317</v>
      </c>
    </row>
    <row r="166" spans="1:2" ht="12.75">
      <c r="A166" s="1"/>
      <c r="B166" s="1"/>
    </row>
    <row r="167" spans="1:2" ht="12.75">
      <c r="A167" s="1" t="s">
        <v>318</v>
      </c>
      <c r="B167" s="1" t="s">
        <v>319</v>
      </c>
    </row>
    <row r="168" spans="1:2" ht="12.75">
      <c r="A168" s="1"/>
      <c r="B168" s="1"/>
    </row>
    <row r="169" spans="1:6" ht="38.25">
      <c r="A169" s="1" t="s">
        <v>320</v>
      </c>
      <c r="B169" s="1" t="s">
        <v>321</v>
      </c>
      <c r="E169" t="s">
        <v>492</v>
      </c>
      <c r="F169" s="47" t="s">
        <v>472</v>
      </c>
    </row>
    <row r="170" spans="1:6" ht="12.75">
      <c r="A170" s="1"/>
      <c r="B170" s="1"/>
      <c r="F170" s="47" t="s">
        <v>467</v>
      </c>
    </row>
    <row r="171" spans="1:6" ht="12.75">
      <c r="A171" s="1" t="s">
        <v>322</v>
      </c>
      <c r="B171" s="1" t="s">
        <v>63</v>
      </c>
      <c r="F171" s="47" t="s">
        <v>467</v>
      </c>
    </row>
    <row r="172" spans="1:6" ht="12.75">
      <c r="A172" s="1" t="s">
        <v>324</v>
      </c>
      <c r="B172" s="1" t="s">
        <v>65</v>
      </c>
      <c r="F172" s="47" t="s">
        <v>468</v>
      </c>
    </row>
    <row r="173" spans="1:6" ht="12.75">
      <c r="A173" s="1" t="s">
        <v>326</v>
      </c>
      <c r="B173" s="1" t="s">
        <v>185</v>
      </c>
      <c r="F173" s="47" t="s">
        <v>468</v>
      </c>
    </row>
    <row r="174" spans="1:2" ht="12.75">
      <c r="A174" s="1"/>
      <c r="B174" s="1"/>
    </row>
    <row r="175" spans="1:6" ht="38.25">
      <c r="A175" s="1" t="s">
        <v>328</v>
      </c>
      <c r="B175" s="1" t="s">
        <v>329</v>
      </c>
      <c r="E175" t="s">
        <v>492</v>
      </c>
      <c r="F175" s="47" t="s">
        <v>493</v>
      </c>
    </row>
    <row r="176" spans="1:6" ht="12.75">
      <c r="A176" s="1"/>
      <c r="B176" s="1"/>
      <c r="F176" s="47" t="s">
        <v>468</v>
      </c>
    </row>
    <row r="177" spans="1:6" ht="12.75">
      <c r="A177" s="1" t="s">
        <v>330</v>
      </c>
      <c r="B177" s="1" t="s">
        <v>185</v>
      </c>
      <c r="F177" s="47" t="s">
        <v>467</v>
      </c>
    </row>
    <row r="178" spans="1:6" ht="12.75">
      <c r="A178" s="1"/>
      <c r="B178" s="1"/>
      <c r="F178" s="47" t="s">
        <v>468</v>
      </c>
    </row>
    <row r="179" spans="1:6" ht="12.75">
      <c r="A179" s="1" t="s">
        <v>332</v>
      </c>
      <c r="B179" s="1" t="s">
        <v>333</v>
      </c>
      <c r="E179" t="s">
        <v>492</v>
      </c>
      <c r="F179" s="47" t="s">
        <v>469</v>
      </c>
    </row>
    <row r="182" ht="12.75">
      <c r="A182" s="20"/>
    </row>
    <row r="183" ht="12.75">
      <c r="A183" s="20"/>
    </row>
    <row r="184" ht="12.75">
      <c r="A184" s="20"/>
    </row>
    <row r="185" ht="12.75">
      <c r="A185" s="20"/>
    </row>
    <row r="186" ht="12.75">
      <c r="A186" s="20"/>
    </row>
    <row r="187" ht="12.75">
      <c r="A187" s="20"/>
    </row>
    <row r="188" ht="12.75">
      <c r="A188" s="20"/>
    </row>
    <row r="189" ht="12.75">
      <c r="A189" s="20"/>
    </row>
    <row r="190" ht="12.75">
      <c r="A190" s="20"/>
    </row>
  </sheetData>
  <printOptions/>
  <pageMargins left="0.75" right="0.75" top="1" bottom="1" header="0.5" footer="0.5"/>
  <pageSetup horizontalDpi="600" verticalDpi="600" orientation="landscape" scale="90" r:id="rId1"/>
</worksheet>
</file>

<file path=xl/worksheets/sheet5.xml><?xml version="1.0" encoding="utf-8"?>
<worksheet xmlns="http://schemas.openxmlformats.org/spreadsheetml/2006/main" xmlns:r="http://schemas.openxmlformats.org/officeDocument/2006/relationships">
  <dimension ref="A1:O196"/>
  <sheetViews>
    <sheetView tabSelected="1" workbookViewId="0" topLeftCell="A59">
      <selection activeCell="A182" sqref="A182:IV182"/>
    </sheetView>
  </sheetViews>
  <sheetFormatPr defaultColWidth="9.140625" defaultRowHeight="12.75"/>
  <cols>
    <col min="1" max="1" width="14.8515625" style="0" customWidth="1"/>
    <col min="2" max="2" width="9.00390625" style="0" customWidth="1"/>
    <col min="5" max="14" width="3.28125" style="0" customWidth="1"/>
  </cols>
  <sheetData>
    <row r="1" spans="1:14" ht="12.75">
      <c r="A1" s="1"/>
      <c r="B1" s="2"/>
      <c r="E1" s="1"/>
      <c r="F1" s="1"/>
      <c r="G1" s="1"/>
      <c r="H1" s="1"/>
      <c r="I1" s="1"/>
      <c r="J1" s="1"/>
      <c r="K1" s="1"/>
      <c r="L1" s="1"/>
      <c r="M1" s="1"/>
      <c r="N1" s="1"/>
    </row>
    <row r="2" spans="1:14" ht="12.75">
      <c r="A2" s="1"/>
      <c r="B2" s="2"/>
      <c r="E2" s="1"/>
      <c r="F2" s="1"/>
      <c r="G2" s="1"/>
      <c r="H2" s="1"/>
      <c r="I2" s="1"/>
      <c r="J2" s="1"/>
      <c r="K2" s="1"/>
      <c r="L2" s="1"/>
      <c r="M2" s="1"/>
      <c r="N2" s="1"/>
    </row>
    <row r="3" spans="1:14" ht="12.75">
      <c r="A3" s="1"/>
      <c r="B3" s="2"/>
      <c r="E3" s="1"/>
      <c r="F3" s="1"/>
      <c r="G3" s="1"/>
      <c r="H3" s="1"/>
      <c r="I3" s="1"/>
      <c r="J3" s="1"/>
      <c r="K3" s="1"/>
      <c r="L3" s="1"/>
      <c r="M3" s="1"/>
      <c r="N3" s="1"/>
    </row>
    <row r="4" spans="1:14" ht="12.75">
      <c r="A4" s="1"/>
      <c r="B4" s="2"/>
      <c r="E4" s="1"/>
      <c r="F4" s="1"/>
      <c r="G4" s="1"/>
      <c r="H4" s="1"/>
      <c r="I4" s="1"/>
      <c r="J4" s="1"/>
      <c r="K4" s="1"/>
      <c r="L4" s="1"/>
      <c r="M4" s="1"/>
      <c r="N4" s="1"/>
    </row>
    <row r="5" spans="1:14" ht="12.75">
      <c r="A5" s="1"/>
      <c r="B5" s="2"/>
      <c r="E5" s="1"/>
      <c r="F5" s="1"/>
      <c r="G5" s="1"/>
      <c r="H5" s="1"/>
      <c r="I5" s="1"/>
      <c r="J5" s="1"/>
      <c r="K5" s="1"/>
      <c r="L5" s="1"/>
      <c r="M5" s="1"/>
      <c r="N5" s="1"/>
    </row>
    <row r="6" spans="1:15" ht="12.75">
      <c r="A6" s="1"/>
      <c r="B6" s="2"/>
      <c r="E6" s="26" t="s">
        <v>11</v>
      </c>
      <c r="F6" s="1"/>
      <c r="G6" s="1"/>
      <c r="H6" s="1"/>
      <c r="I6" s="1"/>
      <c r="J6" s="1"/>
      <c r="K6" s="26" t="s">
        <v>346</v>
      </c>
      <c r="L6" s="1"/>
      <c r="M6" s="1"/>
      <c r="N6" s="1"/>
      <c r="O6" t="s">
        <v>477</v>
      </c>
    </row>
    <row r="7" spans="1:14" ht="12.75">
      <c r="A7" s="10" t="s">
        <v>26</v>
      </c>
      <c r="B7" s="2"/>
      <c r="E7" s="1"/>
      <c r="F7" s="1"/>
      <c r="G7" s="26" t="s">
        <v>342</v>
      </c>
      <c r="H7" s="26" t="s">
        <v>343</v>
      </c>
      <c r="I7" s="26" t="s">
        <v>344</v>
      </c>
      <c r="J7" s="26" t="s">
        <v>345</v>
      </c>
      <c r="K7" s="26" t="s">
        <v>342</v>
      </c>
      <c r="L7" s="26" t="s">
        <v>343</v>
      </c>
      <c r="M7" s="26" t="s">
        <v>344</v>
      </c>
      <c r="N7" s="26" t="s">
        <v>345</v>
      </c>
    </row>
    <row r="8" spans="1:14" ht="12.75">
      <c r="A8" s="15" t="s">
        <v>56</v>
      </c>
      <c r="B8" s="1" t="s">
        <v>57</v>
      </c>
      <c r="E8" s="1"/>
      <c r="F8" s="1"/>
      <c r="G8" s="1"/>
      <c r="H8" s="1"/>
      <c r="I8" s="1"/>
      <c r="J8" s="1"/>
      <c r="K8" s="1"/>
      <c r="L8" s="1"/>
      <c r="M8" s="1"/>
      <c r="N8" s="1"/>
    </row>
    <row r="9" spans="1:14" ht="12.75">
      <c r="A9" s="1"/>
      <c r="B9" s="2"/>
      <c r="E9" s="1"/>
      <c r="F9" s="1"/>
      <c r="G9" s="1"/>
      <c r="H9" s="1"/>
      <c r="I9" s="1"/>
      <c r="J9" s="1"/>
      <c r="K9" s="1"/>
      <c r="L9" s="1"/>
      <c r="M9" s="1"/>
      <c r="N9" s="1"/>
    </row>
    <row r="10" spans="1:14" ht="12.75">
      <c r="A10" s="1" t="s">
        <v>58</v>
      </c>
      <c r="B10" s="1" t="s">
        <v>59</v>
      </c>
      <c r="E10" s="1">
        <f aca="true" t="shared" si="0" ref="E9:E40">G10*K10+H10*L10+I10*M10+J10*N10</f>
        <v>44</v>
      </c>
      <c r="F10" s="1"/>
      <c r="G10" s="1">
        <v>4</v>
      </c>
      <c r="H10" s="1">
        <v>6</v>
      </c>
      <c r="I10" s="1">
        <v>8</v>
      </c>
      <c r="J10" s="1">
        <v>8</v>
      </c>
      <c r="K10" s="1">
        <v>4</v>
      </c>
      <c r="L10" s="1">
        <v>2</v>
      </c>
      <c r="M10" s="1">
        <v>1</v>
      </c>
      <c r="N10" s="1">
        <v>1</v>
      </c>
    </row>
    <row r="11" spans="1:14" ht="12.75">
      <c r="A11" s="1"/>
      <c r="B11" s="1"/>
      <c r="E11" s="1"/>
      <c r="F11" s="1"/>
      <c r="G11" s="1"/>
      <c r="H11" s="1"/>
      <c r="I11" s="1"/>
      <c r="J11" s="1"/>
      <c r="K11" s="1"/>
      <c r="L11" s="1"/>
      <c r="M11" s="1"/>
      <c r="N11" s="1"/>
    </row>
    <row r="12" spans="1:14" ht="12.75">
      <c r="A12" s="1" t="s">
        <v>60</v>
      </c>
      <c r="B12" s="1" t="s">
        <v>61</v>
      </c>
      <c r="E12" s="1">
        <f t="shared" si="0"/>
        <v>44</v>
      </c>
      <c r="F12" s="1"/>
      <c r="G12" s="1">
        <v>4</v>
      </c>
      <c r="H12" s="1">
        <v>6</v>
      </c>
      <c r="I12" s="1">
        <v>8</v>
      </c>
      <c r="J12" s="1">
        <v>8</v>
      </c>
      <c r="K12" s="1">
        <v>4</v>
      </c>
      <c r="L12" s="1">
        <v>2</v>
      </c>
      <c r="M12" s="1">
        <v>1</v>
      </c>
      <c r="N12" s="1">
        <v>1</v>
      </c>
    </row>
    <row r="13" spans="1:14" ht="12.75">
      <c r="A13" s="1"/>
      <c r="B13" s="1"/>
      <c r="E13" s="1"/>
      <c r="F13" s="1"/>
      <c r="G13" s="1"/>
      <c r="H13" s="1"/>
      <c r="I13" s="1"/>
      <c r="J13" s="1"/>
      <c r="K13" s="1"/>
      <c r="L13" s="1"/>
      <c r="M13" s="1"/>
      <c r="N13" s="1"/>
    </row>
    <row r="14" spans="1:14" ht="12.75">
      <c r="A14" s="1" t="s">
        <v>62</v>
      </c>
      <c r="B14" s="1" t="s">
        <v>63</v>
      </c>
      <c r="E14" s="1">
        <f t="shared" si="0"/>
        <v>44</v>
      </c>
      <c r="F14" s="1"/>
      <c r="G14" s="1">
        <v>4</v>
      </c>
      <c r="H14" s="1">
        <v>6</v>
      </c>
      <c r="I14" s="1">
        <v>8</v>
      </c>
      <c r="J14" s="1">
        <v>8</v>
      </c>
      <c r="K14" s="1">
        <v>4</v>
      </c>
      <c r="L14" s="1">
        <v>2</v>
      </c>
      <c r="M14" s="1">
        <v>1</v>
      </c>
      <c r="N14" s="1">
        <v>1</v>
      </c>
    </row>
    <row r="15" spans="1:14" ht="12.75">
      <c r="A15" s="1" t="s">
        <v>64</v>
      </c>
      <c r="B15" s="1" t="s">
        <v>65</v>
      </c>
      <c r="E15" s="1">
        <f t="shared" si="0"/>
        <v>44</v>
      </c>
      <c r="F15" s="1"/>
      <c r="G15" s="1">
        <v>4</v>
      </c>
      <c r="H15" s="1">
        <v>6</v>
      </c>
      <c r="I15" s="1">
        <v>8</v>
      </c>
      <c r="J15" s="1">
        <v>8</v>
      </c>
      <c r="K15" s="1">
        <v>4</v>
      </c>
      <c r="L15" s="1">
        <v>2</v>
      </c>
      <c r="M15" s="1">
        <v>1</v>
      </c>
      <c r="N15" s="1">
        <v>1</v>
      </c>
    </row>
    <row r="16" spans="1:14" ht="12.75">
      <c r="A16" s="1" t="s">
        <v>66</v>
      </c>
      <c r="B16" s="1" t="s">
        <v>67</v>
      </c>
      <c r="E16" s="1">
        <f t="shared" si="0"/>
        <v>44</v>
      </c>
      <c r="F16" s="1"/>
      <c r="G16" s="1">
        <v>4</v>
      </c>
      <c r="H16" s="1">
        <v>6</v>
      </c>
      <c r="I16" s="1">
        <v>8</v>
      </c>
      <c r="J16" s="1">
        <v>8</v>
      </c>
      <c r="K16" s="1">
        <v>4</v>
      </c>
      <c r="L16" s="1">
        <v>2</v>
      </c>
      <c r="M16" s="1">
        <v>1</v>
      </c>
      <c r="N16" s="1">
        <v>1</v>
      </c>
    </row>
    <row r="17" spans="1:14" ht="12.75">
      <c r="A17" s="1"/>
      <c r="B17" s="1"/>
      <c r="E17" s="1"/>
      <c r="F17" s="1"/>
      <c r="G17" s="1"/>
      <c r="H17" s="1"/>
      <c r="I17" s="1"/>
      <c r="J17" s="1"/>
      <c r="K17" s="1"/>
      <c r="L17" s="1"/>
      <c r="M17" s="1"/>
      <c r="N17" s="1"/>
    </row>
    <row r="18" spans="1:14" ht="12.75">
      <c r="A18" s="1" t="s">
        <v>68</v>
      </c>
      <c r="B18" s="1" t="s">
        <v>69</v>
      </c>
      <c r="E18" s="1">
        <f t="shared" si="0"/>
        <v>36</v>
      </c>
      <c r="F18" s="1"/>
      <c r="G18" s="1">
        <v>4</v>
      </c>
      <c r="H18" s="1">
        <v>4</v>
      </c>
      <c r="I18" s="1">
        <v>4</v>
      </c>
      <c r="J18" s="1">
        <v>8</v>
      </c>
      <c r="K18" s="1">
        <v>4</v>
      </c>
      <c r="L18" s="1">
        <v>2</v>
      </c>
      <c r="M18" s="1">
        <v>1</v>
      </c>
      <c r="N18" s="1">
        <v>1</v>
      </c>
    </row>
    <row r="19" spans="1:14" ht="12.75">
      <c r="A19" s="1" t="s">
        <v>70</v>
      </c>
      <c r="B19" s="1" t="s">
        <v>63</v>
      </c>
      <c r="E19" s="1">
        <f t="shared" si="0"/>
        <v>36</v>
      </c>
      <c r="F19" s="1"/>
      <c r="G19" s="1">
        <v>4</v>
      </c>
      <c r="H19" s="1">
        <v>4</v>
      </c>
      <c r="I19" s="1">
        <v>4</v>
      </c>
      <c r="J19" s="1">
        <v>8</v>
      </c>
      <c r="K19" s="1">
        <v>4</v>
      </c>
      <c r="L19" s="1">
        <v>2</v>
      </c>
      <c r="M19" s="1">
        <v>1</v>
      </c>
      <c r="N19" s="1">
        <v>1</v>
      </c>
    </row>
    <row r="20" spans="1:14" ht="12.75">
      <c r="A20" s="1" t="s">
        <v>72</v>
      </c>
      <c r="B20" s="1" t="s">
        <v>65</v>
      </c>
      <c r="E20" s="1">
        <f t="shared" si="0"/>
        <v>36</v>
      </c>
      <c r="F20" s="1"/>
      <c r="G20" s="1">
        <v>4</v>
      </c>
      <c r="H20" s="1">
        <v>4</v>
      </c>
      <c r="I20" s="1">
        <v>4</v>
      </c>
      <c r="J20" s="1">
        <v>8</v>
      </c>
      <c r="K20" s="1">
        <v>4</v>
      </c>
      <c r="L20" s="1">
        <v>2</v>
      </c>
      <c r="M20" s="1">
        <v>1</v>
      </c>
      <c r="N20" s="1">
        <v>1</v>
      </c>
    </row>
    <row r="21" spans="1:14" ht="12.75">
      <c r="A21" s="1" t="s">
        <v>74</v>
      </c>
      <c r="B21" s="1" t="s">
        <v>67</v>
      </c>
      <c r="E21" s="1">
        <f t="shared" si="0"/>
        <v>36</v>
      </c>
      <c r="F21" s="1"/>
      <c r="G21" s="1">
        <v>4</v>
      </c>
      <c r="H21" s="1">
        <v>4</v>
      </c>
      <c r="I21" s="1">
        <v>4</v>
      </c>
      <c r="J21" s="1">
        <v>8</v>
      </c>
      <c r="K21" s="1">
        <v>4</v>
      </c>
      <c r="L21" s="1">
        <v>2</v>
      </c>
      <c r="M21" s="1">
        <v>1</v>
      </c>
      <c r="N21" s="1">
        <v>1</v>
      </c>
    </row>
    <row r="22" spans="1:14" ht="12.75">
      <c r="A22" s="1" t="s">
        <v>76</v>
      </c>
      <c r="B22" s="1" t="s">
        <v>77</v>
      </c>
      <c r="E22" s="1">
        <f t="shared" si="0"/>
        <v>36</v>
      </c>
      <c r="F22" s="1"/>
      <c r="G22" s="1">
        <v>4</v>
      </c>
      <c r="H22" s="1">
        <v>4</v>
      </c>
      <c r="I22" s="1">
        <v>4</v>
      </c>
      <c r="J22" s="1">
        <v>8</v>
      </c>
      <c r="K22" s="1">
        <v>4</v>
      </c>
      <c r="L22" s="1">
        <v>2</v>
      </c>
      <c r="M22" s="1">
        <v>1</v>
      </c>
      <c r="N22" s="1">
        <v>1</v>
      </c>
    </row>
    <row r="23" spans="1:14" ht="12.75">
      <c r="A23" s="1" t="s">
        <v>78</v>
      </c>
      <c r="B23" s="1" t="s">
        <v>79</v>
      </c>
      <c r="E23" s="1">
        <f t="shared" si="0"/>
        <v>36</v>
      </c>
      <c r="F23" s="1"/>
      <c r="G23" s="1">
        <v>4</v>
      </c>
      <c r="H23" s="1">
        <v>4</v>
      </c>
      <c r="I23" s="1">
        <v>4</v>
      </c>
      <c r="J23" s="1">
        <v>8</v>
      </c>
      <c r="K23" s="1">
        <v>4</v>
      </c>
      <c r="L23" s="1">
        <v>2</v>
      </c>
      <c r="M23" s="1">
        <v>1</v>
      </c>
      <c r="N23" s="1">
        <v>1</v>
      </c>
    </row>
    <row r="24" spans="1:14" ht="12.75">
      <c r="A24" s="1" t="s">
        <v>80</v>
      </c>
      <c r="B24" s="1" t="s">
        <v>81</v>
      </c>
      <c r="E24" s="1">
        <f t="shared" si="0"/>
        <v>36</v>
      </c>
      <c r="F24" s="1"/>
      <c r="G24" s="1">
        <v>4</v>
      </c>
      <c r="H24" s="1">
        <v>4</v>
      </c>
      <c r="I24" s="1">
        <v>4</v>
      </c>
      <c r="J24" s="1">
        <v>8</v>
      </c>
      <c r="K24" s="1">
        <v>4</v>
      </c>
      <c r="L24" s="1">
        <v>2</v>
      </c>
      <c r="M24" s="1">
        <v>1</v>
      </c>
      <c r="N24" s="1">
        <v>1</v>
      </c>
    </row>
    <row r="25" spans="1:14" ht="12.75">
      <c r="A25" s="1" t="s">
        <v>82</v>
      </c>
      <c r="B25" s="1" t="s">
        <v>83</v>
      </c>
      <c r="E25" s="1">
        <f t="shared" si="0"/>
        <v>36</v>
      </c>
      <c r="F25" s="1"/>
      <c r="G25" s="1">
        <v>4</v>
      </c>
      <c r="H25" s="1">
        <v>4</v>
      </c>
      <c r="I25" s="1">
        <v>4</v>
      </c>
      <c r="J25" s="1">
        <v>8</v>
      </c>
      <c r="K25" s="1">
        <v>4</v>
      </c>
      <c r="L25" s="1">
        <v>2</v>
      </c>
      <c r="M25" s="1">
        <v>1</v>
      </c>
      <c r="N25" s="1">
        <v>1</v>
      </c>
    </row>
    <row r="26" spans="1:14" ht="12.75">
      <c r="A26" s="1" t="s">
        <v>84</v>
      </c>
      <c r="B26" s="1" t="s">
        <v>85</v>
      </c>
      <c r="E26" s="1">
        <f t="shared" si="0"/>
        <v>36</v>
      </c>
      <c r="F26" s="1"/>
      <c r="G26" s="1">
        <v>4</v>
      </c>
      <c r="H26" s="1">
        <v>4</v>
      </c>
      <c r="I26" s="1">
        <v>4</v>
      </c>
      <c r="J26" s="1">
        <v>8</v>
      </c>
      <c r="K26" s="1">
        <v>4</v>
      </c>
      <c r="L26" s="1">
        <v>2</v>
      </c>
      <c r="M26" s="1">
        <v>1</v>
      </c>
      <c r="N26" s="1">
        <v>1</v>
      </c>
    </row>
    <row r="27" spans="1:14" ht="12.75">
      <c r="A27" s="1"/>
      <c r="B27" s="1"/>
      <c r="E27" s="1">
        <f t="shared" si="0"/>
        <v>36</v>
      </c>
      <c r="F27" s="1"/>
      <c r="G27" s="1">
        <v>4</v>
      </c>
      <c r="H27" s="1">
        <v>4</v>
      </c>
      <c r="I27" s="1">
        <v>4</v>
      </c>
      <c r="J27" s="1">
        <v>8</v>
      </c>
      <c r="K27" s="1">
        <v>4</v>
      </c>
      <c r="L27" s="1">
        <v>2</v>
      </c>
      <c r="M27" s="1">
        <v>1</v>
      </c>
      <c r="N27" s="1">
        <v>1</v>
      </c>
    </row>
    <row r="28" spans="1:14" ht="12.75">
      <c r="A28" s="1" t="s">
        <v>86</v>
      </c>
      <c r="B28" s="1" t="s">
        <v>87</v>
      </c>
      <c r="E28" s="1">
        <f t="shared" si="0"/>
        <v>36</v>
      </c>
      <c r="F28" s="1"/>
      <c r="G28" s="1">
        <v>4</v>
      </c>
      <c r="H28" s="1">
        <v>4</v>
      </c>
      <c r="I28" s="1">
        <v>4</v>
      </c>
      <c r="J28" s="1">
        <v>8</v>
      </c>
      <c r="K28" s="1">
        <v>4</v>
      </c>
      <c r="L28" s="1">
        <v>2</v>
      </c>
      <c r="M28" s="1">
        <v>1</v>
      </c>
      <c r="N28" s="1">
        <v>1</v>
      </c>
    </row>
    <row r="29" spans="1:14" ht="12.75">
      <c r="A29" s="1"/>
      <c r="B29" s="1"/>
      <c r="E29" s="1"/>
      <c r="F29" s="1"/>
      <c r="G29" s="1"/>
      <c r="H29" s="1"/>
      <c r="I29" s="1"/>
      <c r="J29" s="1"/>
      <c r="K29" s="1"/>
      <c r="L29" s="1"/>
      <c r="M29" s="1"/>
      <c r="N29" s="1"/>
    </row>
    <row r="30" spans="1:14" ht="12.75">
      <c r="A30" s="1" t="s">
        <v>88</v>
      </c>
      <c r="B30" s="1" t="s">
        <v>89</v>
      </c>
      <c r="E30" s="1">
        <v>30</v>
      </c>
      <c r="F30" s="1"/>
      <c r="G30" s="1"/>
      <c r="H30" s="1"/>
      <c r="I30" s="1"/>
      <c r="J30" s="1"/>
      <c r="K30" s="1"/>
      <c r="L30" s="1"/>
      <c r="M30" s="1"/>
      <c r="N30" s="1"/>
    </row>
    <row r="31" spans="1:14" ht="12.75">
      <c r="A31" s="1" t="s">
        <v>90</v>
      </c>
      <c r="B31" s="1" t="s">
        <v>63</v>
      </c>
      <c r="E31" s="1">
        <f t="shared" si="0"/>
        <v>30</v>
      </c>
      <c r="F31" s="1"/>
      <c r="G31" s="1">
        <v>8</v>
      </c>
      <c r="H31" s="1">
        <v>6</v>
      </c>
      <c r="I31" s="1">
        <v>4</v>
      </c>
      <c r="J31" s="1">
        <v>4</v>
      </c>
      <c r="K31" s="1">
        <v>2</v>
      </c>
      <c r="L31" s="1">
        <v>1</v>
      </c>
      <c r="M31" s="1">
        <v>1</v>
      </c>
      <c r="N31" s="1">
        <v>1</v>
      </c>
    </row>
    <row r="32" spans="1:14" ht="12.75">
      <c r="A32" s="1" t="s">
        <v>92</v>
      </c>
      <c r="B32" s="1" t="s">
        <v>65</v>
      </c>
      <c r="E32" s="1">
        <f t="shared" si="0"/>
        <v>30</v>
      </c>
      <c r="F32" s="1"/>
      <c r="G32" s="1">
        <v>8</v>
      </c>
      <c r="H32" s="1">
        <v>6</v>
      </c>
      <c r="I32" s="1">
        <v>4</v>
      </c>
      <c r="J32" s="1">
        <v>4</v>
      </c>
      <c r="K32" s="1">
        <v>2</v>
      </c>
      <c r="L32" s="1">
        <v>1</v>
      </c>
      <c r="M32" s="1">
        <v>1</v>
      </c>
      <c r="N32" s="1">
        <v>1</v>
      </c>
    </row>
    <row r="33" spans="1:14" ht="12.75">
      <c r="A33" s="1" t="s">
        <v>94</v>
      </c>
      <c r="B33" s="1" t="s">
        <v>67</v>
      </c>
      <c r="E33" s="1">
        <f t="shared" si="0"/>
        <v>30</v>
      </c>
      <c r="F33" s="1"/>
      <c r="G33" s="1">
        <v>8</v>
      </c>
      <c r="H33" s="1">
        <v>6</v>
      </c>
      <c r="I33" s="1">
        <v>4</v>
      </c>
      <c r="J33" s="1">
        <v>4</v>
      </c>
      <c r="K33" s="1">
        <v>2</v>
      </c>
      <c r="L33" s="1">
        <v>1</v>
      </c>
      <c r="M33" s="1">
        <v>1</v>
      </c>
      <c r="N33" s="1">
        <v>1</v>
      </c>
    </row>
    <row r="34" spans="1:14" ht="12.75">
      <c r="A34" s="1"/>
      <c r="B34" s="1"/>
      <c r="E34" s="1"/>
      <c r="F34" s="1"/>
      <c r="G34" s="1"/>
      <c r="H34" s="1"/>
      <c r="I34" s="1"/>
      <c r="J34" s="1"/>
      <c r="K34" s="1"/>
      <c r="L34" s="1"/>
      <c r="M34" s="1"/>
      <c r="N34" s="1"/>
    </row>
    <row r="35" spans="1:14" ht="12.75">
      <c r="A35" s="1" t="s">
        <v>96</v>
      </c>
      <c r="B35" s="1" t="s">
        <v>97</v>
      </c>
      <c r="E35" s="1">
        <f t="shared" si="0"/>
        <v>22</v>
      </c>
      <c r="F35" s="1"/>
      <c r="G35" s="1">
        <v>4</v>
      </c>
      <c r="H35" s="1">
        <v>6</v>
      </c>
      <c r="I35" s="1">
        <v>4</v>
      </c>
      <c r="J35" s="1">
        <v>4</v>
      </c>
      <c r="K35" s="1">
        <v>2</v>
      </c>
      <c r="L35" s="1">
        <v>1</v>
      </c>
      <c r="M35" s="1">
        <v>1</v>
      </c>
      <c r="N35" s="1">
        <v>1</v>
      </c>
    </row>
    <row r="36" spans="1:14" ht="12.75">
      <c r="A36" s="1" t="s">
        <v>98</v>
      </c>
      <c r="B36" s="1" t="s">
        <v>65</v>
      </c>
      <c r="E36" s="1">
        <f t="shared" si="0"/>
        <v>22</v>
      </c>
      <c r="F36" s="1"/>
      <c r="G36" s="1">
        <v>4</v>
      </c>
      <c r="H36" s="1">
        <v>6</v>
      </c>
      <c r="I36" s="1">
        <v>4</v>
      </c>
      <c r="J36" s="1">
        <v>4</v>
      </c>
      <c r="K36" s="1">
        <v>2</v>
      </c>
      <c r="L36" s="1">
        <v>1</v>
      </c>
      <c r="M36" s="1">
        <v>1</v>
      </c>
      <c r="N36" s="1">
        <v>1</v>
      </c>
    </row>
    <row r="37" spans="1:14" ht="12.75">
      <c r="A37" s="1" t="s">
        <v>100</v>
      </c>
      <c r="B37" s="1" t="s">
        <v>67</v>
      </c>
      <c r="E37" s="1">
        <f t="shared" si="0"/>
        <v>22</v>
      </c>
      <c r="F37" s="1"/>
      <c r="G37" s="1">
        <v>4</v>
      </c>
      <c r="H37" s="1">
        <v>6</v>
      </c>
      <c r="I37" s="1">
        <v>4</v>
      </c>
      <c r="J37" s="1">
        <v>4</v>
      </c>
      <c r="K37" s="1">
        <v>2</v>
      </c>
      <c r="L37" s="1">
        <v>1</v>
      </c>
      <c r="M37" s="1">
        <v>1</v>
      </c>
      <c r="N37" s="1">
        <v>1</v>
      </c>
    </row>
    <row r="38" spans="1:14" ht="12.75">
      <c r="A38" s="1"/>
      <c r="B38" s="1"/>
      <c r="E38" s="1"/>
      <c r="F38" s="1"/>
      <c r="G38" s="1"/>
      <c r="H38" s="1"/>
      <c r="I38" s="1"/>
      <c r="J38" s="1"/>
      <c r="K38" s="1"/>
      <c r="L38" s="1"/>
      <c r="M38" s="1"/>
      <c r="N38" s="1"/>
    </row>
    <row r="39" spans="1:14" ht="12.75">
      <c r="A39" s="1" t="s">
        <v>102</v>
      </c>
      <c r="B39" s="1" t="s">
        <v>103</v>
      </c>
      <c r="E39" s="1">
        <f t="shared" si="0"/>
        <v>10</v>
      </c>
      <c r="F39" s="1"/>
      <c r="G39" s="1">
        <v>2</v>
      </c>
      <c r="H39" s="1">
        <v>4</v>
      </c>
      <c r="I39" s="1">
        <v>2</v>
      </c>
      <c r="J39" s="1">
        <v>0</v>
      </c>
      <c r="K39" s="1">
        <v>2</v>
      </c>
      <c r="L39" s="1">
        <v>1</v>
      </c>
      <c r="M39" s="1">
        <v>1</v>
      </c>
      <c r="N39" s="1">
        <v>1</v>
      </c>
    </row>
    <row r="40" spans="1:14" ht="12.75">
      <c r="A40" s="1" t="s">
        <v>104</v>
      </c>
      <c r="B40" s="1" t="s">
        <v>105</v>
      </c>
      <c r="E40" s="1">
        <f t="shared" si="0"/>
        <v>10</v>
      </c>
      <c r="F40" s="1"/>
      <c r="G40" s="1">
        <v>2</v>
      </c>
      <c r="H40" s="1">
        <v>4</v>
      </c>
      <c r="I40" s="1">
        <v>2</v>
      </c>
      <c r="J40" s="1">
        <v>0</v>
      </c>
      <c r="K40" s="1">
        <v>2</v>
      </c>
      <c r="L40" s="1">
        <v>1</v>
      </c>
      <c r="M40" s="1">
        <v>1</v>
      </c>
      <c r="N40" s="1">
        <v>1</v>
      </c>
    </row>
    <row r="41" spans="1:14" ht="12.75">
      <c r="A41" s="1" t="s">
        <v>106</v>
      </c>
      <c r="B41" s="1" t="s">
        <v>107</v>
      </c>
      <c r="E41" s="1">
        <f aca="true" t="shared" si="1" ref="E41:E72">G41*K41+H41*L41+I41*M41+J41*N41</f>
        <v>10</v>
      </c>
      <c r="F41" s="1"/>
      <c r="G41" s="1">
        <v>2</v>
      </c>
      <c r="H41" s="1">
        <v>4</v>
      </c>
      <c r="I41" s="1">
        <v>2</v>
      </c>
      <c r="J41" s="1">
        <v>0</v>
      </c>
      <c r="K41" s="1">
        <v>2</v>
      </c>
      <c r="L41" s="1">
        <v>1</v>
      </c>
      <c r="M41" s="1">
        <v>1</v>
      </c>
      <c r="N41" s="1">
        <v>1</v>
      </c>
    </row>
    <row r="42" spans="1:14" ht="12.75">
      <c r="A42" s="1" t="s">
        <v>108</v>
      </c>
      <c r="B42" s="2" t="s">
        <v>109</v>
      </c>
      <c r="E42" s="1">
        <f t="shared" si="1"/>
        <v>10</v>
      </c>
      <c r="F42" s="1"/>
      <c r="G42" s="1">
        <v>2</v>
      </c>
      <c r="H42" s="1">
        <v>4</v>
      </c>
      <c r="I42" s="1">
        <v>2</v>
      </c>
      <c r="J42" s="1">
        <v>0</v>
      </c>
      <c r="K42" s="1">
        <v>2</v>
      </c>
      <c r="L42" s="1">
        <v>1</v>
      </c>
      <c r="M42" s="1">
        <v>1</v>
      </c>
      <c r="N42" s="1">
        <v>1</v>
      </c>
    </row>
    <row r="43" spans="1:14" ht="12.75">
      <c r="A43" s="1" t="s">
        <v>110</v>
      </c>
      <c r="B43" s="1" t="s">
        <v>107</v>
      </c>
      <c r="E43" s="1">
        <f t="shared" si="1"/>
        <v>10</v>
      </c>
      <c r="F43" s="1"/>
      <c r="G43" s="1">
        <v>2</v>
      </c>
      <c r="H43" s="1">
        <v>4</v>
      </c>
      <c r="I43" s="1">
        <v>2</v>
      </c>
      <c r="J43" s="1">
        <v>0</v>
      </c>
      <c r="K43" s="1">
        <v>2</v>
      </c>
      <c r="L43" s="1">
        <v>1</v>
      </c>
      <c r="M43" s="1">
        <v>1</v>
      </c>
      <c r="N43" s="1">
        <v>1</v>
      </c>
    </row>
    <row r="44" spans="1:14" ht="12.75">
      <c r="A44" s="1" t="s">
        <v>112</v>
      </c>
      <c r="B44" s="1" t="s">
        <v>113</v>
      </c>
      <c r="E44" s="1">
        <f t="shared" si="1"/>
        <v>10</v>
      </c>
      <c r="F44" s="1"/>
      <c r="G44" s="1">
        <v>2</v>
      </c>
      <c r="H44" s="1">
        <v>4</v>
      </c>
      <c r="I44" s="1">
        <v>2</v>
      </c>
      <c r="J44" s="1">
        <v>0</v>
      </c>
      <c r="K44" s="1">
        <v>2</v>
      </c>
      <c r="L44" s="1">
        <v>1</v>
      </c>
      <c r="M44" s="1">
        <v>1</v>
      </c>
      <c r="N44" s="1">
        <v>1</v>
      </c>
    </row>
    <row r="45" spans="1:14" ht="12.75">
      <c r="A45" s="1" t="s">
        <v>114</v>
      </c>
      <c r="B45" s="1" t="s">
        <v>107</v>
      </c>
      <c r="E45" s="1">
        <f t="shared" si="1"/>
        <v>10</v>
      </c>
      <c r="F45" s="1"/>
      <c r="G45" s="1">
        <v>2</v>
      </c>
      <c r="H45" s="1">
        <v>4</v>
      </c>
      <c r="I45" s="1">
        <v>2</v>
      </c>
      <c r="J45" s="1">
        <v>0</v>
      </c>
      <c r="K45" s="1">
        <v>2</v>
      </c>
      <c r="L45" s="1">
        <v>1</v>
      </c>
      <c r="M45" s="1">
        <v>1</v>
      </c>
      <c r="N45" s="1">
        <v>1</v>
      </c>
    </row>
    <row r="46" spans="1:14" ht="12.75">
      <c r="A46" s="1" t="s">
        <v>117</v>
      </c>
      <c r="B46" s="1" t="s">
        <v>118</v>
      </c>
      <c r="E46" s="1">
        <f t="shared" si="1"/>
        <v>10</v>
      </c>
      <c r="F46" s="1"/>
      <c r="G46" s="1">
        <v>2</v>
      </c>
      <c r="H46" s="1">
        <v>4</v>
      </c>
      <c r="I46" s="1">
        <v>2</v>
      </c>
      <c r="J46" s="1">
        <v>0</v>
      </c>
      <c r="K46" s="1">
        <v>2</v>
      </c>
      <c r="L46" s="1">
        <v>1</v>
      </c>
      <c r="M46" s="1">
        <v>1</v>
      </c>
      <c r="N46" s="1">
        <v>1</v>
      </c>
    </row>
    <row r="47" spans="1:14" ht="12.75">
      <c r="A47" s="1" t="s">
        <v>114</v>
      </c>
      <c r="B47" s="1" t="s">
        <v>67</v>
      </c>
      <c r="E47" s="1">
        <f t="shared" si="1"/>
        <v>10</v>
      </c>
      <c r="F47" s="1"/>
      <c r="G47" s="1">
        <v>2</v>
      </c>
      <c r="H47" s="1">
        <v>4</v>
      </c>
      <c r="I47" s="1">
        <v>2</v>
      </c>
      <c r="J47" s="1">
        <v>0</v>
      </c>
      <c r="K47" s="1">
        <v>2</v>
      </c>
      <c r="L47" s="1">
        <v>1</v>
      </c>
      <c r="M47" s="1">
        <v>1</v>
      </c>
      <c r="N47" s="1">
        <v>1</v>
      </c>
    </row>
    <row r="48" spans="1:14" ht="12.75">
      <c r="A48" s="1"/>
      <c r="B48" s="1"/>
      <c r="E48" s="1"/>
      <c r="F48" s="1"/>
      <c r="G48" s="1"/>
      <c r="H48" s="1"/>
      <c r="I48" s="1"/>
      <c r="J48" s="1"/>
      <c r="K48" s="1"/>
      <c r="L48" s="1"/>
      <c r="M48" s="1"/>
      <c r="N48" s="1"/>
    </row>
    <row r="49" spans="1:14" ht="12.75">
      <c r="A49" s="1" t="s">
        <v>121</v>
      </c>
      <c r="B49" s="1" t="s">
        <v>122</v>
      </c>
      <c r="E49" s="1">
        <v>20</v>
      </c>
      <c r="F49" s="1"/>
      <c r="G49" s="1"/>
      <c r="H49" s="1"/>
      <c r="I49" s="1"/>
      <c r="J49" s="1"/>
      <c r="K49" s="1"/>
      <c r="L49" s="1"/>
      <c r="M49" s="1"/>
      <c r="N49" s="1"/>
    </row>
    <row r="50" spans="1:14" ht="12.75">
      <c r="A50" s="1"/>
      <c r="B50" s="1"/>
      <c r="E50" s="1"/>
      <c r="F50" s="1"/>
      <c r="G50" s="1"/>
      <c r="H50" s="1"/>
      <c r="I50" s="1"/>
      <c r="J50" s="1"/>
      <c r="K50" s="1"/>
      <c r="L50" s="1"/>
      <c r="M50" s="1"/>
      <c r="N50" s="1"/>
    </row>
    <row r="51" spans="1:14" ht="12.75">
      <c r="A51" s="1" t="s">
        <v>123</v>
      </c>
      <c r="B51" s="1" t="s">
        <v>124</v>
      </c>
      <c r="E51" s="1">
        <f t="shared" si="1"/>
        <v>20</v>
      </c>
      <c r="F51" s="1"/>
      <c r="G51" s="1">
        <v>4</v>
      </c>
      <c r="H51" s="1">
        <v>4</v>
      </c>
      <c r="I51" s="1">
        <v>4</v>
      </c>
      <c r="J51" s="1">
        <v>4</v>
      </c>
      <c r="K51" s="1">
        <v>2</v>
      </c>
      <c r="L51" s="1">
        <v>1</v>
      </c>
      <c r="M51" s="1">
        <v>1</v>
      </c>
      <c r="N51" s="1">
        <v>1</v>
      </c>
    </row>
    <row r="52" spans="1:14" ht="12.75">
      <c r="A52" s="1" t="s">
        <v>125</v>
      </c>
      <c r="B52" s="1" t="s">
        <v>63</v>
      </c>
      <c r="E52" s="1">
        <f t="shared" si="1"/>
        <v>20</v>
      </c>
      <c r="F52" s="1"/>
      <c r="G52" s="1">
        <v>4</v>
      </c>
      <c r="H52" s="1">
        <v>4</v>
      </c>
      <c r="I52" s="1">
        <v>4</v>
      </c>
      <c r="J52" s="1">
        <v>4</v>
      </c>
      <c r="K52" s="1">
        <v>2</v>
      </c>
      <c r="L52" s="1">
        <v>1</v>
      </c>
      <c r="M52" s="1">
        <v>1</v>
      </c>
      <c r="N52" s="1">
        <v>1</v>
      </c>
    </row>
    <row r="53" spans="1:14" ht="12.75">
      <c r="A53" s="1" t="s">
        <v>127</v>
      </c>
      <c r="B53" s="1" t="s">
        <v>65</v>
      </c>
      <c r="E53" s="1">
        <f t="shared" si="1"/>
        <v>20</v>
      </c>
      <c r="F53" s="1"/>
      <c r="G53" s="1">
        <v>4</v>
      </c>
      <c r="H53" s="1">
        <v>4</v>
      </c>
      <c r="I53" s="1">
        <v>4</v>
      </c>
      <c r="J53" s="1">
        <v>4</v>
      </c>
      <c r="K53" s="1">
        <v>2</v>
      </c>
      <c r="L53" s="1">
        <v>1</v>
      </c>
      <c r="M53" s="1">
        <v>1</v>
      </c>
      <c r="N53" s="1">
        <v>1</v>
      </c>
    </row>
    <row r="54" spans="1:14" ht="12.75">
      <c r="A54" s="1" t="s">
        <v>129</v>
      </c>
      <c r="B54" s="1" t="s">
        <v>67</v>
      </c>
      <c r="E54" s="1">
        <f t="shared" si="1"/>
        <v>20</v>
      </c>
      <c r="F54" s="1"/>
      <c r="G54" s="1">
        <v>4</v>
      </c>
      <c r="H54" s="1">
        <v>4</v>
      </c>
      <c r="I54" s="1">
        <v>4</v>
      </c>
      <c r="J54" s="1">
        <v>4</v>
      </c>
      <c r="K54" s="1">
        <v>2</v>
      </c>
      <c r="L54" s="1">
        <v>1</v>
      </c>
      <c r="M54" s="1">
        <v>1</v>
      </c>
      <c r="N54" s="1">
        <v>1</v>
      </c>
    </row>
    <row r="55" spans="1:14" ht="12.75">
      <c r="A55" s="1"/>
      <c r="B55" s="1"/>
      <c r="E55" s="1"/>
      <c r="F55" s="1"/>
      <c r="G55" s="1"/>
      <c r="H55" s="1"/>
      <c r="I55" s="1"/>
      <c r="J55" s="1"/>
      <c r="K55" s="1"/>
      <c r="L55" s="1"/>
      <c r="M55" s="1"/>
      <c r="N55" s="1"/>
    </row>
    <row r="56" spans="1:14" ht="12.75">
      <c r="A56" s="1" t="s">
        <v>131</v>
      </c>
      <c r="B56" s="1" t="s">
        <v>132</v>
      </c>
      <c r="E56" s="1">
        <f t="shared" si="1"/>
        <v>20</v>
      </c>
      <c r="F56" s="1"/>
      <c r="G56" s="1">
        <v>4</v>
      </c>
      <c r="H56" s="1">
        <v>4</v>
      </c>
      <c r="I56" s="1">
        <v>4</v>
      </c>
      <c r="J56" s="1">
        <v>4</v>
      </c>
      <c r="K56" s="1">
        <v>2</v>
      </c>
      <c r="L56" s="1">
        <v>1</v>
      </c>
      <c r="M56" s="1">
        <v>1</v>
      </c>
      <c r="N56" s="1">
        <v>1</v>
      </c>
    </row>
    <row r="57" spans="1:14" ht="12.75">
      <c r="A57" s="1" t="s">
        <v>133</v>
      </c>
      <c r="B57" s="1" t="s">
        <v>63</v>
      </c>
      <c r="E57" s="1">
        <f t="shared" si="1"/>
        <v>20</v>
      </c>
      <c r="F57" s="1"/>
      <c r="G57" s="1">
        <v>4</v>
      </c>
      <c r="H57" s="1">
        <v>4</v>
      </c>
      <c r="I57" s="1">
        <v>4</v>
      </c>
      <c r="J57" s="1">
        <v>4</v>
      </c>
      <c r="K57" s="1">
        <v>2</v>
      </c>
      <c r="L57" s="1">
        <v>1</v>
      </c>
      <c r="M57" s="1">
        <v>1</v>
      </c>
      <c r="N57" s="1">
        <v>1</v>
      </c>
    </row>
    <row r="58" spans="1:14" ht="12.75">
      <c r="A58" s="1" t="s">
        <v>135</v>
      </c>
      <c r="B58" s="1" t="s">
        <v>65</v>
      </c>
      <c r="E58" s="1">
        <f t="shared" si="1"/>
        <v>20</v>
      </c>
      <c r="F58" s="1"/>
      <c r="G58" s="1">
        <v>4</v>
      </c>
      <c r="H58" s="1">
        <v>4</v>
      </c>
      <c r="I58" s="1">
        <v>4</v>
      </c>
      <c r="J58" s="1">
        <v>4</v>
      </c>
      <c r="K58" s="1">
        <v>2</v>
      </c>
      <c r="L58" s="1">
        <v>1</v>
      </c>
      <c r="M58" s="1">
        <v>1</v>
      </c>
      <c r="N58" s="1">
        <v>1</v>
      </c>
    </row>
    <row r="59" spans="1:14" ht="12.75">
      <c r="A59" s="15" t="s">
        <v>137</v>
      </c>
      <c r="B59" s="1" t="s">
        <v>67</v>
      </c>
      <c r="E59" s="1">
        <f t="shared" si="1"/>
        <v>20</v>
      </c>
      <c r="F59" s="1"/>
      <c r="G59" s="1">
        <v>4</v>
      </c>
      <c r="H59" s="1">
        <v>4</v>
      </c>
      <c r="I59" s="1">
        <v>4</v>
      </c>
      <c r="J59" s="1">
        <v>4</v>
      </c>
      <c r="K59" s="1">
        <v>2</v>
      </c>
      <c r="L59" s="1">
        <v>1</v>
      </c>
      <c r="M59" s="1">
        <v>1</v>
      </c>
      <c r="N59" s="1">
        <v>1</v>
      </c>
    </row>
    <row r="60" spans="1:14" ht="12.75">
      <c r="A60" s="15"/>
      <c r="B60" s="1"/>
      <c r="E60" s="1"/>
      <c r="F60" s="1"/>
      <c r="G60" s="1"/>
      <c r="H60" s="1"/>
      <c r="I60" s="1"/>
      <c r="J60" s="1"/>
      <c r="K60" s="1"/>
      <c r="L60" s="1"/>
      <c r="M60" s="1"/>
      <c r="N60" s="1"/>
    </row>
    <row r="61" spans="1:14" ht="12.75">
      <c r="A61" s="1" t="s">
        <v>139</v>
      </c>
      <c r="B61" s="1" t="s">
        <v>140</v>
      </c>
      <c r="E61" s="1">
        <f t="shared" si="1"/>
        <v>20</v>
      </c>
      <c r="F61" s="1"/>
      <c r="G61" s="1">
        <v>4</v>
      </c>
      <c r="H61" s="1">
        <v>4</v>
      </c>
      <c r="I61" s="1">
        <v>4</v>
      </c>
      <c r="J61" s="1">
        <v>4</v>
      </c>
      <c r="K61" s="1">
        <v>2</v>
      </c>
      <c r="L61" s="1">
        <v>1</v>
      </c>
      <c r="M61" s="1">
        <v>1</v>
      </c>
      <c r="N61" s="1">
        <v>1</v>
      </c>
    </row>
    <row r="62" spans="1:14" ht="12.75">
      <c r="A62" s="1" t="s">
        <v>141</v>
      </c>
      <c r="B62" s="1" t="s">
        <v>63</v>
      </c>
      <c r="E62" s="1">
        <f t="shared" si="1"/>
        <v>20</v>
      </c>
      <c r="F62" s="1"/>
      <c r="G62" s="1">
        <v>4</v>
      </c>
      <c r="H62" s="1">
        <v>4</v>
      </c>
      <c r="I62" s="1">
        <v>4</v>
      </c>
      <c r="J62" s="1">
        <v>4</v>
      </c>
      <c r="K62" s="1">
        <v>2</v>
      </c>
      <c r="L62" s="1">
        <v>1</v>
      </c>
      <c r="M62" s="1">
        <v>1</v>
      </c>
      <c r="N62" s="1">
        <v>1</v>
      </c>
    </row>
    <row r="63" spans="1:14" ht="12.75">
      <c r="A63" s="15" t="s">
        <v>143</v>
      </c>
      <c r="B63" s="1" t="s">
        <v>65</v>
      </c>
      <c r="E63" s="1">
        <f t="shared" si="1"/>
        <v>20</v>
      </c>
      <c r="F63" s="1"/>
      <c r="G63" s="1">
        <v>4</v>
      </c>
      <c r="H63" s="1">
        <v>4</v>
      </c>
      <c r="I63" s="1">
        <v>4</v>
      </c>
      <c r="J63" s="1">
        <v>4</v>
      </c>
      <c r="K63" s="1">
        <v>2</v>
      </c>
      <c r="L63" s="1">
        <v>1</v>
      </c>
      <c r="M63" s="1">
        <v>1</v>
      </c>
      <c r="N63" s="1">
        <v>1</v>
      </c>
    </row>
    <row r="64" spans="1:14" ht="12.75">
      <c r="A64" s="1" t="s">
        <v>145</v>
      </c>
      <c r="B64" s="1" t="s">
        <v>67</v>
      </c>
      <c r="E64" s="1">
        <f t="shared" si="1"/>
        <v>20</v>
      </c>
      <c r="F64" s="1"/>
      <c r="G64" s="1">
        <v>4</v>
      </c>
      <c r="H64" s="1">
        <v>4</v>
      </c>
      <c r="I64" s="1">
        <v>4</v>
      </c>
      <c r="J64" s="1">
        <v>4</v>
      </c>
      <c r="K64" s="1">
        <v>2</v>
      </c>
      <c r="L64" s="1">
        <v>1</v>
      </c>
      <c r="M64" s="1">
        <v>1</v>
      </c>
      <c r="N64" s="1">
        <v>1</v>
      </c>
    </row>
    <row r="65" spans="1:14" ht="12.75">
      <c r="A65" s="1"/>
      <c r="B65" s="1"/>
      <c r="E65" s="1"/>
      <c r="F65" s="1"/>
      <c r="G65" s="1"/>
      <c r="H65" s="1"/>
      <c r="I65" s="1"/>
      <c r="J65" s="1"/>
      <c r="K65" s="1"/>
      <c r="L65" s="1"/>
      <c r="M65" s="1"/>
      <c r="N65" s="1"/>
    </row>
    <row r="66" spans="1:14" ht="12.75">
      <c r="A66" s="15" t="s">
        <v>147</v>
      </c>
      <c r="B66" s="1" t="s">
        <v>148</v>
      </c>
      <c r="E66" s="1">
        <f t="shared" si="1"/>
        <v>44</v>
      </c>
      <c r="F66" s="1"/>
      <c r="G66" s="1">
        <v>6</v>
      </c>
      <c r="H66" s="1">
        <v>6</v>
      </c>
      <c r="I66" s="1">
        <v>4</v>
      </c>
      <c r="J66" s="1">
        <v>4</v>
      </c>
      <c r="K66" s="1">
        <v>4</v>
      </c>
      <c r="L66" s="1">
        <v>2</v>
      </c>
      <c r="M66" s="1">
        <v>1</v>
      </c>
      <c r="N66" s="1">
        <v>1</v>
      </c>
    </row>
    <row r="67" spans="1:14" ht="12.75">
      <c r="A67" s="1" t="s">
        <v>149</v>
      </c>
      <c r="B67" s="1" t="s">
        <v>63</v>
      </c>
      <c r="E67" s="1">
        <f t="shared" si="1"/>
        <v>44</v>
      </c>
      <c r="F67" s="1"/>
      <c r="G67" s="1">
        <v>6</v>
      </c>
      <c r="H67" s="1">
        <v>6</v>
      </c>
      <c r="I67" s="1">
        <v>4</v>
      </c>
      <c r="J67" s="1">
        <v>4</v>
      </c>
      <c r="K67" s="1">
        <v>4</v>
      </c>
      <c r="L67" s="1">
        <v>2</v>
      </c>
      <c r="M67" s="1">
        <v>1</v>
      </c>
      <c r="N67" s="1">
        <v>1</v>
      </c>
    </row>
    <row r="68" spans="1:14" ht="12.75">
      <c r="A68" s="1" t="s">
        <v>151</v>
      </c>
      <c r="B68" s="1" t="s">
        <v>65</v>
      </c>
      <c r="E68" s="1">
        <f t="shared" si="1"/>
        <v>44</v>
      </c>
      <c r="F68" s="1"/>
      <c r="G68" s="1">
        <v>6</v>
      </c>
      <c r="H68" s="1">
        <v>6</v>
      </c>
      <c r="I68" s="1">
        <v>4</v>
      </c>
      <c r="J68" s="1">
        <v>4</v>
      </c>
      <c r="K68" s="1">
        <v>4</v>
      </c>
      <c r="L68" s="1">
        <v>2</v>
      </c>
      <c r="M68" s="1">
        <v>1</v>
      </c>
      <c r="N68" s="1">
        <v>1</v>
      </c>
    </row>
    <row r="69" spans="1:14" ht="12.75">
      <c r="A69" s="1" t="s">
        <v>153</v>
      </c>
      <c r="B69" s="2" t="s">
        <v>67</v>
      </c>
      <c r="E69" s="1">
        <f t="shared" si="1"/>
        <v>44</v>
      </c>
      <c r="F69" s="1"/>
      <c r="G69" s="1">
        <v>6</v>
      </c>
      <c r="H69" s="1">
        <v>6</v>
      </c>
      <c r="I69" s="1">
        <v>4</v>
      </c>
      <c r="J69" s="1">
        <v>4</v>
      </c>
      <c r="K69" s="1">
        <v>4</v>
      </c>
      <c r="L69" s="1">
        <v>2</v>
      </c>
      <c r="M69" s="1">
        <v>1</v>
      </c>
      <c r="N69" s="1">
        <v>1</v>
      </c>
    </row>
    <row r="70" spans="1:14" ht="12.75">
      <c r="A70" s="1"/>
      <c r="B70" s="1"/>
      <c r="E70" s="1"/>
      <c r="F70" s="1"/>
      <c r="G70" s="1"/>
      <c r="H70" s="1"/>
      <c r="I70" s="1"/>
      <c r="J70" s="1"/>
      <c r="K70" s="1"/>
      <c r="L70" s="1"/>
      <c r="M70" s="1"/>
      <c r="N70" s="1"/>
    </row>
    <row r="71" spans="1:14" ht="12.75">
      <c r="A71" s="1" t="s">
        <v>155</v>
      </c>
      <c r="B71" s="1" t="s">
        <v>156</v>
      </c>
      <c r="E71" s="1">
        <f t="shared" si="1"/>
        <v>20</v>
      </c>
      <c r="F71" s="1"/>
      <c r="G71" s="1">
        <v>4</v>
      </c>
      <c r="H71" s="1">
        <v>4</v>
      </c>
      <c r="I71" s="1">
        <v>4</v>
      </c>
      <c r="J71" s="1">
        <v>4</v>
      </c>
      <c r="K71" s="1">
        <v>2</v>
      </c>
      <c r="L71" s="1">
        <v>1</v>
      </c>
      <c r="M71" s="1">
        <v>1</v>
      </c>
      <c r="N71" s="1">
        <v>1</v>
      </c>
    </row>
    <row r="72" spans="1:14" ht="12.75">
      <c r="A72" s="1" t="s">
        <v>158</v>
      </c>
      <c r="B72" s="1" t="s">
        <v>159</v>
      </c>
      <c r="E72" s="1">
        <f t="shared" si="1"/>
        <v>20</v>
      </c>
      <c r="F72" s="1"/>
      <c r="G72" s="1">
        <v>4</v>
      </c>
      <c r="H72" s="1">
        <v>4</v>
      </c>
      <c r="I72" s="1">
        <v>4</v>
      </c>
      <c r="J72" s="1">
        <v>4</v>
      </c>
      <c r="K72" s="1">
        <v>2</v>
      </c>
      <c r="L72" s="1">
        <v>1</v>
      </c>
      <c r="M72" s="1">
        <v>1</v>
      </c>
      <c r="N72" s="1">
        <v>1</v>
      </c>
    </row>
    <row r="73" spans="1:14" ht="12.75">
      <c r="A73" s="1" t="s">
        <v>160</v>
      </c>
      <c r="B73" s="1" t="s">
        <v>67</v>
      </c>
      <c r="E73" s="1">
        <f aca="true" t="shared" si="2" ref="E73:E104">G73*K73+H73*L73+I73*M73+J73*N73</f>
        <v>20</v>
      </c>
      <c r="F73" s="1"/>
      <c r="G73" s="1">
        <v>4</v>
      </c>
      <c r="H73" s="1">
        <v>4</v>
      </c>
      <c r="I73" s="1">
        <v>4</v>
      </c>
      <c r="J73" s="1">
        <v>4</v>
      </c>
      <c r="K73" s="1">
        <v>2</v>
      </c>
      <c r="L73" s="1">
        <v>1</v>
      </c>
      <c r="M73" s="1">
        <v>1</v>
      </c>
      <c r="N73" s="1">
        <v>1</v>
      </c>
    </row>
    <row r="74" spans="1:14" ht="12.75">
      <c r="A74" s="1" t="s">
        <v>162</v>
      </c>
      <c r="B74" s="1" t="s">
        <v>163</v>
      </c>
      <c r="E74" s="1">
        <f t="shared" si="2"/>
        <v>20</v>
      </c>
      <c r="F74" s="1"/>
      <c r="G74" s="1">
        <v>4</v>
      </c>
      <c r="H74" s="1">
        <v>4</v>
      </c>
      <c r="I74" s="1">
        <v>4</v>
      </c>
      <c r="J74" s="1">
        <v>4</v>
      </c>
      <c r="K74" s="1">
        <v>2</v>
      </c>
      <c r="L74" s="1">
        <v>1</v>
      </c>
      <c r="M74" s="1">
        <v>1</v>
      </c>
      <c r="N74" s="1">
        <v>1</v>
      </c>
    </row>
    <row r="75" spans="1:14" ht="12.75">
      <c r="A75" s="1" t="s">
        <v>165</v>
      </c>
      <c r="B75" s="1" t="s">
        <v>166</v>
      </c>
      <c r="E75" s="1">
        <f t="shared" si="2"/>
        <v>20</v>
      </c>
      <c r="F75" s="1"/>
      <c r="G75" s="1">
        <v>4</v>
      </c>
      <c r="H75" s="1">
        <v>4</v>
      </c>
      <c r="I75" s="1">
        <v>4</v>
      </c>
      <c r="J75" s="1">
        <v>4</v>
      </c>
      <c r="K75" s="1">
        <v>2</v>
      </c>
      <c r="L75" s="1">
        <v>1</v>
      </c>
      <c r="M75" s="1">
        <v>1</v>
      </c>
      <c r="N75" s="1">
        <v>1</v>
      </c>
    </row>
    <row r="76" spans="1:14" ht="12.75">
      <c r="A76" s="1" t="s">
        <v>167</v>
      </c>
      <c r="B76" s="1" t="s">
        <v>67</v>
      </c>
      <c r="E76" s="1">
        <f t="shared" si="2"/>
        <v>20</v>
      </c>
      <c r="F76" s="1"/>
      <c r="G76" s="1">
        <v>4</v>
      </c>
      <c r="H76" s="1">
        <v>4</v>
      </c>
      <c r="I76" s="1">
        <v>4</v>
      </c>
      <c r="J76" s="1">
        <v>4</v>
      </c>
      <c r="K76" s="1">
        <v>2</v>
      </c>
      <c r="L76" s="1">
        <v>1</v>
      </c>
      <c r="M76" s="1">
        <v>1</v>
      </c>
      <c r="N76" s="1">
        <v>1</v>
      </c>
    </row>
    <row r="77" spans="1:14" ht="12.75">
      <c r="A77" s="1" t="s">
        <v>169</v>
      </c>
      <c r="B77" s="1" t="s">
        <v>163</v>
      </c>
      <c r="E77" s="1">
        <f t="shared" si="2"/>
        <v>20</v>
      </c>
      <c r="F77" s="1"/>
      <c r="G77" s="1">
        <v>4</v>
      </c>
      <c r="H77" s="1">
        <v>4</v>
      </c>
      <c r="I77" s="1">
        <v>4</v>
      </c>
      <c r="J77" s="1">
        <v>4</v>
      </c>
      <c r="K77" s="1">
        <v>2</v>
      </c>
      <c r="L77" s="1">
        <v>1</v>
      </c>
      <c r="M77" s="1">
        <v>1</v>
      </c>
      <c r="N77" s="1">
        <v>1</v>
      </c>
    </row>
    <row r="78" spans="1:14" ht="12.75">
      <c r="A78" s="1" t="s">
        <v>172</v>
      </c>
      <c r="B78" s="1" t="s">
        <v>173</v>
      </c>
      <c r="E78" s="1">
        <f t="shared" si="2"/>
        <v>20</v>
      </c>
      <c r="F78" s="1"/>
      <c r="G78" s="1">
        <v>4</v>
      </c>
      <c r="H78" s="1">
        <v>4</v>
      </c>
      <c r="I78" s="1">
        <v>4</v>
      </c>
      <c r="J78" s="1">
        <v>4</v>
      </c>
      <c r="K78" s="1">
        <v>2</v>
      </c>
      <c r="L78" s="1">
        <v>1</v>
      </c>
      <c r="M78" s="1">
        <v>1</v>
      </c>
      <c r="N78" s="1">
        <v>1</v>
      </c>
    </row>
    <row r="79" spans="1:14" ht="12.75">
      <c r="A79" s="1" t="s">
        <v>174</v>
      </c>
      <c r="B79" s="1" t="s">
        <v>67</v>
      </c>
      <c r="E79" s="1">
        <f t="shared" si="2"/>
        <v>20</v>
      </c>
      <c r="F79" s="1"/>
      <c r="G79" s="1">
        <v>4</v>
      </c>
      <c r="H79" s="1">
        <v>4</v>
      </c>
      <c r="I79" s="1">
        <v>4</v>
      </c>
      <c r="J79" s="1">
        <v>4</v>
      </c>
      <c r="K79" s="1">
        <v>2</v>
      </c>
      <c r="L79" s="1">
        <v>1</v>
      </c>
      <c r="M79" s="1">
        <v>1</v>
      </c>
      <c r="N79" s="1">
        <v>1</v>
      </c>
    </row>
    <row r="80" spans="1:14" ht="12.75">
      <c r="A80" s="1"/>
      <c r="B80" s="1"/>
      <c r="E80" s="1"/>
      <c r="F80" s="1"/>
      <c r="G80" s="1"/>
      <c r="H80" s="1"/>
      <c r="I80" s="1"/>
      <c r="J80" s="1"/>
      <c r="K80" s="1"/>
      <c r="L80" s="1"/>
      <c r="M80" s="1"/>
      <c r="N80" s="1"/>
    </row>
    <row r="81" spans="1:14" ht="12.75">
      <c r="A81" s="1" t="s">
        <v>176</v>
      </c>
      <c r="B81" s="1" t="s">
        <v>177</v>
      </c>
      <c r="E81" s="1">
        <f t="shared" si="2"/>
        <v>64</v>
      </c>
      <c r="F81" s="1"/>
      <c r="G81" s="1">
        <v>8</v>
      </c>
      <c r="H81" s="1">
        <v>8</v>
      </c>
      <c r="I81" s="1">
        <v>8</v>
      </c>
      <c r="J81" s="1">
        <v>8</v>
      </c>
      <c r="K81" s="1">
        <v>4</v>
      </c>
      <c r="L81" s="1">
        <v>2</v>
      </c>
      <c r="M81" s="1">
        <v>1</v>
      </c>
      <c r="N81" s="1">
        <v>1</v>
      </c>
    </row>
    <row r="82" spans="1:14" ht="12.75">
      <c r="A82" s="1"/>
      <c r="B82" s="1"/>
      <c r="E82" s="1"/>
      <c r="F82" s="1"/>
      <c r="G82" s="1"/>
      <c r="H82" s="1"/>
      <c r="I82" s="1"/>
      <c r="J82" s="1"/>
      <c r="K82" s="1"/>
      <c r="L82" s="1"/>
      <c r="M82" s="1"/>
      <c r="N82" s="1"/>
    </row>
    <row r="83" spans="1:14" ht="12.75">
      <c r="A83" s="1" t="s">
        <v>178</v>
      </c>
      <c r="B83" s="1" t="s">
        <v>179</v>
      </c>
      <c r="E83" s="1">
        <f t="shared" si="2"/>
        <v>64</v>
      </c>
      <c r="F83" s="1"/>
      <c r="G83" s="1">
        <v>8</v>
      </c>
      <c r="H83" s="1">
        <v>8</v>
      </c>
      <c r="I83" s="1">
        <v>8</v>
      </c>
      <c r="J83" s="1">
        <v>8</v>
      </c>
      <c r="K83" s="1">
        <v>4</v>
      </c>
      <c r="L83" s="1">
        <v>2</v>
      </c>
      <c r="M83" s="1">
        <v>1</v>
      </c>
      <c r="N83" s="1">
        <v>1</v>
      </c>
    </row>
    <row r="84" spans="1:14" ht="12.75">
      <c r="A84" s="1" t="s">
        <v>180</v>
      </c>
      <c r="B84" s="1" t="s">
        <v>63</v>
      </c>
      <c r="E84" s="1">
        <f t="shared" si="2"/>
        <v>64</v>
      </c>
      <c r="F84" s="1"/>
      <c r="G84" s="1">
        <v>8</v>
      </c>
      <c r="H84" s="1">
        <v>8</v>
      </c>
      <c r="I84" s="1">
        <v>8</v>
      </c>
      <c r="J84" s="1">
        <v>8</v>
      </c>
      <c r="K84" s="1">
        <v>4</v>
      </c>
      <c r="L84" s="1">
        <v>2</v>
      </c>
      <c r="M84" s="1">
        <v>1</v>
      </c>
      <c r="N84" s="1">
        <v>1</v>
      </c>
    </row>
    <row r="85" spans="1:14" ht="12.75">
      <c r="A85" s="15" t="s">
        <v>182</v>
      </c>
      <c r="B85" s="1" t="s">
        <v>65</v>
      </c>
      <c r="E85" s="1">
        <f t="shared" si="2"/>
        <v>64</v>
      </c>
      <c r="F85" s="1"/>
      <c r="G85" s="1">
        <v>8</v>
      </c>
      <c r="H85" s="1">
        <v>8</v>
      </c>
      <c r="I85" s="1">
        <v>8</v>
      </c>
      <c r="J85" s="1">
        <v>8</v>
      </c>
      <c r="K85" s="1">
        <v>4</v>
      </c>
      <c r="L85" s="1">
        <v>2</v>
      </c>
      <c r="M85" s="1">
        <v>1</v>
      </c>
      <c r="N85" s="1">
        <v>1</v>
      </c>
    </row>
    <row r="86" spans="1:14" ht="12.75">
      <c r="A86" s="15" t="s">
        <v>184</v>
      </c>
      <c r="B86" s="1" t="s">
        <v>185</v>
      </c>
      <c r="E86" s="1">
        <f t="shared" si="2"/>
        <v>64</v>
      </c>
      <c r="F86" s="1"/>
      <c r="G86" s="1">
        <v>8</v>
      </c>
      <c r="H86" s="1">
        <v>8</v>
      </c>
      <c r="I86" s="1">
        <v>8</v>
      </c>
      <c r="J86" s="1">
        <v>8</v>
      </c>
      <c r="K86" s="1">
        <v>4</v>
      </c>
      <c r="L86" s="1">
        <v>2</v>
      </c>
      <c r="M86" s="1">
        <v>1</v>
      </c>
      <c r="N86" s="1">
        <v>1</v>
      </c>
    </row>
    <row r="87" spans="1:14" ht="12.75">
      <c r="A87" s="15" t="s">
        <v>186</v>
      </c>
      <c r="B87" s="1" t="s">
        <v>187</v>
      </c>
      <c r="E87" s="1">
        <f t="shared" si="2"/>
        <v>64</v>
      </c>
      <c r="F87" s="1"/>
      <c r="G87" s="1">
        <v>8</v>
      </c>
      <c r="H87" s="1">
        <v>8</v>
      </c>
      <c r="I87" s="1">
        <v>8</v>
      </c>
      <c r="J87" s="1">
        <v>8</v>
      </c>
      <c r="K87" s="1">
        <v>4</v>
      </c>
      <c r="L87" s="1">
        <v>2</v>
      </c>
      <c r="M87" s="1">
        <v>1</v>
      </c>
      <c r="N87" s="1">
        <v>1</v>
      </c>
    </row>
    <row r="88" spans="1:14" ht="12.75">
      <c r="A88" s="1" t="s">
        <v>188</v>
      </c>
      <c r="B88" s="1" t="s">
        <v>63</v>
      </c>
      <c r="E88" s="1">
        <f t="shared" si="2"/>
        <v>64</v>
      </c>
      <c r="F88" s="1"/>
      <c r="G88" s="1">
        <v>8</v>
      </c>
      <c r="H88" s="1">
        <v>8</v>
      </c>
      <c r="I88" s="1">
        <v>8</v>
      </c>
      <c r="J88" s="1">
        <v>8</v>
      </c>
      <c r="K88" s="1">
        <v>4</v>
      </c>
      <c r="L88" s="1">
        <v>2</v>
      </c>
      <c r="M88" s="1">
        <v>1</v>
      </c>
      <c r="N88" s="1">
        <v>1</v>
      </c>
    </row>
    <row r="89" spans="1:14" ht="12.75">
      <c r="A89" s="15" t="s">
        <v>190</v>
      </c>
      <c r="B89" s="1" t="s">
        <v>65</v>
      </c>
      <c r="E89" s="1">
        <f t="shared" si="2"/>
        <v>64</v>
      </c>
      <c r="F89" s="1"/>
      <c r="G89" s="1">
        <v>8</v>
      </c>
      <c r="H89" s="1">
        <v>8</v>
      </c>
      <c r="I89" s="1">
        <v>8</v>
      </c>
      <c r="J89" s="1">
        <v>8</v>
      </c>
      <c r="K89" s="1">
        <v>4</v>
      </c>
      <c r="L89" s="1">
        <v>2</v>
      </c>
      <c r="M89" s="1">
        <v>1</v>
      </c>
      <c r="N89" s="1">
        <v>1</v>
      </c>
    </row>
    <row r="90" spans="1:14" ht="12.75">
      <c r="A90" s="15" t="s">
        <v>192</v>
      </c>
      <c r="B90" s="1" t="s">
        <v>185</v>
      </c>
      <c r="E90" s="1">
        <f t="shared" si="2"/>
        <v>64</v>
      </c>
      <c r="F90" s="1"/>
      <c r="G90" s="1">
        <v>8</v>
      </c>
      <c r="H90" s="1">
        <v>8</v>
      </c>
      <c r="I90" s="1">
        <v>8</v>
      </c>
      <c r="J90" s="1">
        <v>8</v>
      </c>
      <c r="K90" s="1">
        <v>4</v>
      </c>
      <c r="L90" s="1">
        <v>2</v>
      </c>
      <c r="M90" s="1">
        <v>1</v>
      </c>
      <c r="N90" s="1">
        <v>1</v>
      </c>
    </row>
    <row r="91" spans="1:14" ht="12.75">
      <c r="A91" s="15" t="s">
        <v>194</v>
      </c>
      <c r="B91" s="1" t="s">
        <v>195</v>
      </c>
      <c r="E91" s="1">
        <f t="shared" si="2"/>
        <v>64</v>
      </c>
      <c r="F91" s="1"/>
      <c r="G91" s="1">
        <v>8</v>
      </c>
      <c r="H91" s="1">
        <v>8</v>
      </c>
      <c r="I91" s="1">
        <v>8</v>
      </c>
      <c r="J91" s="1">
        <v>8</v>
      </c>
      <c r="K91" s="1">
        <v>4</v>
      </c>
      <c r="L91" s="1">
        <v>2</v>
      </c>
      <c r="M91" s="1">
        <v>1</v>
      </c>
      <c r="N91" s="1">
        <v>1</v>
      </c>
    </row>
    <row r="92" spans="1:14" ht="12.75">
      <c r="A92" s="15" t="s">
        <v>196</v>
      </c>
      <c r="B92" s="1" t="s">
        <v>63</v>
      </c>
      <c r="E92" s="1">
        <f t="shared" si="2"/>
        <v>64</v>
      </c>
      <c r="F92" s="1"/>
      <c r="G92" s="1">
        <v>8</v>
      </c>
      <c r="H92" s="1">
        <v>8</v>
      </c>
      <c r="I92" s="1">
        <v>8</v>
      </c>
      <c r="J92" s="1">
        <v>8</v>
      </c>
      <c r="K92" s="1">
        <v>4</v>
      </c>
      <c r="L92" s="1">
        <v>2</v>
      </c>
      <c r="M92" s="1">
        <v>1</v>
      </c>
      <c r="N92" s="1">
        <v>1</v>
      </c>
    </row>
    <row r="93" spans="1:14" ht="12.75">
      <c r="A93" s="15" t="s">
        <v>198</v>
      </c>
      <c r="B93" s="1" t="s">
        <v>65</v>
      </c>
      <c r="E93" s="1">
        <f t="shared" si="2"/>
        <v>64</v>
      </c>
      <c r="F93" s="1"/>
      <c r="G93" s="1">
        <v>8</v>
      </c>
      <c r="H93" s="1">
        <v>8</v>
      </c>
      <c r="I93" s="1">
        <v>8</v>
      </c>
      <c r="J93" s="1">
        <v>8</v>
      </c>
      <c r="K93" s="1">
        <v>4</v>
      </c>
      <c r="L93" s="1">
        <v>2</v>
      </c>
      <c r="M93" s="1">
        <v>1</v>
      </c>
      <c r="N93" s="1">
        <v>1</v>
      </c>
    </row>
    <row r="94" spans="1:14" ht="12.75">
      <c r="A94" s="15" t="s">
        <v>200</v>
      </c>
      <c r="B94" s="1" t="s">
        <v>185</v>
      </c>
      <c r="E94" s="1">
        <f t="shared" si="2"/>
        <v>64</v>
      </c>
      <c r="F94" s="1"/>
      <c r="G94" s="1">
        <v>8</v>
      </c>
      <c r="H94" s="1">
        <v>8</v>
      </c>
      <c r="I94" s="1">
        <v>8</v>
      </c>
      <c r="J94" s="1">
        <v>8</v>
      </c>
      <c r="K94" s="1">
        <v>4</v>
      </c>
      <c r="L94" s="1">
        <v>2</v>
      </c>
      <c r="M94" s="1">
        <v>1</v>
      </c>
      <c r="N94" s="1">
        <v>1</v>
      </c>
    </row>
    <row r="95" spans="1:14" ht="12.75">
      <c r="A95" s="15"/>
      <c r="B95" s="1"/>
      <c r="E95" s="1">
        <f t="shared" si="2"/>
        <v>64</v>
      </c>
      <c r="F95" s="1"/>
      <c r="G95" s="1">
        <v>8</v>
      </c>
      <c r="H95" s="1">
        <v>8</v>
      </c>
      <c r="I95" s="1">
        <v>8</v>
      </c>
      <c r="J95" s="1">
        <v>8</v>
      </c>
      <c r="K95" s="1">
        <v>4</v>
      </c>
      <c r="L95" s="1">
        <v>2</v>
      </c>
      <c r="M95" s="1">
        <v>1</v>
      </c>
      <c r="N95" s="1">
        <v>1</v>
      </c>
    </row>
    <row r="96" spans="1:14" ht="12.75">
      <c r="A96" s="15" t="s">
        <v>202</v>
      </c>
      <c r="B96" s="1" t="s">
        <v>203</v>
      </c>
      <c r="E96" s="1"/>
      <c r="F96" s="1"/>
      <c r="G96" s="1"/>
      <c r="H96" s="1"/>
      <c r="I96" s="1"/>
      <c r="J96" s="1"/>
      <c r="K96" s="1"/>
      <c r="L96" s="1"/>
      <c r="M96" s="1"/>
      <c r="N96" s="1"/>
    </row>
    <row r="97" spans="1:14" ht="12.75">
      <c r="A97" s="1"/>
      <c r="B97" s="1"/>
      <c r="E97" s="1"/>
      <c r="F97" s="1"/>
      <c r="G97" s="1"/>
      <c r="H97" s="1"/>
      <c r="I97" s="1"/>
      <c r="J97" s="1"/>
      <c r="K97" s="1"/>
      <c r="L97" s="1"/>
      <c r="M97" s="1"/>
      <c r="N97" s="1"/>
    </row>
    <row r="98" spans="1:14" ht="12.75">
      <c r="A98" s="15" t="s">
        <v>204</v>
      </c>
      <c r="B98" s="1" t="s">
        <v>205</v>
      </c>
      <c r="E98" s="1">
        <f t="shared" si="2"/>
        <v>14</v>
      </c>
      <c r="F98" s="1"/>
      <c r="G98" s="1">
        <v>2</v>
      </c>
      <c r="H98" s="1">
        <v>4</v>
      </c>
      <c r="I98" s="1">
        <v>2</v>
      </c>
      <c r="J98" s="1">
        <v>4</v>
      </c>
      <c r="K98" s="1">
        <v>2</v>
      </c>
      <c r="L98" s="1">
        <v>1</v>
      </c>
      <c r="M98" s="1">
        <v>1</v>
      </c>
      <c r="N98" s="1">
        <v>1</v>
      </c>
    </row>
    <row r="99" spans="1:14" ht="12.75">
      <c r="A99" s="1"/>
      <c r="B99" s="1"/>
      <c r="E99" s="1"/>
      <c r="F99" s="1"/>
      <c r="G99" s="1"/>
      <c r="H99" s="1"/>
      <c r="I99" s="1"/>
      <c r="J99" s="1"/>
      <c r="K99" s="1"/>
      <c r="L99" s="1"/>
      <c r="M99" s="1"/>
      <c r="N99" s="1"/>
    </row>
    <row r="100" spans="1:14" ht="12.75">
      <c r="A100" s="15" t="s">
        <v>206</v>
      </c>
      <c r="B100" s="1" t="s">
        <v>207</v>
      </c>
      <c r="E100" s="1">
        <f t="shared" si="2"/>
        <v>14</v>
      </c>
      <c r="F100" s="1"/>
      <c r="G100" s="1">
        <v>2</v>
      </c>
      <c r="H100" s="1">
        <v>4</v>
      </c>
      <c r="I100" s="1">
        <v>2</v>
      </c>
      <c r="J100" s="1">
        <v>4</v>
      </c>
      <c r="K100" s="1">
        <v>2</v>
      </c>
      <c r="L100" s="1">
        <v>1</v>
      </c>
      <c r="M100" s="1">
        <v>1</v>
      </c>
      <c r="N100" s="1">
        <v>1</v>
      </c>
    </row>
    <row r="101" spans="1:14" ht="12.75">
      <c r="A101" s="15"/>
      <c r="B101" s="1"/>
      <c r="E101" s="1"/>
      <c r="F101" s="1"/>
      <c r="G101" s="1"/>
      <c r="H101" s="1"/>
      <c r="I101" s="1"/>
      <c r="J101" s="1"/>
      <c r="K101" s="1"/>
      <c r="L101" s="1"/>
      <c r="M101" s="1"/>
      <c r="N101" s="1"/>
    </row>
    <row r="102" spans="1:14" ht="12.75">
      <c r="A102" s="15" t="s">
        <v>209</v>
      </c>
      <c r="B102" s="1" t="s">
        <v>210</v>
      </c>
      <c r="E102" s="1">
        <f t="shared" si="2"/>
        <v>14</v>
      </c>
      <c r="F102" s="1"/>
      <c r="G102" s="1">
        <v>2</v>
      </c>
      <c r="H102" s="1">
        <v>4</v>
      </c>
      <c r="I102" s="1">
        <v>2</v>
      </c>
      <c r="J102" s="1">
        <v>4</v>
      </c>
      <c r="K102" s="1">
        <v>2</v>
      </c>
      <c r="L102" s="1">
        <v>1</v>
      </c>
      <c r="M102" s="1">
        <v>1</v>
      </c>
      <c r="N102" s="1">
        <v>1</v>
      </c>
    </row>
    <row r="103" spans="1:14" ht="12.75">
      <c r="A103" s="15" t="s">
        <v>212</v>
      </c>
      <c r="B103" s="1" t="s">
        <v>213</v>
      </c>
      <c r="E103" s="1">
        <f t="shared" si="2"/>
        <v>14</v>
      </c>
      <c r="F103" s="1"/>
      <c r="G103" s="1">
        <v>2</v>
      </c>
      <c r="H103" s="1">
        <v>4</v>
      </c>
      <c r="I103" s="1">
        <v>2</v>
      </c>
      <c r="J103" s="1">
        <v>4</v>
      </c>
      <c r="K103" s="1">
        <v>2</v>
      </c>
      <c r="L103" s="1">
        <v>1</v>
      </c>
      <c r="M103" s="1">
        <v>1</v>
      </c>
      <c r="N103" s="1">
        <v>1</v>
      </c>
    </row>
    <row r="104" spans="1:14" ht="12.75">
      <c r="A104" s="15" t="s">
        <v>214</v>
      </c>
      <c r="B104" s="1" t="s">
        <v>215</v>
      </c>
      <c r="E104" s="1">
        <f t="shared" si="2"/>
        <v>14</v>
      </c>
      <c r="F104" s="1"/>
      <c r="G104" s="1">
        <v>2</v>
      </c>
      <c r="H104" s="1">
        <v>4</v>
      </c>
      <c r="I104" s="1">
        <v>2</v>
      </c>
      <c r="J104" s="1">
        <v>4</v>
      </c>
      <c r="K104" s="1">
        <v>2</v>
      </c>
      <c r="L104" s="1">
        <v>1</v>
      </c>
      <c r="M104" s="1">
        <v>1</v>
      </c>
      <c r="N104" s="1">
        <v>1</v>
      </c>
    </row>
    <row r="105" spans="1:14" ht="12.75">
      <c r="A105" s="15" t="s">
        <v>216</v>
      </c>
      <c r="B105" s="1" t="s">
        <v>217</v>
      </c>
      <c r="E105" s="1">
        <f aca="true" t="shared" si="3" ref="E105:E136">G105*K105+H105*L105+I105*M105+J105*N105</f>
        <v>14</v>
      </c>
      <c r="F105" s="1"/>
      <c r="G105" s="1">
        <v>2</v>
      </c>
      <c r="H105" s="1">
        <v>4</v>
      </c>
      <c r="I105" s="1">
        <v>2</v>
      </c>
      <c r="J105" s="1">
        <v>4</v>
      </c>
      <c r="K105" s="1">
        <v>2</v>
      </c>
      <c r="L105" s="1">
        <v>1</v>
      </c>
      <c r="M105" s="1">
        <v>1</v>
      </c>
      <c r="N105" s="1">
        <v>1</v>
      </c>
    </row>
    <row r="106" spans="1:14" ht="12.75">
      <c r="A106" s="15" t="s">
        <v>218</v>
      </c>
      <c r="B106" s="1" t="s">
        <v>219</v>
      </c>
      <c r="E106" s="1">
        <f t="shared" si="3"/>
        <v>14</v>
      </c>
      <c r="F106" s="1"/>
      <c r="G106" s="1">
        <v>2</v>
      </c>
      <c r="H106" s="1">
        <v>4</v>
      </c>
      <c r="I106" s="1">
        <v>2</v>
      </c>
      <c r="J106" s="1">
        <v>4</v>
      </c>
      <c r="K106" s="1">
        <v>2</v>
      </c>
      <c r="L106" s="1">
        <v>1</v>
      </c>
      <c r="M106" s="1">
        <v>1</v>
      </c>
      <c r="N106" s="1">
        <v>1</v>
      </c>
    </row>
    <row r="107" spans="1:14" ht="12.75">
      <c r="A107" s="1" t="s">
        <v>220</v>
      </c>
      <c r="B107" s="1" t="s">
        <v>221</v>
      </c>
      <c r="E107" s="1">
        <f t="shared" si="3"/>
        <v>14</v>
      </c>
      <c r="F107" s="1"/>
      <c r="G107" s="1">
        <v>2</v>
      </c>
      <c r="H107" s="1">
        <v>4</v>
      </c>
      <c r="I107" s="1">
        <v>2</v>
      </c>
      <c r="J107" s="1">
        <v>4</v>
      </c>
      <c r="K107" s="1">
        <v>2</v>
      </c>
      <c r="L107" s="1">
        <v>1</v>
      </c>
      <c r="M107" s="1">
        <v>1</v>
      </c>
      <c r="N107" s="1">
        <v>1</v>
      </c>
    </row>
    <row r="108" spans="1:14" ht="12.75">
      <c r="A108" s="1"/>
      <c r="B108" s="1"/>
      <c r="E108" s="1"/>
      <c r="F108" s="1"/>
      <c r="G108" s="1"/>
      <c r="H108" s="1"/>
      <c r="I108" s="1"/>
      <c r="J108" s="1"/>
      <c r="K108" s="1"/>
      <c r="L108" s="1"/>
      <c r="M108" s="1"/>
      <c r="N108" s="1"/>
    </row>
    <row r="109" spans="1:14" ht="12.75">
      <c r="A109" s="1" t="s">
        <v>222</v>
      </c>
      <c r="B109" s="1" t="s">
        <v>223</v>
      </c>
      <c r="E109" s="1">
        <f t="shared" si="3"/>
        <v>14</v>
      </c>
      <c r="F109" s="1"/>
      <c r="G109" s="1">
        <v>2</v>
      </c>
      <c r="H109" s="1">
        <v>4</v>
      </c>
      <c r="I109" s="1">
        <v>2</v>
      </c>
      <c r="J109" s="1">
        <v>4</v>
      </c>
      <c r="K109" s="1">
        <v>2</v>
      </c>
      <c r="L109" s="1">
        <v>1</v>
      </c>
      <c r="M109" s="1">
        <v>1</v>
      </c>
      <c r="N109" s="1">
        <v>1</v>
      </c>
    </row>
    <row r="110" spans="1:14" ht="12.75">
      <c r="A110" s="15"/>
      <c r="B110" s="1"/>
      <c r="E110" s="1"/>
      <c r="F110" s="1"/>
      <c r="G110" s="1"/>
      <c r="H110" s="1"/>
      <c r="I110" s="1"/>
      <c r="J110" s="1"/>
      <c r="K110" s="1"/>
      <c r="L110" s="1"/>
      <c r="M110" s="1"/>
      <c r="N110" s="1"/>
    </row>
    <row r="111" spans="1:14" ht="12.75">
      <c r="A111" s="1" t="s">
        <v>225</v>
      </c>
      <c r="B111" s="1" t="s">
        <v>226</v>
      </c>
      <c r="E111" s="1">
        <f t="shared" si="3"/>
        <v>14</v>
      </c>
      <c r="F111" s="1"/>
      <c r="G111" s="1">
        <v>2</v>
      </c>
      <c r="H111" s="1">
        <v>4</v>
      </c>
      <c r="I111" s="1">
        <v>2</v>
      </c>
      <c r="J111" s="1">
        <v>4</v>
      </c>
      <c r="K111" s="1">
        <v>2</v>
      </c>
      <c r="L111" s="1">
        <v>1</v>
      </c>
      <c r="M111" s="1">
        <v>1</v>
      </c>
      <c r="N111" s="1">
        <v>1</v>
      </c>
    </row>
    <row r="112" spans="1:14" ht="12.75">
      <c r="A112" s="15" t="s">
        <v>227</v>
      </c>
      <c r="B112" s="1" t="s">
        <v>228</v>
      </c>
      <c r="E112" s="1">
        <f t="shared" si="3"/>
        <v>14</v>
      </c>
      <c r="F112" s="1"/>
      <c r="G112" s="1">
        <v>2</v>
      </c>
      <c r="H112" s="1">
        <v>4</v>
      </c>
      <c r="I112" s="1">
        <v>2</v>
      </c>
      <c r="J112" s="1">
        <v>4</v>
      </c>
      <c r="K112" s="1">
        <v>2</v>
      </c>
      <c r="L112" s="1">
        <v>1</v>
      </c>
      <c r="M112" s="1">
        <v>1</v>
      </c>
      <c r="N112" s="1">
        <v>1</v>
      </c>
    </row>
    <row r="113" spans="1:14" ht="12.75">
      <c r="A113" s="15" t="s">
        <v>229</v>
      </c>
      <c r="B113" s="1" t="s">
        <v>230</v>
      </c>
      <c r="E113" s="1">
        <f t="shared" si="3"/>
        <v>14</v>
      </c>
      <c r="F113" s="1"/>
      <c r="G113" s="1">
        <v>2</v>
      </c>
      <c r="H113" s="1">
        <v>4</v>
      </c>
      <c r="I113" s="1">
        <v>2</v>
      </c>
      <c r="J113" s="1">
        <v>4</v>
      </c>
      <c r="K113" s="1">
        <v>2</v>
      </c>
      <c r="L113" s="1">
        <v>1</v>
      </c>
      <c r="M113" s="1">
        <v>1</v>
      </c>
      <c r="N113" s="1">
        <v>1</v>
      </c>
    </row>
    <row r="114" spans="1:14" ht="12.75">
      <c r="A114" s="15" t="s">
        <v>231</v>
      </c>
      <c r="B114" s="1" t="s">
        <v>232</v>
      </c>
      <c r="E114" s="1">
        <f t="shared" si="3"/>
        <v>14</v>
      </c>
      <c r="F114" s="1"/>
      <c r="G114" s="1">
        <v>2</v>
      </c>
      <c r="H114" s="1">
        <v>4</v>
      </c>
      <c r="I114" s="1">
        <v>2</v>
      </c>
      <c r="J114" s="1">
        <v>4</v>
      </c>
      <c r="K114" s="1">
        <v>2</v>
      </c>
      <c r="L114" s="1">
        <v>1</v>
      </c>
      <c r="M114" s="1">
        <v>1</v>
      </c>
      <c r="N114" s="1">
        <v>1</v>
      </c>
    </row>
    <row r="115" spans="1:14" ht="12.75">
      <c r="A115" s="15" t="s">
        <v>233</v>
      </c>
      <c r="B115" s="1" t="s">
        <v>217</v>
      </c>
      <c r="E115" s="1">
        <f t="shared" si="3"/>
        <v>14</v>
      </c>
      <c r="F115" s="1"/>
      <c r="G115" s="1">
        <v>2</v>
      </c>
      <c r="H115" s="1">
        <v>4</v>
      </c>
      <c r="I115" s="1">
        <v>2</v>
      </c>
      <c r="J115" s="1">
        <v>4</v>
      </c>
      <c r="K115" s="1">
        <v>2</v>
      </c>
      <c r="L115" s="1">
        <v>1</v>
      </c>
      <c r="M115" s="1">
        <v>1</v>
      </c>
      <c r="N115" s="1">
        <v>1</v>
      </c>
    </row>
    <row r="116" spans="1:14" ht="12.75">
      <c r="A116" s="15" t="s">
        <v>235</v>
      </c>
      <c r="B116" s="1" t="s">
        <v>219</v>
      </c>
      <c r="E116" s="1">
        <f t="shared" si="3"/>
        <v>14</v>
      </c>
      <c r="F116" s="1"/>
      <c r="G116" s="1">
        <v>2</v>
      </c>
      <c r="H116" s="1">
        <v>4</v>
      </c>
      <c r="I116" s="1">
        <v>2</v>
      </c>
      <c r="J116" s="1">
        <v>4</v>
      </c>
      <c r="K116" s="1">
        <v>2</v>
      </c>
      <c r="L116" s="1">
        <v>1</v>
      </c>
      <c r="M116" s="1">
        <v>1</v>
      </c>
      <c r="N116" s="1">
        <v>1</v>
      </c>
    </row>
    <row r="117" spans="1:14" ht="12.75">
      <c r="A117" s="15" t="s">
        <v>237</v>
      </c>
      <c r="B117" s="1" t="s">
        <v>238</v>
      </c>
      <c r="E117" s="1">
        <f t="shared" si="3"/>
        <v>14</v>
      </c>
      <c r="F117" s="1"/>
      <c r="G117" s="1">
        <v>2</v>
      </c>
      <c r="H117" s="1">
        <v>4</v>
      </c>
      <c r="I117" s="1">
        <v>2</v>
      </c>
      <c r="J117" s="1">
        <v>4</v>
      </c>
      <c r="K117" s="1">
        <v>2</v>
      </c>
      <c r="L117" s="1">
        <v>1</v>
      </c>
      <c r="M117" s="1">
        <v>1</v>
      </c>
      <c r="N117" s="1">
        <v>1</v>
      </c>
    </row>
    <row r="118" spans="1:14" ht="12.75">
      <c r="A118" s="15"/>
      <c r="B118" s="1"/>
      <c r="E118" s="1"/>
      <c r="F118" s="1"/>
      <c r="G118" s="1"/>
      <c r="H118" s="1"/>
      <c r="I118" s="1"/>
      <c r="J118" s="1"/>
      <c r="K118" s="1"/>
      <c r="L118" s="1"/>
      <c r="M118" s="1"/>
      <c r="N118" s="1"/>
    </row>
    <row r="119" spans="1:14" ht="12.75">
      <c r="A119" s="15" t="s">
        <v>239</v>
      </c>
      <c r="B119" s="1" t="s">
        <v>240</v>
      </c>
      <c r="E119" s="1">
        <f t="shared" si="3"/>
        <v>14</v>
      </c>
      <c r="F119" s="1"/>
      <c r="G119" s="1">
        <v>2</v>
      </c>
      <c r="H119" s="1">
        <v>4</v>
      </c>
      <c r="I119" s="1">
        <v>2</v>
      </c>
      <c r="J119" s="1">
        <v>4</v>
      </c>
      <c r="K119" s="1">
        <v>2</v>
      </c>
      <c r="L119" s="1">
        <v>1</v>
      </c>
      <c r="M119" s="1">
        <v>1</v>
      </c>
      <c r="N119" s="1">
        <v>1</v>
      </c>
    </row>
    <row r="120" spans="1:14" ht="12.75">
      <c r="A120" s="15"/>
      <c r="B120" s="1"/>
      <c r="E120" s="1"/>
      <c r="F120" s="1"/>
      <c r="G120" s="1"/>
      <c r="H120" s="1"/>
      <c r="I120" s="1"/>
      <c r="J120" s="1"/>
      <c r="K120" s="1"/>
      <c r="L120" s="1"/>
      <c r="M120" s="1"/>
      <c r="N120" s="1"/>
    </row>
    <row r="121" spans="1:14" ht="12.75">
      <c r="A121" s="15" t="s">
        <v>241</v>
      </c>
      <c r="B121" s="1" t="s">
        <v>242</v>
      </c>
      <c r="E121" s="1">
        <f t="shared" si="3"/>
        <v>14</v>
      </c>
      <c r="F121" s="1"/>
      <c r="G121" s="1">
        <v>2</v>
      </c>
      <c r="H121" s="1">
        <v>4</v>
      </c>
      <c r="I121" s="1">
        <v>2</v>
      </c>
      <c r="J121" s="1">
        <v>4</v>
      </c>
      <c r="K121" s="1">
        <v>2</v>
      </c>
      <c r="L121" s="1">
        <v>1</v>
      </c>
      <c r="M121" s="1">
        <v>1</v>
      </c>
      <c r="N121" s="1">
        <v>1</v>
      </c>
    </row>
    <row r="122" spans="1:14" ht="12.75">
      <c r="A122" s="15"/>
      <c r="B122" s="1"/>
      <c r="E122" s="1"/>
      <c r="F122" s="1"/>
      <c r="G122" s="1"/>
      <c r="H122" s="1"/>
      <c r="I122" s="1"/>
      <c r="J122" s="1"/>
      <c r="K122" s="1"/>
      <c r="L122" s="1"/>
      <c r="M122" s="1"/>
      <c r="N122" s="1"/>
    </row>
    <row r="123" spans="1:14" ht="12.75">
      <c r="A123" s="15" t="s">
        <v>243</v>
      </c>
      <c r="B123" s="1" t="s">
        <v>244</v>
      </c>
      <c r="E123" s="1">
        <f t="shared" si="3"/>
        <v>14</v>
      </c>
      <c r="F123" s="1"/>
      <c r="G123" s="1">
        <v>2</v>
      </c>
      <c r="H123" s="1">
        <v>4</v>
      </c>
      <c r="I123" s="1">
        <v>2</v>
      </c>
      <c r="J123" s="1">
        <v>4</v>
      </c>
      <c r="K123" s="1">
        <v>2</v>
      </c>
      <c r="L123" s="1">
        <v>1</v>
      </c>
      <c r="M123" s="1">
        <v>1</v>
      </c>
      <c r="N123" s="1">
        <v>1</v>
      </c>
    </row>
    <row r="124" spans="1:14" ht="12.75">
      <c r="A124" s="15"/>
      <c r="B124" s="1"/>
      <c r="E124" s="1"/>
      <c r="F124" s="1"/>
      <c r="G124" s="1"/>
      <c r="H124" s="1"/>
      <c r="I124" s="1"/>
      <c r="J124" s="1"/>
      <c r="K124" s="1"/>
      <c r="L124" s="1"/>
      <c r="M124" s="1"/>
      <c r="N124" s="1"/>
    </row>
    <row r="125" spans="1:14" ht="12.75">
      <c r="A125" s="15" t="s">
        <v>245</v>
      </c>
      <c r="B125" s="1" t="s">
        <v>246</v>
      </c>
      <c r="E125" s="1">
        <f t="shared" si="3"/>
        <v>14</v>
      </c>
      <c r="F125" s="1"/>
      <c r="G125" s="1">
        <v>2</v>
      </c>
      <c r="H125" s="1">
        <v>4</v>
      </c>
      <c r="I125" s="1">
        <v>2</v>
      </c>
      <c r="J125" s="1">
        <v>4</v>
      </c>
      <c r="K125" s="1">
        <v>2</v>
      </c>
      <c r="L125" s="1">
        <v>1</v>
      </c>
      <c r="M125" s="1">
        <v>1</v>
      </c>
      <c r="N125" s="1">
        <v>1</v>
      </c>
    </row>
    <row r="126" spans="1:14" ht="12.75">
      <c r="A126" s="15" t="s">
        <v>247</v>
      </c>
      <c r="B126" s="1" t="s">
        <v>248</v>
      </c>
      <c r="E126" s="1">
        <f t="shared" si="3"/>
        <v>14</v>
      </c>
      <c r="F126" s="1"/>
      <c r="G126" s="1">
        <v>2</v>
      </c>
      <c r="H126" s="1">
        <v>4</v>
      </c>
      <c r="I126" s="1">
        <v>2</v>
      </c>
      <c r="J126" s="1">
        <v>4</v>
      </c>
      <c r="K126" s="1">
        <v>2</v>
      </c>
      <c r="L126" s="1">
        <v>1</v>
      </c>
      <c r="M126" s="1">
        <v>1</v>
      </c>
      <c r="N126" s="1">
        <v>1</v>
      </c>
    </row>
    <row r="127" spans="1:14" ht="12.75">
      <c r="A127" s="15" t="s">
        <v>249</v>
      </c>
      <c r="B127" s="1" t="s">
        <v>250</v>
      </c>
      <c r="E127" s="1">
        <f t="shared" si="3"/>
        <v>14</v>
      </c>
      <c r="F127" s="1"/>
      <c r="G127" s="1">
        <v>2</v>
      </c>
      <c r="H127" s="1">
        <v>4</v>
      </c>
      <c r="I127" s="1">
        <v>2</v>
      </c>
      <c r="J127" s="1">
        <v>4</v>
      </c>
      <c r="K127" s="1">
        <v>2</v>
      </c>
      <c r="L127" s="1">
        <v>1</v>
      </c>
      <c r="M127" s="1">
        <v>1</v>
      </c>
      <c r="N127" s="1">
        <v>1</v>
      </c>
    </row>
    <row r="128" spans="1:14" ht="12.75">
      <c r="A128" s="15"/>
      <c r="B128" s="1"/>
      <c r="E128" s="1"/>
      <c r="F128" s="1"/>
      <c r="G128" s="1"/>
      <c r="H128" s="1"/>
      <c r="I128" s="1"/>
      <c r="J128" s="1"/>
      <c r="K128" s="1"/>
      <c r="L128" s="1"/>
      <c r="M128" s="1"/>
      <c r="N128" s="1"/>
    </row>
    <row r="129" spans="1:14" ht="12.75">
      <c r="A129" s="15" t="s">
        <v>251</v>
      </c>
      <c r="B129" s="1" t="s">
        <v>252</v>
      </c>
      <c r="E129" s="1">
        <f t="shared" si="3"/>
        <v>14</v>
      </c>
      <c r="F129" s="1"/>
      <c r="G129" s="1">
        <v>2</v>
      </c>
      <c r="H129" s="1">
        <v>4</v>
      </c>
      <c r="I129" s="1">
        <v>2</v>
      </c>
      <c r="J129" s="1">
        <v>4</v>
      </c>
      <c r="K129" s="1">
        <v>2</v>
      </c>
      <c r="L129" s="1">
        <v>1</v>
      </c>
      <c r="M129" s="1">
        <v>1</v>
      </c>
      <c r="N129" s="1">
        <v>1</v>
      </c>
    </row>
    <row r="130" spans="1:14" ht="12.75">
      <c r="A130" s="1"/>
      <c r="B130" s="1"/>
      <c r="E130" s="1"/>
      <c r="F130" s="1"/>
      <c r="G130" s="1"/>
      <c r="H130" s="1"/>
      <c r="I130" s="1"/>
      <c r="J130" s="1"/>
      <c r="K130" s="1"/>
      <c r="L130" s="1"/>
      <c r="M130" s="1"/>
      <c r="N130" s="1"/>
    </row>
    <row r="131" spans="1:14" ht="12.75">
      <c r="A131" s="15" t="s">
        <v>253</v>
      </c>
      <c r="B131" s="1" t="s">
        <v>254</v>
      </c>
      <c r="E131" s="1">
        <f t="shared" si="3"/>
        <v>14</v>
      </c>
      <c r="F131" s="1"/>
      <c r="G131" s="1">
        <v>2</v>
      </c>
      <c r="H131" s="1">
        <v>4</v>
      </c>
      <c r="I131" s="1">
        <v>2</v>
      </c>
      <c r="J131" s="1">
        <v>4</v>
      </c>
      <c r="K131" s="1">
        <v>2</v>
      </c>
      <c r="L131" s="1">
        <v>1</v>
      </c>
      <c r="M131" s="1">
        <v>1</v>
      </c>
      <c r="N131" s="1">
        <v>1</v>
      </c>
    </row>
    <row r="132" spans="1:14" ht="12.75">
      <c r="A132" s="15" t="s">
        <v>255</v>
      </c>
      <c r="B132" s="1" t="s">
        <v>256</v>
      </c>
      <c r="E132" s="1">
        <f t="shared" si="3"/>
        <v>14</v>
      </c>
      <c r="F132" s="1"/>
      <c r="G132" s="1">
        <v>2</v>
      </c>
      <c r="H132" s="1">
        <v>4</v>
      </c>
      <c r="I132" s="1">
        <v>2</v>
      </c>
      <c r="J132" s="1">
        <v>4</v>
      </c>
      <c r="K132" s="1">
        <v>2</v>
      </c>
      <c r="L132" s="1">
        <v>1</v>
      </c>
      <c r="M132" s="1">
        <v>1</v>
      </c>
      <c r="N132" s="1">
        <v>1</v>
      </c>
    </row>
    <row r="133" spans="1:14" ht="12.75">
      <c r="A133" s="15" t="s">
        <v>257</v>
      </c>
      <c r="B133" s="1" t="s">
        <v>258</v>
      </c>
      <c r="E133" s="1">
        <f t="shared" si="3"/>
        <v>14</v>
      </c>
      <c r="F133" s="1"/>
      <c r="G133" s="1">
        <v>2</v>
      </c>
      <c r="H133" s="1">
        <v>4</v>
      </c>
      <c r="I133" s="1">
        <v>2</v>
      </c>
      <c r="J133" s="1">
        <v>4</v>
      </c>
      <c r="K133" s="1">
        <v>2</v>
      </c>
      <c r="L133" s="1">
        <v>1</v>
      </c>
      <c r="M133" s="1">
        <v>1</v>
      </c>
      <c r="N133" s="1">
        <v>1</v>
      </c>
    </row>
    <row r="134" spans="1:14" ht="12.75">
      <c r="A134" s="1" t="s">
        <v>259</v>
      </c>
      <c r="B134" s="1" t="s">
        <v>260</v>
      </c>
      <c r="E134" s="1">
        <f t="shared" si="3"/>
        <v>14</v>
      </c>
      <c r="F134" s="1"/>
      <c r="G134" s="1">
        <v>2</v>
      </c>
      <c r="H134" s="1">
        <v>4</v>
      </c>
      <c r="I134" s="1">
        <v>2</v>
      </c>
      <c r="J134" s="1">
        <v>4</v>
      </c>
      <c r="K134" s="1">
        <v>2</v>
      </c>
      <c r="L134" s="1">
        <v>1</v>
      </c>
      <c r="M134" s="1">
        <v>1</v>
      </c>
      <c r="N134" s="1">
        <v>1</v>
      </c>
    </row>
    <row r="135" spans="1:14" ht="12.75">
      <c r="A135" s="1"/>
      <c r="B135" s="1"/>
      <c r="E135" s="1"/>
      <c r="F135" s="1"/>
      <c r="G135" s="1"/>
      <c r="H135" s="1"/>
      <c r="I135" s="1"/>
      <c r="J135" s="1"/>
      <c r="K135" s="1"/>
      <c r="L135" s="1"/>
      <c r="M135" s="1"/>
      <c r="N135" s="1"/>
    </row>
    <row r="136" spans="1:14" ht="12.75">
      <c r="A136" s="15" t="s">
        <v>261</v>
      </c>
      <c r="B136" s="1" t="s">
        <v>262</v>
      </c>
      <c r="E136" s="1">
        <f t="shared" si="3"/>
        <v>14</v>
      </c>
      <c r="F136" s="1"/>
      <c r="G136" s="1">
        <v>2</v>
      </c>
      <c r="H136" s="1">
        <v>4</v>
      </c>
      <c r="I136" s="1">
        <v>2</v>
      </c>
      <c r="J136" s="1">
        <v>4</v>
      </c>
      <c r="K136" s="1">
        <v>2</v>
      </c>
      <c r="L136" s="1">
        <v>1</v>
      </c>
      <c r="M136" s="1">
        <v>1</v>
      </c>
      <c r="N136" s="1">
        <v>1</v>
      </c>
    </row>
    <row r="137" spans="1:14" ht="12.75">
      <c r="A137" s="1"/>
      <c r="B137" s="1"/>
      <c r="E137" s="1"/>
      <c r="F137" s="1"/>
      <c r="G137" s="1"/>
      <c r="H137" s="1"/>
      <c r="I137" s="1"/>
      <c r="J137" s="1"/>
      <c r="K137" s="1"/>
      <c r="L137" s="1"/>
      <c r="M137" s="1"/>
      <c r="N137" s="1"/>
    </row>
    <row r="138" spans="1:14" ht="12.75">
      <c r="A138" s="1" t="s">
        <v>266</v>
      </c>
      <c r="B138" s="1" t="s">
        <v>63</v>
      </c>
      <c r="E138" s="1">
        <f aca="true" t="shared" si="4" ref="E137:E168">G138*K138+H138*L138+I138*M138+J138*N138</f>
        <v>14</v>
      </c>
      <c r="F138" s="1"/>
      <c r="G138" s="1">
        <v>2</v>
      </c>
      <c r="H138" s="1">
        <v>4</v>
      </c>
      <c r="I138" s="1">
        <v>2</v>
      </c>
      <c r="J138" s="1">
        <v>4</v>
      </c>
      <c r="K138" s="1">
        <v>2</v>
      </c>
      <c r="L138" s="1">
        <v>1</v>
      </c>
      <c r="M138" s="1">
        <v>1</v>
      </c>
      <c r="N138" s="1">
        <v>1</v>
      </c>
    </row>
    <row r="139" spans="1:14" ht="12.75">
      <c r="A139" s="15" t="s">
        <v>268</v>
      </c>
      <c r="B139" s="1" t="s">
        <v>65</v>
      </c>
      <c r="E139" s="1">
        <f t="shared" si="4"/>
        <v>14</v>
      </c>
      <c r="F139" s="1"/>
      <c r="G139" s="1">
        <v>2</v>
      </c>
      <c r="H139" s="1">
        <v>4</v>
      </c>
      <c r="I139" s="1">
        <v>2</v>
      </c>
      <c r="J139" s="1">
        <v>4</v>
      </c>
      <c r="K139" s="1">
        <v>2</v>
      </c>
      <c r="L139" s="1">
        <v>1</v>
      </c>
      <c r="M139" s="1">
        <v>1</v>
      </c>
      <c r="N139" s="1">
        <v>1</v>
      </c>
    </row>
    <row r="140" spans="1:14" ht="12.75">
      <c r="A140" s="1" t="s">
        <v>270</v>
      </c>
      <c r="B140" s="1" t="s">
        <v>67</v>
      </c>
      <c r="E140" s="1">
        <f t="shared" si="4"/>
        <v>14</v>
      </c>
      <c r="F140" s="1"/>
      <c r="G140" s="1">
        <v>2</v>
      </c>
      <c r="H140" s="1">
        <v>4</v>
      </c>
      <c r="I140" s="1">
        <v>2</v>
      </c>
      <c r="J140" s="1">
        <v>4</v>
      </c>
      <c r="K140" s="1">
        <v>2</v>
      </c>
      <c r="L140" s="1">
        <v>1</v>
      </c>
      <c r="M140" s="1">
        <v>1</v>
      </c>
      <c r="N140" s="1">
        <v>1</v>
      </c>
    </row>
    <row r="141" spans="1:14" ht="12.75">
      <c r="A141" s="15"/>
      <c r="B141" s="1"/>
      <c r="E141" s="1"/>
      <c r="F141" s="1"/>
      <c r="G141" s="1"/>
      <c r="H141" s="1"/>
      <c r="I141" s="1"/>
      <c r="J141" s="1"/>
      <c r="K141" s="1"/>
      <c r="L141" s="1"/>
      <c r="M141" s="1"/>
      <c r="N141" s="1"/>
    </row>
    <row r="142" spans="1:14" ht="12.75">
      <c r="A142" s="15" t="s">
        <v>272</v>
      </c>
      <c r="B142" s="1" t="s">
        <v>273</v>
      </c>
      <c r="E142" s="1">
        <f t="shared" si="4"/>
        <v>14</v>
      </c>
      <c r="F142" s="1"/>
      <c r="G142" s="1">
        <v>2</v>
      </c>
      <c r="H142" s="1">
        <v>4</v>
      </c>
      <c r="I142" s="1">
        <v>2</v>
      </c>
      <c r="J142" s="1">
        <v>4</v>
      </c>
      <c r="K142" s="1">
        <v>2</v>
      </c>
      <c r="L142" s="1">
        <v>1</v>
      </c>
      <c r="M142" s="1">
        <v>1</v>
      </c>
      <c r="N142" s="1">
        <v>1</v>
      </c>
    </row>
    <row r="143" spans="1:14" ht="12.75">
      <c r="A143" s="15"/>
      <c r="B143" s="1"/>
      <c r="E143" s="1"/>
      <c r="F143" s="1"/>
      <c r="G143" s="1"/>
      <c r="H143" s="1"/>
      <c r="I143" s="1"/>
      <c r="J143" s="1"/>
      <c r="K143" s="1"/>
      <c r="L143" s="1"/>
      <c r="M143" s="1"/>
      <c r="N143" s="1"/>
    </row>
    <row r="144" spans="1:14" ht="12.75">
      <c r="A144" s="15" t="s">
        <v>274</v>
      </c>
      <c r="B144" s="1" t="s">
        <v>275</v>
      </c>
      <c r="E144" s="1">
        <f t="shared" si="4"/>
        <v>14</v>
      </c>
      <c r="F144" s="1"/>
      <c r="G144" s="1">
        <v>2</v>
      </c>
      <c r="H144" s="1">
        <v>4</v>
      </c>
      <c r="I144" s="1">
        <v>2</v>
      </c>
      <c r="J144" s="1">
        <v>4</v>
      </c>
      <c r="K144" s="1">
        <v>2</v>
      </c>
      <c r="L144" s="1">
        <v>1</v>
      </c>
      <c r="M144" s="1">
        <v>1</v>
      </c>
      <c r="N144" s="1">
        <v>1</v>
      </c>
    </row>
    <row r="145" spans="1:14" ht="12.75">
      <c r="A145" s="15" t="s">
        <v>277</v>
      </c>
      <c r="B145" s="1" t="s">
        <v>67</v>
      </c>
      <c r="E145" s="1">
        <f t="shared" si="4"/>
        <v>14</v>
      </c>
      <c r="F145" s="1"/>
      <c r="G145" s="1">
        <v>2</v>
      </c>
      <c r="H145" s="1">
        <v>4</v>
      </c>
      <c r="I145" s="1">
        <v>2</v>
      </c>
      <c r="J145" s="1">
        <v>4</v>
      </c>
      <c r="K145" s="1">
        <v>2</v>
      </c>
      <c r="L145" s="1">
        <v>1</v>
      </c>
      <c r="M145" s="1">
        <v>1</v>
      </c>
      <c r="N145" s="1">
        <v>1</v>
      </c>
    </row>
    <row r="146" spans="1:14" ht="12.75">
      <c r="A146" s="15" t="s">
        <v>279</v>
      </c>
      <c r="B146" s="1" t="s">
        <v>163</v>
      </c>
      <c r="E146" s="1">
        <f t="shared" si="4"/>
        <v>14</v>
      </c>
      <c r="F146" s="1"/>
      <c r="G146" s="1">
        <v>2</v>
      </c>
      <c r="H146" s="1">
        <v>4</v>
      </c>
      <c r="I146" s="1">
        <v>2</v>
      </c>
      <c r="J146" s="1">
        <v>4</v>
      </c>
      <c r="K146" s="1">
        <v>2</v>
      </c>
      <c r="L146" s="1">
        <v>1</v>
      </c>
      <c r="M146" s="1">
        <v>1</v>
      </c>
      <c r="N146" s="1">
        <v>1</v>
      </c>
    </row>
    <row r="147" spans="1:14" ht="12.75">
      <c r="A147" s="15" t="s">
        <v>281</v>
      </c>
      <c r="B147" s="1" t="s">
        <v>282</v>
      </c>
      <c r="E147" s="1">
        <f t="shared" si="4"/>
        <v>14</v>
      </c>
      <c r="F147" s="1"/>
      <c r="G147" s="1">
        <v>2</v>
      </c>
      <c r="H147" s="1">
        <v>4</v>
      </c>
      <c r="I147" s="1">
        <v>2</v>
      </c>
      <c r="J147" s="1">
        <v>4</v>
      </c>
      <c r="K147" s="1">
        <v>2</v>
      </c>
      <c r="L147" s="1">
        <v>1</v>
      </c>
      <c r="M147" s="1">
        <v>1</v>
      </c>
      <c r="N147" s="1">
        <v>1</v>
      </c>
    </row>
    <row r="148" spans="1:14" ht="12.75">
      <c r="A148" s="15" t="s">
        <v>284</v>
      </c>
      <c r="B148" s="1" t="s">
        <v>67</v>
      </c>
      <c r="E148" s="1">
        <f t="shared" si="4"/>
        <v>14</v>
      </c>
      <c r="F148" s="1"/>
      <c r="G148" s="1">
        <v>2</v>
      </c>
      <c r="H148" s="1">
        <v>4</v>
      </c>
      <c r="I148" s="1">
        <v>2</v>
      </c>
      <c r="J148" s="1">
        <v>4</v>
      </c>
      <c r="K148" s="1">
        <v>2</v>
      </c>
      <c r="L148" s="1">
        <v>1</v>
      </c>
      <c r="M148" s="1">
        <v>1</v>
      </c>
      <c r="N148" s="1">
        <v>1</v>
      </c>
    </row>
    <row r="149" spans="1:14" ht="12.75">
      <c r="A149" s="15" t="s">
        <v>286</v>
      </c>
      <c r="B149" s="1" t="s">
        <v>163</v>
      </c>
      <c r="E149" s="1">
        <f t="shared" si="4"/>
        <v>14</v>
      </c>
      <c r="F149" s="1"/>
      <c r="G149" s="1">
        <v>2</v>
      </c>
      <c r="H149" s="1">
        <v>4</v>
      </c>
      <c r="I149" s="1">
        <v>2</v>
      </c>
      <c r="J149" s="1">
        <v>4</v>
      </c>
      <c r="K149" s="1">
        <v>2</v>
      </c>
      <c r="L149" s="1">
        <v>1</v>
      </c>
      <c r="M149" s="1">
        <v>1</v>
      </c>
      <c r="N149" s="1">
        <v>1</v>
      </c>
    </row>
    <row r="150" spans="1:14" ht="12.75">
      <c r="A150" s="15" t="s">
        <v>288</v>
      </c>
      <c r="B150" s="1" t="s">
        <v>289</v>
      </c>
      <c r="E150" s="1">
        <f t="shared" si="4"/>
        <v>14</v>
      </c>
      <c r="F150" s="1"/>
      <c r="G150" s="1">
        <v>2</v>
      </c>
      <c r="H150" s="1">
        <v>4</v>
      </c>
      <c r="I150" s="1">
        <v>2</v>
      </c>
      <c r="J150" s="1">
        <v>4</v>
      </c>
      <c r="K150" s="1">
        <v>2</v>
      </c>
      <c r="L150" s="1">
        <v>1</v>
      </c>
      <c r="M150" s="1">
        <v>1</v>
      </c>
      <c r="N150" s="1">
        <v>1</v>
      </c>
    </row>
    <row r="151" spans="1:14" ht="12.75">
      <c r="A151" s="15"/>
      <c r="B151" s="1"/>
      <c r="E151" s="1"/>
      <c r="F151" s="1"/>
      <c r="G151" s="1"/>
      <c r="H151" s="1"/>
      <c r="I151" s="1"/>
      <c r="J151" s="1"/>
      <c r="K151" s="1"/>
      <c r="L151" s="1"/>
      <c r="M151" s="1"/>
      <c r="N151" s="1"/>
    </row>
    <row r="152" spans="1:14" ht="12.75">
      <c r="A152" s="15" t="s">
        <v>290</v>
      </c>
      <c r="B152" s="1" t="s">
        <v>291</v>
      </c>
      <c r="E152" s="1">
        <f t="shared" si="4"/>
        <v>14</v>
      </c>
      <c r="F152" s="1"/>
      <c r="G152" s="1">
        <v>2</v>
      </c>
      <c r="H152" s="1">
        <v>4</v>
      </c>
      <c r="I152" s="1">
        <v>2</v>
      </c>
      <c r="J152" s="1">
        <v>4</v>
      </c>
      <c r="K152" s="1">
        <v>2</v>
      </c>
      <c r="L152" s="1">
        <v>1</v>
      </c>
      <c r="M152" s="1">
        <v>1</v>
      </c>
      <c r="N152" s="1">
        <v>1</v>
      </c>
    </row>
    <row r="153" spans="1:14" ht="12.75">
      <c r="A153" s="15"/>
      <c r="B153" s="1"/>
      <c r="E153" s="1"/>
      <c r="F153" s="1"/>
      <c r="G153" s="1"/>
      <c r="H153" s="1"/>
      <c r="I153" s="1"/>
      <c r="J153" s="1"/>
      <c r="K153" s="1"/>
      <c r="L153" s="1"/>
      <c r="M153" s="1"/>
      <c r="N153" s="1"/>
    </row>
    <row r="154" spans="1:14" ht="12.75">
      <c r="A154" s="15" t="s">
        <v>292</v>
      </c>
      <c r="B154" s="1" t="s">
        <v>293</v>
      </c>
      <c r="E154" s="1">
        <f t="shared" si="4"/>
        <v>14</v>
      </c>
      <c r="F154" s="1"/>
      <c r="G154" s="1">
        <v>2</v>
      </c>
      <c r="H154" s="1">
        <v>4</v>
      </c>
      <c r="I154" s="1">
        <v>2</v>
      </c>
      <c r="J154" s="1">
        <v>4</v>
      </c>
      <c r="K154" s="1">
        <v>2</v>
      </c>
      <c r="L154" s="1">
        <v>1</v>
      </c>
      <c r="M154" s="1">
        <v>1</v>
      </c>
      <c r="N154" s="1">
        <v>1</v>
      </c>
    </row>
    <row r="155" spans="1:14" ht="12.75">
      <c r="A155" s="15" t="s">
        <v>294</v>
      </c>
      <c r="B155" s="1" t="s">
        <v>295</v>
      </c>
      <c r="E155" s="1">
        <f t="shared" si="4"/>
        <v>14</v>
      </c>
      <c r="F155" s="1"/>
      <c r="G155" s="1">
        <v>2</v>
      </c>
      <c r="H155" s="1">
        <v>4</v>
      </c>
      <c r="I155" s="1">
        <v>2</v>
      </c>
      <c r="J155" s="1">
        <v>4</v>
      </c>
      <c r="K155" s="1">
        <v>2</v>
      </c>
      <c r="L155" s="1">
        <v>1</v>
      </c>
      <c r="M155" s="1">
        <v>1</v>
      </c>
      <c r="N155" s="1">
        <v>1</v>
      </c>
    </row>
    <row r="156" spans="1:14" ht="12.75">
      <c r="A156" s="15"/>
      <c r="B156" s="1"/>
      <c r="E156" s="1"/>
      <c r="F156" s="1"/>
      <c r="G156" s="1"/>
      <c r="H156" s="1"/>
      <c r="I156" s="1"/>
      <c r="J156" s="1"/>
      <c r="K156" s="1"/>
      <c r="L156" s="1"/>
      <c r="M156" s="1"/>
      <c r="N156" s="1"/>
    </row>
    <row r="157" spans="1:14" ht="12.75">
      <c r="A157" s="15" t="s">
        <v>296</v>
      </c>
      <c r="B157" s="1" t="s">
        <v>297</v>
      </c>
      <c r="E157" s="1">
        <f t="shared" si="4"/>
        <v>14</v>
      </c>
      <c r="F157" s="1"/>
      <c r="G157" s="1">
        <v>2</v>
      </c>
      <c r="H157" s="1">
        <v>4</v>
      </c>
      <c r="I157" s="1">
        <v>2</v>
      </c>
      <c r="J157" s="1">
        <v>4</v>
      </c>
      <c r="K157" s="1">
        <v>2</v>
      </c>
      <c r="L157" s="1">
        <v>1</v>
      </c>
      <c r="M157" s="1">
        <v>1</v>
      </c>
      <c r="N157" s="1">
        <v>1</v>
      </c>
    </row>
    <row r="158" spans="1:14" ht="12.75">
      <c r="A158" s="15"/>
      <c r="B158" s="1"/>
      <c r="E158" s="1">
        <f t="shared" si="4"/>
        <v>14</v>
      </c>
      <c r="F158" s="1"/>
      <c r="G158" s="1">
        <v>2</v>
      </c>
      <c r="H158" s="1">
        <v>4</v>
      </c>
      <c r="I158" s="1">
        <v>2</v>
      </c>
      <c r="J158" s="1">
        <v>4</v>
      </c>
      <c r="K158" s="1">
        <v>2</v>
      </c>
      <c r="L158" s="1">
        <v>1</v>
      </c>
      <c r="M158" s="1">
        <v>1</v>
      </c>
      <c r="N158" s="1">
        <v>1</v>
      </c>
    </row>
    <row r="159" spans="1:14" ht="12.75">
      <c r="A159" s="15" t="s">
        <v>298</v>
      </c>
      <c r="B159" s="1" t="s">
        <v>299</v>
      </c>
      <c r="E159" s="1">
        <f t="shared" si="4"/>
        <v>14</v>
      </c>
      <c r="F159" s="1"/>
      <c r="G159" s="1">
        <v>2</v>
      </c>
      <c r="H159" s="1">
        <v>4</v>
      </c>
      <c r="I159" s="1">
        <v>2</v>
      </c>
      <c r="J159" s="1">
        <v>4</v>
      </c>
      <c r="K159" s="1">
        <v>2</v>
      </c>
      <c r="L159" s="1">
        <v>1</v>
      </c>
      <c r="M159" s="1">
        <v>1</v>
      </c>
      <c r="N159" s="1">
        <v>1</v>
      </c>
    </row>
    <row r="160" spans="1:14" ht="12.75">
      <c r="A160" s="15"/>
      <c r="B160" s="1"/>
      <c r="E160" s="1"/>
      <c r="F160" s="1"/>
      <c r="G160" s="1"/>
      <c r="H160" s="1"/>
      <c r="I160" s="1"/>
      <c r="J160" s="1"/>
      <c r="K160" s="1"/>
      <c r="L160" s="1"/>
      <c r="M160" s="1"/>
      <c r="N160" s="1"/>
    </row>
    <row r="161" spans="1:14" ht="12.75">
      <c r="A161" s="15" t="s">
        <v>300</v>
      </c>
      <c r="B161" s="1" t="s">
        <v>301</v>
      </c>
      <c r="E161" s="1">
        <f t="shared" si="4"/>
        <v>14</v>
      </c>
      <c r="F161" s="1"/>
      <c r="G161" s="1">
        <v>2</v>
      </c>
      <c r="H161" s="1">
        <v>4</v>
      </c>
      <c r="I161" s="1">
        <v>2</v>
      </c>
      <c r="J161" s="1">
        <v>4</v>
      </c>
      <c r="K161" s="1">
        <v>2</v>
      </c>
      <c r="L161" s="1">
        <v>1</v>
      </c>
      <c r="M161" s="1">
        <v>1</v>
      </c>
      <c r="N161" s="1">
        <v>1</v>
      </c>
    </row>
    <row r="162" spans="1:14" ht="12.75">
      <c r="A162" s="15" t="s">
        <v>302</v>
      </c>
      <c r="B162" s="1" t="s">
        <v>303</v>
      </c>
      <c r="E162" s="1">
        <f t="shared" si="4"/>
        <v>14</v>
      </c>
      <c r="F162" s="1"/>
      <c r="G162" s="1">
        <v>2</v>
      </c>
      <c r="H162" s="1">
        <v>4</v>
      </c>
      <c r="I162" s="1">
        <v>2</v>
      </c>
      <c r="J162" s="1">
        <v>4</v>
      </c>
      <c r="K162" s="1">
        <v>2</v>
      </c>
      <c r="L162" s="1">
        <v>1</v>
      </c>
      <c r="M162" s="1">
        <v>1</v>
      </c>
      <c r="N162" s="1">
        <v>1</v>
      </c>
    </row>
    <row r="163" spans="1:14" ht="12.75">
      <c r="A163" s="15" t="s">
        <v>304</v>
      </c>
      <c r="B163" s="1" t="s">
        <v>305</v>
      </c>
      <c r="E163" s="1">
        <f t="shared" si="4"/>
        <v>14</v>
      </c>
      <c r="F163" s="1"/>
      <c r="G163" s="1">
        <v>2</v>
      </c>
      <c r="H163" s="1">
        <v>4</v>
      </c>
      <c r="I163" s="1">
        <v>2</v>
      </c>
      <c r="J163" s="1">
        <v>4</v>
      </c>
      <c r="K163" s="1">
        <v>2</v>
      </c>
      <c r="L163" s="1">
        <v>1</v>
      </c>
      <c r="M163" s="1">
        <v>1</v>
      </c>
      <c r="N163" s="1">
        <v>1</v>
      </c>
    </row>
    <row r="164" spans="1:14" ht="12.75">
      <c r="A164" s="15"/>
      <c r="B164" s="1"/>
      <c r="E164" s="1"/>
      <c r="F164" s="1"/>
      <c r="G164" s="1"/>
      <c r="H164" s="1"/>
      <c r="I164" s="1"/>
      <c r="J164" s="1"/>
      <c r="K164" s="1"/>
      <c r="L164" s="1"/>
      <c r="M164" s="1"/>
      <c r="N164" s="1"/>
    </row>
    <row r="165" spans="1:14" ht="12.75">
      <c r="A165" s="1" t="s">
        <v>306</v>
      </c>
      <c r="B165" s="1" t="s">
        <v>307</v>
      </c>
      <c r="E165" s="1">
        <f t="shared" si="4"/>
        <v>14</v>
      </c>
      <c r="F165" s="1"/>
      <c r="G165" s="1">
        <v>2</v>
      </c>
      <c r="H165" s="1">
        <v>4</v>
      </c>
      <c r="I165" s="1">
        <v>2</v>
      </c>
      <c r="J165" s="1">
        <v>4</v>
      </c>
      <c r="K165" s="1">
        <v>2</v>
      </c>
      <c r="L165" s="1">
        <v>1</v>
      </c>
      <c r="M165" s="1">
        <v>1</v>
      </c>
      <c r="N165" s="1">
        <v>1</v>
      </c>
    </row>
    <row r="166" spans="1:14" ht="12.75">
      <c r="A166" s="1"/>
      <c r="B166" s="1"/>
      <c r="E166" s="1"/>
      <c r="F166" s="1"/>
      <c r="G166" s="1"/>
      <c r="H166" s="1"/>
      <c r="I166" s="1"/>
      <c r="J166" s="1"/>
      <c r="K166" s="1"/>
      <c r="L166" s="1"/>
      <c r="M166" s="1"/>
      <c r="N166" s="1"/>
    </row>
    <row r="167" spans="1:14" ht="12.75">
      <c r="A167" s="1" t="s">
        <v>308</v>
      </c>
      <c r="B167" s="1" t="s">
        <v>309</v>
      </c>
      <c r="E167" s="1">
        <f t="shared" si="4"/>
        <v>14</v>
      </c>
      <c r="F167" s="1"/>
      <c r="G167" s="1">
        <v>2</v>
      </c>
      <c r="H167" s="1">
        <v>4</v>
      </c>
      <c r="I167" s="1">
        <v>2</v>
      </c>
      <c r="J167" s="1">
        <v>4</v>
      </c>
      <c r="K167" s="1">
        <v>2</v>
      </c>
      <c r="L167" s="1">
        <v>1</v>
      </c>
      <c r="M167" s="1">
        <v>1</v>
      </c>
      <c r="N167" s="1">
        <v>1</v>
      </c>
    </row>
    <row r="168" spans="1:14" ht="12.75">
      <c r="A168" s="1" t="s">
        <v>310</v>
      </c>
      <c r="B168" s="1" t="s">
        <v>311</v>
      </c>
      <c r="E168" s="1">
        <f t="shared" si="4"/>
        <v>14</v>
      </c>
      <c r="F168" s="1"/>
      <c r="G168" s="1">
        <v>2</v>
      </c>
      <c r="H168" s="1">
        <v>4</v>
      </c>
      <c r="I168" s="1">
        <v>2</v>
      </c>
      <c r="J168" s="1">
        <v>4</v>
      </c>
      <c r="K168" s="1">
        <v>2</v>
      </c>
      <c r="L168" s="1">
        <v>1</v>
      </c>
      <c r="M168" s="1">
        <v>1</v>
      </c>
      <c r="N168" s="1">
        <v>1</v>
      </c>
    </row>
    <row r="169" spans="1:14" ht="12.75">
      <c r="A169" s="1" t="s">
        <v>312</v>
      </c>
      <c r="B169" s="1" t="s">
        <v>313</v>
      </c>
      <c r="E169" s="1">
        <f aca="true" t="shared" si="5" ref="E169:E186">G169*K169+H169*L169+I169*M169+J169*N169</f>
        <v>14</v>
      </c>
      <c r="F169" s="1"/>
      <c r="G169" s="1">
        <v>2</v>
      </c>
      <c r="H169" s="1">
        <v>4</v>
      </c>
      <c r="I169" s="1">
        <v>2</v>
      </c>
      <c r="J169" s="1">
        <v>4</v>
      </c>
      <c r="K169" s="1">
        <v>2</v>
      </c>
      <c r="L169" s="1">
        <v>1</v>
      </c>
      <c r="M169" s="1">
        <v>1</v>
      </c>
      <c r="N169" s="1">
        <v>1</v>
      </c>
    </row>
    <row r="170" spans="1:14" ht="12.75">
      <c r="A170" s="1" t="s">
        <v>314</v>
      </c>
      <c r="B170" s="1" t="s">
        <v>315</v>
      </c>
      <c r="E170" s="1">
        <f t="shared" si="5"/>
        <v>14</v>
      </c>
      <c r="F170" s="1"/>
      <c r="G170" s="1">
        <v>2</v>
      </c>
      <c r="H170" s="1">
        <v>4</v>
      </c>
      <c r="I170" s="1">
        <v>2</v>
      </c>
      <c r="J170" s="1">
        <v>4</v>
      </c>
      <c r="K170" s="1">
        <v>2</v>
      </c>
      <c r="L170" s="1">
        <v>1</v>
      </c>
      <c r="M170" s="1">
        <v>1</v>
      </c>
      <c r="N170" s="1">
        <v>1</v>
      </c>
    </row>
    <row r="171" spans="1:14" ht="12.75">
      <c r="A171" s="1" t="s">
        <v>316</v>
      </c>
      <c r="B171" s="1" t="s">
        <v>317</v>
      </c>
      <c r="E171" s="1">
        <f t="shared" si="5"/>
        <v>14</v>
      </c>
      <c r="F171" s="1"/>
      <c r="G171" s="1">
        <v>2</v>
      </c>
      <c r="H171" s="1">
        <v>4</v>
      </c>
      <c r="I171" s="1">
        <v>2</v>
      </c>
      <c r="J171" s="1">
        <v>4</v>
      </c>
      <c r="K171" s="1">
        <v>2</v>
      </c>
      <c r="L171" s="1">
        <v>1</v>
      </c>
      <c r="M171" s="1">
        <v>1</v>
      </c>
      <c r="N171" s="1">
        <v>1</v>
      </c>
    </row>
    <row r="172" spans="1:14" ht="12.75">
      <c r="A172" s="1"/>
      <c r="B172" s="1"/>
      <c r="E172" s="1"/>
      <c r="F172" s="1"/>
      <c r="G172" s="1"/>
      <c r="H172" s="1"/>
      <c r="I172" s="1"/>
      <c r="J172" s="1"/>
      <c r="K172" s="1"/>
      <c r="L172" s="1"/>
      <c r="M172" s="1"/>
      <c r="N172" s="1"/>
    </row>
    <row r="173" spans="1:14" ht="12.75">
      <c r="A173" s="1" t="s">
        <v>318</v>
      </c>
      <c r="B173" s="1" t="s">
        <v>319</v>
      </c>
      <c r="E173" s="1">
        <f t="shared" si="5"/>
        <v>56</v>
      </c>
      <c r="F173" s="1"/>
      <c r="G173" s="1">
        <v>8</v>
      </c>
      <c r="H173" s="1">
        <v>6</v>
      </c>
      <c r="I173" s="1">
        <v>4</v>
      </c>
      <c r="J173" s="1">
        <v>8</v>
      </c>
      <c r="K173" s="1">
        <v>4</v>
      </c>
      <c r="L173" s="1">
        <v>2</v>
      </c>
      <c r="M173" s="1">
        <v>1</v>
      </c>
      <c r="N173" s="1">
        <v>1</v>
      </c>
    </row>
    <row r="174" spans="1:14" ht="12.75">
      <c r="A174" s="1"/>
      <c r="B174" s="1"/>
      <c r="E174" s="1"/>
      <c r="F174" s="1"/>
      <c r="G174" s="1"/>
      <c r="H174" s="1"/>
      <c r="I174" s="1"/>
      <c r="J174" s="1"/>
      <c r="K174" s="1"/>
      <c r="L174" s="1"/>
      <c r="M174" s="1"/>
      <c r="N174" s="1"/>
    </row>
    <row r="175" spans="1:14" ht="12.75">
      <c r="A175" s="1" t="s">
        <v>320</v>
      </c>
      <c r="B175" s="1" t="s">
        <v>321</v>
      </c>
      <c r="E175" s="1">
        <f t="shared" si="5"/>
        <v>56</v>
      </c>
      <c r="F175" s="1"/>
      <c r="G175" s="1">
        <v>8</v>
      </c>
      <c r="H175" s="1">
        <v>6</v>
      </c>
      <c r="I175" s="1">
        <v>4</v>
      </c>
      <c r="J175" s="1">
        <v>8</v>
      </c>
      <c r="K175" s="1">
        <v>4</v>
      </c>
      <c r="L175" s="1">
        <v>2</v>
      </c>
      <c r="M175" s="1">
        <v>1</v>
      </c>
      <c r="N175" s="1">
        <v>1</v>
      </c>
    </row>
    <row r="176" spans="1:14" ht="12.75">
      <c r="A176" s="1"/>
      <c r="B176" s="1"/>
      <c r="E176" s="1">
        <f t="shared" si="5"/>
        <v>56</v>
      </c>
      <c r="F176" s="1"/>
      <c r="G176" s="1">
        <v>8</v>
      </c>
      <c r="H176" s="1">
        <v>6</v>
      </c>
      <c r="I176" s="1">
        <v>4</v>
      </c>
      <c r="J176" s="1">
        <v>8</v>
      </c>
      <c r="K176" s="1">
        <v>4</v>
      </c>
      <c r="L176" s="1">
        <v>2</v>
      </c>
      <c r="M176" s="1">
        <v>1</v>
      </c>
      <c r="N176" s="1">
        <v>1</v>
      </c>
    </row>
    <row r="177" spans="1:14" ht="12.75">
      <c r="A177" s="1" t="s">
        <v>322</v>
      </c>
      <c r="B177" s="1" t="s">
        <v>63</v>
      </c>
      <c r="E177" s="1">
        <f t="shared" si="5"/>
        <v>56</v>
      </c>
      <c r="F177" s="1"/>
      <c r="G177" s="1">
        <v>8</v>
      </c>
      <c r="H177" s="1">
        <v>6</v>
      </c>
      <c r="I177" s="1">
        <v>4</v>
      </c>
      <c r="J177" s="1">
        <v>8</v>
      </c>
      <c r="K177" s="1">
        <v>4</v>
      </c>
      <c r="L177" s="1">
        <v>2</v>
      </c>
      <c r="M177" s="1">
        <v>1</v>
      </c>
      <c r="N177" s="1">
        <v>1</v>
      </c>
    </row>
    <row r="178" spans="1:14" ht="12.75">
      <c r="A178" s="1" t="s">
        <v>324</v>
      </c>
      <c r="B178" s="1" t="s">
        <v>65</v>
      </c>
      <c r="E178" s="1">
        <f t="shared" si="5"/>
        <v>56</v>
      </c>
      <c r="F178" s="1"/>
      <c r="G178" s="1">
        <v>8</v>
      </c>
      <c r="H178" s="1">
        <v>6</v>
      </c>
      <c r="I178" s="1">
        <v>4</v>
      </c>
      <c r="J178" s="1">
        <v>8</v>
      </c>
      <c r="K178" s="1">
        <v>4</v>
      </c>
      <c r="L178" s="1">
        <v>2</v>
      </c>
      <c r="M178" s="1">
        <v>1</v>
      </c>
      <c r="N178" s="1">
        <v>1</v>
      </c>
    </row>
    <row r="179" spans="1:14" ht="12.75">
      <c r="A179" s="1" t="s">
        <v>326</v>
      </c>
      <c r="B179" s="1" t="s">
        <v>185</v>
      </c>
      <c r="E179" s="1">
        <f t="shared" si="5"/>
        <v>56</v>
      </c>
      <c r="F179" s="1"/>
      <c r="G179" s="1">
        <v>8</v>
      </c>
      <c r="H179" s="1">
        <v>6</v>
      </c>
      <c r="I179" s="1">
        <v>4</v>
      </c>
      <c r="J179" s="1">
        <v>8</v>
      </c>
      <c r="K179" s="1">
        <v>4</v>
      </c>
      <c r="L179" s="1">
        <v>2</v>
      </c>
      <c r="M179" s="1">
        <v>1</v>
      </c>
      <c r="N179" s="1">
        <v>1</v>
      </c>
    </row>
    <row r="180" spans="1:14" ht="12.75">
      <c r="A180" s="1"/>
      <c r="B180" s="1"/>
      <c r="E180" s="1"/>
      <c r="F180" s="1"/>
      <c r="G180" s="1"/>
      <c r="H180" s="1"/>
      <c r="I180" s="1"/>
      <c r="J180" s="1"/>
      <c r="K180" s="1"/>
      <c r="L180" s="1"/>
      <c r="M180" s="1"/>
      <c r="N180" s="1">
        <v>1</v>
      </c>
    </row>
    <row r="181" spans="1:14" ht="12.75">
      <c r="A181" s="1" t="s">
        <v>328</v>
      </c>
      <c r="B181" s="1" t="s">
        <v>329</v>
      </c>
      <c r="E181" s="1">
        <f t="shared" si="5"/>
        <v>56</v>
      </c>
      <c r="F181" s="1"/>
      <c r="G181" s="1">
        <v>8</v>
      </c>
      <c r="H181" s="1">
        <v>6</v>
      </c>
      <c r="I181" s="1">
        <v>4</v>
      </c>
      <c r="J181" s="1">
        <v>8</v>
      </c>
      <c r="K181" s="1">
        <v>4</v>
      </c>
      <c r="L181" s="1">
        <v>2</v>
      </c>
      <c r="M181" s="1">
        <v>1</v>
      </c>
      <c r="N181" s="1">
        <v>1</v>
      </c>
    </row>
    <row r="182" spans="1:14" ht="12.75">
      <c r="A182" s="1"/>
      <c r="B182" s="1"/>
      <c r="E182" s="1"/>
      <c r="F182" s="1"/>
      <c r="G182" s="1"/>
      <c r="H182" s="1"/>
      <c r="I182" s="1"/>
      <c r="J182" s="1"/>
      <c r="K182" s="1"/>
      <c r="L182" s="1"/>
      <c r="M182" s="1"/>
      <c r="N182" s="1"/>
    </row>
    <row r="183" spans="1:14" ht="12.75">
      <c r="A183" s="1" t="s">
        <v>330</v>
      </c>
      <c r="B183" s="1" t="s">
        <v>185</v>
      </c>
      <c r="E183" s="1">
        <f t="shared" si="5"/>
        <v>56</v>
      </c>
      <c r="F183" s="1"/>
      <c r="G183" s="1">
        <v>8</v>
      </c>
      <c r="H183" s="1">
        <v>6</v>
      </c>
      <c r="I183" s="1">
        <v>4</v>
      </c>
      <c r="J183" s="1">
        <v>8</v>
      </c>
      <c r="K183" s="1">
        <v>4</v>
      </c>
      <c r="L183" s="1">
        <v>2</v>
      </c>
      <c r="M183" s="1">
        <v>1</v>
      </c>
      <c r="N183" s="1">
        <v>1</v>
      </c>
    </row>
    <row r="184" spans="1:14" ht="12.75">
      <c r="A184" s="1"/>
      <c r="B184" s="1"/>
      <c r="E184" s="1"/>
      <c r="F184" s="1"/>
      <c r="G184" s="1">
        <v>8</v>
      </c>
      <c r="H184" s="1">
        <v>6</v>
      </c>
      <c r="I184" s="1">
        <v>4</v>
      </c>
      <c r="J184" s="1">
        <v>8</v>
      </c>
      <c r="K184" s="1">
        <v>4</v>
      </c>
      <c r="L184" s="1">
        <v>2</v>
      </c>
      <c r="M184" s="1">
        <v>1</v>
      </c>
      <c r="N184" s="1">
        <v>1</v>
      </c>
    </row>
    <row r="185" spans="1:14" ht="12.75">
      <c r="A185" s="1" t="s">
        <v>332</v>
      </c>
      <c r="B185" s="1" t="s">
        <v>333</v>
      </c>
      <c r="E185" s="1">
        <f t="shared" si="5"/>
        <v>0</v>
      </c>
      <c r="F185" s="1"/>
      <c r="G185" s="1"/>
      <c r="H185" s="1"/>
      <c r="I185" s="1"/>
      <c r="J185" s="1"/>
      <c r="K185" s="1"/>
      <c r="L185" s="1"/>
      <c r="M185" s="1"/>
      <c r="N185" s="1"/>
    </row>
    <row r="186" spans="5:14" ht="12.75">
      <c r="E186" s="1">
        <f t="shared" si="5"/>
        <v>4</v>
      </c>
      <c r="G186" s="27">
        <v>1</v>
      </c>
      <c r="H186" s="27">
        <v>1</v>
      </c>
      <c r="I186" s="27">
        <v>2</v>
      </c>
      <c r="J186" s="27">
        <v>0</v>
      </c>
      <c r="K186" s="27">
        <v>1</v>
      </c>
      <c r="L186" s="27">
        <v>1</v>
      </c>
      <c r="M186" s="27">
        <v>1</v>
      </c>
      <c r="N186" s="27">
        <v>1</v>
      </c>
    </row>
    <row r="188" ht="12.75">
      <c r="A188" s="20"/>
    </row>
    <row r="189" ht="12.75">
      <c r="A189" s="20"/>
    </row>
    <row r="190" ht="12.75">
      <c r="A190" s="20"/>
    </row>
    <row r="191" ht="12.75">
      <c r="A191" s="20"/>
    </row>
    <row r="192" ht="12.75">
      <c r="A192" s="20"/>
    </row>
    <row r="193" ht="12.75">
      <c r="A193" s="20"/>
    </row>
    <row r="194" ht="12.75">
      <c r="A194" s="20"/>
    </row>
    <row r="195" ht="12.75">
      <c r="A195" s="20"/>
    </row>
    <row r="196" ht="12.75">
      <c r="A196" s="20"/>
    </row>
  </sheetData>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Dean Schamberger</dc:creator>
  <cp:keywords/>
  <dc:description/>
  <cp:lastModifiedBy>Toshio Numao</cp:lastModifiedBy>
  <cp:lastPrinted>2005-02-01T01:07:36Z</cp:lastPrinted>
  <dcterms:created xsi:type="dcterms:W3CDTF">2004-10-26T19:02:04Z</dcterms:created>
  <dcterms:modified xsi:type="dcterms:W3CDTF">2005-02-01T01:09:34Z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-223798046</vt:i4>
  </property>
  <property fmtid="{D5CDD505-2E9C-101B-9397-08002B2CF9AE}" pid="3" name="_EmailSubject">
    <vt:lpwstr>wbs</vt:lpwstr>
  </property>
  <property fmtid="{D5CDD505-2E9C-101B-9397-08002B2CF9AE}" pid="4" name="_AuthorEmail">
    <vt:lpwstr>jmckay@triumf.ca</vt:lpwstr>
  </property>
  <property fmtid="{D5CDD505-2E9C-101B-9397-08002B2CF9AE}" pid="5" name="_AuthorEmailDisplayName">
    <vt:lpwstr>Jenny McKay</vt:lpwstr>
  </property>
</Properties>
</file>