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3645" windowWidth="15480" windowHeight="6930" firstSheet="1" activeTab="2"/>
  </bookViews>
  <sheets>
    <sheet name="CB_DATA_" sheetId="1" state="veryHidden" r:id="rId1"/>
    <sheet name="User's Guide" sheetId="2" r:id="rId2"/>
    <sheet name="Activity Description" sheetId="3" r:id="rId3"/>
    <sheet name="ERR &amp; Sensitivity Analysis" sheetId="4" r:id="rId4"/>
    <sheet name="ERR Calculation" sheetId="5" r:id="rId5"/>
    <sheet name="DW Loss Savings, Farmers" sheetId="6" r:id="rId6"/>
    <sheet name="Key Assumptions"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ddgrow">#REF!</definedName>
    <definedName name="annwage">#REF!</definedName>
    <definedName name="asset_life">#REF!</definedName>
    <definedName name="avgwage">'[1]Key Assumptions'!$G$9</definedName>
    <definedName name="billing_hydro">#REF!</definedName>
    <definedName name="billing_subsea" localSheetId="3">'[9]Assumptions'!#REF!</definedName>
    <definedName name="billing_subsea">#REF!</definedName>
    <definedName name="billing_td" localSheetId="3">'[9]Assumptions'!#REF!</definedName>
    <definedName name="billing_td">#REF!</definedName>
    <definedName name="c_tax">'[7]Assumptions'!$D$129</definedName>
    <definedName name="cablife">'[5]Assumptions'!$H$29</definedName>
    <definedName name="CB_00369c3499d240648ded18db76fb0fc1" localSheetId="0" hidden="1">#N/A</definedName>
    <definedName name="CB_05dca97e7b5249cfafe06bdbca6c42b0" localSheetId="3" hidden="1">'ERR &amp; Sensitivity Analysis'!$D$29</definedName>
    <definedName name="CB_112729d73082476ab760ec26d0898604" localSheetId="3" hidden="1">'ERR &amp; Sensitivity Analysis'!$D$33</definedName>
    <definedName name="CB_121bfce11bb34eedbe335eb98d4bca66" localSheetId="3" hidden="1">'ERR &amp; Sensitivity Analysis'!$D$31</definedName>
    <definedName name="CB_71fe81f1f47e4e7d80cec42dc868f040" localSheetId="0" hidden="1">#N/A</definedName>
    <definedName name="CB_73f034483c0a45df89604cefa7fda40d" localSheetId="3" hidden="1">'ERR &amp; Sensitivity Analysis'!$D$36</definedName>
    <definedName name="CB_785e85a0881049ccb7cba84d811eca4e" localSheetId="4" hidden="1">'ERR Calculation'!$D$49</definedName>
    <definedName name="CB_a34e902ab2af41419d1bfbce05e718fa" localSheetId="3" hidden="1">'ERR &amp; Sensitivity Analysis'!$D$34</definedName>
    <definedName name="CB_bafa05a144d449ba9358f088bc548635" localSheetId="3" hidden="1">'ERR &amp; Sensitivity Analysis'!$D$28</definedName>
    <definedName name="CB_e4dd82223c744b61981c345cc4cec0d2" localSheetId="3" hidden="1">'ERR &amp; Sensitivity Analysis'!$D$32</definedName>
    <definedName name="CB_fa45f9c7756740c1a7f3500049817cc1" localSheetId="3" hidden="1">'ERR &amp; Sensitivity Analysis'!$D$30</definedName>
    <definedName name="CBWorkbookPriority" localSheetId="2" hidden="1">-1802552942</definedName>
    <definedName name="CBWorkbookPriority" localSheetId="1" hidden="1">-1802552942</definedName>
    <definedName name="CBWorkbookPriority" hidden="1">-884890804</definedName>
    <definedName name="CBx_49dc06e2acba4b74bee84565d0cdb83a" localSheetId="0" hidden="1">"'Key Assumptions'!$A$1"</definedName>
    <definedName name="CBx_9137f191e89146958e4764add86afce4" localSheetId="0" hidden="1">"'CB_DATA_'!$A$1"</definedName>
    <definedName name="CBx_943583ae33804fa4968e367b36d19841" localSheetId="0" hidden="1">"'ERR Calculation'!$A$1"</definedName>
    <definedName name="CBx_efb6a8180e6b440197211dfc6d35eb9e" localSheetId="0" hidden="1">"'ERR &amp; Sensitivity Analysis'!$A$1"</definedName>
    <definedName name="CBx_Sheet_Guid" localSheetId="0" hidden="1">"'9137f191-e891-4695-8e47-64add86afce4"</definedName>
    <definedName name="CBx_Sheet_Guid" localSheetId="3" hidden="1">"'efb6a818-0e6b-4401-9721-1dfc6d35eb9e"</definedName>
    <definedName name="CBx_Sheet_Guid" localSheetId="4" hidden="1">"'943583ae-3380-4fa4-968e-367b36d19841"</definedName>
    <definedName name="CBx_Sheet_Guid" localSheetId="6" hidden="1">"'49dc06e2-acba-4b74-bee8-4565d0cdb83a"</definedName>
    <definedName name="CBx_StorageType" localSheetId="0" hidden="1">1</definedName>
    <definedName name="CBx_StorageType" localSheetId="3" hidden="1">1</definedName>
    <definedName name="CBx_StorageType" localSheetId="4" hidden="1">1</definedName>
    <definedName name="CBx_StorageType" localSheetId="6" hidden="1">1</definedName>
    <definedName name="Costs">#REF!</definedName>
    <definedName name="Costs2">'[5]Assumptions'!$W$7:$AB$15</definedName>
    <definedName name="debt">#REF!</definedName>
    <definedName name="debt_cost" localSheetId="3">'[9]Assumptions'!#REF!</definedName>
    <definedName name="debt_cost">#REF!</definedName>
    <definedName name="DEP">#REF!</definedName>
    <definedName name="diesel_price">#REF!</definedName>
    <definedName name="disc">'[3]Assumptions'!#REF!</definedName>
    <definedName name="discount">#REF!</definedName>
    <definedName name="disease_cases">'[3]Assumptions'!#REF!</definedName>
    <definedName name="DPY">'[1]Key Assumptions'!$G$24</definedName>
    <definedName name="ECF">'[2]LU'!$AF$8</definedName>
    <definedName name="ECON">#REF!</definedName>
    <definedName name="eduwageadd">'[3]Morogoro'!$K$31</definedName>
    <definedName name="eduwagenr">'[3]Morogoro'!$K$29</definedName>
    <definedName name="equity" localSheetId="3">'[9]Assumptions'!#REF!</definedName>
    <definedName name="equity">#REF!</definedName>
    <definedName name="ex_rate">#REF!</definedName>
    <definedName name="exch">'[6]Assumptions'!$F$7</definedName>
    <definedName name="exch2">'[8]Basics'!$G$8</definedName>
    <definedName name="gasswitch">'[5]Assumptions'!$H$47</definedName>
    <definedName name="grow">#REF!</definedName>
    <definedName name="hydro_cap">#REF!</definedName>
    <definedName name="hydro_opex">#REF!</definedName>
    <definedName name="income_comm" localSheetId="3">'[9]Assumptions'!#REF!</definedName>
    <definedName name="income_comm">#REF!</definedName>
    <definedName name="income_dom" localSheetId="3">'[9]Assumptions'!#REF!</definedName>
    <definedName name="income_dom">#REF!</definedName>
    <definedName name="income_ind" localSheetId="3">'[9]Assumptions'!#REF!</definedName>
    <definedName name="income_ind">#REF!</definedName>
    <definedName name="income_street" localSheetId="3">'[9]Assumptions'!#REF!</definedName>
    <definedName name="income_street">#REF!</definedName>
    <definedName name="infl">'[1]Key Assumptions'!$G$38</definedName>
    <definedName name="inflation" localSheetId="3">'[9]Assumptions'!#REF!</definedName>
    <definedName name="inflation">#REF!</definedName>
    <definedName name="LCC">'[1]Key Assumptions'!$G$38</definedName>
    <definedName name="Lessgrow">#REF!</definedName>
    <definedName name="LF0913">'[5]Assumptions'!$G$12</definedName>
    <definedName name="LF1423">'[5]Assumptions'!$H$12</definedName>
    <definedName name="LF2433">'[5]Assumptions'!$I$12</definedName>
    <definedName name="LF2434">'[5]Assumptions'!$I$12</definedName>
    <definedName name="list">'[3]Assumptions'!#REF!</definedName>
    <definedName name="loadshed">'[5]Assumptions'!#REF!</definedName>
    <definedName name="LOAN">#REF!</definedName>
    <definedName name="loan_period" localSheetId="3">'[9]Assumptions'!#REF!</definedName>
    <definedName name="loan_period">#REF!</definedName>
    <definedName name="lpb">'[3]Assumptions'!$F$6</definedName>
    <definedName name="LU1">'[2]LU'!$A$3:$V$57</definedName>
    <definedName name="LUsum">'[2]Summary'!$A$6:$S$16</definedName>
    <definedName name="lva">'[1]Key Assumptions'!$G$37</definedName>
    <definedName name="mat_rate">'[7]Assumptions'!$D$125</definedName>
    <definedName name="mat_years">'[7]Assumptions'!$D$127</definedName>
    <definedName name="miniprojrange">#REF!</definedName>
    <definedName name="model_start">#REF!</definedName>
    <definedName name="mvacap">'[5]Assumptions'!$H$31</definedName>
    <definedName name="nmarkup">'[3]Assumptions'!#REF!</definedName>
    <definedName name="omcost">'[3]Assumptions'!$F$9</definedName>
    <definedName name="ops_end">#REF!</definedName>
    <definedName name="ops_start">#REF!</definedName>
    <definedName name="pfactor">'[5]Assumptions'!$H$13</definedName>
    <definedName name="Phasing">#REF!</definedName>
    <definedName name="Phasing2">'[5]Planting'!$F$4:$S$10</definedName>
    <definedName name="pow_importprice">'[5]Assumptions'!$M$8:$O$35</definedName>
    <definedName name="ppatable">'[5]Assumptions'!$L$9:$P$35</definedName>
    <definedName name="price_comm" localSheetId="3">'[9]Assumptions'!#REF!</definedName>
    <definedName name="price_comm">#REF!</definedName>
    <definedName name="price_dom" localSheetId="3">'[9]Assumptions'!#REF!</definedName>
    <definedName name="price_dom">#REF!</definedName>
    <definedName name="price_ind" localSheetId="3">'[9]Assumptions'!#REF!+'[9]Assumptions'!#REF!</definedName>
    <definedName name="price_ind">#REF!+#REF!</definedName>
    <definedName name="price_street" localSheetId="3">'[9]Assumptions'!#REF!</definedName>
    <definedName name="price_street">#REF!</definedName>
    <definedName name="_xlnm.Print_Area" localSheetId="2">'Activity Description'!$A$1:$D$54</definedName>
    <definedName name="_xlnm.Print_Area" localSheetId="5">'DW Loss Savings, Farmers'!$A$1:$S$26</definedName>
    <definedName name="_xlnm.Print_Area" localSheetId="3">'ERR &amp; Sensitivity Analysis'!$A$1:$H$125</definedName>
    <definedName name="_xlnm.Print_Area" localSheetId="4">'ERR Calculation'!$A$1:$AN$66</definedName>
    <definedName name="_xlnm.Print_Area" localSheetId="6">'Key Assumptions'!$A$1:$I$123</definedName>
    <definedName name="_xlnm.Print_Area" localSheetId="1">'User''s Guide'!$A$1:$D$64</definedName>
    <definedName name="prod">'[4]Key Assumptions'!$H$41</definedName>
    <definedName name="proj_life">#REF!</definedName>
    <definedName name="PROJECT_NAME" localSheetId="2">CONCATENATE('Activity Description'!$C$13," (",'Activity Description'!$C$14,")")</definedName>
    <definedName name="PROJECT_NAME" localSheetId="3">CONCATENATE('[10]User's Guide'!$C$8," (",'[10]User's Guide'!$C$9,")")</definedName>
    <definedName name="PROJECT_NAME">CONCATENATE('User's Guide'!$C$12," (",'User's Guide'!$C$13,")")</definedName>
    <definedName name="project_switch">#REF!</definedName>
    <definedName name="real_disc_rate" localSheetId="3">'[9]Assumptions'!#REF!</definedName>
    <definedName name="real_disc_rate">#REF!</definedName>
    <definedName name="req_ret">'[7]Assumptions'!$D$129</definedName>
    <definedName name="residcapex">'[5]Assumptions'!$H$49</definedName>
    <definedName name="selected_cap">#REF!</definedName>
    <definedName name="startyear">'[5]Assumptions'!$H$36</definedName>
    <definedName name="STAT">$A$1:$N$401</definedName>
    <definedName name="sub_cap" localSheetId="3">'[9]Assumptions'!#REF!</definedName>
    <definedName name="sub_cap">#REF!</definedName>
    <definedName name="SUM">#REF!</definedName>
    <definedName name="tariff_case">#REF!</definedName>
    <definedName name="tax_dep" localSheetId="3">'[9]Assumptions'!#REF!</definedName>
    <definedName name="tax_dep">#REF!</definedName>
    <definedName name="tax_rate" localSheetId="3">'[9]Assumptions'!#REF!</definedName>
    <definedName name="tax_rate">#REF!</definedName>
    <definedName name="td_cap">#REF!</definedName>
    <definedName name="td_opex">#REF!</definedName>
    <definedName name="unserved">'[5]Assumptions'!$H$35</definedName>
    <definedName name="UWSSA">'[3]Assumptions'!$E$14:$E$16</definedName>
    <definedName name="voll">'[5]Assumptions'!$H$30</definedName>
    <definedName name="Year1">'[6]Assumptions'!$F$5</definedName>
  </definedNames>
  <calcPr fullCalcOnLoad="1"/>
</workbook>
</file>

<file path=xl/comments5.xml><?xml version="1.0" encoding="utf-8"?>
<comments xmlns="http://schemas.openxmlformats.org/spreadsheetml/2006/main">
  <authors>
    <author> </author>
  </authors>
  <commentList>
    <comment ref="B140" authorId="0">
      <text>
        <r>
          <rPr>
            <b/>
            <sz val="8"/>
            <rFont val="Tahoma"/>
            <family val="0"/>
          </rPr>
          <t xml:space="preserve"> :</t>
        </r>
        <r>
          <rPr>
            <sz val="8"/>
            <rFont val="Tahoma"/>
            <family val="0"/>
          </rPr>
          <t xml:space="preserve">
 Half of the Oshikoto region is in the south of the fence</t>
        </r>
      </text>
    </comment>
    <comment ref="E142" authorId="0">
      <text>
        <r>
          <rPr>
            <b/>
            <sz val="8"/>
            <rFont val="Tahoma"/>
            <family val="0"/>
          </rPr>
          <t xml:space="preserve"> :</t>
        </r>
        <r>
          <rPr>
            <sz val="8"/>
            <rFont val="Tahoma"/>
            <family val="0"/>
          </rPr>
          <t xml:space="preserve">
The numbers are for that for the norht of the fence</t>
        </r>
      </text>
    </comment>
  </commentList>
</comments>
</file>

<file path=xl/sharedStrings.xml><?xml version="1.0" encoding="utf-8"?>
<sst xmlns="http://schemas.openxmlformats.org/spreadsheetml/2006/main" count="282" uniqueCount="228">
  <si>
    <r>
      <t>4</t>
    </r>
    <r>
      <rPr>
        <sz val="12"/>
        <rFont val="Arial"/>
        <family val="2"/>
      </rPr>
      <t>There is limited anecdotal evidence of adoption by some smaller groups.  As a pilot program, this cannot be determined.</t>
    </r>
  </si>
  <si>
    <t>*The ability to raise animals large enough for slaughter at grade A or B level will require introduction of outside breeding stock and adoption of new techniques.</t>
  </si>
  <si>
    <t>*Results projected are tentative give (1) the pilot nature of the CBRLM sub activity, (2) lack f design and agreement for market and quarantine efficiecy improvement activity.  ERR will be revised in CIF period once more parameters related to these activities are known, and once agreement on any GRN actions is reached.</t>
  </si>
  <si>
    <t>3% -  5%</t>
  </si>
  <si>
    <t>7% - 11%</t>
  </si>
  <si>
    <t>Improved market access without project</t>
  </si>
  <si>
    <t>User's Guide</t>
  </si>
  <si>
    <t>More Info</t>
  </si>
  <si>
    <t>Agriculture Sector Project</t>
  </si>
  <si>
    <t>35.5 million total for combined Agricultural activities.</t>
  </si>
  <si>
    <t>DW Loss Savings, Farmers</t>
  </si>
  <si>
    <t>A worksheet that outlines the quarantine and transport cost savings</t>
  </si>
  <si>
    <t>CATTLE (With Project)</t>
  </si>
  <si>
    <t>Average Price</t>
  </si>
  <si>
    <t>Total Production</t>
  </si>
  <si>
    <t>Gross Cattle Income</t>
  </si>
  <si>
    <t>Ex ante expected losses due to severe drought</t>
  </si>
  <si>
    <t>CATTLE (Without project)</t>
  </si>
  <si>
    <t>Total Value of Production</t>
  </si>
  <si>
    <t>Establishment of livestock traceability system</t>
  </si>
  <si>
    <t>Expansion of veterinary infrastructure</t>
  </si>
  <si>
    <t>Marketing efficiency improvement fund</t>
  </si>
  <si>
    <t>Community based range management training, capacity building, and capital costs</t>
  </si>
  <si>
    <t>Land-strengthening of land rights and policy implementation</t>
  </si>
  <si>
    <t>Total Costs without admin (CIF Costs)</t>
  </si>
  <si>
    <t>Breeding herd as fraction of total herd with CBRMS</t>
  </si>
  <si>
    <t>Key Parameters and Assumptions</t>
  </si>
  <si>
    <t>Breeding Herd as fraction of total herd</t>
  </si>
  <si>
    <t>Current</t>
  </si>
  <si>
    <t>Fraction of cattle marketed formally/for extra-NCA consumption</t>
  </si>
  <si>
    <t>Productivity/Offtake Improvements:</t>
  </si>
  <si>
    <t>Farmers' costs per animal produced</t>
  </si>
  <si>
    <t>Total offtake, long run:</t>
  </si>
  <si>
    <t>Name of station</t>
  </si>
  <si>
    <t>No. of vets</t>
  </si>
  <si>
    <t>No. of staff</t>
  </si>
  <si>
    <t>LSU/vet</t>
  </si>
  <si>
    <t>LSU/staff</t>
  </si>
  <si>
    <t># of households serviced</t>
  </si>
  <si>
    <t>(40 LSU per household)</t>
  </si>
  <si>
    <t># of Beneficiaries</t>
  </si>
  <si>
    <t>(8 people per household)</t>
  </si>
  <si>
    <t>Epukira</t>
  </si>
  <si>
    <t>Okakarara</t>
  </si>
  <si>
    <t>Outapi</t>
  </si>
  <si>
    <t>Eenhana</t>
  </si>
  <si>
    <t>Omuthiya</t>
  </si>
  <si>
    <t>Total</t>
  </si>
  <si>
    <t xml:space="preserve"> Weighted Average herd size as percent of existing, with project</t>
  </si>
  <si>
    <t>Assumed real price increase/decrease over current</t>
  </si>
  <si>
    <t>With project</t>
  </si>
  <si>
    <t>USD</t>
  </si>
  <si>
    <t>Admin Costs</t>
  </si>
  <si>
    <t>Drought parameters</t>
  </si>
  <si>
    <t>Probability of severe drought</t>
  </si>
  <si>
    <t>Fraction of cattle on exclusively allocated lands for small groups of hhds, eventual with project</t>
  </si>
  <si>
    <t>Number of cattle</t>
  </si>
  <si>
    <t>ESA Mitigation Costs</t>
  </si>
  <si>
    <t>Fraction of herd</t>
  </si>
  <si>
    <t>Net Direct Benefits to Cattle Farmers</t>
  </si>
  <si>
    <t>Contingencies, non-infrastructure</t>
  </si>
  <si>
    <t>Reduced expected losses due to severe drought</t>
  </si>
  <si>
    <t>PROJECT COSTS</t>
  </si>
  <si>
    <t xml:space="preserve">Quarantine Cost Savings </t>
  </si>
  <si>
    <t>Fraction marketed formally</t>
  </si>
  <si>
    <t>Number marketed formally</t>
  </si>
  <si>
    <t>Rate of growth of fraction marketed formally</t>
  </si>
  <si>
    <t>Quarantine and transport cost savings</t>
  </si>
  <si>
    <t>Production/offtake with CBRLM and improved market access</t>
  </si>
  <si>
    <t>NPV BENEFIT</t>
  </si>
  <si>
    <t>Number of CBRLM villages</t>
  </si>
  <si>
    <t>Average number of cattle per household with cattle</t>
  </si>
  <si>
    <t>Number of impacted cattle in project area</t>
  </si>
  <si>
    <t>Discount Rate/ERR target</t>
  </si>
  <si>
    <t>Reduced losses due to quarantine and transport inefficiencies</t>
  </si>
  <si>
    <t xml:space="preserve"> Weighted Average herd size as percent of existing, without project</t>
  </si>
  <si>
    <t>Herd size as percent of existing herd size NCCA</t>
  </si>
  <si>
    <t>Mortality rate</t>
  </si>
  <si>
    <t>Program Costs</t>
  </si>
  <si>
    <t>Risk premium</t>
  </si>
  <si>
    <t>Value of theft/loss in quarantine</t>
  </si>
  <si>
    <t>Parameters calculated for ERR</t>
  </si>
  <si>
    <t>Weaning mortality:</t>
  </si>
  <si>
    <t>Net production after mortality(animals per annum/total herd):</t>
  </si>
  <si>
    <t>Current Breeding herd as fraction of total herd</t>
  </si>
  <si>
    <t>Value of Cattle in formal Markets</t>
  </si>
  <si>
    <t>Year of compact</t>
  </si>
  <si>
    <t>Year DFS achieved, FMD and CBPP</t>
  </si>
  <si>
    <t>Year benefits begin</t>
  </si>
  <si>
    <t>Year benefits fully realized</t>
  </si>
  <si>
    <t>ERR Calculation</t>
  </si>
  <si>
    <t xml:space="preserve">TOTAL NET BENEFITS </t>
  </si>
  <si>
    <t>Total costs with admin and contingencies</t>
  </si>
  <si>
    <t>Total benefits (Cattle)</t>
  </si>
  <si>
    <t>Year in which benefits begin</t>
  </si>
  <si>
    <t>Additional efficiency gains in marketing and transport</t>
  </si>
  <si>
    <t>20-YEAR ERR WITH LAND</t>
  </si>
  <si>
    <t>Timing of Benefits</t>
  </si>
  <si>
    <t>Weighted Average closure in value gap (value is value of a cattle):</t>
  </si>
  <si>
    <t>Land Regime</t>
  </si>
  <si>
    <t>Number of Years for improvements to be fully phased in</t>
  </si>
  <si>
    <t>Average value:</t>
  </si>
  <si>
    <t>Weighted average value/price at end state</t>
  </si>
  <si>
    <t>Breeding herd as fraction of total herd with DFS</t>
  </si>
  <si>
    <t>MILLENNIUM CHALLENGE CORPORATION</t>
  </si>
  <si>
    <t>PROJECT NAME</t>
  </si>
  <si>
    <t>SPREADSHEET VERSION</t>
  </si>
  <si>
    <t>-</t>
  </si>
  <si>
    <t>AMOUNT OF MCC FUNDS</t>
  </si>
  <si>
    <t>PROJECT DESCRIPTION</t>
  </si>
  <si>
    <t>BENEFIT STREAMS INCLUDED IN ERR</t>
  </si>
  <si>
    <t>ESTIMATED ERR AND TIMELINE</t>
  </si>
  <si>
    <t>WORKSHEETS IN THIS FILE</t>
  </si>
  <si>
    <t>Activity Description</t>
  </si>
  <si>
    <t>One should read this sheet first, as it offers a summary of the project, a list of components, and states the economic rationale for the project.</t>
  </si>
  <si>
    <t>ERR &amp; Sensitivity Analysis</t>
  </si>
  <si>
    <t>A brief summary of the project's key parameters and ERR calculations.</t>
  </si>
  <si>
    <t>ERR Calculation MCC</t>
  </si>
  <si>
    <t>Key Assumptions</t>
  </si>
  <si>
    <t>List of assumptions and figures used in the calculations.</t>
  </si>
  <si>
    <t>SUMMARY</t>
  </si>
  <si>
    <t>COMPONENTS</t>
  </si>
  <si>
    <t>ECONOMIC RATIONALE</t>
  </si>
  <si>
    <t>ERR and Sensitivity analysis</t>
  </si>
  <si>
    <t>NOTES:</t>
  </si>
  <si>
    <t>All summary parameters set to initial values?</t>
  </si>
  <si>
    <t>Parameter type</t>
  </si>
  <si>
    <t>Description of Key Parameters</t>
  </si>
  <si>
    <t>Parameter Values</t>
  </si>
  <si>
    <t>User Input</t>
  </si>
  <si>
    <t>MCC Estimate</t>
  </si>
  <si>
    <t>Plausible range</t>
  </si>
  <si>
    <t>Values used in ERR computation</t>
  </si>
  <si>
    <t>Summary</t>
  </si>
  <si>
    <t>Actual costs as a percentage of estimated costs</t>
  </si>
  <si>
    <t>Actual benefits as a percentage of estimated benefits</t>
  </si>
  <si>
    <t>Economic rate of return (ERR):</t>
  </si>
  <si>
    <t>MCC Estimated ERR:</t>
  </si>
  <si>
    <r>
      <t>Households per community</t>
    </r>
    <r>
      <rPr>
        <vertAlign val="superscript"/>
        <sz val="14"/>
        <rFont val="Arial"/>
        <family val="2"/>
      </rPr>
      <t>1</t>
    </r>
  </si>
  <si>
    <r>
      <t>1</t>
    </r>
    <r>
      <rPr>
        <sz val="12"/>
        <rFont val="Arial"/>
        <family val="2"/>
      </rPr>
      <t>SEA Draft Phase I report</t>
    </r>
  </si>
  <si>
    <r>
      <t>Fraction of households with cattle</t>
    </r>
    <r>
      <rPr>
        <vertAlign val="superscript"/>
        <sz val="14"/>
        <rFont val="Arial"/>
        <family val="2"/>
      </rPr>
      <t>2</t>
    </r>
  </si>
  <si>
    <r>
      <t>2</t>
    </r>
    <r>
      <rPr>
        <sz val="12"/>
        <rFont val="Arial"/>
        <family val="2"/>
      </rPr>
      <t>NHIES/other data</t>
    </r>
  </si>
  <si>
    <r>
      <t>Number of Cattle in average CBRLM community</t>
    </r>
    <r>
      <rPr>
        <vertAlign val="superscript"/>
        <sz val="14"/>
        <rFont val="Arial"/>
        <family val="2"/>
      </rPr>
      <t>3</t>
    </r>
  </si>
  <si>
    <r>
      <t>3</t>
    </r>
    <r>
      <rPr>
        <sz val="12"/>
        <rFont val="Arial"/>
        <family val="2"/>
      </rPr>
      <t>Data from SEA (2810 likely understated for large herds, so additional 200 per community added)</t>
    </r>
  </si>
  <si>
    <r>
      <t>Fraction of communities where intervention 'works'</t>
    </r>
    <r>
      <rPr>
        <vertAlign val="superscript"/>
        <sz val="14"/>
        <rFont val="Arial"/>
        <family val="2"/>
      </rPr>
      <t>4</t>
    </r>
  </si>
  <si>
    <t>Calving rate: (As fraction of breeding herd)</t>
  </si>
  <si>
    <r>
      <t>Fraction of cattle in sustainable CBRMS  (in cattle numbers)</t>
    </r>
    <r>
      <rPr>
        <vertAlign val="superscript"/>
        <sz val="14"/>
        <rFont val="Arial"/>
        <family val="2"/>
      </rPr>
      <t xml:space="preserve">5 </t>
    </r>
  </si>
  <si>
    <r>
      <t>5</t>
    </r>
    <r>
      <rPr>
        <sz val="12"/>
        <rFont val="Arial"/>
        <family val="2"/>
      </rPr>
      <t xml:space="preserve">Not all communities will have successful CBRMS, even with the CBRMS program.  </t>
    </r>
  </si>
  <si>
    <r>
      <t>6</t>
    </r>
    <r>
      <rPr>
        <sz val="12"/>
        <rFont val="Arial"/>
        <family val="2"/>
      </rPr>
      <t>Estimate based on some estimates of 30 % of land in more fertile areas is 'fenced.'  In these areas, cattle densities are likely to be lower, and rangeland in better condition.</t>
    </r>
  </si>
  <si>
    <r>
      <t>Fraction of cattle on privately allocated lands, eventual without project</t>
    </r>
    <r>
      <rPr>
        <vertAlign val="superscript"/>
        <sz val="14"/>
        <rFont val="Arial"/>
        <family val="2"/>
      </rPr>
      <t>7</t>
    </r>
  </si>
  <si>
    <r>
      <t>7</t>
    </r>
    <r>
      <rPr>
        <sz val="12"/>
        <rFont val="Arial"/>
        <family val="2"/>
      </rPr>
      <t>Reduces by factor of 3 current linear "rate" of fencing to the next 10 years, as much of this was done at Independence</t>
    </r>
  </si>
  <si>
    <r>
      <t>Rate of Increase of excludability with land program</t>
    </r>
    <r>
      <rPr>
        <vertAlign val="superscript"/>
        <sz val="14"/>
        <rFont val="Arial"/>
        <family val="2"/>
      </rPr>
      <t>8</t>
    </r>
  </si>
  <si>
    <r>
      <t>8</t>
    </r>
    <r>
      <rPr>
        <sz val="12"/>
        <rFont val="Arial"/>
        <family val="2"/>
      </rPr>
      <t>Land Activity will provide enhanced security to those with 'private' rights and to communities wishing to exercise greater excludability.</t>
    </r>
  </si>
  <si>
    <t>Fraction of herd affected by CBRLM</t>
  </si>
  <si>
    <r>
      <t>Beginning affected herd size</t>
    </r>
    <r>
      <rPr>
        <vertAlign val="superscript"/>
        <sz val="14"/>
        <rFont val="Arial"/>
        <family val="2"/>
      </rPr>
      <t>9</t>
    </r>
  </si>
  <si>
    <r>
      <t>9</t>
    </r>
    <r>
      <rPr>
        <sz val="12"/>
        <rFont val="Arial"/>
        <family val="2"/>
      </rPr>
      <t>Average total herd over recent years for the affected Northern Communal Areas (minus Caprivi)</t>
    </r>
  </si>
  <si>
    <r>
      <t>With project</t>
    </r>
    <r>
      <rPr>
        <vertAlign val="superscript"/>
        <sz val="14"/>
        <rFont val="Arial"/>
        <family val="2"/>
      </rPr>
      <t>10</t>
    </r>
  </si>
  <si>
    <r>
      <t>10</t>
    </r>
    <r>
      <rPr>
        <sz val="12"/>
        <rFont val="Arial"/>
        <family val="2"/>
      </rPr>
      <t>CBRMS is successful in reducing herd sizes by 30%, but not the full 50%-66% that can be achieved on more exclusive holdings.</t>
    </r>
  </si>
  <si>
    <r>
      <t>Without CBRMS or private allocations</t>
    </r>
    <r>
      <rPr>
        <vertAlign val="superscript"/>
        <sz val="14"/>
        <rFont val="Arial"/>
        <family val="2"/>
      </rPr>
      <t>11</t>
    </r>
  </si>
  <si>
    <r>
      <t>11</t>
    </r>
    <r>
      <rPr>
        <sz val="12"/>
        <rFont val="Arial"/>
        <family val="2"/>
      </rPr>
      <t>Individual farmers will have no incentive to reduce herd size.  Whereas offtake rates can increase with improved market access, greater profitability will induce farmers to stock up more, unless there are CBRMSs in place.</t>
    </r>
  </si>
  <si>
    <r>
      <t>On private land</t>
    </r>
    <r>
      <rPr>
        <vertAlign val="superscript"/>
        <sz val="14"/>
        <rFont val="Arial"/>
        <family val="2"/>
      </rPr>
      <t>12</t>
    </r>
  </si>
  <si>
    <r>
      <t>12</t>
    </r>
    <r>
      <rPr>
        <sz val="12"/>
        <rFont val="Arial"/>
        <family val="2"/>
      </rPr>
      <t>In many areas, the rangeland is overstocked to 2 to 3 times the optimal amount.</t>
    </r>
  </si>
  <si>
    <r>
      <t>Eventual closure in value gap for cattle in CBRMS areas</t>
    </r>
    <r>
      <rPr>
        <vertAlign val="superscript"/>
        <sz val="14"/>
        <rFont val="Arial"/>
        <family val="2"/>
      </rPr>
      <t>13</t>
    </r>
  </si>
  <si>
    <r>
      <t>13</t>
    </r>
    <r>
      <rPr>
        <sz val="12"/>
        <rFont val="Arial"/>
        <family val="2"/>
      </rPr>
      <t>The prevalence of the smaller Sanga breed makes complete closure of the gap difficult, even for farmers with equivalent access to grazing and adopting commercial herd management practices.  It is also likely that only larger farmers will be able to adopt improved production methods.  However, improved nutrition will have an impact.</t>
    </r>
  </si>
  <si>
    <r>
      <t>Closure in value gap for cattle in non-CBRMS areas</t>
    </r>
    <r>
      <rPr>
        <vertAlign val="superscript"/>
        <sz val="14"/>
        <rFont val="Arial"/>
        <family val="2"/>
      </rPr>
      <t>14</t>
    </r>
  </si>
  <si>
    <r>
      <t>14</t>
    </r>
    <r>
      <rPr>
        <sz val="12"/>
        <rFont val="Arial"/>
        <family val="2"/>
      </rPr>
      <t>Some improvement in quality and age at marketing is evidenced in southern communal areas</t>
    </r>
  </si>
  <si>
    <r>
      <t>Closure in value gap for cattle on private farms</t>
    </r>
    <r>
      <rPr>
        <vertAlign val="superscript"/>
        <sz val="14"/>
        <rFont val="Arial"/>
        <family val="2"/>
      </rPr>
      <t>15</t>
    </r>
  </si>
  <si>
    <r>
      <t>15</t>
    </r>
    <r>
      <rPr>
        <sz val="12"/>
        <rFont val="Arial"/>
        <family val="2"/>
      </rPr>
      <t>It is assumed that these farmers will not achieve the same quality as southern farmers given an initial gap in skills, quality of grazing, and access to inputs</t>
    </r>
  </si>
  <si>
    <t>With Project</t>
  </si>
  <si>
    <t>Without project</t>
  </si>
  <si>
    <t>In South</t>
  </si>
  <si>
    <t>Current NCA/Meatco</t>
  </si>
  <si>
    <t>Gap</t>
  </si>
  <si>
    <t>Current NCA/Meatco before weight loss due to quarantine</t>
  </si>
  <si>
    <t>Current value plus subsidy</t>
  </si>
  <si>
    <t>Average local value of cattle marketed in informal markets, current.</t>
  </si>
  <si>
    <t>Mortality decrease due to vet centers</t>
  </si>
  <si>
    <t>Without CBRMS</t>
  </si>
  <si>
    <t>With CBRMS, improved market access</t>
  </si>
  <si>
    <t>Mortality, value lost resulting from drought (As Fraction of total herd):</t>
  </si>
  <si>
    <t>Quarantine and Transport cost savings; (fraction of current)</t>
  </si>
  <si>
    <t>Specific</t>
  </si>
  <si>
    <t>12% - 18%</t>
  </si>
  <si>
    <r>
      <t>Current fraction of cattle on privately allocated lands</t>
    </r>
    <r>
      <rPr>
        <vertAlign val="superscript"/>
        <sz val="14"/>
        <rFont val="Arial"/>
        <family val="2"/>
      </rPr>
      <t>6</t>
    </r>
  </si>
  <si>
    <t>Average cattle population in the total (Northern Communal Areas) NCA project area (2002-06)</t>
  </si>
  <si>
    <t>(Without project)</t>
  </si>
  <si>
    <t>Weighted average value/price at end state (With Project)</t>
  </si>
  <si>
    <t>(Without Project)</t>
  </si>
  <si>
    <t>1. Additional efficiency gains in marketing and transport.</t>
  </si>
  <si>
    <t>In modeling the impact of MCC's agriculture investments on economic growth and incomes, we include the following benefits, all of which are ultimately related to growth and income:</t>
  </si>
  <si>
    <t>8.7% over 20 years</t>
  </si>
  <si>
    <r>
      <t>Total offtake</t>
    </r>
    <r>
      <rPr>
        <vertAlign val="superscript"/>
        <sz val="14"/>
        <rFont val="Arial"/>
        <family val="2"/>
      </rPr>
      <t>1</t>
    </r>
    <r>
      <rPr>
        <sz val="14"/>
        <rFont val="Arial"/>
        <family val="2"/>
      </rPr>
      <t>, long run: (With Project)</t>
    </r>
  </si>
  <si>
    <r>
      <t>1</t>
    </r>
    <r>
      <rPr>
        <sz val="12"/>
        <rFont val="Arial"/>
        <family val="2"/>
      </rPr>
      <t>Fraction of herd that are "harvested" i.e sold or turned into beef or veal.</t>
    </r>
  </si>
  <si>
    <r>
      <t xml:space="preserve">COSTS INCLUDED IN ERR </t>
    </r>
    <r>
      <rPr>
        <sz val="14"/>
        <rFont val="Arial"/>
        <family val="2"/>
      </rPr>
      <t>(OTHER THAN COSTS BORNE BY MCC)</t>
    </r>
  </si>
  <si>
    <t>Investment Memo</t>
  </si>
  <si>
    <t>Initial annual probability of severe drought</t>
  </si>
  <si>
    <t>Program costs (Admin)</t>
  </si>
  <si>
    <t>1. Construction of approximately five veterinary centers in the NCA and underserved areas, and rehabilitation of two quarantine camps in the Caprivi region;</t>
  </si>
  <si>
    <t>2. Implementation of a traceability system to better meet the food safety requirements in local and external markets;</t>
  </si>
  <si>
    <t>Change the "User Input" cells in the table below to see the effect on the compact's Economic Rate of Return (ERR) and net benefits (see chart below).  To reset all values to the default MCC estimates, click the "Reset Parameters" button at left.   Be sure to reset all summary parameters to their original values ("MCC Estimate" values) before changing specific parameters.</t>
  </si>
  <si>
    <t>1,800 - 2,700</t>
  </si>
  <si>
    <t>1,600 - 2,400</t>
  </si>
  <si>
    <t>17,500 - 26,000</t>
  </si>
  <si>
    <t>7,600 - 11,400</t>
  </si>
  <si>
    <t>MCC interventions in agriculture will achieve modest medium term improvements in the security of land rights, the productivity and sustainability of communal rangeland resources, livestock productivity, and the efficiency of livestock marketing and quarantine systems in the North.   The Improved Market Efficiency and Livestock Productivity activities will enhance the health and marketing efficiency of livestock in the NCAs of Namibia and to increase income from indigenous natural prodcuts accruing to the poor nationwide. The rate of return for these combined interventions is tentatively estimated at 8 percent  (with an 80 percent confidence interval of 5-11 percent) .  The Activities – in particular the Communal Land Support Activity and Community-Based Rangeland Management Program – will create enabling conditions for communal and poor farmers to benefit from future public investments in the livestock sector.</t>
  </si>
  <si>
    <t>80% - 120%</t>
  </si>
  <si>
    <t>Efficiency gains in marketing and transport</t>
  </si>
  <si>
    <t>Reduced expected losses due to severe drought.</t>
  </si>
  <si>
    <t>MCC interventions in this area will achieve modest medium term improvements in the security of land rights, the productivity of herds and the efficiency of livestock marketing and quarantine systems.</t>
  </si>
  <si>
    <t>2. Reduced losses due to quarantine and transport inefficiencies.</t>
  </si>
  <si>
    <t>3. Reduced expected losses due to severe drought.</t>
  </si>
  <si>
    <t>Recurrent costs to Namibia Department of Veterinary Services</t>
  </si>
  <si>
    <t>LAST UPDATED:6/5/2008</t>
  </si>
  <si>
    <t>LAST UPDATED: 6/5/2008</t>
  </si>
  <si>
    <t>The objective of the Agriculture Project is to increase the total value added from livestock in the northern communal areas of the Republic of Namibia and to increase income from indigenous natural products accruing to the poor nationwide. Two Activities under the Agriculture Project, the Land Access and Management Activity and the Livestock Support Activity, are grouped for the purposes of this ERR Calculation.</t>
  </si>
  <si>
    <t>3.Establishment of a fund to invest in post-farmgate improvements fostering greater efficiencies in livestock marketing, transport, and quarantine (the “Livestock Market Efficiency Fund”).</t>
  </si>
  <si>
    <t>Namibia: Land Access and Management and Livestock Support Activities</t>
  </si>
  <si>
    <t>Land Access and Management and Livestock Support Activities</t>
  </si>
  <si>
    <t>The Livestock Support Activity involves the construction of veterinary centers, rehabilitation of two quarantine camps, implementation of a traceability system, and establishment of a fund to invest in post-farmgate improvements.</t>
  </si>
  <si>
    <t>Livestock Support:</t>
  </si>
  <si>
    <t>Land Access &amp; Management:</t>
  </si>
  <si>
    <t xml:space="preserve">2. A comprehensive public awareness and outreach campaign to educate the public regarding their land rights; </t>
  </si>
  <si>
    <r>
      <t>The Land Access and Management Activity includes two sub-activities, one which focuses on improving the communal land regime (the “</t>
    </r>
    <r>
      <rPr>
        <i/>
        <sz val="14"/>
        <rFont val="Arial"/>
        <family val="2"/>
      </rPr>
      <t>Communal Land Support Activity</t>
    </r>
    <r>
      <rPr>
        <sz val="14"/>
        <rFont val="Arial"/>
        <family val="2"/>
      </rPr>
      <t>”) and the second which focuses on introducing effective community-based rangeland management practices (the Community Based Rangeland and Livestock Management or “</t>
    </r>
    <r>
      <rPr>
        <i/>
        <sz val="14"/>
        <rFont val="Arial"/>
        <family val="2"/>
      </rPr>
      <t>CBLRM Activity</t>
    </r>
    <r>
      <rPr>
        <sz val="14"/>
        <rFont val="Arial"/>
        <family val="2"/>
      </rPr>
      <t>”).</t>
    </r>
  </si>
  <si>
    <t xml:space="preserve">3. The streamlining of administrative procedures; </t>
  </si>
  <si>
    <t xml:space="preserve">4. A systematic verification and registration process that will result in the formalization of land rights in the Northern Communal Areas (NCAs); </t>
  </si>
  <si>
    <t>5. Capacity building for Communal Land Boards and other land administration institutions.</t>
  </si>
  <si>
    <t>Specifically, MCC funding of these Activities will support:</t>
  </si>
  <si>
    <t>1. Training in community-based management of rangeland resources, herd management, and business management skills, including specific outreach to women in small ruminant production and marketing. In addition, these communities will be eligible to receive limited rangeland management infrastructure (e.g. water points, kraals) to support community rangeland management plans;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</si>
</sst>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00"/>
    <numFmt numFmtId="166" formatCode="0.00000"/>
    <numFmt numFmtId="167" formatCode="0.0000"/>
    <numFmt numFmtId="168" formatCode="0.000"/>
    <numFmt numFmtId="169" formatCode="&quot;Yes&quot;;&quot;Yes&quot;;&quot;No&quot;"/>
    <numFmt numFmtId="170" formatCode="&quot;True&quot;;&quot;True&quot;;&quot;False&quot;"/>
    <numFmt numFmtId="171" formatCode="&quot;On&quot;;&quot;On&quot;;&quot;Off&quot;"/>
    <numFmt numFmtId="172" formatCode="0.0"/>
    <numFmt numFmtId="173" formatCode="#,##0.0"/>
    <numFmt numFmtId="174" formatCode="#,##0.000"/>
    <numFmt numFmtId="175" formatCode="#,##0.0000"/>
    <numFmt numFmtId="176" formatCode="0.000%"/>
    <numFmt numFmtId="177" formatCode="0.0%"/>
    <numFmt numFmtId="178" formatCode="0.00000000"/>
    <numFmt numFmtId="179" formatCode="0.000000000"/>
    <numFmt numFmtId="180" formatCode="0.0000000000"/>
    <numFmt numFmtId="181" formatCode="0.00000000000"/>
    <numFmt numFmtId="182" formatCode="#\ ##0"/>
    <numFmt numFmtId="183" formatCode="&quot;$&quot;#,##0"/>
    <numFmt numFmtId="184" formatCode="&quot;$&quot;#,##0.00"/>
    <numFmt numFmtId="185" formatCode="_(* #,##0_);_(* \(#,##0\);_(* &quot;-&quot;??_);_(@_)"/>
    <numFmt numFmtId="186" formatCode="[$€-2]\ #,##0.00_);[Red]\([$€-2]\ #,##0.00\)"/>
    <numFmt numFmtId="187" formatCode="&quot;R&quot;\ #,##0;&quot;R&quot;\ \-#,##0"/>
    <numFmt numFmtId="188" formatCode="&quot;R&quot;\ #,##0;[Red]&quot;R&quot;\ \-#,##0"/>
    <numFmt numFmtId="189" formatCode="&quot;R&quot;\ #,##0.00;&quot;R&quot;\ \-#,##0.00"/>
    <numFmt numFmtId="190" formatCode="&quot;R&quot;\ #,##0.00;[Red]&quot;R&quot;\ \-#,##0.00"/>
    <numFmt numFmtId="191" formatCode="_ &quot;R&quot;\ * #,##0_ ;_ &quot;R&quot;\ * \-#,##0_ ;_ &quot;R&quot;\ * &quot;-&quot;_ ;_ @_ "/>
    <numFmt numFmtId="192" formatCode="_ * #,##0_ ;_ * \-#,##0_ ;_ * &quot;-&quot;_ ;_ @_ "/>
    <numFmt numFmtId="193" formatCode="_ &quot;R&quot;\ * #,##0.00_ ;_ &quot;R&quot;\ * \-#,##0.00_ ;_ &quot;R&quot;\ * &quot;-&quot;??_ ;_ @_ "/>
    <numFmt numFmtId="194" formatCode="_ * #,##0.00_ ;_ * \-#,##0.00_ ;_ * &quot;-&quot;??_ ;_ @_ "/>
    <numFmt numFmtId="195" formatCode="_ * #,##0.0_ ;_ * \-#,##0.0_ ;_ * &quot;-&quot;??_ ;_ @_ "/>
    <numFmt numFmtId="196" formatCode="_ * #,##0_ ;_ * \-#,##0_ ;_ * &quot;-&quot;??_ ;_ @_ "/>
    <numFmt numFmtId="197" formatCode="_(* #,##0.0_);_(* \(#,##0.0\);_(* &quot;-&quot;??_);_(@_)"/>
    <numFmt numFmtId="198" formatCode="_-* #,##0_-;\-* #,##0_-;_-* &quot;-&quot;??_-;_-@_-"/>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_-* #,##0.0_-;\-* #,##0.0_-;_-* &quot;-&quot;??_-;_-@_-"/>
    <numFmt numFmtId="208" formatCode="yyyy"/>
    <numFmt numFmtId="209" formatCode="\(\)"/>
    <numFmt numFmtId="210" formatCode="\(#\)"/>
    <numFmt numFmtId="211" formatCode="[$-809]dd\ mmmm\ yyyy"/>
    <numFmt numFmtId="212" formatCode="yyyy\-mm\-dd;@"/>
    <numFmt numFmtId="213" formatCode="_-* #,##0.0_-;\-* #,##0.0_-;_-* &quot;-&quot;?_-;_-@_-"/>
    <numFmt numFmtId="214" formatCode="#,##0_ ;\-#,##0\ "/>
    <numFmt numFmtId="215" formatCode="0_ ;\-0\ "/>
    <numFmt numFmtId="216" formatCode="0.000000000000000%"/>
    <numFmt numFmtId="217" formatCode="00000"/>
    <numFmt numFmtId="218" formatCode="[$-409]h:mm:ss\ AM/PM"/>
  </numFmts>
  <fonts count="45">
    <font>
      <sz val="10"/>
      <name val="Arial"/>
      <family val="0"/>
    </font>
    <font>
      <sz val="8"/>
      <name val="Arial"/>
      <family val="2"/>
    </font>
    <font>
      <b/>
      <sz val="10"/>
      <name val="Arial"/>
      <family val="2"/>
    </font>
    <font>
      <b/>
      <sz val="8"/>
      <name val="Arial"/>
      <family val="2"/>
    </font>
    <font>
      <sz val="8"/>
      <name val="Tahoma"/>
      <family val="0"/>
    </font>
    <font>
      <b/>
      <sz val="8"/>
      <name val="Tahoma"/>
      <family val="0"/>
    </font>
    <font>
      <sz val="8"/>
      <name val="Times New Roman"/>
      <family val="1"/>
    </font>
    <font>
      <u val="single"/>
      <sz val="10"/>
      <color indexed="12"/>
      <name val="Arial"/>
      <family val="0"/>
    </font>
    <font>
      <u val="single"/>
      <sz val="10"/>
      <color indexed="36"/>
      <name val="Arial"/>
      <family val="0"/>
    </font>
    <font>
      <b/>
      <sz val="12"/>
      <name val="Arial"/>
      <family val="2"/>
    </font>
    <font>
      <b/>
      <sz val="14"/>
      <name val="Arial"/>
      <family val="2"/>
    </font>
    <font>
      <b/>
      <i/>
      <sz val="14"/>
      <name val="Arial"/>
      <family val="2"/>
    </font>
    <font>
      <sz val="14"/>
      <name val="Arial"/>
      <family val="0"/>
    </font>
    <font>
      <i/>
      <sz val="14"/>
      <name val="Arial"/>
      <family val="2"/>
    </font>
    <font>
      <sz val="14"/>
      <color indexed="12"/>
      <name val="Arial"/>
      <family val="2"/>
    </font>
    <font>
      <b/>
      <sz val="14"/>
      <color indexed="8"/>
      <name val="Times New Roman"/>
      <family val="1"/>
    </font>
    <font>
      <sz val="14"/>
      <color indexed="8"/>
      <name val="Times New Roman"/>
      <family val="1"/>
    </font>
    <font>
      <sz val="10"/>
      <name val="Times New Roman"/>
      <family val="0"/>
    </font>
    <font>
      <sz val="18"/>
      <name val="Times New Roman"/>
      <family val="0"/>
    </font>
    <font>
      <i/>
      <sz val="12"/>
      <name val="Times New Roman"/>
      <family val="0"/>
    </font>
    <font>
      <sz val="12"/>
      <name val="Arial"/>
      <family val="0"/>
    </font>
    <font>
      <sz val="18"/>
      <name val="Arial"/>
      <family val="0"/>
    </font>
    <font>
      <i/>
      <sz val="12"/>
      <name val="Arial"/>
      <family val="0"/>
    </font>
    <font>
      <sz val="16"/>
      <name val="Arial"/>
      <family val="2"/>
    </font>
    <font>
      <b/>
      <sz val="16"/>
      <name val="Arial"/>
      <family val="2"/>
    </font>
    <font>
      <u val="single"/>
      <sz val="14"/>
      <color indexed="12"/>
      <name val="Arial"/>
      <family val="2"/>
    </font>
    <font>
      <sz val="12"/>
      <name val="Times New Roman"/>
      <family val="0"/>
    </font>
    <font>
      <sz val="8"/>
      <color indexed="17"/>
      <name val="Arial"/>
      <family val="2"/>
    </font>
    <font>
      <sz val="10"/>
      <color indexed="23"/>
      <name val="Arial"/>
      <family val="2"/>
    </font>
    <font>
      <b/>
      <sz val="10"/>
      <color indexed="55"/>
      <name val="Arial"/>
      <family val="2"/>
    </font>
    <font>
      <b/>
      <sz val="14"/>
      <color indexed="12"/>
      <name val="Arial"/>
      <family val="2"/>
    </font>
    <font>
      <sz val="10"/>
      <color indexed="9"/>
      <name val="Arial"/>
      <family val="2"/>
    </font>
    <font>
      <b/>
      <sz val="16"/>
      <color indexed="10"/>
      <name val="Arial"/>
      <family val="2"/>
    </font>
    <font>
      <b/>
      <sz val="10"/>
      <color indexed="9"/>
      <name val="Arial"/>
      <family val="2"/>
    </font>
    <font>
      <u val="single"/>
      <sz val="12"/>
      <color indexed="12"/>
      <name val="Arial"/>
      <family val="2"/>
    </font>
    <font>
      <b/>
      <sz val="10"/>
      <color indexed="12"/>
      <name val="Arial"/>
      <family val="2"/>
    </font>
    <font>
      <b/>
      <sz val="13"/>
      <name val="Arial"/>
      <family val="2"/>
    </font>
    <font>
      <sz val="11.25"/>
      <name val="Arial"/>
      <family val="2"/>
    </font>
    <font>
      <b/>
      <sz val="14"/>
      <color indexed="10"/>
      <name val="Arial"/>
      <family val="0"/>
    </font>
    <font>
      <b/>
      <sz val="14"/>
      <name val="Times New Roman"/>
      <family val="1"/>
    </font>
    <font>
      <sz val="14"/>
      <color indexed="10"/>
      <name val="Arial"/>
      <family val="2"/>
    </font>
    <font>
      <vertAlign val="superscript"/>
      <sz val="12"/>
      <name val="Arial"/>
      <family val="2"/>
    </font>
    <font>
      <vertAlign val="superscript"/>
      <sz val="14"/>
      <name val="Arial"/>
      <family val="2"/>
    </font>
    <font>
      <vertAlign val="superscript"/>
      <sz val="12"/>
      <color indexed="10"/>
      <name val="Arial"/>
      <family val="2"/>
    </font>
    <font>
      <sz val="11"/>
      <name val="Arial"/>
      <family val="2"/>
    </font>
  </fonts>
  <fills count="7">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70">
    <border>
      <left/>
      <right/>
      <top/>
      <bottom/>
      <diagonal/>
    </border>
    <border>
      <left>
        <color indexed="63"/>
      </left>
      <right style="double"/>
      <top style="double"/>
      <bottom>
        <color indexed="63"/>
      </bottom>
    </border>
    <border>
      <left>
        <color indexed="63"/>
      </left>
      <right style="double"/>
      <top>
        <color indexed="63"/>
      </top>
      <bottom style="double"/>
    </border>
    <border>
      <left style="double"/>
      <right style="thin"/>
      <top>
        <color indexed="63"/>
      </top>
      <bottom>
        <color indexed="63"/>
      </bottom>
    </border>
    <border>
      <left style="double"/>
      <right style="thin"/>
      <top>
        <color indexed="63"/>
      </top>
      <bottom style="thin"/>
    </border>
    <border>
      <left>
        <color indexed="63"/>
      </left>
      <right style="double"/>
      <top>
        <color indexed="63"/>
      </top>
      <bottom style="thin"/>
    </border>
    <border>
      <left>
        <color indexed="63"/>
      </left>
      <right style="double"/>
      <top>
        <color indexed="63"/>
      </top>
      <bottom>
        <color indexed="63"/>
      </bottom>
    </border>
    <border>
      <left style="double"/>
      <right style="thin"/>
      <top style="thin"/>
      <bottom>
        <color indexed="63"/>
      </bottom>
    </border>
    <border>
      <left style="thin"/>
      <right style="double"/>
      <top style="thin"/>
      <bottom>
        <color indexed="63"/>
      </bottom>
    </border>
    <border>
      <left style="double"/>
      <right style="thin"/>
      <top style="thin"/>
      <bottom style="thin"/>
    </border>
    <border>
      <left style="thin"/>
      <right style="double"/>
      <top style="thin"/>
      <bottom style="thin"/>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color indexed="63"/>
      </right>
      <top>
        <color indexed="63"/>
      </top>
      <bottom>
        <color indexed="63"/>
      </bottom>
    </border>
    <border>
      <left style="thin"/>
      <right>
        <color indexed="63"/>
      </right>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style="dotted"/>
      <right style="dotted"/>
      <top>
        <color indexed="63"/>
      </top>
      <bottom style="dotted"/>
    </border>
    <border>
      <left style="dotted"/>
      <right style="thin"/>
      <top>
        <color indexed="63"/>
      </top>
      <bottom style="dotted"/>
    </border>
    <border>
      <left style="thin"/>
      <right>
        <color indexed="63"/>
      </right>
      <top style="dotted"/>
      <bottom>
        <color indexed="63"/>
      </bottom>
    </border>
    <border>
      <left>
        <color indexed="63"/>
      </left>
      <right>
        <color indexed="63"/>
      </right>
      <top>
        <color indexed="63"/>
      </top>
      <bottom style="thin"/>
    </border>
    <border>
      <left style="dotted"/>
      <right style="dotted"/>
      <top style="dotted"/>
      <bottom>
        <color indexed="63"/>
      </bottom>
    </border>
    <border>
      <left style="thin"/>
      <right style="thin"/>
      <top>
        <color indexed="63"/>
      </top>
      <bottom style="thin"/>
    </border>
    <border>
      <left>
        <color indexed="63"/>
      </left>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ashed"/>
      <top>
        <color indexed="63"/>
      </top>
      <bottom>
        <color indexed="63"/>
      </bottom>
    </border>
    <border>
      <left style="dashed"/>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thin">
        <color indexed="9"/>
      </right>
      <top style="thin">
        <color indexed="9"/>
      </top>
      <bottom style="thin">
        <color indexed="9"/>
      </bottom>
    </border>
    <border>
      <left style="thin"/>
      <right style="dotted"/>
      <top>
        <color indexed="63"/>
      </top>
      <bottom style="thin"/>
    </border>
    <border>
      <left style="medium"/>
      <right style="medium"/>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double"/>
      <right style="thin"/>
      <top style="double"/>
      <bottom style="thin"/>
    </border>
    <border>
      <left>
        <color indexed="63"/>
      </left>
      <right style="double"/>
      <top style="double"/>
      <bottom style="thin"/>
    </border>
    <border>
      <left>
        <color indexed="63"/>
      </left>
      <right>
        <color indexed="63"/>
      </right>
      <top>
        <color indexed="63"/>
      </top>
      <bottom style="double"/>
    </border>
    <border>
      <left style="double"/>
      <right style="thin"/>
      <top style="double"/>
      <bottom>
        <color indexed="63"/>
      </bottom>
    </border>
    <border>
      <left style="double"/>
      <right style="thin"/>
      <top>
        <color indexed="63"/>
      </top>
      <bottom style="double"/>
    </border>
    <border>
      <left style="double"/>
      <right>
        <color indexed="63"/>
      </right>
      <top style="thin"/>
      <bottom style="medium"/>
    </border>
    <border>
      <left>
        <color indexed="63"/>
      </left>
      <right style="double"/>
      <top style="thin"/>
      <bottom style="medium"/>
    </border>
    <border>
      <left style="thin"/>
      <right style="thin"/>
      <top style="thin"/>
      <bottom>
        <color indexed="63"/>
      </bottom>
    </border>
    <border>
      <left style="thin"/>
      <right style="thin"/>
      <top>
        <color indexed="63"/>
      </top>
      <bottom style="medium"/>
    </border>
    <border>
      <left>
        <color indexed="63"/>
      </left>
      <right style="thin"/>
      <top style="thin"/>
      <bottom>
        <color indexed="63"/>
      </bottom>
    </border>
    <border>
      <left style="medium"/>
      <right style="medium"/>
      <top style="medium"/>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 borderId="0" applyNumberFormat="0" applyBorder="0" applyAlignment="0">
      <protection locked="0"/>
    </xf>
    <xf numFmtId="1" fontId="18" fillId="0" borderId="0" applyProtection="0">
      <alignment/>
    </xf>
    <xf numFmtId="1" fontId="6" fillId="0" borderId="0" applyProtection="0">
      <alignment/>
    </xf>
    <xf numFmtId="1" fontId="19" fillId="0" borderId="0" applyProtection="0">
      <alignment/>
    </xf>
    <xf numFmtId="1" fontId="20" fillId="0" borderId="0" applyProtection="0">
      <alignment/>
    </xf>
    <xf numFmtId="1" fontId="21" fillId="0" borderId="0" applyProtection="0">
      <alignment/>
    </xf>
    <xf numFmtId="1" fontId="1" fillId="0" borderId="0" applyProtection="0">
      <alignment/>
    </xf>
    <xf numFmtId="1" fontId="22" fillId="0" borderId="0" applyProtection="0">
      <alignment/>
    </xf>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6" fillId="0" borderId="0">
      <alignment vertical="top"/>
      <protection/>
    </xf>
    <xf numFmtId="0" fontId="0" fillId="0" borderId="0" applyFont="0" applyFill="0" applyBorder="0" applyAlignment="0" applyProtection="0"/>
    <xf numFmtId="9" fontId="0" fillId="0" borderId="0" applyFont="0" applyFill="0" applyBorder="0" applyAlignment="0" applyProtection="0"/>
  </cellStyleXfs>
  <cellXfs count="363">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xf>
    <xf numFmtId="3" fontId="1" fillId="0" borderId="0" xfId="0" applyNumberFormat="1" applyFont="1" applyFill="1" applyAlignment="1">
      <alignment/>
    </xf>
    <xf numFmtId="3" fontId="1" fillId="0" borderId="0" xfId="0" applyNumberFormat="1" applyFont="1" applyFill="1" applyAlignment="1">
      <alignment/>
    </xf>
    <xf numFmtId="0" fontId="0" fillId="0" borderId="0" xfId="0" applyFill="1" applyAlignment="1">
      <alignment/>
    </xf>
    <xf numFmtId="3" fontId="0" fillId="0" borderId="0" xfId="0" applyNumberFormat="1" applyFill="1" applyAlignment="1">
      <alignment/>
    </xf>
    <xf numFmtId="0" fontId="12" fillId="0" borderId="0" xfId="0" applyFont="1" applyAlignment="1">
      <alignment/>
    </xf>
    <xf numFmtId="3" fontId="12" fillId="0" borderId="0" xfId="0" applyNumberFormat="1" applyFont="1" applyAlignment="1">
      <alignment/>
    </xf>
    <xf numFmtId="0" fontId="12" fillId="0" borderId="0" xfId="0" applyFont="1" applyFill="1" applyAlignment="1">
      <alignment horizontal="left" vertical="top" wrapText="1"/>
    </xf>
    <xf numFmtId="0" fontId="12" fillId="0" borderId="0" xfId="0" applyFont="1" applyFill="1" applyAlignment="1">
      <alignment/>
    </xf>
    <xf numFmtId="0" fontId="12" fillId="0" borderId="0" xfId="0" applyFont="1" applyFill="1" applyAlignment="1">
      <alignment/>
    </xf>
    <xf numFmtId="0" fontId="12" fillId="0" borderId="0" xfId="0" applyFont="1" applyFill="1" applyAlignment="1">
      <alignment horizontal="left" vertical="top" wrapText="1"/>
    </xf>
    <xf numFmtId="0" fontId="0" fillId="0" borderId="0" xfId="32" applyFont="1" applyAlignment="1">
      <alignment vertical="center" wrapText="1"/>
    </xf>
    <xf numFmtId="0" fontId="10" fillId="0" borderId="1" xfId="32" applyFont="1" applyBorder="1" applyAlignment="1">
      <alignment horizontal="left" vertical="center" wrapText="1"/>
    </xf>
    <xf numFmtId="0" fontId="12" fillId="0" borderId="2" xfId="32" applyFont="1" applyBorder="1" applyAlignment="1">
      <alignment horizontal="left" vertical="center" wrapText="1"/>
    </xf>
    <xf numFmtId="0" fontId="10" fillId="0" borderId="3" xfId="32" applyFont="1" applyBorder="1" applyAlignment="1">
      <alignment horizontal="left" vertical="center" wrapText="1"/>
    </xf>
    <xf numFmtId="0" fontId="10" fillId="0" borderId="4" xfId="32" applyFont="1" applyBorder="1" applyAlignment="1">
      <alignment horizontal="left" vertical="center" wrapText="1"/>
    </xf>
    <xf numFmtId="0" fontId="12" fillId="0" borderId="5" xfId="32" applyFont="1" applyBorder="1" applyAlignment="1">
      <alignment horizontal="left" vertical="center" wrapText="1"/>
    </xf>
    <xf numFmtId="0" fontId="12" fillId="0" borderId="6" xfId="32" applyFont="1" applyBorder="1" applyAlignment="1">
      <alignment horizontal="left" vertical="center" wrapText="1"/>
    </xf>
    <xf numFmtId="0" fontId="10" fillId="0" borderId="7" xfId="32" applyFont="1" applyBorder="1" applyAlignment="1">
      <alignment vertical="center" wrapText="1"/>
    </xf>
    <xf numFmtId="0" fontId="12" fillId="0" borderId="8" xfId="32" applyFont="1" applyBorder="1" applyAlignment="1">
      <alignment horizontal="left" vertical="center" wrapText="1"/>
    </xf>
    <xf numFmtId="0" fontId="10" fillId="0" borderId="9" xfId="32" applyFont="1" applyBorder="1" applyAlignment="1">
      <alignment horizontal="left" vertical="center" wrapText="1"/>
    </xf>
    <xf numFmtId="0" fontId="12" fillId="0" borderId="10" xfId="32" applyFont="1" applyFill="1" applyBorder="1" applyAlignment="1">
      <alignment horizontal="left" vertical="center" wrapText="1"/>
    </xf>
    <xf numFmtId="0" fontId="20" fillId="0" borderId="11" xfId="32" applyFont="1" applyBorder="1" applyAlignment="1">
      <alignment horizontal="left" vertical="center" wrapText="1"/>
    </xf>
    <xf numFmtId="0" fontId="20" fillId="0" borderId="6" xfId="32" applyFont="1" applyBorder="1" applyAlignment="1">
      <alignment horizontal="left" vertical="center" wrapText="1"/>
    </xf>
    <xf numFmtId="0" fontId="0" fillId="0" borderId="11" xfId="32" applyFont="1" applyBorder="1" applyAlignment="1">
      <alignment vertical="center" wrapText="1"/>
    </xf>
    <xf numFmtId="0" fontId="0" fillId="0" borderId="6" xfId="32" applyFont="1" applyBorder="1" applyAlignment="1">
      <alignment vertical="center" wrapText="1"/>
    </xf>
    <xf numFmtId="0" fontId="0" fillId="0" borderId="12" xfId="32" applyFont="1" applyBorder="1" applyAlignment="1">
      <alignment vertical="center" wrapText="1"/>
    </xf>
    <xf numFmtId="0" fontId="0" fillId="0" borderId="2" xfId="32" applyFont="1" applyBorder="1" applyAlignment="1">
      <alignment vertical="center" wrapText="1"/>
    </xf>
    <xf numFmtId="0" fontId="7" fillId="0" borderId="0" xfId="30" applyBorder="1" applyAlignment="1">
      <alignment vertical="center" wrapText="1"/>
    </xf>
    <xf numFmtId="0" fontId="0" fillId="0" borderId="0" xfId="32" applyFont="1" applyBorder="1" applyAlignment="1">
      <alignment vertical="center" wrapText="1"/>
    </xf>
    <xf numFmtId="0" fontId="12" fillId="0" borderId="0" xfId="32" applyFont="1" applyBorder="1" applyAlignment="1">
      <alignment horizontal="left" vertical="center" wrapText="1"/>
    </xf>
    <xf numFmtId="49" fontId="12" fillId="0" borderId="0" xfId="32" applyNumberFormat="1" applyFont="1" applyAlignment="1">
      <alignment horizontal="right" vertical="top" wrapText="1"/>
    </xf>
    <xf numFmtId="0" fontId="12" fillId="0" borderId="0" xfId="32" applyFont="1" applyAlignment="1">
      <alignment vertical="center" wrapText="1" readingOrder="1"/>
    </xf>
    <xf numFmtId="0" fontId="0" fillId="0" borderId="0" xfId="32" applyFont="1" applyAlignment="1">
      <alignment vertical="center"/>
    </xf>
    <xf numFmtId="0" fontId="0" fillId="0" borderId="0" xfId="32" applyFont="1" applyAlignment="1">
      <alignment horizontal="center" vertical="center"/>
    </xf>
    <xf numFmtId="0" fontId="27" fillId="0" borderId="0" xfId="32" applyFont="1" applyAlignment="1">
      <alignment horizontal="right" vertical="center"/>
    </xf>
    <xf numFmtId="0" fontId="0" fillId="0" borderId="13" xfId="32" applyFont="1" applyBorder="1" applyAlignment="1">
      <alignment vertical="center"/>
    </xf>
    <xf numFmtId="0" fontId="0" fillId="0" borderId="14" xfId="32" applyFont="1" applyBorder="1" applyAlignment="1">
      <alignment vertical="center"/>
    </xf>
    <xf numFmtId="0" fontId="0" fillId="0" borderId="14" xfId="32" applyFont="1" applyBorder="1" applyAlignment="1">
      <alignment horizontal="center" vertical="center"/>
    </xf>
    <xf numFmtId="0" fontId="0" fillId="0" borderId="1" xfId="32" applyFont="1" applyBorder="1" applyAlignment="1">
      <alignment vertical="center"/>
    </xf>
    <xf numFmtId="0" fontId="0" fillId="0" borderId="0" xfId="32" applyAlignment="1">
      <alignment/>
    </xf>
    <xf numFmtId="0" fontId="28" fillId="0" borderId="15" xfId="32" applyFont="1" applyBorder="1" applyAlignment="1">
      <alignment horizontal="center" vertical="center" wrapText="1"/>
    </xf>
    <xf numFmtId="0" fontId="29" fillId="0" borderId="15" xfId="32" applyFont="1" applyFill="1" applyBorder="1" applyAlignment="1">
      <alignment horizontal="center" vertical="center" wrapText="1"/>
    </xf>
    <xf numFmtId="0" fontId="30" fillId="0" borderId="16" xfId="32" applyFont="1" applyBorder="1" applyAlignment="1">
      <alignment horizontal="center" vertical="center" wrapText="1"/>
    </xf>
    <xf numFmtId="0" fontId="12" fillId="0" borderId="16" xfId="32" applyFont="1" applyBorder="1" applyAlignment="1">
      <alignment horizontal="center" vertical="center" wrapText="1"/>
    </xf>
    <xf numFmtId="0" fontId="12" fillId="0" borderId="17" xfId="32" applyFont="1" applyBorder="1" applyAlignment="1">
      <alignment vertical="center"/>
    </xf>
    <xf numFmtId="0" fontId="12" fillId="0" borderId="18" xfId="32" applyFont="1" applyBorder="1" applyAlignment="1">
      <alignment vertical="center" wrapText="1"/>
    </xf>
    <xf numFmtId="9" fontId="12" fillId="0" borderId="19" xfId="32" applyNumberFormat="1" applyFont="1" applyFill="1" applyBorder="1" applyAlignment="1">
      <alignment horizontal="center" vertical="center" wrapText="1"/>
    </xf>
    <xf numFmtId="9" fontId="12" fillId="0" borderId="20" xfId="32" applyNumberFormat="1" applyFont="1" applyFill="1" applyBorder="1" applyAlignment="1">
      <alignment horizontal="center" vertical="center" wrapText="1"/>
    </xf>
    <xf numFmtId="9" fontId="12" fillId="3" borderId="20" xfId="32" applyNumberFormat="1" applyFont="1" applyFill="1" applyBorder="1" applyAlignment="1">
      <alignment horizontal="center" vertical="center"/>
    </xf>
    <xf numFmtId="0" fontId="12" fillId="0" borderId="21" xfId="32" applyFont="1" applyBorder="1" applyAlignment="1">
      <alignment vertical="center" wrapText="1"/>
    </xf>
    <xf numFmtId="0" fontId="31" fillId="0" borderId="0" xfId="32" applyFont="1" applyAlignment="1">
      <alignment horizontal="center" vertical="center"/>
    </xf>
    <xf numFmtId="0" fontId="12" fillId="0" borderId="0" xfId="32" applyFont="1" applyAlignment="1">
      <alignment vertical="center"/>
    </xf>
    <xf numFmtId="0" fontId="10" fillId="0" borderId="0" xfId="32" applyFont="1" applyAlignment="1">
      <alignment horizontal="left" vertical="center"/>
    </xf>
    <xf numFmtId="177" fontId="33" fillId="0" borderId="0" xfId="32" applyNumberFormat="1" applyFont="1" applyFill="1" applyBorder="1" applyAlignment="1">
      <alignment horizontal="center" vertical="center"/>
    </xf>
    <xf numFmtId="0" fontId="2" fillId="0" borderId="0" xfId="32" applyFont="1" applyAlignment="1">
      <alignment horizontal="right" vertical="center"/>
    </xf>
    <xf numFmtId="10" fontId="0" fillId="0" borderId="0" xfId="32" applyNumberFormat="1" applyFont="1" applyFill="1" applyBorder="1" applyAlignment="1">
      <alignment horizontal="center" vertical="center"/>
    </xf>
    <xf numFmtId="0" fontId="0" fillId="0" borderId="0" xfId="32" applyFont="1" applyFill="1" applyBorder="1" applyAlignment="1">
      <alignment vertical="center"/>
    </xf>
    <xf numFmtId="177" fontId="10" fillId="0" borderId="22" xfId="32" applyNumberFormat="1" applyFont="1" applyFill="1" applyBorder="1" applyAlignment="1">
      <alignment horizontal="center" vertical="center"/>
    </xf>
    <xf numFmtId="177" fontId="2" fillId="0" borderId="0" xfId="32" applyNumberFormat="1" applyFont="1" applyFill="1" applyBorder="1" applyAlignment="1">
      <alignment horizontal="center" vertical="center"/>
    </xf>
    <xf numFmtId="177" fontId="2" fillId="0" borderId="0" xfId="32" applyNumberFormat="1" applyFont="1" applyBorder="1" applyAlignment="1">
      <alignment horizontal="center" vertical="center"/>
    </xf>
    <xf numFmtId="177" fontId="10" fillId="0" borderId="0" xfId="32" applyNumberFormat="1" applyFont="1" applyFill="1" applyBorder="1" applyAlignment="1">
      <alignment horizontal="center" vertical="center"/>
    </xf>
    <xf numFmtId="0" fontId="3" fillId="0" borderId="0" xfId="0" applyFont="1" applyFill="1" applyBorder="1" applyAlignment="1">
      <alignment/>
    </xf>
    <xf numFmtId="3" fontId="1" fillId="0" borderId="0" xfId="0" applyNumberFormat="1" applyFon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0" borderId="0" xfId="0" applyFont="1" applyFill="1" applyBorder="1" applyAlignment="1">
      <alignment/>
    </xf>
    <xf numFmtId="3" fontId="3" fillId="0" borderId="0" xfId="0" applyNumberFormat="1" applyFont="1" applyFill="1" applyBorder="1" applyAlignment="1">
      <alignment/>
    </xf>
    <xf numFmtId="9" fontId="1" fillId="0" borderId="0" xfId="0" applyNumberFormat="1" applyFont="1" applyFill="1" applyBorder="1" applyAlignment="1">
      <alignment/>
    </xf>
    <xf numFmtId="0" fontId="10" fillId="0" borderId="0" xfId="0" applyFont="1" applyFill="1" applyAlignment="1">
      <alignment/>
    </xf>
    <xf numFmtId="0" fontId="12" fillId="0" borderId="0" xfId="0" applyFont="1" applyFill="1" applyBorder="1" applyAlignment="1">
      <alignment/>
    </xf>
    <xf numFmtId="3" fontId="12" fillId="0" borderId="0" xfId="0" applyNumberFormat="1" applyFont="1" applyFill="1" applyBorder="1" applyAlignment="1">
      <alignment/>
    </xf>
    <xf numFmtId="3" fontId="12" fillId="0" borderId="0" xfId="0" applyNumberFormat="1" applyFont="1" applyFill="1" applyAlignment="1">
      <alignment/>
    </xf>
    <xf numFmtId="173" fontId="12" fillId="0" borderId="0" xfId="0" applyNumberFormat="1" applyFont="1" applyFill="1" applyAlignment="1">
      <alignment/>
    </xf>
    <xf numFmtId="10" fontId="10" fillId="0" borderId="0" xfId="0" applyNumberFormat="1" applyFont="1" applyFill="1" applyBorder="1" applyAlignment="1">
      <alignment/>
    </xf>
    <xf numFmtId="175" fontId="38" fillId="0" borderId="0" xfId="0" applyNumberFormat="1" applyFont="1" applyFill="1" applyAlignment="1">
      <alignment/>
    </xf>
    <xf numFmtId="175" fontId="12" fillId="0" borderId="0" xfId="0" applyNumberFormat="1" applyFont="1" applyFill="1" applyAlignment="1">
      <alignment/>
    </xf>
    <xf numFmtId="0" fontId="12"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Border="1" applyAlignment="1">
      <alignment wrapText="1"/>
    </xf>
    <xf numFmtId="0" fontId="10" fillId="0" borderId="0" xfId="31" applyFont="1" applyAlignment="1">
      <alignment/>
      <protection/>
    </xf>
    <xf numFmtId="0" fontId="10" fillId="0" borderId="23" xfId="31" applyFont="1" applyFill="1" applyBorder="1" applyAlignment="1">
      <alignment horizontal="right"/>
      <protection/>
    </xf>
    <xf numFmtId="0" fontId="10" fillId="0" borderId="24" xfId="31" applyFont="1" applyFill="1" applyBorder="1" applyAlignment="1">
      <alignment horizontal="right"/>
      <protection/>
    </xf>
    <xf numFmtId="0" fontId="10" fillId="0" borderId="0" xfId="31" applyFont="1" applyAlignment="1">
      <alignment horizontal="right"/>
      <protection/>
    </xf>
    <xf numFmtId="0" fontId="12" fillId="0" borderId="25" xfId="31" applyFont="1" applyBorder="1" applyAlignment="1">
      <alignment horizontal="left" wrapText="1"/>
      <protection/>
    </xf>
    <xf numFmtId="0" fontId="12" fillId="0" borderId="26" xfId="0" applyFont="1" applyBorder="1" applyAlignment="1">
      <alignment/>
    </xf>
    <xf numFmtId="0" fontId="12" fillId="0" borderId="27" xfId="0" applyFont="1" applyBorder="1" applyAlignment="1">
      <alignment horizontal="right"/>
    </xf>
    <xf numFmtId="0" fontId="12" fillId="0" borderId="28" xfId="0" applyFont="1" applyBorder="1" applyAlignment="1">
      <alignment horizontal="right"/>
    </xf>
    <xf numFmtId="0" fontId="12" fillId="0" borderId="17" xfId="0" applyFont="1" applyBorder="1" applyAlignment="1">
      <alignment horizontal="left" wrapText="1"/>
    </xf>
    <xf numFmtId="0" fontId="12" fillId="0" borderId="0" xfId="0" applyFont="1" applyAlignment="1">
      <alignment/>
    </xf>
    <xf numFmtId="3" fontId="12" fillId="0" borderId="29" xfId="0" applyNumberFormat="1" applyFont="1" applyBorder="1" applyAlignment="1">
      <alignment horizontal="right"/>
    </xf>
    <xf numFmtId="0" fontId="12" fillId="0" borderId="29" xfId="0" applyFont="1" applyBorder="1" applyAlignment="1">
      <alignment horizontal="right"/>
    </xf>
    <xf numFmtId="0" fontId="12" fillId="0" borderId="30" xfId="0" applyFont="1" applyBorder="1" applyAlignment="1">
      <alignment horizontal="right"/>
    </xf>
    <xf numFmtId="3" fontId="12" fillId="0" borderId="29" xfId="0" applyNumberFormat="1" applyFont="1" applyFill="1" applyBorder="1" applyAlignment="1">
      <alignment horizontal="right"/>
    </xf>
    <xf numFmtId="0" fontId="12" fillId="0" borderId="0" xfId="0" applyFont="1" applyBorder="1" applyAlignment="1">
      <alignment/>
    </xf>
    <xf numFmtId="0" fontId="12" fillId="0" borderId="17" xfId="31" applyFont="1" applyBorder="1" applyAlignment="1">
      <alignment horizontal="left" wrapText="1"/>
      <protection/>
    </xf>
    <xf numFmtId="3" fontId="12" fillId="0" borderId="30" xfId="0" applyNumberFormat="1" applyFont="1" applyBorder="1" applyAlignment="1">
      <alignment horizontal="right"/>
    </xf>
    <xf numFmtId="0" fontId="12" fillId="0" borderId="21" xfId="0" applyFont="1" applyBorder="1" applyAlignment="1">
      <alignment horizontal="left" wrapText="1"/>
    </xf>
    <xf numFmtId="3" fontId="12" fillId="0" borderId="31" xfId="0" applyNumberFormat="1" applyFont="1" applyBorder="1" applyAlignment="1">
      <alignment horizontal="right"/>
    </xf>
    <xf numFmtId="3" fontId="12" fillId="0" borderId="32" xfId="0" applyNumberFormat="1" applyFont="1" applyBorder="1" applyAlignment="1">
      <alignment horizontal="right"/>
    </xf>
    <xf numFmtId="0" fontId="12" fillId="0" borderId="33" xfId="31" applyFont="1" applyFill="1" applyBorder="1" applyAlignment="1">
      <alignment horizontal="left" wrapText="1"/>
      <protection/>
    </xf>
    <xf numFmtId="0" fontId="10" fillId="0" borderId="25" xfId="31" applyFont="1" applyBorder="1" applyAlignment="1">
      <alignment horizontal="left" wrapText="1"/>
      <protection/>
    </xf>
    <xf numFmtId="0" fontId="10" fillId="0" borderId="17" xfId="31" applyFont="1" applyBorder="1" applyAlignment="1">
      <alignment horizontal="left" wrapText="1"/>
      <protection/>
    </xf>
    <xf numFmtId="0" fontId="12" fillId="0" borderId="34" xfId="31" applyFont="1" applyBorder="1" applyAlignment="1">
      <alignment horizontal="left" wrapText="1"/>
      <protection/>
    </xf>
    <xf numFmtId="0" fontId="12" fillId="0" borderId="35" xfId="0" applyFont="1" applyBorder="1" applyAlignment="1">
      <alignment/>
    </xf>
    <xf numFmtId="0" fontId="12" fillId="0" borderId="36" xfId="0" applyFont="1" applyBorder="1" applyAlignment="1">
      <alignment horizontal="right"/>
    </xf>
    <xf numFmtId="0" fontId="12" fillId="0" borderId="37" xfId="0" applyFont="1" applyBorder="1" applyAlignment="1">
      <alignment horizontal="right"/>
    </xf>
    <xf numFmtId="0" fontId="10" fillId="0" borderId="17" xfId="0" applyFont="1" applyBorder="1" applyAlignment="1">
      <alignment horizontal="left" wrapText="1"/>
    </xf>
    <xf numFmtId="0" fontId="10" fillId="0" borderId="0" xfId="0" applyFont="1" applyAlignment="1">
      <alignment/>
    </xf>
    <xf numFmtId="0" fontId="10" fillId="0" borderId="29" xfId="0" applyFont="1" applyBorder="1" applyAlignment="1">
      <alignment horizontal="right"/>
    </xf>
    <xf numFmtId="3" fontId="10" fillId="0" borderId="29" xfId="0" applyNumberFormat="1" applyFont="1" applyBorder="1" applyAlignment="1">
      <alignment horizontal="right"/>
    </xf>
    <xf numFmtId="3" fontId="10" fillId="0" borderId="30" xfId="0" applyNumberFormat="1" applyFont="1" applyBorder="1" applyAlignment="1">
      <alignment horizontal="right"/>
    </xf>
    <xf numFmtId="0" fontId="10" fillId="0" borderId="0" xfId="0" applyFont="1" applyFill="1" applyAlignment="1">
      <alignment/>
    </xf>
    <xf numFmtId="0" fontId="10" fillId="0" borderId="35" xfId="0" applyFont="1" applyBorder="1" applyAlignment="1">
      <alignment/>
    </xf>
    <xf numFmtId="0" fontId="10" fillId="0" borderId="36" xfId="0" applyFont="1" applyBorder="1" applyAlignment="1">
      <alignment horizontal="right"/>
    </xf>
    <xf numFmtId="3" fontId="10" fillId="0" borderId="36" xfId="0" applyNumberFormat="1" applyFont="1" applyBorder="1" applyAlignment="1">
      <alignment horizontal="right"/>
    </xf>
    <xf numFmtId="0" fontId="12" fillId="0" borderId="34" xfId="0" applyFont="1" applyBorder="1" applyAlignment="1">
      <alignment horizontal="left" wrapText="1"/>
    </xf>
    <xf numFmtId="3" fontId="12" fillId="0" borderId="36" xfId="0" applyNumberFormat="1" applyFont="1" applyBorder="1" applyAlignment="1">
      <alignment horizontal="right"/>
    </xf>
    <xf numFmtId="3" fontId="12" fillId="0" borderId="37" xfId="0" applyNumberFormat="1" applyFont="1" applyBorder="1" applyAlignment="1">
      <alignment horizontal="right"/>
    </xf>
    <xf numFmtId="0" fontId="10" fillId="0" borderId="38" xfId="31" applyFont="1" applyBorder="1" applyAlignment="1">
      <alignment horizontal="left" wrapText="1"/>
      <protection/>
    </xf>
    <xf numFmtId="0" fontId="10" fillId="0" borderId="0" xfId="0" applyFont="1" applyBorder="1" applyAlignment="1">
      <alignment/>
    </xf>
    <xf numFmtId="3" fontId="10" fillId="0" borderId="29" xfId="0" applyNumberFormat="1" applyFont="1" applyFill="1" applyBorder="1" applyAlignment="1">
      <alignment horizontal="right"/>
    </xf>
    <xf numFmtId="0" fontId="10" fillId="0" borderId="30" xfId="0" applyFont="1" applyBorder="1" applyAlignment="1">
      <alignment horizontal="right"/>
    </xf>
    <xf numFmtId="173" fontId="10" fillId="0" borderId="0" xfId="0" applyNumberFormat="1" applyFont="1" applyFill="1" applyAlignment="1">
      <alignment/>
    </xf>
    <xf numFmtId="0" fontId="12" fillId="0" borderId="39" xfId="0" applyFont="1" applyBorder="1" applyAlignment="1">
      <alignment/>
    </xf>
    <xf numFmtId="0" fontId="12" fillId="0" borderId="31" xfId="0" applyFont="1" applyBorder="1" applyAlignment="1">
      <alignment horizontal="right"/>
    </xf>
    <xf numFmtId="177" fontId="12" fillId="2" borderId="22" xfId="31" applyNumberFormat="1" applyFont="1" applyFill="1" applyBorder="1" applyAlignment="1">
      <alignment horizontal="center"/>
      <protection/>
    </xf>
    <xf numFmtId="0" fontId="12" fillId="0" borderId="40" xfId="0" applyFont="1" applyBorder="1" applyAlignment="1">
      <alignment/>
    </xf>
    <xf numFmtId="0" fontId="12" fillId="0" borderId="29" xfId="0" applyFont="1" applyBorder="1" applyAlignment="1">
      <alignment/>
    </xf>
    <xf numFmtId="0" fontId="10" fillId="0" borderId="29" xfId="0" applyFont="1" applyBorder="1" applyAlignment="1">
      <alignment/>
    </xf>
    <xf numFmtId="0" fontId="12" fillId="0" borderId="29" xfId="0" applyFont="1" applyBorder="1" applyAlignment="1">
      <alignment wrapText="1"/>
    </xf>
    <xf numFmtId="0" fontId="12" fillId="0" borderId="31" xfId="0" applyFont="1" applyBorder="1" applyAlignment="1">
      <alignment/>
    </xf>
    <xf numFmtId="0" fontId="10" fillId="0" borderId="17" xfId="0" applyFont="1" applyFill="1" applyBorder="1" applyAlignment="1">
      <alignment/>
    </xf>
    <xf numFmtId="0" fontId="12" fillId="0" borderId="41" xfId="32" applyFont="1" applyFill="1" applyBorder="1" applyAlignment="1">
      <alignment vertical="center"/>
    </xf>
    <xf numFmtId="9" fontId="12" fillId="0" borderId="41" xfId="32" applyNumberFormat="1" applyFont="1" applyFill="1" applyBorder="1" applyAlignment="1">
      <alignment horizontal="center" vertical="center" wrapText="1"/>
    </xf>
    <xf numFmtId="9" fontId="12" fillId="0" borderId="42" xfId="32" applyNumberFormat="1" applyFont="1" applyFill="1" applyBorder="1" applyAlignment="1">
      <alignment horizontal="center" vertical="center" wrapText="1"/>
    </xf>
    <xf numFmtId="9" fontId="12" fillId="3" borderId="42" xfId="32" applyNumberFormat="1" applyFont="1" applyFill="1" applyBorder="1" applyAlignment="1">
      <alignment horizontal="center" vertical="center"/>
    </xf>
    <xf numFmtId="0" fontId="24" fillId="0" borderId="0" xfId="32" applyFont="1" applyFill="1" applyAlignment="1">
      <alignment horizontal="center" vertical="center" wrapText="1"/>
    </xf>
    <xf numFmtId="0" fontId="39" fillId="0" borderId="0" xfId="0" applyFont="1" applyAlignment="1">
      <alignment horizontal="center"/>
    </xf>
    <xf numFmtId="0" fontId="23" fillId="0" borderId="0" xfId="32" applyFont="1" applyFill="1" applyAlignment="1">
      <alignment vertical="center" wrapText="1"/>
    </xf>
    <xf numFmtId="0" fontId="24" fillId="0" borderId="0" xfId="32" applyFont="1" applyFill="1" applyAlignment="1">
      <alignment vertical="center" wrapText="1"/>
    </xf>
    <xf numFmtId="0" fontId="12" fillId="0" borderId="0" xfId="0" applyFont="1" applyAlignment="1">
      <alignment wrapText="1"/>
    </xf>
    <xf numFmtId="0" fontId="12" fillId="0" borderId="43" xfId="0" applyFont="1" applyBorder="1" applyAlignment="1">
      <alignment wrapText="1"/>
    </xf>
    <xf numFmtId="0" fontId="12" fillId="0" borderId="27" xfId="0" applyFont="1" applyBorder="1" applyAlignment="1">
      <alignment/>
    </xf>
    <xf numFmtId="0" fontId="10" fillId="0" borderId="27" xfId="31" applyFont="1" applyFill="1" applyBorder="1" applyAlignment="1">
      <alignment horizontal="right"/>
      <protection/>
    </xf>
    <xf numFmtId="0" fontId="10" fillId="0" borderId="28" xfId="31" applyFont="1" applyFill="1" applyBorder="1" applyAlignment="1">
      <alignment horizontal="right"/>
      <protection/>
    </xf>
    <xf numFmtId="0" fontId="12" fillId="0" borderId="44" xfId="0" applyFont="1" applyBorder="1" applyAlignment="1">
      <alignment wrapText="1"/>
    </xf>
    <xf numFmtId="0" fontId="12" fillId="0" borderId="29" xfId="0" applyFont="1" applyBorder="1" applyAlignment="1">
      <alignment/>
    </xf>
    <xf numFmtId="0" fontId="10" fillId="0" borderId="29" xfId="31" applyFont="1" applyFill="1" applyBorder="1" applyAlignment="1">
      <alignment horizontal="right"/>
      <protection/>
    </xf>
    <xf numFmtId="0" fontId="10" fillId="0" borderId="30" xfId="31" applyFont="1" applyFill="1" applyBorder="1" applyAlignment="1">
      <alignment horizontal="right"/>
      <protection/>
    </xf>
    <xf numFmtId="9" fontId="12" fillId="0" borderId="29" xfId="0" applyNumberFormat="1" applyFont="1" applyBorder="1" applyAlignment="1">
      <alignment/>
    </xf>
    <xf numFmtId="0" fontId="39" fillId="0" borderId="29" xfId="0" applyFont="1" applyBorder="1" applyAlignment="1">
      <alignment horizontal="center"/>
    </xf>
    <xf numFmtId="3" fontId="12" fillId="0" borderId="29" xfId="0" applyNumberFormat="1" applyFont="1" applyBorder="1" applyAlignment="1">
      <alignment/>
    </xf>
    <xf numFmtId="3" fontId="12" fillId="0" borderId="30" xfId="0" applyNumberFormat="1" applyFont="1" applyBorder="1" applyAlignment="1">
      <alignment/>
    </xf>
    <xf numFmtId="4" fontId="12" fillId="0" borderId="29" xfId="0" applyNumberFormat="1" applyFont="1" applyBorder="1" applyAlignment="1">
      <alignment/>
    </xf>
    <xf numFmtId="2" fontId="12" fillId="0" borderId="29" xfId="0" applyNumberFormat="1" applyFont="1" applyBorder="1" applyAlignment="1">
      <alignment/>
    </xf>
    <xf numFmtId="2" fontId="12" fillId="0" borderId="30" xfId="0" applyNumberFormat="1" applyFont="1" applyBorder="1" applyAlignment="1">
      <alignment/>
    </xf>
    <xf numFmtId="0" fontId="12" fillId="0" borderId="45" xfId="0" applyFont="1" applyBorder="1" applyAlignment="1">
      <alignment wrapText="1"/>
    </xf>
    <xf numFmtId="8" fontId="12" fillId="0" borderId="46" xfId="0" applyNumberFormat="1" applyFont="1" applyBorder="1" applyAlignment="1">
      <alignment/>
    </xf>
    <xf numFmtId="0" fontId="12" fillId="0" borderId="46" xfId="0" applyFont="1" applyBorder="1" applyAlignment="1">
      <alignment/>
    </xf>
    <xf numFmtId="0" fontId="12" fillId="0" borderId="47" xfId="0" applyFont="1" applyBorder="1" applyAlignment="1">
      <alignment/>
    </xf>
    <xf numFmtId="0" fontId="12" fillId="0" borderId="48" xfId="0" applyFont="1" applyBorder="1" applyAlignment="1">
      <alignment wrapText="1"/>
    </xf>
    <xf numFmtId="3" fontId="12" fillId="0" borderId="49" xfId="0" applyNumberFormat="1" applyFont="1" applyBorder="1" applyAlignment="1">
      <alignment/>
    </xf>
    <xf numFmtId="0" fontId="12" fillId="0" borderId="49" xfId="0" applyFont="1" applyBorder="1" applyAlignment="1">
      <alignment/>
    </xf>
    <xf numFmtId="0" fontId="12" fillId="0" borderId="50" xfId="0" applyFont="1" applyBorder="1" applyAlignment="1">
      <alignment/>
    </xf>
    <xf numFmtId="0" fontId="40" fillId="0" borderId="17" xfId="0" applyFont="1" applyBorder="1" applyAlignment="1">
      <alignment horizontal="left" wrapText="1"/>
    </xf>
    <xf numFmtId="0" fontId="12" fillId="0" borderId="0" xfId="0" applyFont="1" applyFill="1" applyAlignment="1">
      <alignment horizontal="right"/>
    </xf>
    <xf numFmtId="177" fontId="12" fillId="0" borderId="0" xfId="0" applyNumberFormat="1" applyFont="1" applyFill="1" applyAlignment="1">
      <alignment horizontal="right" vertical="top" wrapText="1"/>
    </xf>
    <xf numFmtId="0" fontId="15" fillId="0" borderId="51" xfId="0" applyFont="1" applyFill="1" applyBorder="1" applyAlignment="1">
      <alignment horizontal="center" vertical="top" wrapText="1"/>
    </xf>
    <xf numFmtId="0" fontId="15" fillId="0" borderId="52" xfId="0" applyFont="1" applyFill="1" applyBorder="1" applyAlignment="1">
      <alignment horizontal="center" vertical="top" wrapText="1"/>
    </xf>
    <xf numFmtId="3" fontId="16" fillId="0" borderId="52" xfId="0" applyNumberFormat="1" applyFont="1" applyFill="1" applyBorder="1" applyAlignment="1">
      <alignment horizontal="right" vertical="top" wrapText="1"/>
    </xf>
    <xf numFmtId="3" fontId="15" fillId="0" borderId="52" xfId="0" applyNumberFormat="1" applyFont="1" applyFill="1" applyBorder="1" applyAlignment="1">
      <alignment horizontal="right" vertical="top" wrapText="1"/>
    </xf>
    <xf numFmtId="0" fontId="12"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center" wrapText="1"/>
    </xf>
    <xf numFmtId="0" fontId="12" fillId="0" borderId="0" xfId="31" applyFont="1" applyFill="1" applyBorder="1" applyAlignment="1">
      <alignment/>
      <protection/>
    </xf>
    <xf numFmtId="0" fontId="12" fillId="0" borderId="0" xfId="31" applyFont="1" applyFill="1" applyBorder="1" applyAlignment="1">
      <alignment wrapText="1"/>
      <protection/>
    </xf>
    <xf numFmtId="0" fontId="12" fillId="0" borderId="0" xfId="31" applyFont="1" applyAlignment="1">
      <alignment horizontal="right"/>
      <protection/>
    </xf>
    <xf numFmtId="0" fontId="12" fillId="0" borderId="0" xfId="31" applyFont="1" applyAlignment="1">
      <alignment/>
      <protection/>
    </xf>
    <xf numFmtId="0" fontId="12" fillId="0" borderId="0" xfId="31" applyFont="1" applyFill="1" applyBorder="1" applyAlignment="1">
      <alignment horizontal="left" wrapText="1"/>
      <protection/>
    </xf>
    <xf numFmtId="0" fontId="12" fillId="0" borderId="0" xfId="31" applyFont="1" applyFill="1" applyAlignment="1">
      <alignment horizontal="right"/>
      <protection/>
    </xf>
    <xf numFmtId="0" fontId="14" fillId="0" borderId="0" xfId="0" applyFont="1" applyFill="1" applyAlignment="1">
      <alignment horizontal="left"/>
    </xf>
    <xf numFmtId="0" fontId="12" fillId="0" borderId="0" xfId="0" applyFont="1" applyFill="1" applyAlignment="1">
      <alignment horizontal="center" vertical="top" wrapText="1"/>
    </xf>
    <xf numFmtId="0" fontId="41" fillId="0" borderId="0" xfId="31" applyFont="1" applyFill="1" applyBorder="1" applyAlignment="1">
      <alignment horizontal="left" wrapText="1"/>
      <protection/>
    </xf>
    <xf numFmtId="1" fontId="12" fillId="0" borderId="32" xfId="0" applyNumberFormat="1" applyFont="1" applyFill="1" applyBorder="1" applyAlignment="1">
      <alignment horizontal="left"/>
    </xf>
    <xf numFmtId="0" fontId="12" fillId="0" borderId="0" xfId="32" applyFont="1" applyFill="1" applyBorder="1" applyAlignment="1">
      <alignment vertical="center"/>
    </xf>
    <xf numFmtId="0" fontId="12" fillId="0" borderId="0" xfId="32" applyFont="1" applyBorder="1" applyAlignment="1">
      <alignment vertical="center" wrapText="1"/>
    </xf>
    <xf numFmtId="9" fontId="12" fillId="0" borderId="0" xfId="32" applyNumberFormat="1" applyFont="1" applyFill="1" applyBorder="1" applyAlignment="1">
      <alignment horizontal="center" vertical="center" wrapText="1"/>
    </xf>
    <xf numFmtId="0" fontId="33" fillId="0" borderId="53" xfId="32" applyFont="1" applyFill="1" applyBorder="1" applyAlignment="1">
      <alignment horizontal="center" vertical="center" wrapText="1"/>
    </xf>
    <xf numFmtId="0" fontId="0" fillId="0" borderId="0" xfId="0" applyAlignment="1">
      <alignment horizontal="left" wrapText="1"/>
    </xf>
    <xf numFmtId="0" fontId="0" fillId="0" borderId="0" xfId="32" applyFont="1" applyAlignment="1">
      <alignment horizontal="left" wrapText="1"/>
    </xf>
    <xf numFmtId="0" fontId="10" fillId="0" borderId="0" xfId="0" applyFont="1" applyFill="1" applyAlignment="1">
      <alignment horizontal="left" wrapText="1"/>
    </xf>
    <xf numFmtId="0" fontId="24" fillId="0" borderId="0" xfId="32" applyFont="1" applyFill="1" applyAlignment="1">
      <alignment horizontal="center" wrapText="1"/>
    </xf>
    <xf numFmtId="0" fontId="24" fillId="0" borderId="0" xfId="32" applyFont="1" applyFill="1" applyAlignment="1">
      <alignment wrapText="1"/>
    </xf>
    <xf numFmtId="0" fontId="0" fillId="0" borderId="0" xfId="32" applyFont="1" applyBorder="1" applyAlignment="1">
      <alignment horizontal="right" wrapText="1"/>
    </xf>
    <xf numFmtId="0" fontId="0" fillId="0" borderId="0" xfId="32" applyFont="1" applyBorder="1" applyAlignment="1">
      <alignment wrapText="1"/>
    </xf>
    <xf numFmtId="0" fontId="12" fillId="0" borderId="0" xfId="0" applyFont="1" applyAlignment="1">
      <alignment/>
    </xf>
    <xf numFmtId="9" fontId="10" fillId="0" borderId="0" xfId="0" applyNumberFormat="1" applyFont="1" applyFill="1" applyAlignment="1">
      <alignment horizontal="left" wrapText="1"/>
    </xf>
    <xf numFmtId="0" fontId="12" fillId="0" borderId="0" xfId="0" applyFont="1" applyFill="1" applyAlignment="1">
      <alignment horizontal="left" wrapText="1"/>
    </xf>
    <xf numFmtId="0" fontId="12" fillId="0" borderId="0" xfId="0" applyFont="1" applyFill="1" applyAlignment="1">
      <alignment/>
    </xf>
    <xf numFmtId="0" fontId="12" fillId="0" borderId="43" xfId="0" applyFont="1" applyFill="1" applyBorder="1" applyAlignment="1">
      <alignment horizontal="left" wrapText="1"/>
    </xf>
    <xf numFmtId="1" fontId="12" fillId="0" borderId="28" xfId="0" applyNumberFormat="1" applyFont="1" applyFill="1" applyBorder="1" applyAlignment="1">
      <alignment horizontal="left" wrapText="1"/>
    </xf>
    <xf numFmtId="0" fontId="12" fillId="0" borderId="0" xfId="0" applyFont="1" applyFill="1" applyAlignment="1">
      <alignment/>
    </xf>
    <xf numFmtId="0" fontId="12" fillId="0" borderId="44" xfId="0" applyFont="1" applyFill="1" applyBorder="1" applyAlignment="1">
      <alignment horizontal="left" wrapText="1"/>
    </xf>
    <xf numFmtId="1" fontId="12" fillId="0" borderId="30" xfId="0" applyNumberFormat="1" applyFont="1" applyFill="1" applyBorder="1" applyAlignment="1">
      <alignment horizontal="left" wrapText="1"/>
    </xf>
    <xf numFmtId="9" fontId="12" fillId="0" borderId="30" xfId="0" applyNumberFormat="1" applyFont="1" applyFill="1" applyBorder="1" applyAlignment="1">
      <alignment horizontal="left" wrapText="1"/>
    </xf>
    <xf numFmtId="3" fontId="12" fillId="0" borderId="30" xfId="0" applyNumberFormat="1" applyFont="1" applyFill="1" applyBorder="1" applyAlignment="1">
      <alignment horizontal="left" wrapText="1"/>
    </xf>
    <xf numFmtId="3" fontId="10" fillId="0" borderId="0" xfId="0" applyNumberFormat="1" applyFont="1" applyFill="1" applyAlignment="1">
      <alignment horizontal="left" wrapText="1"/>
    </xf>
    <xf numFmtId="0" fontId="12" fillId="0" borderId="54" xfId="0" applyFont="1" applyFill="1" applyBorder="1" applyAlignment="1">
      <alignment horizontal="left" wrapText="1"/>
    </xf>
    <xf numFmtId="172" fontId="12" fillId="0" borderId="32" xfId="0" applyNumberFormat="1" applyFont="1" applyFill="1" applyBorder="1" applyAlignment="1">
      <alignment horizontal="left" wrapText="1"/>
    </xf>
    <xf numFmtId="1" fontId="12" fillId="0" borderId="32" xfId="0" applyNumberFormat="1" applyFont="1" applyFill="1" applyBorder="1" applyAlignment="1">
      <alignment horizontal="left" wrapText="1"/>
    </xf>
    <xf numFmtId="1" fontId="12" fillId="0" borderId="0" xfId="0" applyNumberFormat="1" applyFont="1" applyFill="1" applyAlignment="1">
      <alignment horizontal="right" wrapText="1"/>
    </xf>
    <xf numFmtId="9" fontId="12" fillId="0" borderId="0" xfId="0" applyNumberFormat="1" applyFont="1" applyFill="1" applyAlignment="1">
      <alignment horizontal="left" wrapText="1"/>
    </xf>
    <xf numFmtId="9" fontId="12" fillId="0" borderId="28" xfId="0" applyNumberFormat="1" applyFont="1" applyFill="1" applyBorder="1" applyAlignment="1">
      <alignment horizontal="left" wrapText="1"/>
    </xf>
    <xf numFmtId="9" fontId="12" fillId="0" borderId="0" xfId="0" applyNumberFormat="1" applyFont="1" applyFill="1" applyAlignment="1">
      <alignment horizontal="right" wrapText="1"/>
    </xf>
    <xf numFmtId="9" fontId="12" fillId="0" borderId="32" xfId="0" applyNumberFormat="1" applyFont="1" applyFill="1" applyBorder="1" applyAlignment="1">
      <alignment horizontal="left" wrapText="1"/>
    </xf>
    <xf numFmtId="0" fontId="0" fillId="0" borderId="0" xfId="0" applyAlignment="1">
      <alignment/>
    </xf>
    <xf numFmtId="3" fontId="12" fillId="0" borderId="0" xfId="0" applyNumberFormat="1" applyFont="1" applyFill="1" applyAlignment="1">
      <alignment horizontal="right" wrapText="1"/>
    </xf>
    <xf numFmtId="9" fontId="11" fillId="0" borderId="0" xfId="0" applyNumberFormat="1" applyFont="1" applyFill="1" applyAlignment="1">
      <alignment horizontal="right" wrapText="1"/>
    </xf>
    <xf numFmtId="3" fontId="12" fillId="0" borderId="28" xfId="0" applyNumberFormat="1" applyFont="1" applyFill="1" applyBorder="1" applyAlignment="1">
      <alignment horizontal="left" wrapText="1"/>
    </xf>
    <xf numFmtId="3" fontId="12" fillId="0" borderId="32" xfId="0" applyNumberFormat="1" applyFont="1" applyFill="1" applyBorder="1" applyAlignment="1">
      <alignment horizontal="left" wrapText="1"/>
    </xf>
    <xf numFmtId="0" fontId="12" fillId="0" borderId="0" xfId="0" applyFont="1" applyFill="1" applyAlignment="1">
      <alignment horizontal="right" wrapText="1"/>
    </xf>
    <xf numFmtId="166" fontId="12" fillId="0" borderId="28" xfId="0" applyNumberFormat="1" applyFont="1" applyFill="1" applyBorder="1" applyAlignment="1">
      <alignment horizontal="left" wrapText="1"/>
    </xf>
    <xf numFmtId="167" fontId="12" fillId="0" borderId="0" xfId="0" applyNumberFormat="1" applyFont="1" applyFill="1" applyAlignment="1">
      <alignment horizontal="right" wrapText="1"/>
    </xf>
    <xf numFmtId="10" fontId="12" fillId="0" borderId="30" xfId="0" applyNumberFormat="1" applyFont="1" applyFill="1" applyBorder="1" applyAlignment="1">
      <alignment horizontal="left" wrapText="1"/>
    </xf>
    <xf numFmtId="166" fontId="12" fillId="0" borderId="0" xfId="0" applyNumberFormat="1" applyFont="1" applyFill="1" applyAlignment="1">
      <alignment horizontal="right" wrapText="1"/>
    </xf>
    <xf numFmtId="10" fontId="12" fillId="0" borderId="0" xfId="0" applyNumberFormat="1" applyFont="1" applyFill="1" applyAlignment="1">
      <alignment horizontal="right" wrapText="1"/>
    </xf>
    <xf numFmtId="10" fontId="12" fillId="0" borderId="32" xfId="0" applyNumberFormat="1" applyFont="1" applyFill="1" applyBorder="1" applyAlignment="1">
      <alignment horizontal="left" wrapText="1"/>
    </xf>
    <xf numFmtId="10" fontId="12" fillId="0" borderId="0" xfId="0" applyNumberFormat="1" applyFont="1" applyFill="1" applyAlignment="1">
      <alignment horizontal="left" wrapText="1"/>
    </xf>
    <xf numFmtId="0" fontId="11" fillId="0" borderId="44" xfId="0" applyFont="1" applyFill="1" applyBorder="1" applyAlignment="1">
      <alignment horizontal="left" wrapText="1"/>
    </xf>
    <xf numFmtId="172" fontId="12" fillId="0" borderId="0" xfId="0" applyNumberFormat="1" applyFont="1" applyFill="1" applyAlignment="1">
      <alignment horizontal="left" wrapText="1"/>
    </xf>
    <xf numFmtId="172" fontId="12" fillId="0" borderId="0" xfId="0" applyNumberFormat="1" applyFont="1" applyFill="1" applyAlignment="1">
      <alignment horizontal="right" wrapText="1"/>
    </xf>
    <xf numFmtId="10" fontId="12" fillId="0" borderId="28" xfId="0" applyNumberFormat="1" applyFont="1" applyFill="1" applyBorder="1" applyAlignment="1">
      <alignment horizontal="left" wrapText="1"/>
    </xf>
    <xf numFmtId="3" fontId="12" fillId="0" borderId="0" xfId="0" applyNumberFormat="1" applyFont="1" applyFill="1" applyAlignment="1">
      <alignment horizontal="left" wrapText="1"/>
    </xf>
    <xf numFmtId="1" fontId="12" fillId="0" borderId="28" xfId="0" applyNumberFormat="1" applyFont="1" applyFill="1" applyBorder="1" applyAlignment="1">
      <alignment horizontal="left" wrapText="1"/>
    </xf>
    <xf numFmtId="177" fontId="12" fillId="0" borderId="32" xfId="0" applyNumberFormat="1" applyFont="1" applyFill="1" applyBorder="1" applyAlignment="1">
      <alignment horizontal="left" wrapText="1"/>
    </xf>
    <xf numFmtId="3" fontId="12" fillId="0" borderId="0" xfId="0" applyNumberFormat="1" applyFont="1" applyFill="1" applyAlignment="1">
      <alignment horizontal="left" wrapText="1"/>
    </xf>
    <xf numFmtId="0" fontId="12" fillId="0" borderId="0" xfId="0" applyFont="1" applyFill="1" applyAlignment="1">
      <alignment horizontal="right" wrapText="1"/>
    </xf>
    <xf numFmtId="0" fontId="12" fillId="0" borderId="43" xfId="0" applyFont="1" applyFill="1" applyBorder="1" applyAlignment="1">
      <alignment horizontal="left" wrapText="1"/>
    </xf>
    <xf numFmtId="9" fontId="12" fillId="0" borderId="28" xfId="0" applyNumberFormat="1" applyFont="1" applyFill="1" applyBorder="1" applyAlignment="1">
      <alignment horizontal="left" wrapText="1"/>
    </xf>
    <xf numFmtId="0" fontId="12" fillId="0" borderId="44" xfId="0" applyFont="1" applyFill="1" applyBorder="1" applyAlignment="1">
      <alignment horizontal="left" wrapText="1"/>
    </xf>
    <xf numFmtId="9" fontId="13" fillId="0" borderId="30" xfId="0" applyNumberFormat="1" applyFont="1" applyFill="1" applyBorder="1" applyAlignment="1">
      <alignment horizontal="left" wrapText="1"/>
    </xf>
    <xf numFmtId="10" fontId="12" fillId="0" borderId="30" xfId="0" applyNumberFormat="1" applyFont="1" applyFill="1" applyBorder="1" applyAlignment="1">
      <alignment horizontal="left" wrapText="1"/>
    </xf>
    <xf numFmtId="0" fontId="12" fillId="0" borderId="54" xfId="0" applyFont="1" applyFill="1" applyBorder="1" applyAlignment="1">
      <alignment horizontal="left" wrapText="1"/>
    </xf>
    <xf numFmtId="10" fontId="12" fillId="0" borderId="32" xfId="0" applyNumberFormat="1" applyFont="1" applyFill="1" applyBorder="1" applyAlignment="1">
      <alignment horizontal="left" wrapText="1"/>
    </xf>
    <xf numFmtId="0" fontId="12" fillId="0" borderId="0" xfId="0" applyFont="1" applyFill="1" applyAlignment="1">
      <alignment horizontal="left" wrapText="1"/>
    </xf>
    <xf numFmtId="0" fontId="15" fillId="0" borderId="51" xfId="0" applyFont="1" applyFill="1" applyBorder="1" applyAlignment="1">
      <alignment horizontal="center" wrapText="1"/>
    </xf>
    <xf numFmtId="0" fontId="15" fillId="0" borderId="52" xfId="0" applyFont="1" applyFill="1" applyBorder="1" applyAlignment="1">
      <alignment horizontal="center" wrapText="1"/>
    </xf>
    <xf numFmtId="0" fontId="16" fillId="0" borderId="55" xfId="0" applyFont="1" applyFill="1" applyBorder="1" applyAlignment="1">
      <alignment horizontal="justify" wrapText="1"/>
    </xf>
    <xf numFmtId="0" fontId="16" fillId="0" borderId="52" xfId="0" applyFont="1" applyFill="1" applyBorder="1" applyAlignment="1">
      <alignment horizontal="center" wrapText="1"/>
    </xf>
    <xf numFmtId="3" fontId="16" fillId="0" borderId="52" xfId="0" applyNumberFormat="1" applyFont="1" applyFill="1" applyBorder="1" applyAlignment="1">
      <alignment horizontal="right" wrapText="1"/>
    </xf>
    <xf numFmtId="0" fontId="15" fillId="0" borderId="55" xfId="0" applyFont="1" applyFill="1" applyBorder="1" applyAlignment="1">
      <alignment horizontal="justify" wrapText="1"/>
    </xf>
    <xf numFmtId="0" fontId="15" fillId="0" borderId="52" xfId="0" applyFont="1" applyFill="1" applyBorder="1" applyAlignment="1">
      <alignment horizontal="right" wrapText="1"/>
    </xf>
    <xf numFmtId="3" fontId="15" fillId="0" borderId="52" xfId="0" applyNumberFormat="1" applyFont="1" applyFill="1" applyBorder="1" applyAlignment="1">
      <alignment horizontal="right" wrapText="1"/>
    </xf>
    <xf numFmtId="0" fontId="12" fillId="0" borderId="0" xfId="0" applyFont="1" applyAlignment="1">
      <alignment horizontal="left"/>
    </xf>
    <xf numFmtId="0" fontId="12" fillId="0" borderId="0" xfId="31" applyFont="1" applyBorder="1" applyAlignment="1">
      <alignment horizontal="left" wrapText="1"/>
      <protection/>
    </xf>
    <xf numFmtId="0" fontId="10" fillId="0" borderId="56" xfId="0" applyFont="1" applyFill="1" applyBorder="1" applyAlignment="1">
      <alignment wrapText="1"/>
    </xf>
    <xf numFmtId="0" fontId="10" fillId="0" borderId="57" xfId="0" applyFont="1" applyFill="1" applyBorder="1" applyAlignment="1">
      <alignment/>
    </xf>
    <xf numFmtId="0" fontId="12" fillId="0" borderId="57" xfId="0" applyFont="1" applyFill="1" applyBorder="1" applyAlignment="1">
      <alignment/>
    </xf>
    <xf numFmtId="0" fontId="12" fillId="0" borderId="58" xfId="0" applyFont="1" applyFill="1" applyBorder="1" applyAlignment="1">
      <alignment/>
    </xf>
    <xf numFmtId="10" fontId="12" fillId="0" borderId="0" xfId="0" applyNumberFormat="1" applyFont="1" applyFill="1" applyAlignment="1">
      <alignment/>
    </xf>
    <xf numFmtId="2" fontId="0" fillId="0" borderId="0" xfId="32" applyNumberFormat="1" applyFont="1" applyAlignment="1">
      <alignment horizontal="center" vertical="center"/>
    </xf>
    <xf numFmtId="0" fontId="12" fillId="0" borderId="21" xfId="32" applyFont="1" applyBorder="1" applyAlignment="1">
      <alignment vertical="center"/>
    </xf>
    <xf numFmtId="0" fontId="12" fillId="0" borderId="19" xfId="0" applyFont="1" applyFill="1" applyBorder="1" applyAlignment="1">
      <alignment horizontal="left" wrapText="1"/>
    </xf>
    <xf numFmtId="0" fontId="12" fillId="0" borderId="19" xfId="0" applyFont="1" applyFill="1" applyBorder="1" applyAlignment="1">
      <alignment horizontal="left" wrapText="1"/>
    </xf>
    <xf numFmtId="0" fontId="12" fillId="0" borderId="41" xfId="0" applyFont="1" applyFill="1" applyBorder="1" applyAlignment="1">
      <alignment horizontal="left" wrapText="1"/>
    </xf>
    <xf numFmtId="3" fontId="12" fillId="0" borderId="19" xfId="0" applyNumberFormat="1" applyFont="1" applyFill="1" applyBorder="1" applyAlignment="1">
      <alignment horizontal="center" vertical="center" wrapText="1"/>
    </xf>
    <xf numFmtId="49" fontId="12" fillId="0" borderId="19" xfId="32" applyNumberFormat="1" applyFont="1" applyFill="1" applyBorder="1" applyAlignment="1">
      <alignment horizontal="center" vertical="center" shrinkToFit="1"/>
    </xf>
    <xf numFmtId="9" fontId="12" fillId="0" borderId="19" xfId="0" applyNumberFormat="1" applyFont="1" applyFill="1" applyBorder="1" applyAlignment="1">
      <alignment horizontal="center" wrapText="1"/>
    </xf>
    <xf numFmtId="9" fontId="12" fillId="0" borderId="19" xfId="32" applyNumberFormat="1" applyFont="1" applyFill="1" applyBorder="1" applyAlignment="1">
      <alignment horizontal="center" vertical="center" shrinkToFit="1"/>
    </xf>
    <xf numFmtId="9" fontId="12" fillId="0" borderId="19" xfId="0" applyNumberFormat="1" applyFont="1" applyFill="1" applyBorder="1" applyAlignment="1">
      <alignment horizontal="center" wrapText="1"/>
    </xf>
    <xf numFmtId="49" fontId="12" fillId="0" borderId="41" xfId="32" applyNumberFormat="1" applyFont="1" applyFill="1" applyBorder="1" applyAlignment="1">
      <alignment horizontal="center" vertical="center" shrinkToFit="1"/>
    </xf>
    <xf numFmtId="3" fontId="12" fillId="3" borderId="19" xfId="0" applyNumberFormat="1" applyFont="1" applyFill="1" applyBorder="1" applyAlignment="1">
      <alignment horizontal="center" vertical="center" wrapText="1"/>
    </xf>
    <xf numFmtId="9" fontId="12" fillId="3" borderId="19" xfId="0" applyNumberFormat="1" applyFont="1" applyFill="1" applyBorder="1" applyAlignment="1">
      <alignment horizontal="center" vertical="center" wrapText="1"/>
    </xf>
    <xf numFmtId="9" fontId="12" fillId="0" borderId="41" xfId="0" applyNumberFormat="1" applyFont="1" applyFill="1" applyBorder="1" applyAlignment="1">
      <alignment horizontal="center" wrapText="1"/>
    </xf>
    <xf numFmtId="9" fontId="12" fillId="3" borderId="41" xfId="0" applyNumberFormat="1" applyFont="1" applyFill="1" applyBorder="1" applyAlignment="1">
      <alignment horizontal="center" vertical="center" wrapText="1"/>
    </xf>
    <xf numFmtId="0" fontId="9" fillId="0" borderId="22" xfId="32" applyFont="1" applyBorder="1" applyAlignment="1">
      <alignment horizontal="center" vertical="center"/>
    </xf>
    <xf numFmtId="0" fontId="34" fillId="0" borderId="19" xfId="30" applyFont="1" applyBorder="1" applyAlignment="1">
      <alignment horizontal="center" vertical="center"/>
    </xf>
    <xf numFmtId="0" fontId="34" fillId="0" borderId="41" xfId="30" applyFont="1" applyBorder="1" applyAlignment="1">
      <alignment horizontal="center" vertical="center"/>
    </xf>
    <xf numFmtId="0" fontId="0" fillId="0" borderId="0" xfId="0" applyAlignment="1">
      <alignment horizontal="left" indent="1"/>
    </xf>
    <xf numFmtId="0" fontId="43" fillId="0" borderId="0" xfId="31" applyFont="1" applyFill="1" applyBorder="1" applyAlignment="1">
      <alignment wrapText="1"/>
      <protection/>
    </xf>
    <xf numFmtId="0" fontId="10" fillId="0" borderId="59" xfId="32" applyFont="1" applyBorder="1" applyAlignment="1">
      <alignment horizontal="left" vertical="center" wrapText="1"/>
    </xf>
    <xf numFmtId="0" fontId="12" fillId="0" borderId="60" xfId="32" applyFont="1" applyFill="1" applyBorder="1" applyAlignment="1">
      <alignment horizontal="left" vertical="center" wrapText="1"/>
    </xf>
    <xf numFmtId="0" fontId="41" fillId="0" borderId="0" xfId="31" applyFont="1" applyFill="1" applyBorder="1" applyAlignment="1">
      <alignment wrapText="1"/>
      <protection/>
    </xf>
    <xf numFmtId="177" fontId="10" fillId="4" borderId="22" xfId="32" applyNumberFormat="1" applyFont="1" applyFill="1" applyBorder="1" applyAlignment="1">
      <alignment horizontal="center" vertical="center"/>
    </xf>
    <xf numFmtId="0" fontId="30" fillId="0" borderId="43" xfId="0" applyFont="1" applyFill="1" applyBorder="1" applyAlignment="1">
      <alignment horizontal="left" wrapText="1"/>
    </xf>
    <xf numFmtId="0" fontId="30" fillId="0" borderId="44" xfId="0" applyFont="1" applyFill="1" applyBorder="1" applyAlignment="1">
      <alignment horizontal="left" wrapText="1"/>
    </xf>
    <xf numFmtId="3" fontId="30" fillId="5" borderId="28" xfId="0" applyNumberFormat="1" applyFont="1" applyFill="1" applyBorder="1" applyAlignment="1">
      <alignment horizontal="left" wrapText="1"/>
    </xf>
    <xf numFmtId="3" fontId="30" fillId="5" borderId="30" xfId="0" applyNumberFormat="1" applyFont="1" applyFill="1" applyBorder="1" applyAlignment="1">
      <alignment horizontal="left" wrapText="1"/>
    </xf>
    <xf numFmtId="9" fontId="30" fillId="5" borderId="28" xfId="0" applyNumberFormat="1" applyFont="1" applyFill="1" applyBorder="1" applyAlignment="1">
      <alignment horizontal="left" wrapText="1"/>
    </xf>
    <xf numFmtId="9" fontId="30" fillId="5" borderId="32" xfId="0" applyNumberFormat="1" applyFont="1" applyFill="1" applyBorder="1" applyAlignment="1">
      <alignment horizontal="left" wrapText="1"/>
    </xf>
    <xf numFmtId="0" fontId="30" fillId="0" borderId="54" xfId="0" applyFont="1" applyFill="1" applyBorder="1" applyAlignment="1">
      <alignment horizontal="left" wrapText="1"/>
    </xf>
    <xf numFmtId="1" fontId="30" fillId="5" borderId="28" xfId="0" applyNumberFormat="1" applyFont="1" applyFill="1" applyBorder="1" applyAlignment="1">
      <alignment horizontal="left" wrapText="1"/>
    </xf>
    <xf numFmtId="1" fontId="30" fillId="5" borderId="30" xfId="0" applyNumberFormat="1" applyFont="1" applyFill="1" applyBorder="1" applyAlignment="1">
      <alignment horizontal="left" wrapText="1"/>
    </xf>
    <xf numFmtId="9" fontId="38" fillId="5" borderId="19" xfId="32" applyNumberFormat="1" applyFont="1" applyFill="1" applyBorder="1" applyAlignment="1">
      <alignment horizontal="center" vertical="center" wrapText="1"/>
    </xf>
    <xf numFmtId="9" fontId="38" fillId="5" borderId="41" xfId="32" applyNumberFormat="1" applyFont="1" applyFill="1" applyBorder="1" applyAlignment="1">
      <alignment horizontal="center" vertical="center" wrapText="1"/>
    </xf>
    <xf numFmtId="9" fontId="38" fillId="5" borderId="19" xfId="0" applyNumberFormat="1" applyFont="1" applyFill="1" applyBorder="1" applyAlignment="1">
      <alignment horizontal="center" wrapText="1"/>
    </xf>
    <xf numFmtId="3" fontId="38" fillId="5" borderId="19" xfId="0" applyNumberFormat="1" applyFont="1" applyFill="1" applyBorder="1" applyAlignment="1">
      <alignment horizontal="center" vertical="center" wrapText="1"/>
    </xf>
    <xf numFmtId="9" fontId="38" fillId="5" borderId="41" xfId="0" applyNumberFormat="1" applyFont="1" applyFill="1" applyBorder="1" applyAlignment="1">
      <alignment horizontal="center" wrapText="1"/>
    </xf>
    <xf numFmtId="0" fontId="10" fillId="0" borderId="3" xfId="32" applyFont="1" applyBorder="1" applyAlignment="1">
      <alignment vertical="center" wrapText="1"/>
    </xf>
    <xf numFmtId="0" fontId="10" fillId="0" borderId="4" xfId="32" applyFont="1" applyBorder="1" applyAlignment="1">
      <alignment vertical="center" wrapText="1"/>
    </xf>
    <xf numFmtId="0" fontId="41" fillId="3" borderId="0" xfId="31" applyFont="1" applyFill="1" applyBorder="1" applyAlignment="1">
      <alignment horizontal="center" wrapText="1"/>
      <protection/>
    </xf>
    <xf numFmtId="0" fontId="12" fillId="0" borderId="0" xfId="32" applyFont="1" applyBorder="1" applyAlignment="1">
      <alignment horizontal="left" wrapText="1"/>
    </xf>
    <xf numFmtId="0" fontId="12" fillId="0" borderId="0" xfId="32" applyFont="1" applyAlignment="1">
      <alignment horizontal="left" vertical="center" wrapText="1" indent="2" readingOrder="1"/>
    </xf>
    <xf numFmtId="0" fontId="0" fillId="6" borderId="12" xfId="32" applyFont="1" applyFill="1" applyBorder="1" applyAlignment="1">
      <alignment horizontal="left" vertical="center" wrapText="1"/>
    </xf>
    <xf numFmtId="0" fontId="0" fillId="6" borderId="61" xfId="32" applyFont="1" applyFill="1" applyBorder="1" applyAlignment="1">
      <alignment horizontal="left" vertical="center" wrapText="1"/>
    </xf>
    <xf numFmtId="0" fontId="0" fillId="6" borderId="2" xfId="32" applyFont="1" applyFill="1" applyBorder="1" applyAlignment="1">
      <alignment horizontal="left" vertical="center" wrapText="1"/>
    </xf>
    <xf numFmtId="0" fontId="10" fillId="0" borderId="0" xfId="32" applyFont="1" applyBorder="1" applyAlignment="1">
      <alignment horizontal="left" vertical="center" wrapText="1"/>
    </xf>
    <xf numFmtId="0" fontId="12" fillId="0" borderId="0" xfId="32" applyFont="1" applyBorder="1" applyAlignment="1">
      <alignment wrapText="1"/>
    </xf>
    <xf numFmtId="0" fontId="25" fillId="0" borderId="11" xfId="30" applyFont="1" applyBorder="1" applyAlignment="1">
      <alignment vertical="center" wrapText="1"/>
    </xf>
    <xf numFmtId="0" fontId="25" fillId="0" borderId="6" xfId="30" applyFont="1" applyBorder="1" applyAlignment="1">
      <alignment vertical="center" wrapText="1"/>
    </xf>
    <xf numFmtId="0" fontId="20" fillId="0" borderId="11" xfId="32" applyFont="1" applyBorder="1" applyAlignment="1">
      <alignment horizontal="left" vertical="center" wrapText="1"/>
    </xf>
    <xf numFmtId="0" fontId="20" fillId="0" borderId="6" xfId="32" applyFont="1" applyBorder="1" applyAlignment="1">
      <alignment horizontal="left" vertical="center" wrapText="1"/>
    </xf>
    <xf numFmtId="0" fontId="10" fillId="0" borderId="62" xfId="32" applyFont="1" applyBorder="1" applyAlignment="1">
      <alignment horizontal="left" vertical="center" wrapText="1"/>
    </xf>
    <xf numFmtId="0" fontId="10" fillId="0" borderId="63" xfId="32" applyFont="1" applyBorder="1" applyAlignment="1">
      <alignment horizontal="left" vertical="center" wrapText="1"/>
    </xf>
    <xf numFmtId="0" fontId="24" fillId="0" borderId="0" xfId="32" applyFont="1" applyAlignment="1">
      <alignment horizontal="center" vertical="center" wrapText="1"/>
    </xf>
    <xf numFmtId="0" fontId="10" fillId="0" borderId="64" xfId="32" applyFont="1" applyBorder="1" applyAlignment="1">
      <alignment horizontal="left" vertical="center" wrapText="1"/>
    </xf>
    <xf numFmtId="0" fontId="10" fillId="0" borderId="65" xfId="32" applyFont="1" applyBorder="1" applyAlignment="1">
      <alignment horizontal="left" vertical="center" wrapText="1"/>
    </xf>
    <xf numFmtId="0" fontId="0" fillId="0" borderId="0" xfId="32" applyFont="1" applyAlignment="1">
      <alignment horizontal="right" vertical="center" wrapText="1"/>
    </xf>
    <xf numFmtId="0" fontId="23" fillId="0" borderId="0" xfId="32" applyFont="1" applyAlignment="1">
      <alignment horizontal="center" vertical="center" wrapText="1"/>
    </xf>
    <xf numFmtId="0" fontId="25" fillId="0" borderId="11" xfId="30" applyFont="1" applyBorder="1" applyAlignment="1">
      <alignment horizontal="left" vertical="center" wrapText="1"/>
    </xf>
    <xf numFmtId="0" fontId="25" fillId="0" borderId="6" xfId="30" applyFont="1" applyBorder="1" applyAlignment="1">
      <alignment horizontal="left" vertical="center" wrapText="1"/>
    </xf>
    <xf numFmtId="0" fontId="10" fillId="0" borderId="11" xfId="32" applyFont="1" applyFill="1" applyBorder="1" applyAlignment="1">
      <alignment horizontal="center" vertical="top" wrapText="1"/>
    </xf>
    <xf numFmtId="0" fontId="10" fillId="0" borderId="6" xfId="32" applyFont="1" applyFill="1" applyBorder="1" applyAlignment="1">
      <alignment horizontal="center" vertical="top" wrapText="1"/>
    </xf>
    <xf numFmtId="0" fontId="12" fillId="0" borderId="0" xfId="32" applyFont="1" applyBorder="1" applyAlignment="1">
      <alignment horizontal="left" wrapText="1"/>
    </xf>
    <xf numFmtId="0" fontId="12" fillId="0" borderId="0" xfId="0" applyFont="1" applyAlignment="1">
      <alignment horizontal="left" wrapText="1"/>
    </xf>
    <xf numFmtId="0" fontId="12" fillId="0" borderId="0" xfId="32" applyFont="1" applyBorder="1" applyAlignment="1">
      <alignment horizontal="left" vertical="center" wrapText="1"/>
    </xf>
    <xf numFmtId="49" fontId="12" fillId="0" borderId="0" xfId="32" applyNumberFormat="1" applyFont="1" applyAlignment="1">
      <alignment horizontal="left" vertical="top" wrapText="1"/>
    </xf>
    <xf numFmtId="0" fontId="12" fillId="0" borderId="0" xfId="32" applyFont="1" applyAlignment="1">
      <alignment horizontal="left" vertical="center" wrapText="1" indent="2" readingOrder="1"/>
    </xf>
    <xf numFmtId="0" fontId="12" fillId="0" borderId="0" xfId="32" applyFont="1" applyBorder="1" applyAlignment="1">
      <alignment wrapText="1"/>
    </xf>
    <xf numFmtId="0" fontId="12" fillId="0" borderId="0" xfId="0" applyFont="1" applyAlignment="1">
      <alignment horizontal="left"/>
    </xf>
    <xf numFmtId="0" fontId="0" fillId="6" borderId="11" xfId="32" applyFont="1" applyFill="1" applyBorder="1" applyAlignment="1">
      <alignment horizontal="left" vertical="center" wrapText="1"/>
    </xf>
    <xf numFmtId="0" fontId="0" fillId="6" borderId="0" xfId="32" applyFont="1" applyFill="1" applyBorder="1" applyAlignment="1">
      <alignment horizontal="left" vertical="center" wrapText="1"/>
    </xf>
    <xf numFmtId="0" fontId="0" fillId="6" borderId="6" xfId="32" applyFont="1" applyFill="1" applyBorder="1" applyAlignment="1">
      <alignment horizontal="left" vertical="center" wrapText="1"/>
    </xf>
    <xf numFmtId="0" fontId="10" fillId="0" borderId="66" xfId="32" applyFont="1" applyBorder="1" applyAlignment="1">
      <alignment horizontal="center" vertical="center"/>
    </xf>
    <xf numFmtId="0" fontId="10" fillId="0" borderId="67" xfId="32" applyFont="1" applyBorder="1" applyAlignment="1">
      <alignment horizontal="center" vertical="center"/>
    </xf>
    <xf numFmtId="0" fontId="10" fillId="0" borderId="33" xfId="32" applyFont="1" applyBorder="1" applyAlignment="1">
      <alignment horizontal="center" vertical="center"/>
    </xf>
    <xf numFmtId="0" fontId="10" fillId="0" borderId="23" xfId="32" applyFont="1" applyBorder="1" applyAlignment="1">
      <alignment horizontal="center" vertical="center"/>
    </xf>
    <xf numFmtId="0" fontId="10" fillId="0" borderId="24" xfId="32" applyFont="1" applyBorder="1" applyAlignment="1">
      <alignment horizontal="center" vertical="center"/>
    </xf>
    <xf numFmtId="0" fontId="32" fillId="0" borderId="0" xfId="32" applyFont="1" applyFill="1" applyAlignment="1">
      <alignment horizontal="center" vertical="center" wrapText="1"/>
    </xf>
    <xf numFmtId="0" fontId="12" fillId="0" borderId="0" xfId="31" applyFont="1" applyAlignment="1">
      <alignment horizontal="center" wrapText="1"/>
      <protection/>
    </xf>
    <xf numFmtId="0" fontId="23" fillId="0" borderId="0" xfId="32" applyFont="1" applyFill="1" applyAlignment="1">
      <alignment horizontal="center" vertical="center" wrapText="1"/>
    </xf>
    <xf numFmtId="0" fontId="24" fillId="0" borderId="0" xfId="32" applyFont="1" applyFill="1" applyAlignment="1">
      <alignment horizontal="center" vertical="center" wrapText="1"/>
    </xf>
    <xf numFmtId="0" fontId="0" fillId="0" borderId="0" xfId="32" applyFont="1" applyAlignment="1">
      <alignment horizontal="center" vertical="center" wrapText="1"/>
    </xf>
    <xf numFmtId="0" fontId="0" fillId="0" borderId="0" xfId="32" applyFont="1" applyBorder="1" applyAlignment="1">
      <alignment horizontal="center" wrapText="1"/>
    </xf>
    <xf numFmtId="0" fontId="41" fillId="3" borderId="33" xfId="31" applyFont="1" applyFill="1" applyBorder="1" applyAlignment="1">
      <alignment horizontal="left" wrapText="1"/>
      <protection/>
    </xf>
    <xf numFmtId="0" fontId="41" fillId="3" borderId="23" xfId="31" applyFont="1" applyFill="1" applyBorder="1" applyAlignment="1">
      <alignment horizontal="left" wrapText="1"/>
      <protection/>
    </xf>
    <xf numFmtId="0" fontId="41" fillId="3" borderId="24" xfId="31" applyFont="1" applyFill="1" applyBorder="1" applyAlignment="1">
      <alignment horizontal="left" wrapText="1"/>
      <protection/>
    </xf>
    <xf numFmtId="0" fontId="12" fillId="0" borderId="25" xfId="31" applyFont="1" applyFill="1" applyBorder="1" applyAlignment="1">
      <alignment horizontal="left" wrapText="1"/>
      <protection/>
    </xf>
    <xf numFmtId="0" fontId="12" fillId="0" borderId="26" xfId="31" applyFont="1" applyFill="1" applyBorder="1" applyAlignment="1">
      <alignment horizontal="left" wrapText="1"/>
      <protection/>
    </xf>
    <xf numFmtId="0" fontId="12" fillId="0" borderId="68" xfId="31" applyFont="1" applyFill="1" applyBorder="1" applyAlignment="1">
      <alignment horizontal="left" wrapText="1"/>
      <protection/>
    </xf>
    <xf numFmtId="0" fontId="15" fillId="0" borderId="69" xfId="0" applyFont="1" applyFill="1" applyBorder="1" applyAlignment="1">
      <alignment horizontal="center" wrapText="1"/>
    </xf>
    <xf numFmtId="0" fontId="15" fillId="0" borderId="55" xfId="0" applyFont="1" applyFill="1" applyBorder="1" applyAlignment="1">
      <alignment horizontal="center" wrapText="1"/>
    </xf>
    <xf numFmtId="0" fontId="12" fillId="0" borderId="21" xfId="31" applyFont="1" applyFill="1" applyBorder="1" applyAlignment="1">
      <alignment horizontal="left" wrapText="1"/>
      <protection/>
    </xf>
    <xf numFmtId="0" fontId="12" fillId="0" borderId="39" xfId="31" applyFont="1" applyFill="1" applyBorder="1" applyAlignment="1">
      <alignment horizontal="left" wrapText="1"/>
      <protection/>
    </xf>
    <xf numFmtId="0" fontId="12" fillId="0" borderId="42" xfId="31" applyFont="1" applyFill="1" applyBorder="1" applyAlignment="1">
      <alignment horizontal="left" wrapText="1"/>
      <protection/>
    </xf>
    <xf numFmtId="0" fontId="12" fillId="0" borderId="0" xfId="0" applyFont="1" applyFill="1" applyAlignment="1">
      <alignment horizontal="center" wrapText="1"/>
    </xf>
    <xf numFmtId="0" fontId="0" fillId="0" borderId="39" xfId="32" applyFont="1" applyBorder="1" applyAlignment="1">
      <alignment horizontal="right" wrapText="1"/>
    </xf>
    <xf numFmtId="0" fontId="13" fillId="0" borderId="0" xfId="32" applyFont="1" applyBorder="1" applyAlignment="1">
      <alignment horizontal="left" vertical="center" wrapText="1"/>
    </xf>
    <xf numFmtId="0" fontId="13" fillId="0" borderId="0" xfId="32" applyFont="1" applyBorder="1" applyAlignment="1">
      <alignment horizontal="left" vertical="center" wrapText="1"/>
    </xf>
  </cellXfs>
  <cellStyles count="19">
    <cellStyle name="Normal" xfId="0"/>
    <cellStyle name="Comma" xfId="16"/>
    <cellStyle name="Comma [0]" xfId="17"/>
    <cellStyle name="Currency" xfId="18"/>
    <cellStyle name="Currency [0]" xfId="19"/>
    <cellStyle name="Data" xfId="20"/>
    <cellStyle name="F2" xfId="21"/>
    <cellStyle name="F3" xfId="22"/>
    <cellStyle name="F4" xfId="23"/>
    <cellStyle name="F5" xfId="24"/>
    <cellStyle name="F6" xfId="25"/>
    <cellStyle name="F7" xfId="26"/>
    <cellStyle name="F8" xfId="27"/>
    <cellStyle name="Followed Hyperlink" xfId="28"/>
    <cellStyle name="Hyperlink" xfId="29"/>
    <cellStyle name="Hyperlink_mcc-err-namibia_mkt" xfId="30"/>
    <cellStyle name="Normal_jwwREPMCA ERR Model Tourism Component DRAFT FINAL V3 JB July 2007" xfId="31"/>
    <cellStyle name="Normal_mcc-err-namibia_mkt"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Undiscounted Annual Net Benefits</a:t>
            </a:r>
          </a:p>
        </c:rich>
      </c:tx>
      <c:layout/>
      <c:spPr>
        <a:noFill/>
        <a:ln>
          <a:noFill/>
        </a:ln>
      </c:spPr>
    </c:title>
    <c:plotArea>
      <c:layout/>
      <c:areaChart>
        <c:grouping val="standard"/>
        <c:varyColors val="0"/>
        <c:ser>
          <c:idx val="0"/>
          <c:order val="0"/>
          <c:tx>
            <c:v>-20,457,813 -56,501,645 -43,259,516 -22,145,958 -20,098,430 8,775,160 11,764,664 14,997,869 18,501,676 21,762,277 25,217,416 25,032,447 25,759,589 26,623,438 25,572,439 27,684,118 29,980,487 32,481,417 35,208,935 38,187,450 36,740,744</c:v>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'ERR Calculation'!$D$19:$AM$19</c:f>
              <c:numCache>
                <c:ptCount val="36"/>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cat>
          <c:val>
            <c:numRef>
              <c:f>'ERR Calculation'!$C$47:$AM$47</c:f>
              <c:numCache>
                <c:ptCount val="37"/>
                <c:pt idx="1">
                  <c:v>-5199616.100000001</c:v>
                </c:pt>
                <c:pt idx="2">
                  <c:v>-45758821.52185875</c:v>
                </c:pt>
                <c:pt idx="3">
                  <c:v>-116551830.65577728</c:v>
                </c:pt>
                <c:pt idx="4">
                  <c:v>-69113595.38383704</c:v>
                </c:pt>
                <c:pt idx="5">
                  <c:v>-12995016.375171147</c:v>
                </c:pt>
                <c:pt idx="6">
                  <c:v>11445248.71488077</c:v>
                </c:pt>
                <c:pt idx="7">
                  <c:v>30601912.80951471</c:v>
                </c:pt>
                <c:pt idx="8">
                  <c:v>37380521.46794039</c:v>
                </c:pt>
                <c:pt idx="9">
                  <c:v>44223361.460046016</c:v>
                </c:pt>
                <c:pt idx="10">
                  <c:v>44591548.00059544</c:v>
                </c:pt>
                <c:pt idx="11">
                  <c:v>44995523.65346212</c:v>
                </c:pt>
                <c:pt idx="12">
                  <c:v>45446411.18874518</c:v>
                </c:pt>
                <c:pt idx="13">
                  <c:v>45953234.4755087</c:v>
                </c:pt>
                <c:pt idx="14">
                  <c:v>33115388.12641777</c:v>
                </c:pt>
                <c:pt idx="15">
                  <c:v>33279469.532738663</c:v>
                </c:pt>
                <c:pt idx="16">
                  <c:v>33451755.009375595</c:v>
                </c:pt>
                <c:pt idx="17">
                  <c:v>29833760</c:v>
                </c:pt>
                <c:pt idx="18">
                  <c:v>29833760</c:v>
                </c:pt>
                <c:pt idx="19">
                  <c:v>29833760</c:v>
                </c:pt>
                <c:pt idx="20">
                  <c:v>29833760</c:v>
                </c:pt>
                <c:pt idx="21">
                  <c:v>29833760</c:v>
                </c:pt>
                <c:pt idx="22">
                  <c:v>29833760</c:v>
                </c:pt>
                <c:pt idx="23">
                  <c:v>29833760</c:v>
                </c:pt>
                <c:pt idx="24">
                  <c:v>29833760</c:v>
                </c:pt>
                <c:pt idx="25">
                  <c:v>29833760</c:v>
                </c:pt>
                <c:pt idx="26">
                  <c:v>29833760</c:v>
                </c:pt>
                <c:pt idx="27">
                  <c:v>29833760</c:v>
                </c:pt>
                <c:pt idx="28">
                  <c:v>29833760</c:v>
                </c:pt>
                <c:pt idx="29">
                  <c:v>29833760</c:v>
                </c:pt>
                <c:pt idx="30">
                  <c:v>29833760</c:v>
                </c:pt>
                <c:pt idx="31">
                  <c:v>29833760</c:v>
                </c:pt>
                <c:pt idx="32">
                  <c:v>29833760</c:v>
                </c:pt>
                <c:pt idx="33">
                  <c:v>29833760</c:v>
                </c:pt>
                <c:pt idx="34">
                  <c:v>29833760</c:v>
                </c:pt>
                <c:pt idx="35">
                  <c:v>29833760</c:v>
                </c:pt>
                <c:pt idx="36">
                  <c:v>29833760</c:v>
                </c:pt>
              </c:numCache>
            </c:numRef>
          </c:val>
        </c:ser>
        <c:axId val="43840463"/>
        <c:axId val="59019848"/>
      </c:areaChart>
      <c:catAx>
        <c:axId val="43840463"/>
        <c:scaling>
          <c:orientation val="minMax"/>
        </c:scaling>
        <c:axPos val="b"/>
        <c:title>
          <c:tx>
            <c:rich>
              <a:bodyPr vert="horz" rot="0" anchor="ctr"/>
              <a:lstStyle/>
              <a:p>
                <a:pPr algn="ctr">
                  <a:defRPr/>
                </a:pPr>
                <a:r>
                  <a:rPr lang="en-US" cap="none" sz="13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59019848"/>
        <c:crosses val="autoZero"/>
        <c:auto val="1"/>
        <c:lblOffset val="100"/>
        <c:noMultiLvlLbl val="0"/>
      </c:catAx>
      <c:valAx>
        <c:axId val="59019848"/>
        <c:scaling>
          <c:orientation val="minMax"/>
        </c:scaling>
        <c:axPos val="l"/>
        <c:title>
          <c:tx>
            <c:rich>
              <a:bodyPr vert="horz" rot="-5400000" anchor="ctr"/>
              <a:lstStyle/>
              <a:p>
                <a:pPr algn="ctr">
                  <a:defRPr/>
                </a:pPr>
                <a:r>
                  <a:rPr lang="en-US" cap="none" sz="1300"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4384046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Distribution of ERR Given Uncertainty in Key Parameters
(as of 6/5/2008):</a:t>
            </a:r>
          </a:p>
        </c:rich>
      </c:tx>
      <c:layout/>
      <c:spPr>
        <a:noFill/>
        <a:ln>
          <a:noFill/>
        </a:ln>
      </c:spPr>
    </c:title>
    <c:plotArea>
      <c:layout>
        <c:manualLayout>
          <c:xMode val="edge"/>
          <c:yMode val="edge"/>
          <c:x val="0.0285"/>
          <c:y val="0.10125"/>
          <c:w val="0.96225"/>
          <c:h val="0.8812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0.028185881312251568</c:v>
              </c:pt>
              <c:pt idx="10">
                <c:v>0.051861866636794166</c:v>
              </c:pt>
              <c:pt idx="20">
                <c:v>0.07553785196133676</c:v>
              </c:pt>
              <c:pt idx="30">
                <c:v>0.09921383728587936</c:v>
              </c:pt>
              <c:pt idx="40">
                <c:v>0.12288982261042196</c:v>
              </c:pt>
              <c:pt idx="49">
                <c:v>0.1441982094025103</c:v>
              </c:pt>
            </c:strLit>
          </c:cat>
          <c:val>
            <c:numLit>
              <c:ptCount val="50"/>
              <c:pt idx="0">
                <c:v>13</c:v>
              </c:pt>
              <c:pt idx="1">
                <c:v>15</c:v>
              </c:pt>
              <c:pt idx="2">
                <c:v>25</c:v>
              </c:pt>
              <c:pt idx="3">
                <c:v>34</c:v>
              </c:pt>
              <c:pt idx="4">
                <c:v>44</c:v>
              </c:pt>
              <c:pt idx="5">
                <c:v>57</c:v>
              </c:pt>
              <c:pt idx="6">
                <c:v>56</c:v>
              </c:pt>
              <c:pt idx="7">
                <c:v>63</c:v>
              </c:pt>
              <c:pt idx="8">
                <c:v>76</c:v>
              </c:pt>
              <c:pt idx="9">
                <c:v>101</c:v>
              </c:pt>
              <c:pt idx="10">
                <c:v>135</c:v>
              </c:pt>
              <c:pt idx="11">
                <c:v>137</c:v>
              </c:pt>
              <c:pt idx="12">
                <c:v>163</c:v>
              </c:pt>
              <c:pt idx="13">
                <c:v>204</c:v>
              </c:pt>
              <c:pt idx="14">
                <c:v>201</c:v>
              </c:pt>
              <c:pt idx="15">
                <c:v>217</c:v>
              </c:pt>
              <c:pt idx="16">
                <c:v>278</c:v>
              </c:pt>
              <c:pt idx="17">
                <c:v>287</c:v>
              </c:pt>
              <c:pt idx="18">
                <c:v>290</c:v>
              </c:pt>
              <c:pt idx="19">
                <c:v>347</c:v>
              </c:pt>
              <c:pt idx="20">
                <c:v>397</c:v>
              </c:pt>
              <c:pt idx="21">
                <c:v>392</c:v>
              </c:pt>
              <c:pt idx="22">
                <c:v>425</c:v>
              </c:pt>
              <c:pt idx="23">
                <c:v>407</c:v>
              </c:pt>
              <c:pt idx="24">
                <c:v>474</c:v>
              </c:pt>
              <c:pt idx="25">
                <c:v>454</c:v>
              </c:pt>
              <c:pt idx="26">
                <c:v>440</c:v>
              </c:pt>
              <c:pt idx="27">
                <c:v>412</c:v>
              </c:pt>
              <c:pt idx="28">
                <c:v>436</c:v>
              </c:pt>
              <c:pt idx="29">
                <c:v>411</c:v>
              </c:pt>
              <c:pt idx="30">
                <c:v>409</c:v>
              </c:pt>
              <c:pt idx="31">
                <c:v>360</c:v>
              </c:pt>
              <c:pt idx="32">
                <c:v>343</c:v>
              </c:pt>
              <c:pt idx="33">
                <c:v>260</c:v>
              </c:pt>
              <c:pt idx="34">
                <c:v>284</c:v>
              </c:pt>
              <c:pt idx="35">
                <c:v>217</c:v>
              </c:pt>
              <c:pt idx="36">
                <c:v>209</c:v>
              </c:pt>
              <c:pt idx="37">
                <c:v>182</c:v>
              </c:pt>
              <c:pt idx="38">
                <c:v>184</c:v>
              </c:pt>
              <c:pt idx="39">
                <c:v>119</c:v>
              </c:pt>
              <c:pt idx="40">
                <c:v>115</c:v>
              </c:pt>
              <c:pt idx="41">
                <c:v>75</c:v>
              </c:pt>
              <c:pt idx="42">
                <c:v>72</c:v>
              </c:pt>
              <c:pt idx="43">
                <c:v>40</c:v>
              </c:pt>
              <c:pt idx="44">
                <c:v>37</c:v>
              </c:pt>
              <c:pt idx="45">
                <c:v>21</c:v>
              </c:pt>
              <c:pt idx="46">
                <c:v>18</c:v>
              </c:pt>
              <c:pt idx="47">
                <c:v>13</c:v>
              </c:pt>
              <c:pt idx="48">
                <c:v>6</c:v>
              </c:pt>
              <c:pt idx="49">
                <c:v>3</c:v>
              </c:pt>
            </c:numLit>
          </c:val>
        </c:ser>
        <c:overlap val="100"/>
        <c:gapWidth val="10"/>
        <c:axId val="61416585"/>
        <c:axId val="15878354"/>
      </c:barChart>
      <c:catAx>
        <c:axId val="61416585"/>
        <c:scaling>
          <c:orientation val="minMax"/>
        </c:scaling>
        <c:axPos val="b"/>
        <c:delete val="0"/>
        <c:numFmt formatCode="0.00%" sourceLinked="0"/>
        <c:majorTickMark val="out"/>
        <c:minorTickMark val="none"/>
        <c:tickLblPos val="nextTo"/>
        <c:crossAx val="15878354"/>
        <c:crosses val="autoZero"/>
        <c:auto val="0"/>
        <c:lblOffset val="100"/>
        <c:tickLblSkip val="1"/>
        <c:tickMarkSkip val="5"/>
        <c:noMultiLvlLbl val="0"/>
      </c:catAx>
      <c:valAx>
        <c:axId val="15878354"/>
        <c:scaling>
          <c:orientation val="minMax"/>
          <c:min val="0"/>
        </c:scaling>
        <c:axPos val="l"/>
        <c:title>
          <c:tx>
            <c:rich>
              <a:bodyPr vert="horz" rot="-5400000" anchor="ctr"/>
              <a:lstStyle/>
              <a:p>
                <a:pPr algn="ctr">
                  <a:defRPr/>
                </a:pPr>
                <a:r>
                  <a:rPr lang="en-US"/>
                  <a:t>Frequency</a:t>
                </a:r>
              </a:p>
            </c:rich>
          </c:tx>
          <c:layout/>
          <c:overlay val="0"/>
          <c:spPr>
            <a:noFill/>
            <a:ln>
              <a:noFill/>
            </a:ln>
          </c:spPr>
        </c:title>
        <c:delete val="0"/>
        <c:numFmt formatCode="General" sourceLinked="1"/>
        <c:majorTickMark val="out"/>
        <c:minorTickMark val="none"/>
        <c:tickLblPos val="nextTo"/>
        <c:crossAx val="61416585"/>
        <c:crossesAt val="1"/>
        <c:crossBetween val="between"/>
        <c:dispUnits/>
      </c:valAx>
      <c:spPr>
        <a:solidFill>
          <a:srgbClr val="FFFFFF"/>
        </a:solidFill>
      </c:spPr>
    </c:plotArea>
    <c:plotVisOnly val="1"/>
    <c:dispBlanksAs val="gap"/>
    <c:showDLblsOverMax val="0"/>
  </c:chart>
  <c:spPr>
    <a:solidFill>
      <a:srgbClr val="FFFFFF"/>
    </a:solidFill>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2038350"/>
          <a:ext cx="9525" cy="9525"/>
        </a:xfrm>
        <a:prstGeom prst="rect">
          <a:avLst/>
        </a:prstGeom>
        <a:noFill/>
        <a:ln w="9525" cmpd="sng">
          <a:noFill/>
        </a:ln>
      </xdr:spPr>
    </xdr:pic>
    <xdr:clientData/>
  </xdr:twoCellAnchor>
  <xdr:twoCellAnchor editAs="oneCell">
    <xdr:from>
      <xdr:col>0</xdr:col>
      <xdr:colOff>0</xdr:colOff>
      <xdr:row>12</xdr:row>
      <xdr:rowOff>0</xdr:rowOff>
    </xdr:from>
    <xdr:to>
      <xdr:col>0</xdr:col>
      <xdr:colOff>9525</xdr:colOff>
      <xdr:row>12</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2038350"/>
          <a:ext cx="9525" cy="9525"/>
        </a:xfrm>
        <a:prstGeom prst="rect">
          <a:avLst/>
        </a:prstGeom>
        <a:noFill/>
        <a:ln w="9525" cmpd="sng">
          <a:noFill/>
        </a:ln>
      </xdr:spPr>
    </xdr:pic>
    <xdr:clientData/>
  </xdr:twoCellAnchor>
  <xdr:twoCellAnchor editAs="oneCell">
    <xdr:from>
      <xdr:col>0</xdr:col>
      <xdr:colOff>0</xdr:colOff>
      <xdr:row>12</xdr:row>
      <xdr:rowOff>0</xdr:rowOff>
    </xdr:from>
    <xdr:to>
      <xdr:col>0</xdr:col>
      <xdr:colOff>9525</xdr:colOff>
      <xdr:row>12</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2038350"/>
          <a:ext cx="9525" cy="9525"/>
        </a:xfrm>
        <a:prstGeom prst="rect">
          <a:avLst/>
        </a:prstGeom>
        <a:noFill/>
        <a:ln w="9525" cmpd="sng">
          <a:noFill/>
        </a:ln>
      </xdr:spPr>
    </xdr:pic>
    <xdr:clientData/>
  </xdr:twoCellAnchor>
  <xdr:twoCellAnchor>
    <xdr:from>
      <xdr:col>0</xdr:col>
      <xdr:colOff>361950</xdr:colOff>
      <xdr:row>43</xdr:row>
      <xdr:rowOff>57150</xdr:rowOff>
    </xdr:from>
    <xdr:to>
      <xdr:col>6</xdr:col>
      <xdr:colOff>1200150</xdr:colOff>
      <xdr:row>79</xdr:row>
      <xdr:rowOff>152400</xdr:rowOff>
    </xdr:to>
    <xdr:graphicFrame>
      <xdr:nvGraphicFramePr>
        <xdr:cNvPr id="4" name="Chart 7"/>
        <xdr:cNvGraphicFramePr/>
      </xdr:nvGraphicFramePr>
      <xdr:xfrm>
        <a:off x="361950" y="10058400"/>
        <a:ext cx="10601325" cy="59245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xdr:from>
      <xdr:col>1</xdr:col>
      <xdr:colOff>0</xdr:colOff>
      <xdr:row>81</xdr:row>
      <xdr:rowOff>47625</xdr:rowOff>
    </xdr:from>
    <xdr:to>
      <xdr:col>7</xdr:col>
      <xdr:colOff>85725</xdr:colOff>
      <xdr:row>114</xdr:row>
      <xdr:rowOff>85725</xdr:rowOff>
    </xdr:to>
    <xdr:graphicFrame>
      <xdr:nvGraphicFramePr>
        <xdr:cNvPr id="7" name="Chart 28"/>
        <xdr:cNvGraphicFramePr/>
      </xdr:nvGraphicFramePr>
      <xdr:xfrm>
        <a:off x="381000" y="16202025"/>
        <a:ext cx="10687050" cy="53816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17</xdr:row>
      <xdr:rowOff>0</xdr:rowOff>
    </xdr:from>
    <xdr:to>
      <xdr:col>1</xdr:col>
      <xdr:colOff>19050</xdr:colOff>
      <xdr:row>17</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381000" y="3381375"/>
          <a:ext cx="19050" cy="19050"/>
        </a:xfrm>
        <a:prstGeom prst="rect">
          <a:avLst/>
        </a:prstGeom>
        <a:noFill/>
        <a:ln w="9525" cmpd="sng">
          <a:noFill/>
        </a:ln>
      </xdr:spPr>
    </xdr:pic>
    <xdr:clientData/>
  </xdr:twoCellAnchor>
  <xdr:twoCellAnchor editAs="oneCell">
    <xdr:from>
      <xdr:col>1</xdr:col>
      <xdr:colOff>0</xdr:colOff>
      <xdr:row>17</xdr:row>
      <xdr:rowOff>0</xdr:rowOff>
    </xdr:from>
    <xdr:to>
      <xdr:col>1</xdr:col>
      <xdr:colOff>19050</xdr:colOff>
      <xdr:row>17</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381000" y="3381375"/>
          <a:ext cx="19050" cy="19050"/>
        </a:xfrm>
        <a:prstGeom prst="rect">
          <a:avLst/>
        </a:prstGeom>
        <a:noFill/>
        <a:ln w="9525" cmpd="sng">
          <a:noFill/>
        </a:ln>
      </xdr:spPr>
    </xdr:pic>
    <xdr:clientData/>
  </xdr:twoCellAnchor>
  <xdr:twoCellAnchor editAs="oneCell">
    <xdr:from>
      <xdr:col>1</xdr:col>
      <xdr:colOff>0</xdr:colOff>
      <xdr:row>17</xdr:row>
      <xdr:rowOff>0</xdr:rowOff>
    </xdr:from>
    <xdr:to>
      <xdr:col>1</xdr:col>
      <xdr:colOff>19050</xdr:colOff>
      <xdr:row>17</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381000" y="3381375"/>
          <a:ext cx="19050" cy="19050"/>
        </a:xfrm>
        <a:prstGeom prst="rect">
          <a:avLst/>
        </a:prstGeom>
        <a:noFill/>
        <a:ln w="9525" cmpd="sng">
          <a:noFill/>
        </a:ln>
      </xdr:spPr>
    </xdr:pic>
    <xdr:clientData/>
  </xdr:twoCellAnchor>
  <xdr:twoCellAnchor editAs="oneCell">
    <xdr:from>
      <xdr:col>1</xdr:col>
      <xdr:colOff>0</xdr:colOff>
      <xdr:row>17</xdr:row>
      <xdr:rowOff>0</xdr:rowOff>
    </xdr:from>
    <xdr:to>
      <xdr:col>1</xdr:col>
      <xdr:colOff>19050</xdr:colOff>
      <xdr:row>17</xdr:row>
      <xdr:rowOff>19050</xdr:rowOff>
    </xdr:to>
    <xdr:pic>
      <xdr:nvPicPr>
        <xdr:cNvPr id="4" name="CB_Block_0" hidden="1"/>
        <xdr:cNvPicPr preferRelativeResize="1">
          <a:picLocks noChangeAspect="1"/>
        </xdr:cNvPicPr>
      </xdr:nvPicPr>
      <xdr:blipFill>
        <a:blip r:embed="rId1"/>
        <a:stretch>
          <a:fillRect/>
        </a:stretch>
      </xdr:blipFill>
      <xdr:spPr>
        <a:xfrm>
          <a:off x="381000" y="3381375"/>
          <a:ext cx="19050" cy="1905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xdr:row>
      <xdr:rowOff>0</xdr:rowOff>
    </xdr:from>
    <xdr:to>
      <xdr:col>1</xdr:col>
      <xdr:colOff>9525</xdr:colOff>
      <xdr:row>16</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609600" y="430530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609600" y="430530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609600" y="430530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Tanzania\Roads-Transport%20ERR%20Templ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benyishaya\Local%20Settings\Temporary%20Internet%20Files\OLK4\mcc-err-tanza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c.gov\root\home\dennisbn\Country%20TTs\Vanuatu\ERR%20spreadsheet\Copy%20of%20Econ%20Model%20-%20Revised%20-%20April%20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Water%20&amp;%20Sanitation%20-%20v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cc.gov/Tanzania\Economic%20Analysis\Roads\Roads-Transport%20ERR%20Tanga_Horohoro%20ED%20AR%20BND%20final%20report%20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cc.gov/_divisions\Economic%20Analysis\ERR%20Spreadsheets\Web%20Dissemination\Ongoing%20Work\Tanzania\Tanzania%20Energy%20Zanziba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cc.gov/DOCUME~1\BREITB~1\LOCALS~1\Temp\Temporary%20Directory%203%20for%20Tanzania%20Compact%20ERR.zip\Water-Sanitation%20Zanzibar%20Rural%20v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PROJECTS\234171%20CLP%20Gasification\Work\Model\CLP%20model%20-%20Draft%20v5%2023.03.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DOY25040\Desktop\MCC\Energy%20ERR%20Template%20modified%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benyishaya\Local%20Settings\Temporary%20Internet%20Files\OLK4\Copy%20of%20mcc-err-tanzania-energydistribution_Tues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Key Assumptions"/>
      <sheetName val="IRIs"/>
      <sheetName val="RUC Calculations"/>
      <sheetName val="Health"/>
      <sheetName val="Education"/>
      <sheetName val="ERR"/>
      <sheetName val="Scenario"/>
      <sheetName val="Probability"/>
    </sheetNames>
    <sheetDataSet>
      <sheetData sheetId="1">
        <row r="9">
          <cell r="G9">
            <v>0.6831000000000002</v>
          </cell>
        </row>
        <row r="24">
          <cell r="G24">
            <v>365</v>
          </cell>
        </row>
        <row r="37">
          <cell r="G37">
            <v>0.5</v>
          </cell>
        </row>
        <row r="38">
          <cell r="G38">
            <v>0.0319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B_DATA_"/>
    </sheetNames>
    <sheetDataSet>
      <sheetData sheetId="0">
        <row r="8">
          <cell r="C8" t="str">
            <v>Energy Sector Project</v>
          </cell>
        </row>
        <row r="9">
          <cell r="C9" t="str">
            <v>Distribution Systems Rehabilitation and Extension Activity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Tables"/>
      <sheetName val="Intro"/>
      <sheetName val="Main"/>
      <sheetName val="Summary"/>
      <sheetName val="LU"/>
      <sheetName val="Prob"/>
      <sheetName val="Distrib"/>
      <sheetName val="AMAMA1"/>
      <sheetName val="AMAMA2"/>
      <sheetName val="APEPE1"/>
      <sheetName val="ASASA1"/>
      <sheetName val="ASASA2"/>
      <sheetName val="ASHEF1"/>
      <sheetName val="ATATA1"/>
      <sheetName val="BPEAM1"/>
      <sheetName val="BSAEP1"/>
      <sheetName val="BSAML1"/>
      <sheetName val="BVARI1"/>
      <sheetName val="Meet"/>
      <sheetName val="VANRIS"/>
    </sheetNames>
    <sheetDataSet>
      <sheetData sheetId="3">
        <row r="6">
          <cell r="A6" t="str">
            <v>AMAMA1</v>
          </cell>
          <cell r="B6" t="str">
            <v>Lits Lits - Norsup Road Sealing</v>
          </cell>
          <cell r="D6" t="str">
            <v>Malekula</v>
          </cell>
          <cell r="E6" t="str">
            <v>Malampa</v>
          </cell>
          <cell r="F6">
            <v>189.6048</v>
          </cell>
          <cell r="G6">
            <v>1.7556</v>
          </cell>
          <cell r="H6">
            <v>2.0555555555555527</v>
          </cell>
          <cell r="I6">
            <v>0.01903292181069956</v>
          </cell>
          <cell r="J6">
            <v>0.22462370197905585</v>
          </cell>
          <cell r="K6">
            <v>159.72431508259623</v>
          </cell>
          <cell r="L6">
            <v>2.0643322529748724</v>
          </cell>
          <cell r="M6">
            <v>0.18788677288242828</v>
          </cell>
          <cell r="N6">
            <v>0.1802928108096226</v>
          </cell>
          <cell r="O6">
            <v>0.271765946426847</v>
          </cell>
          <cell r="P6">
            <v>0.12571622655559045</v>
          </cell>
          <cell r="Q6">
            <v>1</v>
          </cell>
          <cell r="R6">
            <v>1</v>
          </cell>
          <cell r="S6">
            <v>2007</v>
          </cell>
        </row>
        <row r="7">
          <cell r="A7" t="str">
            <v>AMAMA2</v>
          </cell>
          <cell r="B7" t="str">
            <v>South-West Bay Airstrip Upgrading</v>
          </cell>
          <cell r="D7" t="str">
            <v>Malekula</v>
          </cell>
          <cell r="E7" t="str">
            <v>Malampa</v>
          </cell>
          <cell r="F7">
            <v>65.08</v>
          </cell>
          <cell r="G7">
            <v>0.6025925925925926</v>
          </cell>
          <cell r="H7">
            <v>0</v>
          </cell>
          <cell r="I7">
            <v>0</v>
          </cell>
          <cell r="J7">
            <v>0.11364998061127222</v>
          </cell>
          <cell r="K7">
            <v>4.866971313671759</v>
          </cell>
          <cell r="L7">
            <v>1.0914032036645314</v>
          </cell>
          <cell r="M7">
            <v>0.08619992942037667</v>
          </cell>
          <cell r="N7">
            <v>0.08054563187386796</v>
          </cell>
          <cell r="O7">
            <v>0.1491719125848013</v>
          </cell>
          <cell r="P7">
            <v>0.04585583610297489</v>
          </cell>
          <cell r="Q7">
            <v>1</v>
          </cell>
          <cell r="R7">
            <v>1</v>
          </cell>
          <cell r="S7">
            <v>2007</v>
          </cell>
        </row>
        <row r="8">
          <cell r="A8" t="str">
            <v>APEPE1</v>
          </cell>
          <cell r="B8" t="str">
            <v>Loltong Wharf and N-S Road</v>
          </cell>
          <cell r="D8" t="str">
            <v>Pentecost</v>
          </cell>
          <cell r="E8" t="str">
            <v>Penama</v>
          </cell>
          <cell r="F8">
            <v>247.654</v>
          </cell>
          <cell r="G8">
            <v>2.2930925925925925</v>
          </cell>
          <cell r="H8">
            <v>3.6999999999999993</v>
          </cell>
          <cell r="I8">
            <v>0.03425925925925925</v>
          </cell>
          <cell r="J8">
            <v>0.15606943163381698</v>
          </cell>
          <cell r="K8">
            <v>79.08347162476201</v>
          </cell>
          <cell r="L8">
            <v>1.346935096185802</v>
          </cell>
          <cell r="M8">
            <v>0.12016075318448843</v>
          </cell>
          <cell r="N8">
            <v>0.11283654648106228</v>
          </cell>
          <cell r="O8">
            <v>0.016089379885231746</v>
          </cell>
          <cell r="P8">
            <v>0.06713663336847975</v>
          </cell>
          <cell r="Q8">
            <v>1</v>
          </cell>
          <cell r="R8">
            <v>1</v>
          </cell>
          <cell r="S8">
            <v>2007</v>
          </cell>
        </row>
        <row r="9">
          <cell r="A9" t="str">
            <v>ASASA1</v>
          </cell>
          <cell r="B9" t="str">
            <v>Port Olry Road Upgrading</v>
          </cell>
          <cell r="D9" t="str">
            <v>Santo</v>
          </cell>
          <cell r="E9" t="str">
            <v>Sanma</v>
          </cell>
          <cell r="F9">
            <v>1863.9288000000001</v>
          </cell>
          <cell r="G9">
            <v>17.2586</v>
          </cell>
          <cell r="H9">
            <v>40.94444444444445</v>
          </cell>
          <cell r="I9">
            <v>0.3791152263374486</v>
          </cell>
          <cell r="J9">
            <v>0.3378643130738296</v>
          </cell>
          <cell r="K9">
            <v>4425.839036860351</v>
          </cell>
          <cell r="L9">
            <v>3.661679665848366</v>
          </cell>
          <cell r="M9">
            <v>0.29106356187309074</v>
          </cell>
          <cell r="N9">
            <v>0.28150155877118105</v>
          </cell>
          <cell r="O9">
            <v>0.39892725896301917</v>
          </cell>
          <cell r="P9">
            <v>0.2037081426600791</v>
          </cell>
          <cell r="Q9">
            <v>1</v>
          </cell>
          <cell r="R9">
            <v>1</v>
          </cell>
          <cell r="S9">
            <v>2007</v>
          </cell>
        </row>
        <row r="10">
          <cell r="A10" t="str">
            <v>ASASA2</v>
          </cell>
          <cell r="B10" t="str">
            <v>South Coast Bridges and Culverts</v>
          </cell>
          <cell r="D10" t="str">
            <v>Santo</v>
          </cell>
          <cell r="E10" t="str">
            <v>Sanma</v>
          </cell>
          <cell r="F10">
            <v>202.82399999999998</v>
          </cell>
          <cell r="G10">
            <v>1.878</v>
          </cell>
          <cell r="H10">
            <v>0</v>
          </cell>
          <cell r="I10">
            <v>0</v>
          </cell>
          <cell r="J10">
            <v>0.24276840985467887</v>
          </cell>
          <cell r="K10">
            <v>174.0999826086306</v>
          </cell>
          <cell r="L10">
            <v>2.049130613895647</v>
          </cell>
          <cell r="M10">
            <v>0.19700424159358113</v>
          </cell>
          <cell r="N10">
            <v>0.18789673951715924</v>
          </cell>
          <cell r="O10">
            <v>0.3057487982976323</v>
          </cell>
          <cell r="P10">
            <v>0.12686653484309338</v>
          </cell>
          <cell r="Q10">
            <v>1</v>
          </cell>
          <cell r="R10">
            <v>1</v>
          </cell>
          <cell r="S10">
            <v>2007</v>
          </cell>
        </row>
        <row r="11">
          <cell r="A11" t="str">
            <v>ASHEF1</v>
          </cell>
          <cell r="B11" t="str">
            <v>Round-Island Road Upgrading</v>
          </cell>
          <cell r="D11" t="str">
            <v>Efate</v>
          </cell>
          <cell r="E11" t="str">
            <v>Shefa</v>
          </cell>
          <cell r="F11">
            <v>2520.612</v>
          </cell>
          <cell r="G11">
            <v>23.339000000000002</v>
          </cell>
          <cell r="H11">
            <v>52.5</v>
          </cell>
          <cell r="I11">
            <v>0.4861111111111111</v>
          </cell>
          <cell r="J11">
            <v>0.20550479502577151</v>
          </cell>
          <cell r="K11">
            <v>1885.729162103877</v>
          </cell>
          <cell r="L11">
            <v>1.8423788997682973</v>
          </cell>
          <cell r="M11">
            <v>0.16988037798308492</v>
          </cell>
          <cell r="N11">
            <v>0.16249056620484598</v>
          </cell>
          <cell r="O11">
            <v>0.2509892022389731</v>
          </cell>
          <cell r="P11">
            <v>0.11008159066260667</v>
          </cell>
          <cell r="Q11">
            <v>1</v>
          </cell>
          <cell r="R11">
            <v>1</v>
          </cell>
          <cell r="S11">
            <v>2007</v>
          </cell>
        </row>
        <row r="12">
          <cell r="A12" t="str">
            <v>ATATA1</v>
          </cell>
          <cell r="B12" t="str">
            <v>Whitesands Road Upgrading</v>
          </cell>
          <cell r="D12" t="str">
            <v>Tanna</v>
          </cell>
          <cell r="E12" t="str">
            <v>Tafea</v>
          </cell>
          <cell r="F12">
            <v>403.00199999999995</v>
          </cell>
          <cell r="G12">
            <v>3.7314999999999996</v>
          </cell>
          <cell r="H12">
            <v>0</v>
          </cell>
          <cell r="I12">
            <v>0</v>
          </cell>
          <cell r="J12">
            <v>0.176571845377738</v>
          </cell>
          <cell r="K12">
            <v>204.41274323363672</v>
          </cell>
          <cell r="L12">
            <v>1.619941829781381</v>
          </cell>
          <cell r="M12">
            <v>0.14456524340112237</v>
          </cell>
          <cell r="N12">
            <v>0.13797068071259416</v>
          </cell>
          <cell r="O12">
            <v>0.2177927682566017</v>
          </cell>
          <cell r="P12">
            <v>0.0939303405692848</v>
          </cell>
          <cell r="Q12">
            <v>1</v>
          </cell>
          <cell r="R12">
            <v>1</v>
          </cell>
          <cell r="S12">
            <v>2007</v>
          </cell>
        </row>
        <row r="13">
          <cell r="A13" t="str">
            <v>BPEAM1</v>
          </cell>
          <cell r="B13" t="str">
            <v>Ambae Creek Crossings Reinstatement</v>
          </cell>
          <cell r="D13" t="str">
            <v>Ambae</v>
          </cell>
          <cell r="E13" t="str">
            <v>Penama</v>
          </cell>
          <cell r="F13">
            <v>132.472</v>
          </cell>
          <cell r="G13">
            <v>1.2265925925925927</v>
          </cell>
          <cell r="H13">
            <v>0</v>
          </cell>
          <cell r="I13">
            <v>0</v>
          </cell>
          <cell r="J13">
            <v>0.12314963811312898</v>
          </cell>
          <cell r="K13">
            <v>16.066209299402473</v>
          </cell>
          <cell r="L13">
            <v>1.1482311585286173</v>
          </cell>
          <cell r="M13">
            <v>0.09315129877661123</v>
          </cell>
          <cell r="N13">
            <v>0.08701571493564024</v>
          </cell>
          <cell r="O13">
            <v>0.1624878441863667</v>
          </cell>
          <cell r="P13">
            <v>0.05031998681090321</v>
          </cell>
          <cell r="Q13">
            <v>1</v>
          </cell>
          <cell r="R13">
            <v>1</v>
          </cell>
          <cell r="S13">
            <v>2007</v>
          </cell>
        </row>
        <row r="14">
          <cell r="A14" t="str">
            <v>BSAEP1</v>
          </cell>
          <cell r="B14" t="str">
            <v>Lamen Bay Wharf Reinstatement</v>
          </cell>
          <cell r="D14" t="str">
            <v>Epi</v>
          </cell>
          <cell r="E14" t="str">
            <v>Shefa</v>
          </cell>
          <cell r="F14">
            <v>122.536</v>
          </cell>
          <cell r="G14">
            <v>1.1345925925925926</v>
          </cell>
          <cell r="H14">
            <v>0</v>
          </cell>
          <cell r="I14">
            <v>0</v>
          </cell>
          <cell r="J14">
            <v>0.10091447210991594</v>
          </cell>
          <cell r="K14">
            <v>0.5851207375704743</v>
          </cell>
          <cell r="L14">
            <v>1.005836224196495</v>
          </cell>
          <cell r="M14">
            <v>0.07414162579499352</v>
          </cell>
          <cell r="N14">
            <v>0.06861975740754238</v>
          </cell>
          <cell r="O14">
            <v>0.13547536346423877</v>
          </cell>
          <cell r="P14">
            <v>0.035685163178576916</v>
          </cell>
          <cell r="Q14">
            <v>1</v>
          </cell>
          <cell r="R14">
            <v>1</v>
          </cell>
          <cell r="S14">
            <v>2007</v>
          </cell>
        </row>
        <row r="15">
          <cell r="A15" t="str">
            <v>BSAML1</v>
          </cell>
          <cell r="B15" t="str">
            <v>Malo Roads Upgrading</v>
          </cell>
          <cell r="D15" t="str">
            <v>Malo</v>
          </cell>
          <cell r="E15" t="str">
            <v>Sanma</v>
          </cell>
          <cell r="F15">
            <v>115.40800000000002</v>
          </cell>
          <cell r="G15">
            <v>1.0685925925925928</v>
          </cell>
          <cell r="H15">
            <v>4</v>
          </cell>
          <cell r="I15">
            <v>0.037037037037037035</v>
          </cell>
          <cell r="J15">
            <v>0.168387486955777</v>
          </cell>
          <cell r="K15">
            <v>45.99216170650264</v>
          </cell>
          <cell r="L15">
            <v>1.3776013836392784</v>
          </cell>
          <cell r="M15">
            <v>0.12734818413458404</v>
          </cell>
          <cell r="N15">
            <v>0.11897501062329664</v>
          </cell>
          <cell r="O15">
            <v>0.22286032753779406</v>
          </cell>
          <cell r="P15">
            <v>0.06655361522113327</v>
          </cell>
          <cell r="Q15">
            <v>1</v>
          </cell>
          <cell r="R15">
            <v>1</v>
          </cell>
          <cell r="S15">
            <v>2007</v>
          </cell>
        </row>
        <row r="16">
          <cell r="A16" t="str">
            <v>BVARI1</v>
          </cell>
          <cell r="B16" t="str">
            <v>Technical assistance to PWD</v>
          </cell>
          <cell r="D16" t="str">
            <v>Country</v>
          </cell>
          <cell r="E16" t="str">
            <v>Country</v>
          </cell>
          <cell r="F16">
            <v>1347.6000000000001</v>
          </cell>
          <cell r="G16">
            <v>12.47777777777778</v>
          </cell>
          <cell r="H16">
            <v>0</v>
          </cell>
          <cell r="I16">
            <v>0</v>
          </cell>
          <cell r="J16">
            <v>0.16058552903336543</v>
          </cell>
          <cell r="K16">
            <v>262.48883072070845</v>
          </cell>
          <cell r="L16">
            <v>1.285461776824978</v>
          </cell>
          <cell r="M16">
            <v>0.1151492708742208</v>
          </cell>
          <cell r="N16">
            <v>0.10604506949655668</v>
          </cell>
          <cell r="O16">
            <v>0.22244484054528116</v>
          </cell>
          <cell r="P16">
            <v>0.05661199067741331</v>
          </cell>
          <cell r="Q16">
            <v>1</v>
          </cell>
          <cell r="R16">
            <v>1</v>
          </cell>
          <cell r="S16">
            <v>2007</v>
          </cell>
        </row>
      </sheetData>
      <sheetData sheetId="4">
        <row r="3">
          <cell r="A3" t="str">
            <v>AMAMA1</v>
          </cell>
          <cell r="B3" t="str">
            <v>Malampa</v>
          </cell>
          <cell r="C3" t="str">
            <v>Malekula</v>
          </cell>
          <cell r="D3" t="str">
            <v>Lits Lits - Norsup Road Sealing</v>
          </cell>
          <cell r="E3">
            <v>3127.71</v>
          </cell>
          <cell r="F3">
            <v>168</v>
          </cell>
          <cell r="R3">
            <v>189.6048</v>
          </cell>
          <cell r="S3">
            <v>2.3</v>
          </cell>
          <cell r="T3">
            <v>8.8</v>
          </cell>
          <cell r="U3">
            <v>7</v>
          </cell>
        </row>
        <row r="4">
          <cell r="A4" t="str">
            <v>AMAMA2</v>
          </cell>
          <cell r="B4" t="str">
            <v>Malampa</v>
          </cell>
          <cell r="C4" t="str">
            <v>Malekula</v>
          </cell>
          <cell r="D4" t="str">
            <v>South-West Bay Airstrip Upgrading</v>
          </cell>
          <cell r="E4">
            <v>2510.8599999999997</v>
          </cell>
          <cell r="Q4">
            <v>104</v>
          </cell>
          <cell r="R4">
            <v>65.08</v>
          </cell>
          <cell r="S4">
            <v>1</v>
          </cell>
          <cell r="T4">
            <v>1</v>
          </cell>
        </row>
        <row r="5">
          <cell r="A5" t="str">
            <v>APEPE1</v>
          </cell>
          <cell r="B5" t="str">
            <v>Penama</v>
          </cell>
          <cell r="C5" t="str">
            <v>Pentecost</v>
          </cell>
          <cell r="D5" t="str">
            <v>Loltong Wharf and N-S Road</v>
          </cell>
          <cell r="E5">
            <v>3074.7299999999996</v>
          </cell>
          <cell r="F5">
            <v>31</v>
          </cell>
          <cell r="R5">
            <v>83.71</v>
          </cell>
          <cell r="S5">
            <v>4.3</v>
          </cell>
          <cell r="T5">
            <v>2.1</v>
          </cell>
        </row>
        <row r="6">
          <cell r="A6" t="str">
            <v>APEPE2</v>
          </cell>
          <cell r="B6" t="str">
            <v>Penama</v>
          </cell>
          <cell r="C6" t="str">
            <v>Pentecost</v>
          </cell>
          <cell r="D6" t="str">
            <v>Loltong Wharf and N-S Road</v>
          </cell>
          <cell r="E6">
            <v>4783.29</v>
          </cell>
          <cell r="H6">
            <v>80</v>
          </cell>
          <cell r="I6">
            <v>1000</v>
          </cell>
          <cell r="J6">
            <v>16</v>
          </cell>
          <cell r="K6">
            <v>1</v>
          </cell>
          <cell r="L6">
            <v>1000</v>
          </cell>
          <cell r="N6">
            <v>2017</v>
          </cell>
          <cell r="O6">
            <v>25.2125</v>
          </cell>
          <cell r="P6">
            <v>290.487</v>
          </cell>
          <cell r="R6">
            <v>163.944</v>
          </cell>
          <cell r="S6">
            <v>1.5</v>
          </cell>
          <cell r="T6">
            <v>0</v>
          </cell>
        </row>
        <row r="8">
          <cell r="A8" t="str">
            <v>ASASA1</v>
          </cell>
          <cell r="B8" t="str">
            <v>Sanma</v>
          </cell>
          <cell r="C8" t="str">
            <v>Santo</v>
          </cell>
          <cell r="D8" t="str">
            <v>Port Olry Road Upgrading</v>
          </cell>
          <cell r="E8">
            <v>7403.759999999999</v>
          </cell>
          <cell r="F8">
            <v>200</v>
          </cell>
          <cell r="R8">
            <v>1863.9288000000001</v>
          </cell>
          <cell r="S8">
            <v>17.5</v>
          </cell>
          <cell r="T8">
            <v>31</v>
          </cell>
          <cell r="U8">
            <v>7</v>
          </cell>
          <cell r="AF8">
            <v>0.9</v>
          </cell>
        </row>
        <row r="9">
          <cell r="A9" t="str">
            <v>ASASA2</v>
          </cell>
          <cell r="B9" t="str">
            <v>Sanma</v>
          </cell>
          <cell r="C9" t="str">
            <v>Santo</v>
          </cell>
          <cell r="D9" t="str">
            <v>South Coast Bridges and Culverts</v>
          </cell>
          <cell r="E9">
            <v>7152.9</v>
          </cell>
          <cell r="F9">
            <v>33</v>
          </cell>
          <cell r="R9">
            <v>202.82399999999998</v>
          </cell>
          <cell r="S9">
            <v>17.6</v>
          </cell>
          <cell r="T9">
            <v>17.6</v>
          </cell>
        </row>
        <row r="10">
          <cell r="A10" t="str">
            <v>ASHEF1</v>
          </cell>
          <cell r="B10" t="str">
            <v>Shefa</v>
          </cell>
          <cell r="C10" t="str">
            <v>Efate</v>
          </cell>
          <cell r="D10" t="str">
            <v>Round-Island Road Upgrading</v>
          </cell>
          <cell r="E10">
            <v>13914.819999999998</v>
          </cell>
          <cell r="F10">
            <v>60</v>
          </cell>
          <cell r="R10">
            <v>2520.612</v>
          </cell>
          <cell r="S10">
            <v>22.5</v>
          </cell>
          <cell r="T10">
            <v>40</v>
          </cell>
          <cell r="U10">
            <v>7</v>
          </cell>
        </row>
        <row r="11">
          <cell r="A11" t="str">
            <v>ATATA1</v>
          </cell>
          <cell r="B11" t="str">
            <v>Tafea</v>
          </cell>
          <cell r="C11" t="str">
            <v>Tanna</v>
          </cell>
          <cell r="D11" t="str">
            <v>Whitesands Road Upgrading</v>
          </cell>
          <cell r="E11">
            <v>5675.910000000001</v>
          </cell>
          <cell r="F11">
            <v>100</v>
          </cell>
          <cell r="R11">
            <v>403.002</v>
          </cell>
          <cell r="S11">
            <v>10.5</v>
          </cell>
          <cell r="T11">
            <v>10.5</v>
          </cell>
        </row>
        <row r="12">
          <cell r="A12" t="str">
            <v>ATATA2</v>
          </cell>
          <cell r="B12" t="str">
            <v>Tafea</v>
          </cell>
          <cell r="C12" t="str">
            <v>Tanna</v>
          </cell>
          <cell r="D12" t="str">
            <v>South Coast Road Upgrading</v>
          </cell>
          <cell r="E12">
            <v>1823.82</v>
          </cell>
          <cell r="F12">
            <v>10</v>
          </cell>
          <cell r="R12">
            <v>0</v>
          </cell>
          <cell r="S12">
            <v>0</v>
          </cell>
          <cell r="T12">
            <v>0</v>
          </cell>
        </row>
        <row r="13">
          <cell r="A13" t="str">
            <v>BPEAM1</v>
          </cell>
          <cell r="B13" t="str">
            <v>Penama</v>
          </cell>
          <cell r="C13" t="str">
            <v>Ambae</v>
          </cell>
          <cell r="D13" t="str">
            <v>Ambae Creek Crossings Reinstatement</v>
          </cell>
          <cell r="E13">
            <v>1534.4</v>
          </cell>
          <cell r="F13">
            <v>10</v>
          </cell>
          <cell r="R13">
            <v>132.472</v>
          </cell>
          <cell r="S13">
            <v>1</v>
          </cell>
          <cell r="T13">
            <v>1</v>
          </cell>
        </row>
        <row r="15">
          <cell r="A15" t="str">
            <v>BSAEP1</v>
          </cell>
          <cell r="B15" t="str">
            <v>Shefa</v>
          </cell>
          <cell r="C15" t="str">
            <v>Epi</v>
          </cell>
          <cell r="D15" t="str">
            <v>Lamen Bay Wharf Reinstatement</v>
          </cell>
          <cell r="E15">
            <v>1865.94</v>
          </cell>
          <cell r="H15">
            <v>400</v>
          </cell>
          <cell r="I15">
            <v>500</v>
          </cell>
          <cell r="J15">
            <v>0</v>
          </cell>
          <cell r="L15">
            <v>250</v>
          </cell>
          <cell r="M15">
            <v>420</v>
          </cell>
          <cell r="N15">
            <v>1170</v>
          </cell>
          <cell r="O15">
            <v>2.925</v>
          </cell>
          <cell r="P15">
            <v>149.5</v>
          </cell>
          <cell r="R15">
            <v>122.536</v>
          </cell>
          <cell r="S15">
            <v>1.6</v>
          </cell>
          <cell r="T15">
            <v>1.6</v>
          </cell>
        </row>
        <row r="16">
          <cell r="A16" t="str">
            <v>BSAML1</v>
          </cell>
          <cell r="B16" t="str">
            <v>Sanma</v>
          </cell>
          <cell r="C16" t="str">
            <v>Malo</v>
          </cell>
          <cell r="D16" t="str">
            <v>Malo Roads Upgrading</v>
          </cell>
          <cell r="E16">
            <v>1645.3700000000001</v>
          </cell>
          <cell r="F16">
            <v>30</v>
          </cell>
          <cell r="R16">
            <v>115.40800000000002</v>
          </cell>
          <cell r="S16">
            <v>8</v>
          </cell>
          <cell r="T16">
            <v>4</v>
          </cell>
        </row>
        <row r="18">
          <cell r="A18" t="str">
            <v>BVARI1</v>
          </cell>
          <cell r="B18" t="str">
            <v>Country</v>
          </cell>
          <cell r="C18" t="str">
            <v>Country</v>
          </cell>
          <cell r="D18" t="str">
            <v>Technical assistance to PWD</v>
          </cell>
          <cell r="E18">
            <v>0</v>
          </cell>
          <cell r="R18">
            <v>1212.8400000000001</v>
          </cell>
        </row>
        <row r="39">
          <cell r="D39" t="str">
            <v>Total: Manually selected subprojects</v>
          </cell>
          <cell r="E39">
            <v>54513.51000000001</v>
          </cell>
          <cell r="I39">
            <v>1500</v>
          </cell>
          <cell r="J39">
            <v>16</v>
          </cell>
          <cell r="K39">
            <v>1</v>
          </cell>
          <cell r="L39">
            <v>1250</v>
          </cell>
          <cell r="M39">
            <v>420</v>
          </cell>
          <cell r="N39">
            <v>3187</v>
          </cell>
          <cell r="O39">
            <v>28.1375</v>
          </cell>
          <cell r="P39">
            <v>439.987</v>
          </cell>
          <cell r="Q39">
            <v>104</v>
          </cell>
          <cell r="R39">
            <v>7075.961600000001</v>
          </cell>
          <cell r="S39">
            <v>87.8</v>
          </cell>
          <cell r="T39">
            <v>117.6</v>
          </cell>
        </row>
        <row r="40">
          <cell r="R40" t="str">
            <v>= US$ 65.5 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Project Description"/>
      <sheetName val="ERR &amp; Sensitivity Analysis"/>
      <sheetName val="Summary"/>
      <sheetName val="Assumptions"/>
      <sheetName val="Dar Ruvu"/>
      <sheetName val="Dar NRW"/>
      <sheetName val="Morogoro"/>
      <sheetName val="Annex III"/>
    </sheetNames>
    <sheetDataSet>
      <sheetData sheetId="4">
        <row r="6">
          <cell r="F6">
            <v>20</v>
          </cell>
        </row>
        <row r="9">
          <cell r="F9">
            <v>0.07</v>
          </cell>
        </row>
        <row r="14">
          <cell r="E14" t="str">
            <v>A</v>
          </cell>
        </row>
        <row r="15">
          <cell r="E15" t="str">
            <v>B</v>
          </cell>
        </row>
        <row r="16">
          <cell r="E16" t="str">
            <v>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
      <sheetName val="Key Assumptions"/>
      <sheetName val="TH Sum"/>
      <sheetName val="TH1"/>
      <sheetName val="TH2"/>
      <sheetName val="TH4"/>
      <sheetName val="TanIRI"/>
    </sheetNames>
    <sheetDataSet>
      <sheetData sheetId="1">
        <row r="41">
          <cell r="H41">
            <v>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Results"/>
      <sheetName val="Assumptions"/>
      <sheetName val="ERR Calculations"/>
      <sheetName val="Planting"/>
      <sheetName val="Annex III"/>
      <sheetName val="LRMC"/>
      <sheetName val="gas option"/>
      <sheetName val="Social and Environmental"/>
      <sheetName val="Alt economic analysis"/>
    </sheetNames>
    <sheetDataSet>
      <sheetData sheetId="4">
        <row r="7">
          <cell r="W7" t="str">
            <v>Type</v>
          </cell>
          <cell r="X7" t="str">
            <v>cable1</v>
          </cell>
          <cell r="Y7" t="str">
            <v>cable2</v>
          </cell>
          <cell r="Z7" t="str">
            <v>cable3</v>
          </cell>
          <cell r="AA7" t="str">
            <v>wind</v>
          </cell>
          <cell r="AB7" t="str">
            <v>diesel</v>
          </cell>
        </row>
        <row r="8">
          <cell r="M8">
            <v>1</v>
          </cell>
          <cell r="N8">
            <v>0</v>
          </cell>
          <cell r="O8">
            <v>0</v>
          </cell>
          <cell r="W8" t="str">
            <v>Capex $/kW</v>
          </cell>
          <cell r="X8">
            <v>500</v>
          </cell>
          <cell r="Y8">
            <v>0</v>
          </cell>
          <cell r="Z8">
            <v>483</v>
          </cell>
          <cell r="AA8">
            <v>2700</v>
          </cell>
          <cell r="AB8">
            <v>1500</v>
          </cell>
        </row>
        <row r="9">
          <cell r="L9">
            <v>2007</v>
          </cell>
          <cell r="M9">
            <v>10</v>
          </cell>
          <cell r="N9">
            <v>5</v>
          </cell>
          <cell r="O9">
            <v>5</v>
          </cell>
          <cell r="P9">
            <v>10</v>
          </cell>
          <cell r="W9" t="str">
            <v>Opex $/kW/p.a.</v>
          </cell>
          <cell r="X9">
            <v>39</v>
          </cell>
          <cell r="Y9">
            <v>39</v>
          </cell>
          <cell r="Z9">
            <v>39</v>
          </cell>
          <cell r="AA9">
            <v>35</v>
          </cell>
          <cell r="AB9">
            <v>70</v>
          </cell>
        </row>
        <row r="10">
          <cell r="L10">
            <v>2008</v>
          </cell>
          <cell r="M10">
            <v>10</v>
          </cell>
          <cell r="N10">
            <v>5</v>
          </cell>
          <cell r="O10">
            <v>50</v>
          </cell>
          <cell r="P10">
            <v>10</v>
          </cell>
          <cell r="W10" t="str">
            <v>Opex $/kWh</v>
          </cell>
          <cell r="X10">
            <v>0</v>
          </cell>
          <cell r="Y10">
            <v>0</v>
          </cell>
          <cell r="Z10">
            <v>0</v>
          </cell>
          <cell r="AA10">
            <v>0</v>
          </cell>
          <cell r="AB10">
            <v>0.006</v>
          </cell>
        </row>
        <row r="11">
          <cell r="L11">
            <v>2009</v>
          </cell>
          <cell r="M11">
            <v>10</v>
          </cell>
          <cell r="N11">
            <v>20</v>
          </cell>
          <cell r="O11">
            <v>80</v>
          </cell>
          <cell r="P11">
            <v>10</v>
          </cell>
          <cell r="W11" t="str">
            <v>fuel $/kWh</v>
          </cell>
          <cell r="X11">
            <v>0.03</v>
          </cell>
          <cell r="Y11">
            <v>0.03</v>
          </cell>
          <cell r="Z11">
            <v>0.04</v>
          </cell>
          <cell r="AA11">
            <v>0</v>
          </cell>
          <cell r="AB11">
            <v>0.09932250000000001</v>
          </cell>
        </row>
        <row r="12">
          <cell r="G12">
            <v>0.56</v>
          </cell>
          <cell r="H12">
            <v>0.58</v>
          </cell>
          <cell r="I12">
            <v>0.6</v>
          </cell>
          <cell r="L12">
            <v>2010</v>
          </cell>
          <cell r="M12">
            <v>10</v>
          </cell>
          <cell r="N12">
            <v>30</v>
          </cell>
          <cell r="O12">
            <v>20</v>
          </cell>
          <cell r="P12">
            <v>10</v>
          </cell>
          <cell r="W12" t="str">
            <v>Life</v>
          </cell>
          <cell r="X12">
            <v>34</v>
          </cell>
          <cell r="Y12">
            <v>6</v>
          </cell>
          <cell r="Z12">
            <v>40</v>
          </cell>
          <cell r="AA12">
            <v>20</v>
          </cell>
          <cell r="AB12">
            <v>20</v>
          </cell>
        </row>
        <row r="13">
          <cell r="H13">
            <v>0.98</v>
          </cell>
          <cell r="L13">
            <v>2011</v>
          </cell>
          <cell r="M13">
            <v>2</v>
          </cell>
          <cell r="N13">
            <v>30</v>
          </cell>
          <cell r="O13">
            <v>0</v>
          </cell>
          <cell r="P13">
            <v>2</v>
          </cell>
          <cell r="W13" t="str">
            <v>Load factor</v>
          </cell>
          <cell r="X13">
            <v>0.56</v>
          </cell>
          <cell r="Y13">
            <v>0.8</v>
          </cell>
          <cell r="Z13">
            <v>0.61</v>
          </cell>
          <cell r="AA13">
            <v>0.34</v>
          </cell>
          <cell r="AB13">
            <v>0</v>
          </cell>
        </row>
        <row r="14">
          <cell r="L14">
            <v>2012</v>
          </cell>
          <cell r="M14">
            <v>2</v>
          </cell>
          <cell r="N14">
            <v>0</v>
          </cell>
          <cell r="O14">
            <v>0</v>
          </cell>
          <cell r="P14">
            <v>2</v>
          </cell>
        </row>
        <row r="15">
          <cell r="L15">
            <v>2013</v>
          </cell>
          <cell r="M15">
            <v>2</v>
          </cell>
          <cell r="N15">
            <v>0</v>
          </cell>
          <cell r="O15">
            <v>0</v>
          </cell>
          <cell r="P15">
            <v>2</v>
          </cell>
        </row>
        <row r="16">
          <cell r="L16">
            <v>2014</v>
          </cell>
          <cell r="M16">
            <v>2</v>
          </cell>
          <cell r="N16">
            <v>0</v>
          </cell>
          <cell r="O16">
            <v>0</v>
          </cell>
          <cell r="P16">
            <v>2</v>
          </cell>
        </row>
        <row r="17">
          <cell r="L17">
            <v>2015</v>
          </cell>
          <cell r="M17">
            <v>2</v>
          </cell>
          <cell r="N17">
            <v>0</v>
          </cell>
          <cell r="O17">
            <v>0</v>
          </cell>
          <cell r="P17">
            <v>2</v>
          </cell>
        </row>
        <row r="18">
          <cell r="L18">
            <v>2016</v>
          </cell>
          <cell r="M18">
            <v>2</v>
          </cell>
          <cell r="N18">
            <v>0</v>
          </cell>
          <cell r="O18">
            <v>0</v>
          </cell>
          <cell r="P18">
            <v>2</v>
          </cell>
        </row>
        <row r="19">
          <cell r="L19">
            <v>2017</v>
          </cell>
          <cell r="M19">
            <v>2</v>
          </cell>
          <cell r="N19">
            <v>0</v>
          </cell>
          <cell r="O19">
            <v>0</v>
          </cell>
          <cell r="P19">
            <v>2</v>
          </cell>
        </row>
        <row r="20">
          <cell r="L20">
            <v>2018</v>
          </cell>
          <cell r="M20">
            <v>2</v>
          </cell>
          <cell r="N20">
            <v>0</v>
          </cell>
          <cell r="O20">
            <v>0</v>
          </cell>
          <cell r="P20">
            <v>2</v>
          </cell>
        </row>
        <row r="21">
          <cell r="L21">
            <v>2019</v>
          </cell>
          <cell r="M21">
            <v>2</v>
          </cell>
          <cell r="N21">
            <v>0</v>
          </cell>
          <cell r="O21">
            <v>0</v>
          </cell>
          <cell r="P21">
            <v>2</v>
          </cell>
        </row>
        <row r="22">
          <cell r="L22">
            <v>2020</v>
          </cell>
          <cell r="M22">
            <v>2</v>
          </cell>
          <cell r="N22">
            <v>0</v>
          </cell>
          <cell r="O22">
            <v>0</v>
          </cell>
          <cell r="P22">
            <v>2</v>
          </cell>
        </row>
        <row r="23">
          <cell r="L23">
            <v>2021</v>
          </cell>
          <cell r="M23">
            <v>2</v>
          </cell>
          <cell r="N23">
            <v>0</v>
          </cell>
          <cell r="O23">
            <v>0</v>
          </cell>
          <cell r="P23">
            <v>2</v>
          </cell>
        </row>
        <row r="24">
          <cell r="L24">
            <v>2022</v>
          </cell>
          <cell r="M24">
            <v>2</v>
          </cell>
          <cell r="N24">
            <v>0</v>
          </cell>
          <cell r="O24">
            <v>0</v>
          </cell>
          <cell r="P24">
            <v>2</v>
          </cell>
        </row>
        <row r="25">
          <cell r="L25">
            <v>2023</v>
          </cell>
          <cell r="M25">
            <v>2</v>
          </cell>
          <cell r="N25">
            <v>0</v>
          </cell>
          <cell r="O25">
            <v>0</v>
          </cell>
          <cell r="P25">
            <v>2</v>
          </cell>
        </row>
        <row r="26">
          <cell r="L26">
            <v>2024</v>
          </cell>
          <cell r="M26">
            <v>2</v>
          </cell>
          <cell r="N26">
            <v>0</v>
          </cell>
          <cell r="O26">
            <v>0</v>
          </cell>
          <cell r="P26">
            <v>2</v>
          </cell>
        </row>
        <row r="27">
          <cell r="L27">
            <v>2025</v>
          </cell>
          <cell r="M27">
            <v>2</v>
          </cell>
          <cell r="N27">
            <v>0</v>
          </cell>
          <cell r="O27">
            <v>0</v>
          </cell>
          <cell r="P27">
            <v>2</v>
          </cell>
        </row>
        <row r="28">
          <cell r="L28">
            <v>2026</v>
          </cell>
          <cell r="M28">
            <v>2</v>
          </cell>
          <cell r="N28">
            <v>0</v>
          </cell>
          <cell r="O28">
            <v>0</v>
          </cell>
          <cell r="P28">
            <v>2</v>
          </cell>
        </row>
        <row r="29">
          <cell r="H29">
            <v>40</v>
          </cell>
          <cell r="L29">
            <v>2027</v>
          </cell>
          <cell r="M29">
            <v>2</v>
          </cell>
          <cell r="N29">
            <v>0</v>
          </cell>
          <cell r="O29">
            <v>0</v>
          </cell>
          <cell r="P29">
            <v>2</v>
          </cell>
        </row>
        <row r="30">
          <cell r="H30">
            <v>0.5</v>
          </cell>
          <cell r="L30">
            <v>2028</v>
          </cell>
          <cell r="M30">
            <v>2</v>
          </cell>
          <cell r="N30">
            <v>0</v>
          </cell>
          <cell r="O30">
            <v>0</v>
          </cell>
          <cell r="P30">
            <v>2</v>
          </cell>
        </row>
        <row r="31">
          <cell r="H31">
            <v>195</v>
          </cell>
          <cell r="L31">
            <v>2029</v>
          </cell>
          <cell r="M31">
            <v>2</v>
          </cell>
          <cell r="N31">
            <v>0</v>
          </cell>
          <cell r="O31">
            <v>0</v>
          </cell>
          <cell r="P31">
            <v>2</v>
          </cell>
        </row>
        <row r="32">
          <cell r="L32">
            <v>2030</v>
          </cell>
          <cell r="M32">
            <v>2</v>
          </cell>
          <cell r="N32">
            <v>0</v>
          </cell>
          <cell r="O32">
            <v>0</v>
          </cell>
          <cell r="P32">
            <v>2</v>
          </cell>
        </row>
        <row r="33">
          <cell r="L33">
            <v>2031</v>
          </cell>
          <cell r="M33">
            <v>2</v>
          </cell>
          <cell r="N33">
            <v>0</v>
          </cell>
          <cell r="O33">
            <v>0</v>
          </cell>
          <cell r="P33">
            <v>2</v>
          </cell>
        </row>
        <row r="34">
          <cell r="L34">
            <v>2032</v>
          </cell>
          <cell r="M34">
            <v>2</v>
          </cell>
          <cell r="N34">
            <v>0</v>
          </cell>
          <cell r="O34">
            <v>0</v>
          </cell>
          <cell r="P34">
            <v>2</v>
          </cell>
        </row>
        <row r="35">
          <cell r="H35">
            <v>0.02</v>
          </cell>
          <cell r="L35">
            <v>2033</v>
          </cell>
          <cell r="M35">
            <v>2</v>
          </cell>
          <cell r="N35">
            <v>0</v>
          </cell>
          <cell r="O35">
            <v>0</v>
          </cell>
          <cell r="P35">
            <v>2</v>
          </cell>
        </row>
        <row r="36">
          <cell r="H36">
            <v>2011</v>
          </cell>
        </row>
        <row r="47">
          <cell r="H47">
            <v>0</v>
          </cell>
        </row>
        <row r="49">
          <cell r="H49">
            <v>0</v>
          </cell>
        </row>
      </sheetData>
      <sheetData sheetId="6">
        <row r="4">
          <cell r="F4" t="str">
            <v>1980cable1</v>
          </cell>
          <cell r="G4" t="str">
            <v>2014cable2</v>
          </cell>
          <cell r="H4" t="str">
            <v>2020cable3</v>
          </cell>
          <cell r="I4" t="str">
            <v>2009diesel</v>
          </cell>
          <cell r="J4" t="str">
            <v>2011diesel</v>
          </cell>
          <cell r="K4" t="str">
            <v>2016diesel</v>
          </cell>
          <cell r="L4" t="str">
            <v>2028diesel</v>
          </cell>
          <cell r="M4" t="str">
            <v>2029diesel</v>
          </cell>
          <cell r="N4" t="str">
            <v>2031diesel</v>
          </cell>
          <cell r="O4" t="str">
            <v>2029diesel</v>
          </cell>
          <cell r="P4" t="str">
            <v>2031diesel</v>
          </cell>
          <cell r="Q4" t="str">
            <v>2010wind</v>
          </cell>
          <cell r="R4" t="str">
            <v>2030wind</v>
          </cell>
        </row>
        <row r="5">
          <cell r="Q5">
            <v>15</v>
          </cell>
          <cell r="R5">
            <v>30</v>
          </cell>
        </row>
        <row r="6">
          <cell r="F6">
            <v>45</v>
          </cell>
          <cell r="G6">
            <v>45</v>
          </cell>
          <cell r="H6">
            <v>100</v>
          </cell>
          <cell r="I6">
            <v>14</v>
          </cell>
          <cell r="J6">
            <v>28</v>
          </cell>
          <cell r="K6">
            <v>28</v>
          </cell>
          <cell r="L6">
            <v>28</v>
          </cell>
          <cell r="M6">
            <v>14</v>
          </cell>
          <cell r="N6">
            <v>56</v>
          </cell>
          <cell r="O6">
            <v>0</v>
          </cell>
          <cell r="P6">
            <v>0</v>
          </cell>
          <cell r="Q6">
            <v>0</v>
          </cell>
          <cell r="R6">
            <v>0</v>
          </cell>
        </row>
        <row r="7">
          <cell r="F7">
            <v>1980</v>
          </cell>
          <cell r="G7">
            <v>2014</v>
          </cell>
          <cell r="H7">
            <v>2020</v>
          </cell>
          <cell r="I7">
            <v>2009</v>
          </cell>
          <cell r="J7">
            <v>2011</v>
          </cell>
          <cell r="K7">
            <v>2016</v>
          </cell>
          <cell r="L7">
            <v>2028</v>
          </cell>
          <cell r="M7">
            <v>2029</v>
          </cell>
          <cell r="N7">
            <v>2031</v>
          </cell>
          <cell r="O7">
            <v>2029</v>
          </cell>
          <cell r="P7">
            <v>2031</v>
          </cell>
          <cell r="Q7">
            <v>2010</v>
          </cell>
          <cell r="R7">
            <v>2030</v>
          </cell>
        </row>
        <row r="8">
          <cell r="F8" t="str">
            <v>cable1</v>
          </cell>
          <cell r="G8" t="str">
            <v>cable2</v>
          </cell>
          <cell r="H8" t="str">
            <v>cable3</v>
          </cell>
          <cell r="I8" t="str">
            <v>diesel</v>
          </cell>
          <cell r="J8" t="str">
            <v>diesel</v>
          </cell>
          <cell r="K8" t="str">
            <v>diesel</v>
          </cell>
          <cell r="L8" t="str">
            <v>diesel</v>
          </cell>
          <cell r="M8" t="str">
            <v>diesel</v>
          </cell>
          <cell r="N8" t="str">
            <v>diesel</v>
          </cell>
          <cell r="O8" t="str">
            <v>diesel</v>
          </cell>
          <cell r="P8" t="str">
            <v>diesel</v>
          </cell>
          <cell r="Q8" t="str">
            <v>wind</v>
          </cell>
          <cell r="R8" t="str">
            <v>wind</v>
          </cell>
        </row>
        <row r="9">
          <cell r="F9">
            <v>22.5</v>
          </cell>
          <cell r="G9">
            <v>0</v>
          </cell>
          <cell r="H9">
            <v>48.3</v>
          </cell>
          <cell r="I9">
            <v>21</v>
          </cell>
          <cell r="J9">
            <v>42</v>
          </cell>
          <cell r="K9">
            <v>42</v>
          </cell>
          <cell r="L9">
            <v>42</v>
          </cell>
          <cell r="M9">
            <v>21</v>
          </cell>
          <cell r="N9">
            <v>84</v>
          </cell>
          <cell r="O9">
            <v>0</v>
          </cell>
          <cell r="P9">
            <v>0</v>
          </cell>
          <cell r="Q9">
            <v>0</v>
          </cell>
          <cell r="R9">
            <v>0</v>
          </cell>
        </row>
        <row r="10">
          <cell r="F10">
            <v>34</v>
          </cell>
          <cell r="G10">
            <v>6</v>
          </cell>
          <cell r="H10">
            <v>40</v>
          </cell>
          <cell r="I10">
            <v>20</v>
          </cell>
          <cell r="J10">
            <v>20</v>
          </cell>
          <cell r="K10">
            <v>20</v>
          </cell>
          <cell r="L10">
            <v>20</v>
          </cell>
          <cell r="M10">
            <v>20</v>
          </cell>
          <cell r="N10">
            <v>20</v>
          </cell>
          <cell r="O10">
            <v>20</v>
          </cell>
          <cell r="P10">
            <v>20</v>
          </cell>
          <cell r="Q10">
            <v>20</v>
          </cell>
          <cell r="R10">
            <v>20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o"/>
      <sheetName val="Summary"/>
      <sheetName val="Assumptions"/>
      <sheetName val="Dunga Tunguu-U"/>
      <sheetName val="Ndagoni"/>
      <sheetName val="Kambini"/>
      <sheetName val="Machui-U"/>
      <sheetName val="Mizingani"/>
      <sheetName val="Vitongoji"/>
      <sheetName val="Wanbaa"/>
      <sheetName val="Nungwi-U"/>
      <sheetName val="Matemwe-U"/>
      <sheetName val="Notes"/>
    </sheetNames>
    <sheetDataSet>
      <sheetData sheetId="2">
        <row r="5">
          <cell r="F5">
            <v>2007</v>
          </cell>
        </row>
        <row r="7">
          <cell r="F7">
            <v>1353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le"/>
      <sheetName val="Results"/>
      <sheetName val="Assumptions"/>
      <sheetName val="Outages"/>
      <sheetName val="Cash Flow"/>
      <sheetName val="Taxation"/>
      <sheetName val="Debt Repay"/>
      <sheetName val="Drawdown"/>
      <sheetName val="Fin Calcs"/>
      <sheetName val="Escalation"/>
      <sheetName val="Work Area"/>
    </sheetNames>
    <sheetDataSet>
      <sheetData sheetId="2">
        <row r="125">
          <cell r="D125">
            <v>0.1122</v>
          </cell>
        </row>
        <row r="127">
          <cell r="D127">
            <v>10</v>
          </cell>
        </row>
        <row r="129">
          <cell r="D129">
            <v>0.3366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ro"/>
      <sheetName val="Summary"/>
      <sheetName val="Basics"/>
      <sheetName val="WTP"/>
      <sheetName val="Quality-Improvement"/>
      <sheetName val="LRMC"/>
      <sheetName val="social &amp; environmental benefits"/>
      <sheetName val="Induced Production"/>
      <sheetName val="Benefit Profile"/>
      <sheetName val="Kigoma"/>
      <sheetName val="Mbeya"/>
      <sheetName val="Morogoro"/>
      <sheetName val="Mwanza"/>
      <sheetName val="Tanga"/>
      <sheetName val="Zanzibar"/>
    </sheetNames>
    <sheetDataSet>
      <sheetData sheetId="2">
        <row r="8">
          <cell r="G8">
            <v>1300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er's Guide"/>
      <sheetName val="CB_DATA_"/>
      <sheetName val="Activity Description"/>
      <sheetName val="ERR &amp; Sensitivity Analysis"/>
      <sheetName val="Summary"/>
      <sheetName val="Tanga"/>
      <sheetName val="Dodoma"/>
      <sheetName val="Morogoro"/>
      <sheetName val="Iringa"/>
      <sheetName val="Mwanza"/>
      <sheetName val="Mbeya"/>
      <sheetName val="Assumptions"/>
      <sheetName val="Tariffs"/>
      <sheetName val="WTP"/>
      <sheetName val="Quality improvement"/>
      <sheetName val="Social &amp; environmental"/>
      <sheetName val="notes"/>
      <sheetName val="ERR cal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vmlDrawing" Target="../drawings/vmlDrawing6.v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8.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B5:C44"/>
  <sheetViews>
    <sheetView showGridLines="0" zoomScale="75" zoomScaleNormal="75" zoomScaleSheetLayoutView="35" workbookViewId="0" topLeftCell="A1">
      <selection activeCell="B6" sqref="B6:C10"/>
    </sheetView>
  </sheetViews>
  <sheetFormatPr defaultColWidth="9.140625" defaultRowHeight="12.75"/>
  <cols>
    <col min="1" max="1" width="5.7109375" style="14" customWidth="1"/>
    <col min="2" max="2" width="51.8515625" style="14" customWidth="1"/>
    <col min="3" max="3" width="117.57421875" style="14" customWidth="1"/>
    <col min="4" max="4" width="5.7109375" style="14" customWidth="1"/>
    <col min="5" max="5" width="23.8515625" style="14" customWidth="1"/>
    <col min="6" max="16384" width="9.140625" style="14" customWidth="1"/>
  </cols>
  <sheetData>
    <row r="5" spans="2:3" ht="20.25">
      <c r="B5" s="322" t="s">
        <v>104</v>
      </c>
      <c r="C5" s="322"/>
    </row>
    <row r="6" spans="2:3" ht="12.75">
      <c r="B6" s="318" t="s">
        <v>216</v>
      </c>
      <c r="C6" s="318"/>
    </row>
    <row r="7" spans="2:3" ht="12.75">
      <c r="B7" s="318"/>
      <c r="C7" s="318"/>
    </row>
    <row r="8" spans="2:3" ht="12.75">
      <c r="B8" s="318"/>
      <c r="C8" s="318"/>
    </row>
    <row r="9" spans="2:3" ht="20.25" customHeight="1">
      <c r="B9" s="318"/>
      <c r="C9" s="318"/>
    </row>
    <row r="10" spans="2:3" ht="12.75">
      <c r="B10" s="318"/>
      <c r="C10" s="318"/>
    </row>
    <row r="11" spans="2:3" ht="13.5" thickBot="1">
      <c r="B11" s="321" t="s">
        <v>212</v>
      </c>
      <c r="C11" s="321"/>
    </row>
    <row r="12" spans="2:3" ht="18.75" thickTop="1">
      <c r="B12" s="316" t="s">
        <v>105</v>
      </c>
      <c r="C12" s="15" t="s">
        <v>8</v>
      </c>
    </row>
    <row r="13" spans="2:3" ht="18.75" thickBot="1">
      <c r="B13" s="317"/>
      <c r="C13" s="16" t="s">
        <v>217</v>
      </c>
    </row>
    <row r="14" spans="2:3" ht="18.75" thickTop="1">
      <c r="B14" s="284" t="s">
        <v>106</v>
      </c>
      <c r="C14" s="285" t="s">
        <v>194</v>
      </c>
    </row>
    <row r="15" spans="2:3" ht="18">
      <c r="B15" s="18" t="s">
        <v>108</v>
      </c>
      <c r="C15" s="19" t="s">
        <v>9</v>
      </c>
    </row>
    <row r="16" spans="2:3" ht="54">
      <c r="B16" s="17" t="s">
        <v>109</v>
      </c>
      <c r="C16" s="20" t="s">
        <v>208</v>
      </c>
    </row>
    <row r="17" spans="2:3" ht="29.25" customHeight="1">
      <c r="B17" s="21" t="s">
        <v>110</v>
      </c>
      <c r="C17" s="22" t="s">
        <v>206</v>
      </c>
    </row>
    <row r="18" spans="2:3" ht="18">
      <c r="B18" s="302"/>
      <c r="C18" s="22" t="s">
        <v>74</v>
      </c>
    </row>
    <row r="19" spans="2:3" ht="18">
      <c r="B19" s="303"/>
      <c r="C19" s="22" t="s">
        <v>207</v>
      </c>
    </row>
    <row r="20" spans="2:3" ht="36">
      <c r="B20" s="23" t="s">
        <v>193</v>
      </c>
      <c r="C20" s="24" t="s">
        <v>211</v>
      </c>
    </row>
    <row r="21" spans="2:3" ht="18">
      <c r="B21" s="23" t="s">
        <v>111</v>
      </c>
      <c r="C21" s="24" t="s">
        <v>190</v>
      </c>
    </row>
    <row r="22" spans="2:3" ht="18.75" thickBot="1">
      <c r="B22" s="319" t="s">
        <v>112</v>
      </c>
      <c r="C22" s="320"/>
    </row>
    <row r="23" spans="2:3" ht="18">
      <c r="B23" s="323" t="s">
        <v>113</v>
      </c>
      <c r="C23" s="324"/>
    </row>
    <row r="24" spans="2:3" ht="15">
      <c r="B24" s="314" t="s">
        <v>114</v>
      </c>
      <c r="C24" s="315"/>
    </row>
    <row r="25" spans="2:3" ht="18">
      <c r="B25" s="325"/>
      <c r="C25" s="326"/>
    </row>
    <row r="26" spans="2:3" ht="18">
      <c r="B26" s="312" t="s">
        <v>115</v>
      </c>
      <c r="C26" s="313"/>
    </row>
    <row r="27" spans="2:3" ht="15">
      <c r="B27" s="314" t="s">
        <v>116</v>
      </c>
      <c r="C27" s="315"/>
    </row>
    <row r="28" spans="2:3" ht="15">
      <c r="B28" s="25"/>
      <c r="C28" s="26"/>
    </row>
    <row r="29" spans="2:3" ht="18">
      <c r="B29" s="312" t="s">
        <v>117</v>
      </c>
      <c r="C29" s="313"/>
    </row>
    <row r="30" spans="2:3" ht="15">
      <c r="B30" s="314" t="s">
        <v>116</v>
      </c>
      <c r="C30" s="315"/>
    </row>
    <row r="31" spans="2:3" ht="12.75" customHeight="1">
      <c r="B31" s="27"/>
      <c r="C31" s="28"/>
    </row>
    <row r="32" spans="2:3" ht="12.75" customHeight="1">
      <c r="B32" s="312" t="s">
        <v>10</v>
      </c>
      <c r="C32" s="313"/>
    </row>
    <row r="33" spans="2:3" ht="20.25" customHeight="1">
      <c r="B33" s="314" t="s">
        <v>11</v>
      </c>
      <c r="C33" s="315"/>
    </row>
    <row r="34" spans="2:3" ht="12.75" customHeight="1">
      <c r="B34" s="27"/>
      <c r="C34" s="28"/>
    </row>
    <row r="35" spans="2:3" ht="18">
      <c r="B35" s="312" t="s">
        <v>118</v>
      </c>
      <c r="C35" s="313"/>
    </row>
    <row r="36" spans="2:3" ht="15">
      <c r="B36" s="314" t="s">
        <v>119</v>
      </c>
      <c r="C36" s="315"/>
    </row>
    <row r="37" spans="2:3" ht="12.75" customHeight="1" thickBot="1">
      <c r="B37" s="29"/>
      <c r="C37" s="30"/>
    </row>
    <row r="38" ht="12.75" customHeight="1" thickTop="1">
      <c r="C38" s="31"/>
    </row>
    <row r="39" ht="12.75">
      <c r="C39" s="32"/>
    </row>
    <row r="40" ht="12.75" customHeight="1">
      <c r="C40" s="32"/>
    </row>
    <row r="41" ht="15" customHeight="1">
      <c r="C41" s="32"/>
    </row>
    <row r="42" ht="12.75">
      <c r="C42" s="32"/>
    </row>
    <row r="43" ht="12.75" customHeight="1">
      <c r="C43" s="32"/>
    </row>
    <row r="44" ht="12.75" customHeight="1">
      <c r="C44" s="32"/>
    </row>
    <row r="46" ht="12.75" customHeight="1"/>
    <row r="47" ht="15" customHeight="1"/>
    <row r="49" ht="12.75" customHeight="1"/>
    <row r="50" ht="15" customHeight="1"/>
    <row r="52" ht="12.75" customHeight="1"/>
    <row r="53" ht="15" customHeight="1"/>
    <row r="55" ht="12.75" customHeight="1"/>
    <row r="56" ht="15" customHeight="1"/>
    <row r="58" ht="12.75" customHeight="1"/>
    <row r="60" ht="12.75" customHeight="1"/>
    <row r="61" ht="12.75" customHeight="1"/>
  </sheetData>
  <sheetProtection formatCells="0" insertColumns="0" insertRows="0" insertHyperlinks="0" deleteColumns="0" deleteRows="0" sort="0" autoFilter="0" pivotTables="0"/>
  <mergeCells count="16">
    <mergeCell ref="B5:C5"/>
    <mergeCell ref="B30:C30"/>
    <mergeCell ref="B23:C23"/>
    <mergeCell ref="B24:C24"/>
    <mergeCell ref="B25:C25"/>
    <mergeCell ref="B29:C29"/>
    <mergeCell ref="B26:C26"/>
    <mergeCell ref="B27:C27"/>
    <mergeCell ref="B35:C35"/>
    <mergeCell ref="B36:C36"/>
    <mergeCell ref="B12:B13"/>
    <mergeCell ref="B6:C10"/>
    <mergeCell ref="B32:C32"/>
    <mergeCell ref="B33:C33"/>
    <mergeCell ref="B22:C22"/>
    <mergeCell ref="B11:C11"/>
  </mergeCells>
  <hyperlinks>
    <hyperlink ref="B29" location="'ERR &amp; Sensitivity Analysis'!A1" display="ERR &amp; Sensitivity Analysis"/>
    <hyperlink ref="B23" location="'Activity Description'!A1" display="Activity Description"/>
    <hyperlink ref="B29:C29" location="'ERR Calculation MCC'!A1" display="ERR Calculation MCC"/>
    <hyperlink ref="B26" location="'ERR &amp; Sensitivity Analysis'!A1" display="ERR &amp; Sensitivity Analysis"/>
    <hyperlink ref="B32:C32" location="'DW Loss Savings, Farmers'!A1" display="DW Loss Savings, Farmers"/>
  </hyperlink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3.xml><?xml version="1.0" encoding="utf-8"?>
<worksheet xmlns="http://schemas.openxmlformats.org/spreadsheetml/2006/main" xmlns:r="http://schemas.openxmlformats.org/officeDocument/2006/relationships">
  <sheetPr codeName="Sheet2"/>
  <dimension ref="A5:E61"/>
  <sheetViews>
    <sheetView showGridLines="0" tabSelected="1" zoomScale="65" zoomScaleNormal="65" zoomScaleSheetLayoutView="35" workbookViewId="0" topLeftCell="A1">
      <selection activeCell="B6" sqref="B6:C10"/>
    </sheetView>
  </sheetViews>
  <sheetFormatPr defaultColWidth="9.140625" defaultRowHeight="12.75"/>
  <cols>
    <col min="1" max="1" width="5.7109375" style="14" customWidth="1"/>
    <col min="2" max="2" width="30.00390625" style="14" customWidth="1"/>
    <col min="3" max="3" width="117.57421875" style="14" customWidth="1"/>
    <col min="4" max="4" width="5.7109375" style="14" customWidth="1"/>
    <col min="5" max="5" width="23.8515625" style="14" customWidth="1"/>
    <col min="6" max="16384" width="9.140625" style="14" customWidth="1"/>
  </cols>
  <sheetData>
    <row r="5" spans="2:3" ht="20.25">
      <c r="B5" s="322" t="s">
        <v>104</v>
      </c>
      <c r="C5" s="322"/>
    </row>
    <row r="6" spans="2:3" ht="12.75">
      <c r="B6" s="318" t="s">
        <v>216</v>
      </c>
      <c r="C6" s="318"/>
    </row>
    <row r="7" spans="2:3" ht="12.75">
      <c r="B7" s="318"/>
      <c r="C7" s="318"/>
    </row>
    <row r="8" spans="2:3" ht="12.75">
      <c r="B8" s="318"/>
      <c r="C8" s="318"/>
    </row>
    <row r="9" spans="2:3" ht="20.25" customHeight="1">
      <c r="B9" s="318"/>
      <c r="C9" s="318"/>
    </row>
    <row r="10" spans="2:3" ht="12.75">
      <c r="B10" s="318"/>
      <c r="C10" s="318"/>
    </row>
    <row r="11" spans="1:5" ht="12.75">
      <c r="A11"/>
      <c r="B11" s="321" t="s">
        <v>212</v>
      </c>
      <c r="C11" s="321"/>
      <c r="D11"/>
      <c r="E11"/>
    </row>
    <row r="12" spans="1:5" ht="18">
      <c r="A12"/>
      <c r="B12" s="329" t="s">
        <v>120</v>
      </c>
      <c r="C12" s="329"/>
      <c r="D12"/>
      <c r="E12"/>
    </row>
    <row r="13" spans="1:5" s="193" customFormat="1" ht="18">
      <c r="A13" s="192"/>
      <c r="B13" s="33"/>
      <c r="C13" s="33"/>
      <c r="D13" s="192"/>
      <c r="E13" s="192"/>
    </row>
    <row r="14" spans="1:5" ht="78.75" customHeight="1">
      <c r="A14"/>
      <c r="B14" s="332" t="s">
        <v>214</v>
      </c>
      <c r="C14" s="332"/>
      <c r="D14"/>
      <c r="E14"/>
    </row>
    <row r="15" spans="1:5" ht="10.5" customHeight="1">
      <c r="A15"/>
      <c r="B15" s="311"/>
      <c r="C15" s="311"/>
      <c r="D15"/>
      <c r="E15"/>
    </row>
    <row r="16" spans="1:5" ht="40.5" customHeight="1">
      <c r="A16"/>
      <c r="B16" s="327" t="s">
        <v>218</v>
      </c>
      <c r="C16" s="327"/>
      <c r="D16"/>
      <c r="E16"/>
    </row>
    <row r="17" spans="1:5" ht="15.75" customHeight="1">
      <c r="A17"/>
      <c r="B17" s="305"/>
      <c r="C17" s="305"/>
      <c r="D17"/>
      <c r="E17"/>
    </row>
    <row r="18" spans="1:5" ht="80.25" customHeight="1">
      <c r="A18"/>
      <c r="B18" s="327" t="s">
        <v>222</v>
      </c>
      <c r="C18" s="327"/>
      <c r="D18"/>
      <c r="E18"/>
    </row>
    <row r="19" spans="1:5" ht="33.75" customHeight="1">
      <c r="A19"/>
      <c r="B19" s="33"/>
      <c r="C19" s="33"/>
      <c r="D19"/>
      <c r="E19"/>
    </row>
    <row r="20" spans="1:5" ht="22.5" customHeight="1">
      <c r="A20"/>
      <c r="B20" s="33" t="s">
        <v>121</v>
      </c>
      <c r="C20" s="33"/>
      <c r="D20"/>
      <c r="E20"/>
    </row>
    <row r="21" spans="1:5" ht="18">
      <c r="A21"/>
      <c r="B21" s="33"/>
      <c r="C21" s="33"/>
      <c r="D21"/>
      <c r="E21"/>
    </row>
    <row r="22" spans="1:5" ht="18">
      <c r="A22"/>
      <c r="B22" s="329" t="s">
        <v>226</v>
      </c>
      <c r="C22" s="329"/>
      <c r="D22"/>
      <c r="E22"/>
    </row>
    <row r="23" spans="1:5" ht="18">
      <c r="A23"/>
      <c r="B23" s="33"/>
      <c r="C23" s="33"/>
      <c r="D23"/>
      <c r="E23"/>
    </row>
    <row r="24" spans="1:5" ht="18.75">
      <c r="A24"/>
      <c r="B24" s="361" t="s">
        <v>219</v>
      </c>
      <c r="C24" s="33"/>
      <c r="D24"/>
      <c r="E24"/>
    </row>
    <row r="25" spans="1:5" ht="50.25" customHeight="1">
      <c r="A25"/>
      <c r="B25" s="331" t="s">
        <v>197</v>
      </c>
      <c r="C25" s="331"/>
      <c r="D25"/>
      <c r="E25"/>
    </row>
    <row r="26" spans="1:5" ht="30.75" customHeight="1">
      <c r="A26"/>
      <c r="B26" s="331" t="s">
        <v>198</v>
      </c>
      <c r="C26" s="331"/>
      <c r="D26"/>
      <c r="E26"/>
    </row>
    <row r="27" spans="1:5" ht="44.25" customHeight="1">
      <c r="A27"/>
      <c r="B27" s="331" t="s">
        <v>215</v>
      </c>
      <c r="C27" s="331"/>
      <c r="D27"/>
      <c r="E27"/>
    </row>
    <row r="28" spans="1:5" ht="15.75" customHeight="1">
      <c r="A28"/>
      <c r="B28" s="306"/>
      <c r="C28" s="306"/>
      <c r="D28"/>
      <c r="E28"/>
    </row>
    <row r="29" spans="1:5" ht="27" customHeight="1">
      <c r="A29"/>
      <c r="B29" s="362" t="s">
        <v>220</v>
      </c>
      <c r="C29" s="362"/>
      <c r="D29"/>
      <c r="E29"/>
    </row>
    <row r="30" spans="1:5" ht="82.5" customHeight="1">
      <c r="A30"/>
      <c r="B30" s="331" t="s">
        <v>227</v>
      </c>
      <c r="C30" s="331"/>
      <c r="D30"/>
      <c r="E30"/>
    </row>
    <row r="31" spans="1:5" ht="24.75" customHeight="1">
      <c r="A31"/>
      <c r="B31" s="331" t="s">
        <v>221</v>
      </c>
      <c r="C31" s="331"/>
      <c r="D31"/>
      <c r="E31"/>
    </row>
    <row r="32" spans="1:5" ht="18" customHeight="1">
      <c r="A32"/>
      <c r="B32" s="331" t="s">
        <v>223</v>
      </c>
      <c r="C32" s="331"/>
      <c r="D32"/>
      <c r="E32"/>
    </row>
    <row r="33" spans="1:5" ht="48" customHeight="1">
      <c r="A33"/>
      <c r="B33" s="331" t="s">
        <v>224</v>
      </c>
      <c r="C33" s="331"/>
      <c r="D33"/>
      <c r="E33"/>
    </row>
    <row r="34" spans="1:5" ht="24.75" customHeight="1">
      <c r="A34"/>
      <c r="B34" s="331" t="s">
        <v>225</v>
      </c>
      <c r="C34" s="331"/>
      <c r="D34"/>
      <c r="E34"/>
    </row>
    <row r="35" spans="1:5" ht="45.75" customHeight="1">
      <c r="A35"/>
      <c r="B35" s="34"/>
      <c r="C35" s="35"/>
      <c r="D35"/>
      <c r="E35"/>
    </row>
    <row r="36" spans="2:3" ht="18">
      <c r="B36" s="330" t="s">
        <v>122</v>
      </c>
      <c r="C36" s="330"/>
    </row>
    <row r="37" spans="2:3" ht="18">
      <c r="B37" s="328"/>
      <c r="C37" s="328"/>
    </row>
    <row r="38" spans="2:3" s="282" customFormat="1" ht="36" customHeight="1">
      <c r="B38" s="328" t="s">
        <v>189</v>
      </c>
      <c r="C38" s="328"/>
    </row>
    <row r="39" spans="2:3" ht="18" customHeight="1">
      <c r="B39" s="333" t="s">
        <v>188</v>
      </c>
      <c r="C39" s="333"/>
    </row>
    <row r="40" spans="2:3" ht="18" customHeight="1">
      <c r="B40" s="333" t="s">
        <v>209</v>
      </c>
      <c r="C40" s="333"/>
    </row>
    <row r="41" spans="2:3" ht="18">
      <c r="B41" s="333" t="s">
        <v>210</v>
      </c>
      <c r="C41" s="333"/>
    </row>
    <row r="42" spans="2:3" ht="12.75">
      <c r="B42" s="328" t="s">
        <v>204</v>
      </c>
      <c r="C42" s="328"/>
    </row>
    <row r="43" spans="2:3" ht="12.75">
      <c r="B43" s="328"/>
      <c r="C43" s="328"/>
    </row>
    <row r="44" spans="2:3" ht="12.75">
      <c r="B44" s="328"/>
      <c r="C44" s="328"/>
    </row>
    <row r="45" spans="2:3" ht="12.75">
      <c r="B45" s="328"/>
      <c r="C45" s="328"/>
    </row>
    <row r="46" spans="2:3" ht="12.75">
      <c r="B46" s="328"/>
      <c r="C46" s="328"/>
    </row>
    <row r="47" spans="2:3" ht="12.75">
      <c r="B47" s="328"/>
      <c r="C47" s="328"/>
    </row>
    <row r="48" spans="2:3" ht="12.75">
      <c r="B48" s="328"/>
      <c r="C48" s="328"/>
    </row>
    <row r="49" spans="2:3" ht="12.75">
      <c r="B49" s="328"/>
      <c r="C49" s="328"/>
    </row>
    <row r="50" spans="2:3" ht="12.75">
      <c r="B50" s="328"/>
      <c r="C50" s="328"/>
    </row>
    <row r="51" spans="2:3" ht="12.75">
      <c r="B51" s="328"/>
      <c r="C51" s="328"/>
    </row>
    <row r="52" spans="2:3" ht="12.75">
      <c r="B52" s="328"/>
      <c r="C52" s="328"/>
    </row>
    <row r="53" spans="2:3" ht="12.75">
      <c r="B53" s="328"/>
      <c r="C53" s="328"/>
    </row>
    <row r="54" ht="12.75"/>
    <row r="55" ht="12.75"/>
    <row r="56" ht="12.75" customHeight="1"/>
    <row r="57" ht="12.75" customHeight="1"/>
    <row r="58" ht="12.75"/>
    <row r="59" ht="12.75"/>
    <row r="60" ht="12.75"/>
    <row r="61" spans="2:3" ht="12.75">
      <c r="B61"/>
      <c r="C61"/>
    </row>
  </sheetData>
  <sheetProtection formatCells="0" insertColumns="0" insertRows="0" insertHyperlinks="0" deleteColumns="0" deleteRows="0" sort="0" autoFilter="0" pivotTables="0"/>
  <mergeCells count="24">
    <mergeCell ref="B16:C16"/>
    <mergeCell ref="B30:C30"/>
    <mergeCell ref="B34:C34"/>
    <mergeCell ref="B29:C29"/>
    <mergeCell ref="B31:C31"/>
    <mergeCell ref="B32:C32"/>
    <mergeCell ref="B33:C33"/>
    <mergeCell ref="B18:C18"/>
    <mergeCell ref="B39:C39"/>
    <mergeCell ref="B42:C53"/>
    <mergeCell ref="B41:C41"/>
    <mergeCell ref="B40:C40"/>
    <mergeCell ref="B5:C5"/>
    <mergeCell ref="B6:C10"/>
    <mergeCell ref="B12:C12"/>
    <mergeCell ref="B14:C14"/>
    <mergeCell ref="B11:C11"/>
    <mergeCell ref="B37:C37"/>
    <mergeCell ref="B38:C38"/>
    <mergeCell ref="B25:C25"/>
    <mergeCell ref="B26:C26"/>
    <mergeCell ref="B27:C27"/>
    <mergeCell ref="B22:C22"/>
    <mergeCell ref="B36:C36"/>
  </mergeCells>
  <printOptions horizontalCentered="1"/>
  <pageMargins left="0.25" right="0.25" top="1" bottom="1" header="0.5" footer="0.36"/>
  <pageSetup horizontalDpi="600" verticalDpi="600" orientation="portrait" scale="51" r:id="rId2"/>
  <headerFooter alignWithMargins="0">
    <oddHeader xml:space="preserve">&amp;L&amp;G&amp;R&amp;27&amp;A  &amp;10
  </oddHeader>
    <oddFooter>&amp;R&amp;P</oddFooter>
  </headerFooter>
  <legacyDrawingHF r:id="rId1"/>
</worksheet>
</file>

<file path=xl/worksheets/sheet4.xml><?xml version="1.0" encoding="utf-8"?>
<worksheet xmlns="http://schemas.openxmlformats.org/spreadsheetml/2006/main" xmlns:r="http://schemas.openxmlformats.org/officeDocument/2006/relationships">
  <sheetPr codeName="Sheet19"/>
  <dimension ref="B6:K42"/>
  <sheetViews>
    <sheetView showGridLines="0" zoomScale="58" zoomScaleNormal="58" workbookViewId="0" topLeftCell="A1">
      <selection activeCell="B7" sqref="B7:G11"/>
    </sheetView>
  </sheetViews>
  <sheetFormatPr defaultColWidth="9.140625" defaultRowHeight="12.75"/>
  <cols>
    <col min="1" max="1" width="5.7109375" style="36" customWidth="1"/>
    <col min="2" max="2" width="25.00390625" style="36" customWidth="1"/>
    <col min="3" max="3" width="55.57421875" style="36" customWidth="1"/>
    <col min="4" max="4" width="21.421875" style="36" customWidth="1"/>
    <col min="5" max="5" width="17.140625" style="37" customWidth="1"/>
    <col min="6" max="6" width="21.57421875" style="36" customWidth="1"/>
    <col min="7" max="7" width="18.28125" style="36" customWidth="1"/>
    <col min="8" max="8" width="5.7109375" style="36" customWidth="1"/>
    <col min="9" max="9" width="5.8515625" style="36" customWidth="1"/>
    <col min="10" max="10" width="9.140625" style="36" customWidth="1"/>
    <col min="11" max="11" width="21.7109375" style="36" bestFit="1" customWidth="1"/>
    <col min="12" max="16384" width="9.140625" style="36" customWidth="1"/>
  </cols>
  <sheetData>
    <row r="1" ht="12.75"/>
    <row r="6" spans="2:7" ht="20.25" customHeight="1">
      <c r="B6" s="322" t="s">
        <v>104</v>
      </c>
      <c r="C6" s="322"/>
      <c r="D6" s="322"/>
      <c r="E6" s="322"/>
      <c r="F6" s="322"/>
      <c r="G6" s="322"/>
    </row>
    <row r="7" spans="2:7" ht="12.75" customHeight="1">
      <c r="B7" s="318" t="s">
        <v>216</v>
      </c>
      <c r="C7" s="318"/>
      <c r="D7" s="318"/>
      <c r="E7" s="318"/>
      <c r="F7" s="318"/>
      <c r="G7" s="318"/>
    </row>
    <row r="8" spans="2:7" ht="12.75" customHeight="1">
      <c r="B8" s="318"/>
      <c r="C8" s="318"/>
      <c r="D8" s="318"/>
      <c r="E8" s="318"/>
      <c r="F8" s="318"/>
      <c r="G8" s="318"/>
    </row>
    <row r="9" spans="2:7" ht="12.75" customHeight="1">
      <c r="B9" s="318"/>
      <c r="C9" s="318"/>
      <c r="D9" s="318"/>
      <c r="E9" s="318"/>
      <c r="F9" s="318"/>
      <c r="G9" s="318"/>
    </row>
    <row r="10" spans="2:7" ht="12.75" customHeight="1">
      <c r="B10" s="318"/>
      <c r="C10" s="318"/>
      <c r="D10" s="318"/>
      <c r="E10" s="318"/>
      <c r="F10" s="318"/>
      <c r="G10" s="318"/>
    </row>
    <row r="11" spans="2:7" ht="12.75" customHeight="1">
      <c r="B11" s="318"/>
      <c r="C11" s="318"/>
      <c r="D11" s="318"/>
      <c r="E11" s="318"/>
      <c r="F11" s="318"/>
      <c r="G11" s="318"/>
    </row>
    <row r="12" spans="2:7" ht="12.75" customHeight="1">
      <c r="B12" s="321" t="s">
        <v>213</v>
      </c>
      <c r="C12" s="321"/>
      <c r="D12" s="321"/>
      <c r="E12" s="321"/>
      <c r="F12" s="321"/>
      <c r="G12" s="321"/>
    </row>
    <row r="13" ht="12.75"/>
    <row r="14" ht="12.75">
      <c r="F14" s="38"/>
    </row>
    <row r="15" spans="2:7" ht="18" customHeight="1">
      <c r="B15" s="310" t="s">
        <v>123</v>
      </c>
      <c r="C15" s="310"/>
      <c r="D15" s="310"/>
      <c r="E15" s="310"/>
      <c r="F15" s="310"/>
      <c r="G15" s="310"/>
    </row>
    <row r="16" ht="13.5" thickBot="1"/>
    <row r="17" spans="2:7" ht="13.5" thickTop="1">
      <c r="B17" s="39" t="s">
        <v>124</v>
      </c>
      <c r="C17" s="40"/>
      <c r="D17" s="40"/>
      <c r="E17" s="41"/>
      <c r="F17" s="40"/>
      <c r="G17" s="42"/>
    </row>
    <row r="18" spans="2:7" ht="12.75" customHeight="1">
      <c r="B18" s="334" t="s">
        <v>199</v>
      </c>
      <c r="C18" s="335"/>
      <c r="D18" s="335"/>
      <c r="E18" s="335"/>
      <c r="F18" s="335"/>
      <c r="G18" s="336"/>
    </row>
    <row r="19" spans="2:7" ht="12.75">
      <c r="B19" s="334"/>
      <c r="C19" s="335"/>
      <c r="D19" s="335"/>
      <c r="E19" s="335"/>
      <c r="F19" s="335"/>
      <c r="G19" s="336"/>
    </row>
    <row r="20" spans="2:7" ht="13.5" thickBot="1">
      <c r="B20" s="307"/>
      <c r="C20" s="308"/>
      <c r="D20" s="308"/>
      <c r="E20" s="308"/>
      <c r="F20" s="308"/>
      <c r="G20" s="309"/>
    </row>
    <row r="21" ht="13.5" thickTop="1"/>
    <row r="22" spans="2:7" ht="39" customHeight="1">
      <c r="B22" s="43"/>
      <c r="C22" s="44" t="s">
        <v>125</v>
      </c>
      <c r="D22" s="45" t="str">
        <f>IF(D26=E26,IF(D27=E27,"Y","N"),"N")</f>
        <v>Y</v>
      </c>
      <c r="E22" s="191" t="str">
        <f>IF(E28=G28,IF(E28=G28,IF(E29=G29,IF(E30=G30,IF(E33=G33,IF(E31=G31,IF(E32=G32,IF(E34=G34,"Y","N"),"N"),"N"),"N"),"N"),"N"),"N"),"N")</f>
        <v>Y</v>
      </c>
      <c r="F22" s="191" t="str">
        <f>IF(E33=G33,IF(E34=G34,IF(E22="Y","Y","N"),"N"))</f>
        <v>Y</v>
      </c>
      <c r="G22" s="43"/>
    </row>
    <row r="23" spans="2:7" ht="12.75" customHeight="1">
      <c r="B23" s="43"/>
      <c r="C23" s="43"/>
      <c r="D23" s="43"/>
      <c r="E23" s="43"/>
      <c r="F23" s="43"/>
      <c r="G23" s="43"/>
    </row>
    <row r="24" spans="2:7" ht="18">
      <c r="B24" s="337" t="s">
        <v>126</v>
      </c>
      <c r="C24" s="337" t="s">
        <v>127</v>
      </c>
      <c r="D24" s="339" t="s">
        <v>128</v>
      </c>
      <c r="E24" s="340"/>
      <c r="F24" s="340"/>
      <c r="G24" s="341"/>
    </row>
    <row r="25" spans="2:9" ht="60.75" customHeight="1" thickBot="1">
      <c r="B25" s="338"/>
      <c r="C25" s="338"/>
      <c r="D25" s="46" t="s">
        <v>129</v>
      </c>
      <c r="E25" s="47" t="s">
        <v>130</v>
      </c>
      <c r="F25" s="47" t="s">
        <v>131</v>
      </c>
      <c r="G25" s="47" t="s">
        <v>132</v>
      </c>
      <c r="I25" s="43"/>
    </row>
    <row r="26" spans="2:7" ht="36">
      <c r="B26" s="48" t="s">
        <v>133</v>
      </c>
      <c r="C26" s="49" t="s">
        <v>134</v>
      </c>
      <c r="D26" s="297">
        <v>1</v>
      </c>
      <c r="E26" s="50">
        <v>1</v>
      </c>
      <c r="F26" s="51" t="s">
        <v>205</v>
      </c>
      <c r="G26" s="52">
        <f>D26</f>
        <v>1</v>
      </c>
    </row>
    <row r="27" spans="2:9" ht="36">
      <c r="B27" s="136" t="s">
        <v>133</v>
      </c>
      <c r="C27" s="53" t="s">
        <v>135</v>
      </c>
      <c r="D27" s="298">
        <v>1</v>
      </c>
      <c r="E27" s="137">
        <v>1</v>
      </c>
      <c r="F27" s="138" t="s">
        <v>205</v>
      </c>
      <c r="G27" s="139">
        <f>D27</f>
        <v>1</v>
      </c>
      <c r="I27" s="54"/>
    </row>
    <row r="28" spans="2:11" ht="18">
      <c r="B28" s="48" t="s">
        <v>181</v>
      </c>
      <c r="C28" s="266" t="s">
        <v>153</v>
      </c>
      <c r="D28" s="299">
        <v>0.15</v>
      </c>
      <c r="E28" s="271">
        <v>0.15</v>
      </c>
      <c r="F28" s="270" t="s">
        <v>182</v>
      </c>
      <c r="G28" s="276">
        <f aca="true" t="shared" si="0" ref="G28:G34">IF($D$22="N",E28,D28)</f>
        <v>0.15</v>
      </c>
      <c r="H28"/>
      <c r="I28"/>
      <c r="K28" s="54"/>
    </row>
    <row r="29" spans="2:11" ht="36">
      <c r="B29" s="48" t="s">
        <v>181</v>
      </c>
      <c r="C29" s="266" t="s">
        <v>186</v>
      </c>
      <c r="D29" s="300">
        <v>2248</v>
      </c>
      <c r="E29" s="269">
        <v>2248</v>
      </c>
      <c r="F29" s="272" t="s">
        <v>200</v>
      </c>
      <c r="G29" s="275">
        <f t="shared" si="0"/>
        <v>2248</v>
      </c>
      <c r="H29"/>
      <c r="I29"/>
      <c r="K29" s="54"/>
    </row>
    <row r="30" spans="2:11" ht="18">
      <c r="B30" s="48" t="s">
        <v>181</v>
      </c>
      <c r="C30" s="266" t="s">
        <v>185</v>
      </c>
      <c r="D30" s="300">
        <v>2024</v>
      </c>
      <c r="E30" s="269">
        <v>2024</v>
      </c>
      <c r="F30" s="272" t="s">
        <v>201</v>
      </c>
      <c r="G30" s="275">
        <f t="shared" si="0"/>
        <v>2024</v>
      </c>
      <c r="H30"/>
      <c r="I30"/>
      <c r="K30" s="54"/>
    </row>
    <row r="31" spans="2:11" ht="21">
      <c r="B31" s="48" t="s">
        <v>181</v>
      </c>
      <c r="C31" s="266" t="s">
        <v>191</v>
      </c>
      <c r="D31" s="300">
        <v>21928</v>
      </c>
      <c r="E31" s="269">
        <v>21928</v>
      </c>
      <c r="F31" s="272" t="s">
        <v>202</v>
      </c>
      <c r="G31" s="275">
        <f t="shared" si="0"/>
        <v>21928</v>
      </c>
      <c r="H31"/>
      <c r="I31"/>
      <c r="K31" s="264"/>
    </row>
    <row r="32" spans="2:11" ht="18">
      <c r="B32" s="48" t="s">
        <v>181</v>
      </c>
      <c r="C32" s="266" t="s">
        <v>187</v>
      </c>
      <c r="D32" s="300">
        <v>9516</v>
      </c>
      <c r="E32" s="269">
        <v>9516</v>
      </c>
      <c r="F32" s="272" t="s">
        <v>203</v>
      </c>
      <c r="G32" s="275">
        <f t="shared" si="0"/>
        <v>9516</v>
      </c>
      <c r="H32"/>
      <c r="I32"/>
      <c r="K32" s="54"/>
    </row>
    <row r="33" spans="2:11" ht="18">
      <c r="B33" s="48" t="s">
        <v>181</v>
      </c>
      <c r="C33" s="267" t="s">
        <v>195</v>
      </c>
      <c r="D33" s="299">
        <v>0.04</v>
      </c>
      <c r="E33" s="273">
        <v>0.04</v>
      </c>
      <c r="F33" s="270" t="s">
        <v>3</v>
      </c>
      <c r="G33" s="276">
        <f t="shared" si="0"/>
        <v>0.04</v>
      </c>
      <c r="H33"/>
      <c r="I33"/>
      <c r="K33" s="54"/>
    </row>
    <row r="34" spans="2:11" ht="18">
      <c r="B34" s="265" t="s">
        <v>181</v>
      </c>
      <c r="C34" s="268" t="s">
        <v>196</v>
      </c>
      <c r="D34" s="301">
        <v>0.09</v>
      </c>
      <c r="E34" s="277">
        <v>0.09</v>
      </c>
      <c r="F34" s="274" t="s">
        <v>4</v>
      </c>
      <c r="G34" s="278">
        <f t="shared" si="0"/>
        <v>0.09</v>
      </c>
      <c r="H34"/>
      <c r="I34"/>
      <c r="K34" s="54"/>
    </row>
    <row r="35" spans="2:9" ht="18">
      <c r="B35" s="188"/>
      <c r="C35" s="189"/>
      <c r="D35"/>
      <c r="E35" s="190"/>
      <c r="F35" s="190"/>
      <c r="G35"/>
      <c r="H35"/>
      <c r="I35"/>
    </row>
    <row r="36" spans="2:7" ht="18">
      <c r="B36" s="55"/>
      <c r="C36" s="56" t="s">
        <v>136</v>
      </c>
      <c r="D36" s="287">
        <f>'ERR Calculation'!D49</f>
        <v>0.0874571071933465</v>
      </c>
      <c r="E36" s="57"/>
      <c r="F36" s="279" t="s">
        <v>7</v>
      </c>
      <c r="G36" s="57"/>
    </row>
    <row r="37" spans="3:7" ht="15">
      <c r="C37" s="58"/>
      <c r="D37" s="57">
        <v>0.09</v>
      </c>
      <c r="E37" s="59"/>
      <c r="F37" s="280" t="s">
        <v>113</v>
      </c>
      <c r="G37" s="60"/>
    </row>
    <row r="38" spans="3:7" ht="18">
      <c r="C38" s="56" t="s">
        <v>137</v>
      </c>
      <c r="D38" s="61">
        <v>0.087</v>
      </c>
      <c r="F38" s="281" t="s">
        <v>6</v>
      </c>
      <c r="G38" s="62"/>
    </row>
    <row r="39" spans="3:7" ht="18">
      <c r="C39" s="58"/>
      <c r="D39" s="63"/>
      <c r="E39" s="62"/>
      <c r="F39" s="64"/>
      <c r="G39" s="62"/>
    </row>
    <row r="40" spans="2:9" ht="12.75">
      <c r="B40" s="342">
        <f>IF(D22="N","NOTE: Current calculations are based on USER INPUT and are not the original MCC estimates.",IF(F22="N","NOTE: Current calculations are based on USER INPUT and are not the original MCC estimates.",""))</f>
      </c>
      <c r="C40" s="342"/>
      <c r="D40" s="342"/>
      <c r="E40" s="342"/>
      <c r="F40" s="342"/>
      <c r="G40" s="342"/>
      <c r="H40" s="342"/>
      <c r="I40" s="342"/>
    </row>
    <row r="41" spans="2:9" ht="24" customHeight="1">
      <c r="B41" s="342"/>
      <c r="C41" s="342"/>
      <c r="D41" s="342"/>
      <c r="E41" s="342"/>
      <c r="F41" s="342"/>
      <c r="G41" s="342"/>
      <c r="H41" s="342"/>
      <c r="I41" s="342"/>
    </row>
    <row r="42" spans="2:6" ht="18" customHeight="1">
      <c r="B42" s="304" t="s">
        <v>192</v>
      </c>
      <c r="C42" s="304"/>
      <c r="D42" s="286"/>
      <c r="E42" s="283"/>
      <c r="F42" s="283"/>
    </row>
  </sheetData>
  <mergeCells count="10">
    <mergeCell ref="B42:C42"/>
    <mergeCell ref="B24:B25"/>
    <mergeCell ref="D24:G24"/>
    <mergeCell ref="C24:C25"/>
    <mergeCell ref="B40:I41"/>
    <mergeCell ref="B18:G20"/>
    <mergeCell ref="B6:G6"/>
    <mergeCell ref="B7:G11"/>
    <mergeCell ref="B12:G12"/>
    <mergeCell ref="B15:G15"/>
  </mergeCells>
  <hyperlinks>
    <hyperlink ref="F38" location="'User''s Guide'!A1" display="User's Guide"/>
    <hyperlink ref="F37" location="'Activity Description'!A1" display="   Activity Description"/>
  </hyperlinks>
  <printOptions horizontalCentered="1"/>
  <pageMargins left="0.25" right="0.25" top="1" bottom="1" header="0.5" footer="0.36"/>
  <pageSetup horizontalDpi="600" verticalDpi="600" orientation="portrait" scale="35" r:id="rId4"/>
  <headerFooter alignWithMargins="0">
    <oddHeader xml:space="preserve">&amp;L&amp;G&amp;R&amp;27&amp;A  &amp;10
  </oddHeader>
    <oddFooter>&amp;R&amp;P</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4"/>
  <dimension ref="B9:BV154"/>
  <sheetViews>
    <sheetView showGridLines="0" zoomScale="60" zoomScaleNormal="60" workbookViewId="0" topLeftCell="A1">
      <selection activeCell="B10" sqref="B10:U14"/>
    </sheetView>
  </sheetViews>
  <sheetFormatPr defaultColWidth="9.140625" defaultRowHeight="12.75"/>
  <cols>
    <col min="1" max="1" width="5.7109375" style="6" customWidth="1"/>
    <col min="2" max="2" width="55.28125" style="80" customWidth="1"/>
    <col min="3" max="3" width="15.57421875" style="2" bestFit="1" customWidth="1"/>
    <col min="4" max="4" width="14.8515625" style="2" bestFit="1" customWidth="1"/>
    <col min="5" max="5" width="19.140625" style="1" bestFit="1" customWidth="1"/>
    <col min="6" max="6" width="18.140625" style="3" bestFit="1" customWidth="1"/>
    <col min="7" max="8" width="16.57421875" style="3" bestFit="1" customWidth="1"/>
    <col min="9" max="16" width="15.57421875" style="3" bestFit="1" customWidth="1"/>
    <col min="17" max="39" width="15.57421875" style="6" bestFit="1" customWidth="1"/>
    <col min="40" max="55" width="10.8515625" style="6" bestFit="1" customWidth="1"/>
    <col min="56" max="16384" width="9.140625" style="6" customWidth="1"/>
  </cols>
  <sheetData>
    <row r="1" ht="18"/>
    <row r="2" ht="18"/>
    <row r="3" ht="18"/>
    <row r="4" ht="18"/>
    <row r="5" ht="18"/>
    <row r="6" ht="18"/>
    <row r="7" ht="18"/>
    <row r="8" ht="18"/>
    <row r="9" spans="2:21" ht="20.25">
      <c r="B9" s="344" t="s">
        <v>104</v>
      </c>
      <c r="C9" s="344"/>
      <c r="D9" s="344"/>
      <c r="E9" s="344"/>
      <c r="F9" s="344"/>
      <c r="G9" s="344"/>
      <c r="H9" s="344"/>
      <c r="I9" s="344"/>
      <c r="J9" s="344"/>
      <c r="K9" s="344"/>
      <c r="L9" s="344"/>
      <c r="M9" s="344"/>
      <c r="N9" s="344"/>
      <c r="O9" s="344"/>
      <c r="P9" s="344"/>
      <c r="Q9" s="344"/>
      <c r="R9" s="344"/>
      <c r="S9" s="344"/>
      <c r="T9" s="344"/>
      <c r="U9" s="344"/>
    </row>
    <row r="10" spans="2:21" ht="12.75" customHeight="1">
      <c r="B10" s="345" t="s">
        <v>216</v>
      </c>
      <c r="C10" s="345"/>
      <c r="D10" s="345"/>
      <c r="E10" s="345"/>
      <c r="F10" s="345"/>
      <c r="G10" s="345"/>
      <c r="H10" s="345"/>
      <c r="I10" s="345"/>
      <c r="J10" s="345"/>
      <c r="K10" s="345"/>
      <c r="L10" s="345"/>
      <c r="M10" s="345"/>
      <c r="N10" s="345"/>
      <c r="O10" s="345"/>
      <c r="P10" s="345"/>
      <c r="Q10" s="345"/>
      <c r="R10" s="345"/>
      <c r="S10" s="345"/>
      <c r="T10" s="345"/>
      <c r="U10" s="345"/>
    </row>
    <row r="11" spans="2:21" ht="12.75" customHeight="1">
      <c r="B11" s="345"/>
      <c r="C11" s="345"/>
      <c r="D11" s="345"/>
      <c r="E11" s="345"/>
      <c r="F11" s="345"/>
      <c r="G11" s="345"/>
      <c r="H11" s="345"/>
      <c r="I11" s="345"/>
      <c r="J11" s="345"/>
      <c r="K11" s="345"/>
      <c r="L11" s="345"/>
      <c r="M11" s="345"/>
      <c r="N11" s="345"/>
      <c r="O11" s="345"/>
      <c r="P11" s="345"/>
      <c r="Q11" s="345"/>
      <c r="R11" s="345"/>
      <c r="S11" s="345"/>
      <c r="T11" s="345"/>
      <c r="U11" s="345"/>
    </row>
    <row r="12" spans="2:21" ht="12.75" customHeight="1">
      <c r="B12" s="345"/>
      <c r="C12" s="345"/>
      <c r="D12" s="345"/>
      <c r="E12" s="345"/>
      <c r="F12" s="345"/>
      <c r="G12" s="345"/>
      <c r="H12" s="345"/>
      <c r="I12" s="345"/>
      <c r="J12" s="345"/>
      <c r="K12" s="345"/>
      <c r="L12" s="345"/>
      <c r="M12" s="345"/>
      <c r="N12" s="345"/>
      <c r="O12" s="345"/>
      <c r="P12" s="345"/>
      <c r="Q12" s="345"/>
      <c r="R12" s="345"/>
      <c r="S12" s="345"/>
      <c r="T12" s="345"/>
      <c r="U12" s="345"/>
    </row>
    <row r="13" spans="2:21" ht="12.75" customHeight="1">
      <c r="B13" s="345"/>
      <c r="C13" s="345"/>
      <c r="D13" s="345"/>
      <c r="E13" s="345"/>
      <c r="F13" s="345"/>
      <c r="G13" s="345"/>
      <c r="H13" s="345"/>
      <c r="I13" s="345"/>
      <c r="J13" s="345"/>
      <c r="K13" s="345"/>
      <c r="L13" s="345"/>
      <c r="M13" s="345"/>
      <c r="N13" s="345"/>
      <c r="O13" s="345"/>
      <c r="P13" s="345"/>
      <c r="Q13" s="345"/>
      <c r="R13" s="345"/>
      <c r="S13" s="345"/>
      <c r="T13" s="345"/>
      <c r="U13" s="345"/>
    </row>
    <row r="14" spans="2:21" ht="12.75" customHeight="1">
      <c r="B14" s="345"/>
      <c r="C14" s="345"/>
      <c r="D14" s="345"/>
      <c r="E14" s="345"/>
      <c r="F14" s="345"/>
      <c r="G14" s="345"/>
      <c r="H14" s="345"/>
      <c r="I14" s="345"/>
      <c r="J14" s="345"/>
      <c r="K14" s="345"/>
      <c r="L14" s="345"/>
      <c r="M14" s="345"/>
      <c r="N14" s="345"/>
      <c r="O14" s="345"/>
      <c r="P14" s="345"/>
      <c r="Q14" s="345"/>
      <c r="R14" s="345"/>
      <c r="S14" s="345"/>
      <c r="T14" s="345"/>
      <c r="U14" s="345"/>
    </row>
    <row r="15" spans="2:21" ht="12.75" customHeight="1">
      <c r="B15" s="346" t="s">
        <v>213</v>
      </c>
      <c r="C15" s="346"/>
      <c r="D15" s="346"/>
      <c r="E15" s="346"/>
      <c r="F15" s="346"/>
      <c r="G15" s="346"/>
      <c r="H15" s="346"/>
      <c r="I15" s="346"/>
      <c r="J15" s="346"/>
      <c r="K15" s="346"/>
      <c r="L15" s="346"/>
      <c r="M15" s="346"/>
      <c r="N15" s="346"/>
      <c r="O15" s="346"/>
      <c r="P15" s="346"/>
      <c r="Q15" s="346"/>
      <c r="R15" s="346"/>
      <c r="S15" s="346"/>
      <c r="T15" s="346"/>
      <c r="U15" s="346"/>
    </row>
    <row r="16" spans="2:21" ht="12.75" customHeight="1">
      <c r="B16" s="342">
        <f>IF('ERR &amp; Sensitivity Analysis'!D22="N","NOTE: Current calculations are based on USER INPUT and are not the original MCC estimates.",IF('ERR &amp; Sensitivity Analysis'!F22="N","NOTE: Current calculations are based on USER INPUT and are not the original MCC estimates.",""))</f>
      </c>
      <c r="C16" s="342"/>
      <c r="D16" s="342"/>
      <c r="E16" s="342"/>
      <c r="F16" s="342"/>
      <c r="G16" s="342"/>
      <c r="H16" s="342"/>
      <c r="I16" s="342"/>
      <c r="J16" s="140"/>
      <c r="K16" s="140"/>
      <c r="L16" s="140"/>
      <c r="M16" s="140"/>
      <c r="N16" s="140"/>
      <c r="O16" s="140"/>
      <c r="P16" s="140"/>
      <c r="Q16" s="140"/>
      <c r="R16" s="140"/>
      <c r="S16" s="140"/>
      <c r="T16" s="140"/>
      <c r="U16" s="140"/>
    </row>
    <row r="17" spans="2:21" ht="12.75" customHeight="1">
      <c r="B17" s="342"/>
      <c r="C17" s="342"/>
      <c r="D17" s="342"/>
      <c r="E17" s="342"/>
      <c r="F17" s="342"/>
      <c r="G17" s="342"/>
      <c r="H17" s="342"/>
      <c r="I17" s="342"/>
      <c r="J17" s="140"/>
      <c r="K17" s="140"/>
      <c r="L17" s="140"/>
      <c r="M17" s="140"/>
      <c r="N17" s="140"/>
      <c r="O17" s="140"/>
      <c r="P17" s="140"/>
      <c r="Q17" s="140"/>
      <c r="R17" s="140"/>
      <c r="S17" s="140"/>
      <c r="T17" s="140"/>
      <c r="U17" s="140"/>
    </row>
    <row r="18" spans="2:5" s="11" customFormat="1" ht="18">
      <c r="B18" s="81" t="s">
        <v>90</v>
      </c>
      <c r="C18" s="72"/>
      <c r="D18" s="72"/>
      <c r="E18" s="73"/>
    </row>
    <row r="19" spans="2:42" s="83" customFormat="1" ht="18">
      <c r="B19" s="103" t="s">
        <v>86</v>
      </c>
      <c r="C19" s="84"/>
      <c r="D19" s="84"/>
      <c r="E19" s="84">
        <v>1</v>
      </c>
      <c r="F19" s="84">
        <v>2</v>
      </c>
      <c r="G19" s="84">
        <v>3</v>
      </c>
      <c r="H19" s="84">
        <v>4</v>
      </c>
      <c r="I19" s="84">
        <v>5</v>
      </c>
      <c r="J19" s="84">
        <v>6</v>
      </c>
      <c r="K19" s="84">
        <v>7</v>
      </c>
      <c r="L19" s="84">
        <v>8</v>
      </c>
      <c r="M19" s="84">
        <v>9</v>
      </c>
      <c r="N19" s="84">
        <v>10</v>
      </c>
      <c r="O19" s="84">
        <v>11</v>
      </c>
      <c r="P19" s="84">
        <v>12</v>
      </c>
      <c r="Q19" s="84">
        <v>13</v>
      </c>
      <c r="R19" s="84">
        <v>14</v>
      </c>
      <c r="S19" s="84">
        <v>15</v>
      </c>
      <c r="T19" s="84">
        <v>16</v>
      </c>
      <c r="U19" s="84">
        <v>17</v>
      </c>
      <c r="V19" s="84">
        <v>18</v>
      </c>
      <c r="W19" s="84">
        <v>19</v>
      </c>
      <c r="X19" s="84">
        <v>20</v>
      </c>
      <c r="Y19" s="84">
        <v>21</v>
      </c>
      <c r="Z19" s="84">
        <v>22</v>
      </c>
      <c r="AA19" s="84">
        <v>23</v>
      </c>
      <c r="AB19" s="84">
        <v>24</v>
      </c>
      <c r="AC19" s="84">
        <v>25</v>
      </c>
      <c r="AD19" s="84">
        <v>26</v>
      </c>
      <c r="AE19" s="84">
        <v>27</v>
      </c>
      <c r="AF19" s="84">
        <v>28</v>
      </c>
      <c r="AG19" s="84">
        <v>29</v>
      </c>
      <c r="AH19" s="84">
        <v>30</v>
      </c>
      <c r="AI19" s="84">
        <v>31</v>
      </c>
      <c r="AJ19" s="84">
        <v>32</v>
      </c>
      <c r="AK19" s="84">
        <v>33</v>
      </c>
      <c r="AL19" s="84">
        <v>34</v>
      </c>
      <c r="AM19" s="85">
        <v>35</v>
      </c>
      <c r="AN19" s="86"/>
      <c r="AO19" s="86"/>
      <c r="AP19" s="86"/>
    </row>
    <row r="20" spans="2:39" s="11" customFormat="1" ht="18">
      <c r="B20" s="104" t="s">
        <v>12</v>
      </c>
      <c r="C20" s="88"/>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90"/>
      <c r="AI20" s="87"/>
      <c r="AJ20" s="88"/>
      <c r="AK20" s="89"/>
      <c r="AL20" s="89"/>
      <c r="AM20" s="90"/>
    </row>
    <row r="21" spans="2:39" s="11" customFormat="1" ht="18">
      <c r="B21" s="91" t="s">
        <v>13</v>
      </c>
      <c r="C21" s="92"/>
      <c r="D21" s="96"/>
      <c r="E21" s="93">
        <f>+('Key Assumptions'!$C$65+MIN(+'Key Assumptions'!$C$28,MAX(0,E$19-'Key Assumptions'!$C$109))*('Key Assumptions'!$C$63-'Key Assumptions'!$C$65)/'Key Assumptions'!$C$28)*(1+'Key Assumptions'!$C$66)</f>
        <v>1948</v>
      </c>
      <c r="F21" s="93">
        <f>+('Key Assumptions'!$C$65+MIN(+'Key Assumptions'!$C$28,MAX(0,F$19-'Key Assumptions'!$C$109))*('Key Assumptions'!$C$63-'Key Assumptions'!$C$65)/'Key Assumptions'!$C$28)*(1+'Key Assumptions'!$C$66)</f>
        <v>1948</v>
      </c>
      <c r="G21" s="93">
        <f>+('Key Assumptions'!$C$65+MIN(+'Key Assumptions'!$C$28,MAX(0,G$19-'Key Assumptions'!$C$109))*('Key Assumptions'!$C$63-'Key Assumptions'!$C$65)/'Key Assumptions'!$C$28)*(1+'Key Assumptions'!$C$66)</f>
        <v>1998</v>
      </c>
      <c r="H21" s="93">
        <f>+('Key Assumptions'!$C$65+MIN(+'Key Assumptions'!$C$28,MAX(0,H$19-'Key Assumptions'!$C$109))*('Key Assumptions'!$C$63-'Key Assumptions'!$C$65)/'Key Assumptions'!$C$28)*(1+'Key Assumptions'!$C$66)</f>
        <v>2048</v>
      </c>
      <c r="I21" s="94">
        <f>+('Key Assumptions'!$C$65+MIN(+'Key Assumptions'!$C$28,MAX(0,I$19-'Key Assumptions'!$C$109))*('Key Assumptions'!$C$63-'Key Assumptions'!$C$65)/'Key Assumptions'!$C$28)*(1+'Key Assumptions'!$C$66)</f>
        <v>2098</v>
      </c>
      <c r="J21" s="94">
        <f>+('Key Assumptions'!$C$65+MIN(+'Key Assumptions'!$C$28,MAX(0,J$19-'Key Assumptions'!$C$109))*('Key Assumptions'!$C$63-'Key Assumptions'!$C$65)/'Key Assumptions'!$C$28)*(1+'Key Assumptions'!$C$66)</f>
        <v>2148</v>
      </c>
      <c r="K21" s="94">
        <f>+('Key Assumptions'!$C$65+MIN(+'Key Assumptions'!$C$28,MAX(0,K$19-'Key Assumptions'!$C$109))*('Key Assumptions'!$C$63-'Key Assumptions'!$C$65)/'Key Assumptions'!$C$28)*(1+'Key Assumptions'!$C$66)</f>
        <v>2198</v>
      </c>
      <c r="L21" s="94">
        <f>+('Key Assumptions'!$C$65+MIN(+'Key Assumptions'!$C$28,MAX(0,L$19-'Key Assumptions'!$C$109))*('Key Assumptions'!$C$63-'Key Assumptions'!$C$65)/'Key Assumptions'!$C$28)*(1+'Key Assumptions'!$C$66)</f>
        <v>2248</v>
      </c>
      <c r="M21" s="94">
        <f>+('Key Assumptions'!$C$65+MIN(+'Key Assumptions'!$C$28,MAX(0,M$19-'Key Assumptions'!$C$109))*('Key Assumptions'!$C$63-'Key Assumptions'!$C$65)/'Key Assumptions'!$C$28)*(1+'Key Assumptions'!$C$66)</f>
        <v>2248</v>
      </c>
      <c r="N21" s="94">
        <f>+('Key Assumptions'!$C$65+MIN(+'Key Assumptions'!$C$28,MAX(0,N$19-'Key Assumptions'!$C$109))*('Key Assumptions'!$C$63-'Key Assumptions'!$C$65)/'Key Assumptions'!$C$28)*(1+'Key Assumptions'!$C$66)</f>
        <v>2248</v>
      </c>
      <c r="O21" s="94">
        <f>+('Key Assumptions'!$C$65+MIN(+'Key Assumptions'!$C$28,MAX(0,O$19-'Key Assumptions'!$C$109))*('Key Assumptions'!$C$63-'Key Assumptions'!$C$65)/'Key Assumptions'!$C$28)*(1+'Key Assumptions'!$C$66)</f>
        <v>2248</v>
      </c>
      <c r="P21" s="94">
        <f>+('Key Assumptions'!$C$65+MIN(+'Key Assumptions'!$C$28,MAX(0,P$19-'Key Assumptions'!$C$109))*('Key Assumptions'!$C$63-'Key Assumptions'!$C$65)/'Key Assumptions'!$C$28)*(1+'Key Assumptions'!$C$66)</f>
        <v>2248</v>
      </c>
      <c r="Q21" s="94">
        <f>+('Key Assumptions'!$C$65+MIN(+'Key Assumptions'!$C$28,MAX(0,Q$19-'Key Assumptions'!$C$109))*('Key Assumptions'!$C$63-'Key Assumptions'!$C$65)/'Key Assumptions'!$C$28)*(1+'Key Assumptions'!$C$66)</f>
        <v>2248</v>
      </c>
      <c r="R21" s="94">
        <f>+('Key Assumptions'!$C$65+MIN(+'Key Assumptions'!$C$28,MAX(0,R$19-'Key Assumptions'!$C$109))*('Key Assumptions'!$C$63-'Key Assumptions'!$C$65)/'Key Assumptions'!$C$28)*(1+'Key Assumptions'!$C$66)</f>
        <v>2248</v>
      </c>
      <c r="S21" s="94">
        <f>+('Key Assumptions'!$C$65+MIN(+'Key Assumptions'!$C$28,MAX(0,S$19-'Key Assumptions'!$C$109))*('Key Assumptions'!$C$63-'Key Assumptions'!$C$65)/'Key Assumptions'!$C$28)*(1+'Key Assumptions'!$C$66)</f>
        <v>2248</v>
      </c>
      <c r="T21" s="94">
        <f>+('Key Assumptions'!$C$65+MIN(+'Key Assumptions'!$C$28,MAX(0,T$19-'Key Assumptions'!$C$109))*('Key Assumptions'!$C$63-'Key Assumptions'!$C$65)/'Key Assumptions'!$C$28)*(1+'Key Assumptions'!$C$66)</f>
        <v>2248</v>
      </c>
      <c r="U21" s="94">
        <f>+('Key Assumptions'!$C$65+MIN(+'Key Assumptions'!$C$28,MAX(0,U$19-'Key Assumptions'!$C$109))*('Key Assumptions'!$C$63-'Key Assumptions'!$C$65)/'Key Assumptions'!$C$28)*(1+'Key Assumptions'!$C$66)</f>
        <v>2248</v>
      </c>
      <c r="V21" s="94">
        <f>+('Key Assumptions'!$C$65+MIN(+'Key Assumptions'!$C$28,MAX(0,V$19-'Key Assumptions'!$C$109))*('Key Assumptions'!$C$63-'Key Assumptions'!$C$65)/'Key Assumptions'!$C$28)*(1+'Key Assumptions'!$C$66)</f>
        <v>2248</v>
      </c>
      <c r="W21" s="94">
        <f>+('Key Assumptions'!$C$65+MIN(+'Key Assumptions'!$C$28,MAX(0,W$19-'Key Assumptions'!$C$109))*('Key Assumptions'!$C$63-'Key Assumptions'!$C$65)/'Key Assumptions'!$C$28)*(1+'Key Assumptions'!$C$66)</f>
        <v>2248</v>
      </c>
      <c r="X21" s="94">
        <f>+('Key Assumptions'!$C$65+MIN(+'Key Assumptions'!$C$28,MAX(0,X$19-'Key Assumptions'!$C$109))*('Key Assumptions'!$C$63-'Key Assumptions'!$C$65)/'Key Assumptions'!$C$28)*(1+'Key Assumptions'!$C$66)</f>
        <v>2248</v>
      </c>
      <c r="Y21" s="94">
        <f>+('Key Assumptions'!$C$65+MIN(+'Key Assumptions'!$C$28,MAX(0,Y$19-'Key Assumptions'!$C$109))*('Key Assumptions'!$C$63-'Key Assumptions'!$C$65)/'Key Assumptions'!$C$28)*(1+'Key Assumptions'!$C$66)</f>
        <v>2248</v>
      </c>
      <c r="Z21" s="94">
        <f>+('Key Assumptions'!$C$65+MIN(+'Key Assumptions'!$C$28,MAX(0,Z$19-'Key Assumptions'!$C$109))*('Key Assumptions'!$C$63-'Key Assumptions'!$C$65)/'Key Assumptions'!$C$28)*(1+'Key Assumptions'!$C$66)</f>
        <v>2248</v>
      </c>
      <c r="AA21" s="94">
        <f>+('Key Assumptions'!$C$65+MIN(+'Key Assumptions'!$C$28,MAX(0,AA$19-'Key Assumptions'!$C$109))*('Key Assumptions'!$C$63-'Key Assumptions'!$C$65)/'Key Assumptions'!$C$28)*(1+'Key Assumptions'!$C$66)</f>
        <v>2248</v>
      </c>
      <c r="AB21" s="94">
        <f>+('Key Assumptions'!$C$65+MIN(+'Key Assumptions'!$C$28,MAX(0,AB$19-'Key Assumptions'!$C$109))*('Key Assumptions'!$C$63-'Key Assumptions'!$C$65)/'Key Assumptions'!$C$28)*(1+'Key Assumptions'!$C$66)</f>
        <v>2248</v>
      </c>
      <c r="AC21" s="94">
        <f>+('Key Assumptions'!$C$65+MIN(+'Key Assumptions'!$C$28,MAX(0,AC$19-'Key Assumptions'!$C$109))*('Key Assumptions'!$C$63-'Key Assumptions'!$C$65)/'Key Assumptions'!$C$28)*(1+'Key Assumptions'!$C$66)</f>
        <v>2248</v>
      </c>
      <c r="AD21" s="94">
        <f>+('Key Assumptions'!$C$65+MIN(+'Key Assumptions'!$C$28,MAX(0,AD$19-'Key Assumptions'!$C$109))*('Key Assumptions'!$C$63-'Key Assumptions'!$C$65)/'Key Assumptions'!$C$28)*(1+'Key Assumptions'!$C$66)</f>
        <v>2248</v>
      </c>
      <c r="AE21" s="94">
        <f>+('Key Assumptions'!$C$65+MIN(+'Key Assumptions'!$C$28,MAX(0,AE$19-'Key Assumptions'!$C$109))*('Key Assumptions'!$C$63-'Key Assumptions'!$C$65)/'Key Assumptions'!$C$28)*(1+'Key Assumptions'!$C$66)</f>
        <v>2248</v>
      </c>
      <c r="AF21" s="94">
        <f>+('Key Assumptions'!$C$65+MIN(+'Key Assumptions'!$C$28,MAX(0,AF$19-'Key Assumptions'!$C$109))*('Key Assumptions'!$C$63-'Key Assumptions'!$C$65)/'Key Assumptions'!$C$28)*(1+'Key Assumptions'!$C$66)</f>
        <v>2248</v>
      </c>
      <c r="AG21" s="94">
        <f>+('Key Assumptions'!$C$65+MIN(+'Key Assumptions'!$C$28,MAX(0,AG$19-'Key Assumptions'!$C$109))*('Key Assumptions'!$C$63-'Key Assumptions'!$C$65)/'Key Assumptions'!$C$28)*(1+'Key Assumptions'!$C$66)</f>
        <v>2248</v>
      </c>
      <c r="AH21" s="95">
        <f>+('Key Assumptions'!$C$65+MIN(+'Key Assumptions'!$C$28,MAX(0,AH$19-'Key Assumptions'!$C$109))*('Key Assumptions'!$C$63-'Key Assumptions'!$C$65)/'Key Assumptions'!$C$28)*(1+'Key Assumptions'!$C$66)</f>
        <v>2248</v>
      </c>
      <c r="AI21" s="91">
        <f>+('Key Assumptions'!$C$65+MIN(+'Key Assumptions'!$C$28,MAX(0,AI$19-'Key Assumptions'!$C$109))*('Key Assumptions'!$C$63-'Key Assumptions'!$C$65)/'Key Assumptions'!$C$28)*(1+'Key Assumptions'!$C$66)</f>
        <v>2248</v>
      </c>
      <c r="AJ21" s="92">
        <f>+('Key Assumptions'!$C$65+MIN(+'Key Assumptions'!$C$28,MAX(0,AJ$19-'Key Assumptions'!$C$109))*('Key Assumptions'!$C$63-'Key Assumptions'!$C$65)/'Key Assumptions'!$C$28)*(1+'Key Assumptions'!$C$66)</f>
        <v>2248</v>
      </c>
      <c r="AK21" s="96">
        <f>+('Key Assumptions'!$C$65+MIN(+'Key Assumptions'!$C$28,MAX(0,AK$19-'Key Assumptions'!$C$109))*('Key Assumptions'!$C$63-'Key Assumptions'!$C$65)/'Key Assumptions'!$C$28)*(1+'Key Assumptions'!$C$66)</f>
        <v>2248</v>
      </c>
      <c r="AL21" s="93">
        <f>+('Key Assumptions'!$C$65+MIN(+'Key Assumptions'!$C$28,MAX(0,AL$19-'Key Assumptions'!$C$109))*('Key Assumptions'!$C$63-'Key Assumptions'!$C$65)/'Key Assumptions'!$C$28)*(1+'Key Assumptions'!$C$66)</f>
        <v>2248</v>
      </c>
      <c r="AM21" s="99">
        <f>+('Key Assumptions'!$C$65+MIN(+'Key Assumptions'!$C$28,MAX(0,AM$19-'Key Assumptions'!$C$109))*('Key Assumptions'!$C$63-'Key Assumptions'!$C$65)/'Key Assumptions'!$C$28)*(1+'Key Assumptions'!$C$66)</f>
        <v>2248</v>
      </c>
    </row>
    <row r="22" spans="2:39" s="11" customFormat="1" ht="18">
      <c r="B22" s="91" t="s">
        <v>14</v>
      </c>
      <c r="C22" s="92"/>
      <c r="D22" s="96"/>
      <c r="E22" s="93">
        <f>+'Key Assumptions'!$C$95+MIN(+'Key Assumptions'!$C$28,MAX(0,E$19-'Key Assumptions'!$C$109))*(+'Key Assumptions'!$C$93-'Key Assumptions'!$C$95)/'Key Assumptions'!$C$28</f>
        <v>10761</v>
      </c>
      <c r="F22" s="93">
        <f>+'Key Assumptions'!$C$95+MIN(+'Key Assumptions'!$C$28,MAX(0,F$19-'Key Assumptions'!$C$109))*(+'Key Assumptions'!$C$93-'Key Assumptions'!$C$95)/'Key Assumptions'!$C$28</f>
        <v>10761</v>
      </c>
      <c r="G22" s="93">
        <f>+'Key Assumptions'!$C$95+MIN(+'Key Assumptions'!$C$28,MAX(0,G$19-'Key Assumptions'!$C$109))*(+'Key Assumptions'!$C$93-'Key Assumptions'!$C$95)/'Key Assumptions'!$C$28</f>
        <v>12622.166666666666</v>
      </c>
      <c r="H22" s="93">
        <f>+'Key Assumptions'!$C$95+MIN(+'Key Assumptions'!$C$28,MAX(0,H$19-'Key Assumptions'!$C$109))*(+'Key Assumptions'!$C$93-'Key Assumptions'!$C$95)/'Key Assumptions'!$C$28</f>
        <v>14483.333333333334</v>
      </c>
      <c r="I22" s="94">
        <f>+'Key Assumptions'!$C$95+MIN(+'Key Assumptions'!$C$28,MAX(0,I$19-'Key Assumptions'!$C$109))*(+'Key Assumptions'!$C$93-'Key Assumptions'!$C$95)/'Key Assumptions'!$C$28</f>
        <v>16344.5</v>
      </c>
      <c r="J22" s="94">
        <f>+'Key Assumptions'!$C$95+MIN(+'Key Assumptions'!$C$28,MAX(0,J$19-'Key Assumptions'!$C$109))*(+'Key Assumptions'!$C$93-'Key Assumptions'!$C$95)/'Key Assumptions'!$C$28</f>
        <v>18205.666666666668</v>
      </c>
      <c r="K22" s="94">
        <f>+'Key Assumptions'!$C$95+MIN(+'Key Assumptions'!$C$28,MAX(0,K$19-'Key Assumptions'!$C$109))*(+'Key Assumptions'!$C$93-'Key Assumptions'!$C$95)/'Key Assumptions'!$C$28</f>
        <v>20066.833333333336</v>
      </c>
      <c r="L22" s="94">
        <f>+'Key Assumptions'!$C$95+MIN(+'Key Assumptions'!$C$28,MAX(0,L$19-'Key Assumptions'!$C$109))*(+'Key Assumptions'!$C$93-'Key Assumptions'!$C$95)/'Key Assumptions'!$C$28</f>
        <v>21928</v>
      </c>
      <c r="M22" s="94">
        <f>+'Key Assumptions'!$C$95+MIN(+'Key Assumptions'!$C$28,MAX(0,M$19-'Key Assumptions'!$C$109))*(+'Key Assumptions'!$C$93-'Key Assumptions'!$C$95)/'Key Assumptions'!$C$28</f>
        <v>21928</v>
      </c>
      <c r="N22" s="94">
        <f>+'Key Assumptions'!$C$95+MIN(+'Key Assumptions'!$C$28,MAX(0,N$19-'Key Assumptions'!$C$109))*(+'Key Assumptions'!$C$93-'Key Assumptions'!$C$95)/'Key Assumptions'!$C$28</f>
        <v>21928</v>
      </c>
      <c r="O22" s="94">
        <f>+'Key Assumptions'!$C$95+MIN(+'Key Assumptions'!$C$28,MAX(0,O$19-'Key Assumptions'!$C$109))*(+'Key Assumptions'!$C$93-'Key Assumptions'!$C$95)/'Key Assumptions'!$C$28</f>
        <v>21928</v>
      </c>
      <c r="P22" s="94">
        <f>+'Key Assumptions'!$C$95+MIN(+'Key Assumptions'!$C$28,MAX(0,P$19-'Key Assumptions'!$C$109))*(+'Key Assumptions'!$C$93-'Key Assumptions'!$C$95)/'Key Assumptions'!$C$28</f>
        <v>21928</v>
      </c>
      <c r="Q22" s="94">
        <f>+'Key Assumptions'!$C$95+MIN(+'Key Assumptions'!$C$28,MAX(0,Q$19-'Key Assumptions'!$C$109))*(+'Key Assumptions'!$C$93-'Key Assumptions'!$C$95)/'Key Assumptions'!$C$28</f>
        <v>21928</v>
      </c>
      <c r="R22" s="94">
        <f>+'Key Assumptions'!$C$95+MIN(+'Key Assumptions'!$C$28,MAX(0,R$19-'Key Assumptions'!$C$109))*(+'Key Assumptions'!$C$93-'Key Assumptions'!$C$95)/'Key Assumptions'!$C$28</f>
        <v>21928</v>
      </c>
      <c r="S22" s="94">
        <f>+'Key Assumptions'!$C$95+MIN(+'Key Assumptions'!$C$28,MAX(0,S$19-'Key Assumptions'!$C$109))*(+'Key Assumptions'!$C$93-'Key Assumptions'!$C$95)/'Key Assumptions'!$C$28</f>
        <v>21928</v>
      </c>
      <c r="T22" s="94">
        <f>+'Key Assumptions'!$C$95+MIN(+'Key Assumptions'!$C$28,MAX(0,T$19-'Key Assumptions'!$C$109))*(+'Key Assumptions'!$C$93-'Key Assumptions'!$C$95)/'Key Assumptions'!$C$28</f>
        <v>21928</v>
      </c>
      <c r="U22" s="94">
        <f>+'Key Assumptions'!$C$95+MIN(+'Key Assumptions'!$C$28,MAX(0,U$19-'Key Assumptions'!$C$109))*(+'Key Assumptions'!$C$93-'Key Assumptions'!$C$95)/'Key Assumptions'!$C$28</f>
        <v>21928</v>
      </c>
      <c r="V22" s="94">
        <f>+'Key Assumptions'!$C$95+MIN(+'Key Assumptions'!$C$28,MAX(0,V$19-'Key Assumptions'!$C$109))*(+'Key Assumptions'!$C$93-'Key Assumptions'!$C$95)/'Key Assumptions'!$C$28</f>
        <v>21928</v>
      </c>
      <c r="W22" s="94">
        <f>+'Key Assumptions'!$C$95+MIN(+'Key Assumptions'!$C$28,MAX(0,W$19-'Key Assumptions'!$C$109))*(+'Key Assumptions'!$C$93-'Key Assumptions'!$C$95)/'Key Assumptions'!$C$28</f>
        <v>21928</v>
      </c>
      <c r="X22" s="94">
        <f>+'Key Assumptions'!$C$95+MIN(+'Key Assumptions'!$C$28,MAX(0,X$19-'Key Assumptions'!$C$109))*(+'Key Assumptions'!$C$93-'Key Assumptions'!$C$95)/'Key Assumptions'!$C$28</f>
        <v>21928</v>
      </c>
      <c r="Y22" s="94">
        <f>+'Key Assumptions'!$C$95+MIN(+'Key Assumptions'!$C$28,MAX(0,Y$19-'Key Assumptions'!$C$109))*(+'Key Assumptions'!$C$93-'Key Assumptions'!$C$95)/'Key Assumptions'!$C$28</f>
        <v>21928</v>
      </c>
      <c r="Z22" s="94">
        <f>+'Key Assumptions'!$C$95+MIN(+'Key Assumptions'!$C$28,MAX(0,Z$19-'Key Assumptions'!$C$109))*(+'Key Assumptions'!$C$93-'Key Assumptions'!$C$95)/'Key Assumptions'!$C$28</f>
        <v>21928</v>
      </c>
      <c r="AA22" s="94">
        <f>+'Key Assumptions'!$C$95+MIN(+'Key Assumptions'!$C$28,MAX(0,AA$19-'Key Assumptions'!$C$109))*(+'Key Assumptions'!$C$93-'Key Assumptions'!$C$95)/'Key Assumptions'!$C$28</f>
        <v>21928</v>
      </c>
      <c r="AB22" s="94">
        <f>+'Key Assumptions'!$C$95+MIN(+'Key Assumptions'!$C$28,MAX(0,AB$19-'Key Assumptions'!$C$109))*(+'Key Assumptions'!$C$93-'Key Assumptions'!$C$95)/'Key Assumptions'!$C$28</f>
        <v>21928</v>
      </c>
      <c r="AC22" s="94">
        <f>+'Key Assumptions'!$C$95+MIN(+'Key Assumptions'!$C$28,MAX(0,AC$19-'Key Assumptions'!$C$109))*(+'Key Assumptions'!$C$93-'Key Assumptions'!$C$95)/'Key Assumptions'!$C$28</f>
        <v>21928</v>
      </c>
      <c r="AD22" s="94">
        <f>+'Key Assumptions'!$C$95+MIN(+'Key Assumptions'!$C$28,MAX(0,AD$19-'Key Assumptions'!$C$109))*(+'Key Assumptions'!$C$93-'Key Assumptions'!$C$95)/'Key Assumptions'!$C$28</f>
        <v>21928</v>
      </c>
      <c r="AE22" s="94">
        <f>+'Key Assumptions'!$C$95+MIN(+'Key Assumptions'!$C$28,MAX(0,AE$19-'Key Assumptions'!$C$109))*(+'Key Assumptions'!$C$93-'Key Assumptions'!$C$95)/'Key Assumptions'!$C$28</f>
        <v>21928</v>
      </c>
      <c r="AF22" s="94">
        <f>+'Key Assumptions'!$C$95+MIN(+'Key Assumptions'!$C$28,MAX(0,AF$19-'Key Assumptions'!$C$109))*(+'Key Assumptions'!$C$93-'Key Assumptions'!$C$95)/'Key Assumptions'!$C$28</f>
        <v>21928</v>
      </c>
      <c r="AG22" s="94">
        <f>+'Key Assumptions'!$C$95+MIN(+'Key Assumptions'!$C$28,MAX(0,AG$19-'Key Assumptions'!$C$109))*(+'Key Assumptions'!$C$93-'Key Assumptions'!$C$95)/'Key Assumptions'!$C$28</f>
        <v>21928</v>
      </c>
      <c r="AH22" s="95">
        <f>+'Key Assumptions'!$C$95+MIN(+'Key Assumptions'!$C$28,MAX(0,AH$19-'Key Assumptions'!$C$109))*(+'Key Assumptions'!$C$93-'Key Assumptions'!$C$95)/'Key Assumptions'!$C$28</f>
        <v>21928</v>
      </c>
      <c r="AI22" s="91">
        <f>+'Key Assumptions'!$C$95+MIN(+'Key Assumptions'!$C$28,MAX(0,AI$19-'Key Assumptions'!$C$109))*(+'Key Assumptions'!$C$93-'Key Assumptions'!$C$95)/'Key Assumptions'!$C$28</f>
        <v>21928</v>
      </c>
      <c r="AJ22" s="92">
        <f>+'Key Assumptions'!$C$95+MIN(+'Key Assumptions'!$C$28,MAX(0,AJ$19-'Key Assumptions'!$C$109))*(+'Key Assumptions'!$C$93-'Key Assumptions'!$C$95)/'Key Assumptions'!$C$28</f>
        <v>21928</v>
      </c>
      <c r="AK22" s="96">
        <f>+'Key Assumptions'!$C$95+MIN(+'Key Assumptions'!$C$28,MAX(0,AK$19-'Key Assumptions'!$C$109))*(+'Key Assumptions'!$C$93-'Key Assumptions'!$C$95)/'Key Assumptions'!$C$28</f>
        <v>21928</v>
      </c>
      <c r="AL22" s="93">
        <f>+'Key Assumptions'!$C$95+MIN(+'Key Assumptions'!$C$28,MAX(0,AL$19-'Key Assumptions'!$C$109))*(+'Key Assumptions'!$C$93-'Key Assumptions'!$C$95)/'Key Assumptions'!$C$28</f>
        <v>21928</v>
      </c>
      <c r="AM22" s="99">
        <f>+'Key Assumptions'!$C$95+MIN(+'Key Assumptions'!$C$28,MAX(0,AM$19-'Key Assumptions'!$C$109))*(+'Key Assumptions'!$C$93-'Key Assumptions'!$C$95)/'Key Assumptions'!$C$28</f>
        <v>21928</v>
      </c>
    </row>
    <row r="23" spans="2:39" s="11" customFormat="1" ht="18">
      <c r="B23" s="91" t="s">
        <v>15</v>
      </c>
      <c r="C23" s="97"/>
      <c r="D23" s="96"/>
      <c r="E23" s="93">
        <f>+E22*E21</f>
        <v>20962428</v>
      </c>
      <c r="F23" s="93">
        <f aca="true" t="shared" si="0" ref="F23:AM23">+F22*F21</f>
        <v>20962428</v>
      </c>
      <c r="G23" s="93">
        <f t="shared" si="0"/>
        <v>25219089</v>
      </c>
      <c r="H23" s="93">
        <f t="shared" si="0"/>
        <v>29661866.666666668</v>
      </c>
      <c r="I23" s="93">
        <f t="shared" si="0"/>
        <v>34290761</v>
      </c>
      <c r="J23" s="94">
        <f t="shared" si="0"/>
        <v>39105772</v>
      </c>
      <c r="K23" s="94">
        <f t="shared" si="0"/>
        <v>44106899.66666667</v>
      </c>
      <c r="L23" s="94">
        <f t="shared" si="0"/>
        <v>49294144</v>
      </c>
      <c r="M23" s="94">
        <f t="shared" si="0"/>
        <v>49294144</v>
      </c>
      <c r="N23" s="94">
        <f t="shared" si="0"/>
        <v>49294144</v>
      </c>
      <c r="O23" s="94">
        <f t="shared" si="0"/>
        <v>49294144</v>
      </c>
      <c r="P23" s="94">
        <f t="shared" si="0"/>
        <v>49294144</v>
      </c>
      <c r="Q23" s="94">
        <f t="shared" si="0"/>
        <v>49294144</v>
      </c>
      <c r="R23" s="94">
        <f t="shared" si="0"/>
        <v>49294144</v>
      </c>
      <c r="S23" s="94">
        <f t="shared" si="0"/>
        <v>49294144</v>
      </c>
      <c r="T23" s="94">
        <f t="shared" si="0"/>
        <v>49294144</v>
      </c>
      <c r="U23" s="94">
        <f t="shared" si="0"/>
        <v>49294144</v>
      </c>
      <c r="V23" s="94">
        <f t="shared" si="0"/>
        <v>49294144</v>
      </c>
      <c r="W23" s="94">
        <f t="shared" si="0"/>
        <v>49294144</v>
      </c>
      <c r="X23" s="94">
        <f t="shared" si="0"/>
        <v>49294144</v>
      </c>
      <c r="Y23" s="94">
        <f t="shared" si="0"/>
        <v>49294144</v>
      </c>
      <c r="Z23" s="94">
        <f t="shared" si="0"/>
        <v>49294144</v>
      </c>
      <c r="AA23" s="94">
        <f t="shared" si="0"/>
        <v>49294144</v>
      </c>
      <c r="AB23" s="94">
        <f t="shared" si="0"/>
        <v>49294144</v>
      </c>
      <c r="AC23" s="94">
        <f t="shared" si="0"/>
        <v>49294144</v>
      </c>
      <c r="AD23" s="94">
        <f t="shared" si="0"/>
        <v>49294144</v>
      </c>
      <c r="AE23" s="94">
        <f t="shared" si="0"/>
        <v>49294144</v>
      </c>
      <c r="AF23" s="94">
        <f t="shared" si="0"/>
        <v>49294144</v>
      </c>
      <c r="AG23" s="94">
        <f t="shared" si="0"/>
        <v>49294144</v>
      </c>
      <c r="AH23" s="95">
        <f t="shared" si="0"/>
        <v>49294144</v>
      </c>
      <c r="AI23" s="91">
        <f t="shared" si="0"/>
        <v>49294144</v>
      </c>
      <c r="AJ23" s="97">
        <f t="shared" si="0"/>
        <v>49294144</v>
      </c>
      <c r="AK23" s="96">
        <f t="shared" si="0"/>
        <v>49294144</v>
      </c>
      <c r="AL23" s="93">
        <f t="shared" si="0"/>
        <v>49294144</v>
      </c>
      <c r="AM23" s="99">
        <f t="shared" si="0"/>
        <v>49294144</v>
      </c>
    </row>
    <row r="24" spans="2:39" s="11" customFormat="1" ht="36">
      <c r="B24" s="106" t="s">
        <v>16</v>
      </c>
      <c r="C24" s="107"/>
      <c r="D24" s="108"/>
      <c r="E24" s="108">
        <f>+E29</f>
        <v>6170572.0704</v>
      </c>
      <c r="F24" s="108">
        <f>+F29*0.95</f>
        <v>5744802.5975424</v>
      </c>
      <c r="G24" s="108">
        <f>+G29*0.9</f>
        <v>5224746.783449087</v>
      </c>
      <c r="H24" s="108">
        <f>+H29*0.75</f>
        <v>4092718.3137017847</v>
      </c>
      <c r="I24" s="108">
        <f>+I29*0.6</f>
        <v>3044982.425394128</v>
      </c>
      <c r="J24" s="108">
        <f>+J29*0.55</f>
        <v>2567935.178749048</v>
      </c>
      <c r="K24" s="108">
        <f>+K29*0.5</f>
        <v>2101037.8735219482</v>
      </c>
      <c r="L24" s="108">
        <f aca="true" t="shared" si="1" ref="L24:S24">+L29*0.5</f>
        <v>1848913.3286993145</v>
      </c>
      <c r="M24" s="108">
        <f t="shared" si="1"/>
        <v>1590065.4626814104</v>
      </c>
      <c r="N24" s="108">
        <f t="shared" si="1"/>
        <v>1335654.9886523846</v>
      </c>
      <c r="O24" s="108">
        <f t="shared" si="1"/>
        <v>1095237.0906949553</v>
      </c>
      <c r="P24" s="108">
        <f t="shared" si="1"/>
        <v>876189.6725559643</v>
      </c>
      <c r="Q24" s="108">
        <f t="shared" si="1"/>
        <v>876189.6725559643</v>
      </c>
      <c r="R24" s="108">
        <f t="shared" si="1"/>
        <v>876189.6725559643</v>
      </c>
      <c r="S24" s="108">
        <f t="shared" si="1"/>
        <v>876189.6725559643</v>
      </c>
      <c r="T24" s="108">
        <v>0</v>
      </c>
      <c r="U24" s="108">
        <v>0</v>
      </c>
      <c r="V24" s="108">
        <v>0</v>
      </c>
      <c r="W24" s="108">
        <v>0</v>
      </c>
      <c r="X24" s="108">
        <v>0</v>
      </c>
      <c r="Y24" s="108">
        <v>0</v>
      </c>
      <c r="Z24" s="108">
        <v>0</v>
      </c>
      <c r="AA24" s="108">
        <v>0</v>
      </c>
      <c r="AB24" s="108">
        <v>0</v>
      </c>
      <c r="AC24" s="108">
        <v>0</v>
      </c>
      <c r="AD24" s="108">
        <v>0</v>
      </c>
      <c r="AE24" s="108">
        <v>0</v>
      </c>
      <c r="AF24" s="108">
        <v>0</v>
      </c>
      <c r="AG24" s="108">
        <v>0</v>
      </c>
      <c r="AH24" s="109">
        <v>0</v>
      </c>
      <c r="AI24" s="106">
        <v>0</v>
      </c>
      <c r="AJ24" s="107">
        <v>0</v>
      </c>
      <c r="AK24" s="108">
        <v>0</v>
      </c>
      <c r="AL24" s="108">
        <v>0</v>
      </c>
      <c r="AM24" s="109">
        <v>0</v>
      </c>
    </row>
    <row r="25" spans="2:39" s="11" customFormat="1" ht="18">
      <c r="B25" s="105" t="s">
        <v>17</v>
      </c>
      <c r="C25" s="92"/>
      <c r="D25" s="96"/>
      <c r="E25" s="93"/>
      <c r="F25" s="93"/>
      <c r="G25" s="93"/>
      <c r="H25" s="93"/>
      <c r="I25" s="93"/>
      <c r="J25" s="93"/>
      <c r="K25" s="94"/>
      <c r="L25" s="94"/>
      <c r="M25" s="94"/>
      <c r="N25" s="94"/>
      <c r="O25" s="94"/>
      <c r="P25" s="94"/>
      <c r="Q25" s="94"/>
      <c r="R25" s="94"/>
      <c r="S25" s="94"/>
      <c r="T25" s="94"/>
      <c r="U25" s="94"/>
      <c r="V25" s="94"/>
      <c r="W25" s="94"/>
      <c r="X25" s="94"/>
      <c r="Y25" s="94"/>
      <c r="Z25" s="94"/>
      <c r="AA25" s="94"/>
      <c r="AB25" s="94"/>
      <c r="AC25" s="94"/>
      <c r="AD25" s="94"/>
      <c r="AE25" s="94"/>
      <c r="AF25" s="94"/>
      <c r="AG25" s="94"/>
      <c r="AH25" s="95"/>
      <c r="AI25" s="91"/>
      <c r="AJ25" s="92"/>
      <c r="AK25" s="96"/>
      <c r="AL25" s="93"/>
      <c r="AM25" s="99"/>
    </row>
    <row r="26" spans="2:39" s="11" customFormat="1" ht="18">
      <c r="B26" s="91" t="s">
        <v>13</v>
      </c>
      <c r="C26" s="92"/>
      <c r="D26" s="93"/>
      <c r="E26" s="93">
        <f>+('Key Assumptions'!$C$65+MIN(+'Key Assumptions'!$C$28,MAX(0,E$19-'Key Assumptions'!$C$109))*(+'Key Assumptions'!$C$64-'Key Assumptions'!$C$65)/'Key Assumptions'!$C$28)*(1+'Key Assumptions'!$C$66)</f>
        <v>1948</v>
      </c>
      <c r="F26" s="93">
        <f>+('Key Assumptions'!$C$65+MIN(+'Key Assumptions'!$C$28,MAX(0,F$19-'Key Assumptions'!$C$109))*(+'Key Assumptions'!$C$64-'Key Assumptions'!$C$65)/'Key Assumptions'!$C$28)*(1+'Key Assumptions'!$C$66)</f>
        <v>1948</v>
      </c>
      <c r="G26" s="93">
        <f>+('Key Assumptions'!$C$65+MIN(+'Key Assumptions'!$C$28,MAX(0,G$19-'Key Assumptions'!$C$109))*(+'Key Assumptions'!$C$64-'Key Assumptions'!$C$65)/'Key Assumptions'!$C$28)*(1+'Key Assumptions'!$C$66)</f>
        <v>1960.6666666666667</v>
      </c>
      <c r="H26" s="93">
        <f>+('Key Assumptions'!$C$65+MIN(+'Key Assumptions'!$C$28,MAX(0,H$19-'Key Assumptions'!$C$109))*(+'Key Assumptions'!$C$64-'Key Assumptions'!$C$65)/'Key Assumptions'!$C$28)*(1+'Key Assumptions'!$C$66)</f>
        <v>1973.3333333333333</v>
      </c>
      <c r="I26" s="93">
        <f>+('Key Assumptions'!$C$65+MIN(+'Key Assumptions'!$C$28,MAX(0,I$19-'Key Assumptions'!$C$109))*(+'Key Assumptions'!$C$64-'Key Assumptions'!$C$65)/'Key Assumptions'!$C$28)*(1+'Key Assumptions'!$C$66)</f>
        <v>1986</v>
      </c>
      <c r="J26" s="93">
        <f>+('Key Assumptions'!$C$65+MIN(+'Key Assumptions'!$C$28,MAX(0,J$19-'Key Assumptions'!$C$109))*(+'Key Assumptions'!$C$64-'Key Assumptions'!$C$65)/'Key Assumptions'!$C$28)*(1+'Key Assumptions'!$C$66)</f>
        <v>1998.6666666666667</v>
      </c>
      <c r="K26" s="93">
        <f>+('Key Assumptions'!$C$65+MIN(+'Key Assumptions'!$C$28,MAX(0,K$19-'Key Assumptions'!$C$109))*(+'Key Assumptions'!$C$64-'Key Assumptions'!$C$65)/'Key Assumptions'!$C$28)*(1+'Key Assumptions'!$C$66)</f>
        <v>2011.3333333333333</v>
      </c>
      <c r="L26" s="93">
        <f>+('Key Assumptions'!$C$65+MIN(+'Key Assumptions'!$C$28,MAX(0,L$19-'Key Assumptions'!$C$109))*(+'Key Assumptions'!$C$64-'Key Assumptions'!$C$65)/'Key Assumptions'!$C$28)*(1+'Key Assumptions'!$C$66)</f>
        <v>2024</v>
      </c>
      <c r="M26" s="93">
        <f>+('Key Assumptions'!$C$65+MIN(+'Key Assumptions'!$C$28,MAX(0,M$19-'Key Assumptions'!$C$109))*(+'Key Assumptions'!$C$64-'Key Assumptions'!$C$65)/'Key Assumptions'!$C$28)*(1+'Key Assumptions'!$C$66)</f>
        <v>2024</v>
      </c>
      <c r="N26" s="93">
        <f>+('Key Assumptions'!$C$65+MIN(+'Key Assumptions'!$C$28,MAX(0,N$19-'Key Assumptions'!$C$109))*(+'Key Assumptions'!$C$64-'Key Assumptions'!$C$65)/'Key Assumptions'!$C$28)*(1+'Key Assumptions'!$C$66)</f>
        <v>2024</v>
      </c>
      <c r="O26" s="93">
        <f>+('Key Assumptions'!$C$65+MIN(+'Key Assumptions'!$C$28,MAX(0,O$19-'Key Assumptions'!$C$109))*(+'Key Assumptions'!$C$64-'Key Assumptions'!$C$65)/'Key Assumptions'!$C$28)*(1+'Key Assumptions'!$C$66)</f>
        <v>2024</v>
      </c>
      <c r="P26" s="93">
        <f>+('Key Assumptions'!$C$65+MIN(+'Key Assumptions'!$C$28,MAX(0,P$19-'Key Assumptions'!$C$109))*(+'Key Assumptions'!$C$64-'Key Assumptions'!$C$65)/'Key Assumptions'!$C$28)*(1+'Key Assumptions'!$C$66)</f>
        <v>2024</v>
      </c>
      <c r="Q26" s="93">
        <f>+('Key Assumptions'!$C$65+MIN(+'Key Assumptions'!$C$28,MAX(0,Q$19-'Key Assumptions'!$C$109))*(+'Key Assumptions'!$C$64-'Key Assumptions'!$C$65)/'Key Assumptions'!$C$28)*(1+'Key Assumptions'!$C$66)</f>
        <v>2024</v>
      </c>
      <c r="R26" s="93">
        <f>+('Key Assumptions'!$C$65+MIN(+'Key Assumptions'!$C$28,MAX(0,R$19-'Key Assumptions'!$C$109))*(+'Key Assumptions'!$C$64-'Key Assumptions'!$C$65)/'Key Assumptions'!$C$28)*(1+'Key Assumptions'!$C$66)</f>
        <v>2024</v>
      </c>
      <c r="S26" s="93">
        <f>+('Key Assumptions'!$C$65+MIN(+'Key Assumptions'!$C$28,MAX(0,S$19-'Key Assumptions'!$C$109))*(+'Key Assumptions'!$C$64-'Key Assumptions'!$C$65)/'Key Assumptions'!$C$28)*(1+'Key Assumptions'!$C$66)</f>
        <v>2024</v>
      </c>
      <c r="T26" s="93">
        <f>+('Key Assumptions'!$C$65+MIN(+'Key Assumptions'!$C$28,MAX(0,T$19-'Key Assumptions'!$C$109))*(+'Key Assumptions'!$C$64-'Key Assumptions'!$C$65)/'Key Assumptions'!$C$28)*(1+'Key Assumptions'!$C$66)</f>
        <v>2024</v>
      </c>
      <c r="U26" s="93">
        <f>+('Key Assumptions'!$C$65+MIN(+'Key Assumptions'!$C$28,MAX(0,U$19-'Key Assumptions'!$C$109))*(+'Key Assumptions'!$C$64-'Key Assumptions'!$C$65)/'Key Assumptions'!$C$28)*(1+'Key Assumptions'!$C$66)</f>
        <v>2024</v>
      </c>
      <c r="V26" s="93">
        <f>+('Key Assumptions'!$C$65+MIN(+'Key Assumptions'!$C$28,MAX(0,V$19-'Key Assumptions'!$C$109))*(+'Key Assumptions'!$C$64-'Key Assumptions'!$C$65)/'Key Assumptions'!$C$28)*(1+'Key Assumptions'!$C$66)</f>
        <v>2024</v>
      </c>
      <c r="W26" s="93">
        <f>+('Key Assumptions'!$C$65+MIN(+'Key Assumptions'!$C$28,MAX(0,W$19-'Key Assumptions'!$C$109))*(+'Key Assumptions'!$C$64-'Key Assumptions'!$C$65)/'Key Assumptions'!$C$28)*(1+'Key Assumptions'!$C$66)</f>
        <v>2024</v>
      </c>
      <c r="X26" s="93">
        <f>+('Key Assumptions'!$C$65+MIN(+'Key Assumptions'!$C$28,MAX(0,X$19-'Key Assumptions'!$C$109))*(+'Key Assumptions'!$C$64-'Key Assumptions'!$C$65)/'Key Assumptions'!$C$28)*(1+'Key Assumptions'!$C$66)</f>
        <v>2024</v>
      </c>
      <c r="Y26" s="93">
        <f>+('Key Assumptions'!$C$65+MIN(+'Key Assumptions'!$C$28,MAX(0,Y$19-'Key Assumptions'!$C$109))*(+'Key Assumptions'!$C$64-'Key Assumptions'!$C$65)/'Key Assumptions'!$C$28)*(1+'Key Assumptions'!$C$66)</f>
        <v>2024</v>
      </c>
      <c r="Z26" s="93">
        <f>+('Key Assumptions'!$C$65+MIN(+'Key Assumptions'!$C$28,MAX(0,Z$19-'Key Assumptions'!$C$109))*(+'Key Assumptions'!$C$64-'Key Assumptions'!$C$65)/'Key Assumptions'!$C$28)*(1+'Key Assumptions'!$C$66)</f>
        <v>2024</v>
      </c>
      <c r="AA26" s="93">
        <f>+('Key Assumptions'!$C$65+MIN(+'Key Assumptions'!$C$28,MAX(0,AA$19-'Key Assumptions'!$C$109))*(+'Key Assumptions'!$C$64-'Key Assumptions'!$C$65)/'Key Assumptions'!$C$28)*(1+'Key Assumptions'!$C$66)</f>
        <v>2024</v>
      </c>
      <c r="AB26" s="93">
        <f>+('Key Assumptions'!$C$65+MIN(+'Key Assumptions'!$C$28,MAX(0,AB$19-'Key Assumptions'!$C$109))*(+'Key Assumptions'!$C$64-'Key Assumptions'!$C$65)/'Key Assumptions'!$C$28)*(1+'Key Assumptions'!$C$66)</f>
        <v>2024</v>
      </c>
      <c r="AC26" s="93">
        <f>+('Key Assumptions'!$C$65+MIN(+'Key Assumptions'!$C$28,MAX(0,AC$19-'Key Assumptions'!$C$109))*(+'Key Assumptions'!$C$64-'Key Assumptions'!$C$65)/'Key Assumptions'!$C$28)*(1+'Key Assumptions'!$C$66)</f>
        <v>2024</v>
      </c>
      <c r="AD26" s="93">
        <f>+('Key Assumptions'!$C$65+MIN(+'Key Assumptions'!$C$28,MAX(0,AD$19-'Key Assumptions'!$C$109))*(+'Key Assumptions'!$C$64-'Key Assumptions'!$C$65)/'Key Assumptions'!$C$28)*(1+'Key Assumptions'!$C$66)</f>
        <v>2024</v>
      </c>
      <c r="AE26" s="93">
        <f>+('Key Assumptions'!$C$65+MIN(+'Key Assumptions'!$C$28,MAX(0,AE$19-'Key Assumptions'!$C$109))*(+'Key Assumptions'!$C$64-'Key Assumptions'!$C$65)/'Key Assumptions'!$C$28)*(1+'Key Assumptions'!$C$66)</f>
        <v>2024</v>
      </c>
      <c r="AF26" s="93">
        <f>+('Key Assumptions'!$C$65+MIN(+'Key Assumptions'!$C$28,MAX(0,AF$19-'Key Assumptions'!$C$109))*(+'Key Assumptions'!$C$64-'Key Assumptions'!$C$65)/'Key Assumptions'!$C$28)*(1+'Key Assumptions'!$C$66)</f>
        <v>2024</v>
      </c>
      <c r="AG26" s="93">
        <f>+('Key Assumptions'!$C$65+MIN(+'Key Assumptions'!$C$28,MAX(0,AG$19-'Key Assumptions'!$C$109))*(+'Key Assumptions'!$C$64-'Key Assumptions'!$C$65)/'Key Assumptions'!$C$28)*(1+'Key Assumptions'!$C$66)</f>
        <v>2024</v>
      </c>
      <c r="AH26" s="99">
        <f>+('Key Assumptions'!$C$65+MIN(+'Key Assumptions'!$C$28,MAX(0,AH$19-'Key Assumptions'!$C$109))*(+'Key Assumptions'!$C$64-'Key Assumptions'!$C$65)/'Key Assumptions'!$C$28)*(1+'Key Assumptions'!$C$66)</f>
        <v>2024</v>
      </c>
      <c r="AI26" s="91">
        <f>+('Key Assumptions'!$C$65+MIN(+'Key Assumptions'!$C$28,MAX(0,AI$19-'Key Assumptions'!$C$109))*(+'Key Assumptions'!$C$64-'Key Assumptions'!$C$65)/'Key Assumptions'!$C$28)*(1+'Key Assumptions'!$C$66)</f>
        <v>2024</v>
      </c>
      <c r="AJ26" s="92">
        <f>+('Key Assumptions'!$C$65+MIN(+'Key Assumptions'!$C$28,MAX(0,AJ$19-'Key Assumptions'!$C$109))*(+'Key Assumptions'!$C$64-'Key Assumptions'!$C$65)/'Key Assumptions'!$C$28)*(1+'Key Assumptions'!$C$66)</f>
        <v>2024</v>
      </c>
      <c r="AK26" s="93">
        <f>+('Key Assumptions'!$C$65+MIN(+'Key Assumptions'!$C$28,MAX(0,AK$19-'Key Assumptions'!$C$109))*(+'Key Assumptions'!$C$64-'Key Assumptions'!$C$65)/'Key Assumptions'!$C$28)*(1+'Key Assumptions'!$C$66)</f>
        <v>2024</v>
      </c>
      <c r="AL26" s="93">
        <f>+('Key Assumptions'!$C$65+MIN(+'Key Assumptions'!$C$28,MAX(0,AL$19-'Key Assumptions'!$C$109))*(+'Key Assumptions'!$C$64-'Key Assumptions'!$C$65)/'Key Assumptions'!$C$28)*(1+'Key Assumptions'!$C$66)</f>
        <v>2024</v>
      </c>
      <c r="AM26" s="99">
        <f>+('Key Assumptions'!$C$65+MIN(+'Key Assumptions'!$C$28,MAX(0,AM$19-'Key Assumptions'!$C$109))*(+'Key Assumptions'!$C$64-'Key Assumptions'!$C$65)/'Key Assumptions'!$C$28)*(1+'Key Assumptions'!$C$66)</f>
        <v>2024</v>
      </c>
    </row>
    <row r="27" spans="2:39" s="11" customFormat="1" ht="18">
      <c r="B27" s="91" t="s">
        <v>14</v>
      </c>
      <c r="C27" s="92"/>
      <c r="D27" s="93"/>
      <c r="E27" s="93">
        <f>+'Key Assumptions'!$C$95+MIN(+'Key Assumptions'!$C$28,MAX(0,E$19-'Key Assumptions'!$C$109))*(+'Key Assumptions'!$C$94-'Key Assumptions'!$C$95)/'Key Assumptions'!$C$28</f>
        <v>10761</v>
      </c>
      <c r="F27" s="93">
        <f>+'Key Assumptions'!$C$95+MIN(+'Key Assumptions'!$C$28,MAX(0,F$19-'Key Assumptions'!$C$109))*(+'Key Assumptions'!$C$94-'Key Assumptions'!$C$95)/'Key Assumptions'!$C$28</f>
        <v>10761</v>
      </c>
      <c r="G27" s="93">
        <f>+'Key Assumptions'!$C$95+MIN(+'Key Assumptions'!$C$28,MAX(0,G$19-'Key Assumptions'!$C$109))*(+'Key Assumptions'!$C$94-'Key Assumptions'!$C$95)/'Key Assumptions'!$C$28</f>
        <v>10553.5</v>
      </c>
      <c r="H27" s="93">
        <f>+'Key Assumptions'!$C$95+MIN(+'Key Assumptions'!$C$28,MAX(0,H$19-'Key Assumptions'!$C$109))*(+'Key Assumptions'!$C$94-'Key Assumptions'!$C$95)/'Key Assumptions'!$C$28</f>
        <v>10346</v>
      </c>
      <c r="I27" s="93">
        <f>+'Key Assumptions'!$C$95+MIN(+'Key Assumptions'!$C$28,MAX(0,I$19-'Key Assumptions'!$C$109))*(+'Key Assumptions'!$C$94-'Key Assumptions'!$C$95)/'Key Assumptions'!$C$28</f>
        <v>10138.5</v>
      </c>
      <c r="J27" s="93">
        <f>+'Key Assumptions'!$C$95+MIN(+'Key Assumptions'!$C$28,MAX(0,J$19-'Key Assumptions'!$C$109))*(+'Key Assumptions'!$C$94-'Key Assumptions'!$C$95)/'Key Assumptions'!$C$28</f>
        <v>9931</v>
      </c>
      <c r="K27" s="93">
        <f>+'Key Assumptions'!$C$95+MIN(+'Key Assumptions'!$C$28,MAX(0,K$19-'Key Assumptions'!$C$109))*(+'Key Assumptions'!$C$94-'Key Assumptions'!$C$95)/'Key Assumptions'!$C$28</f>
        <v>9723.5</v>
      </c>
      <c r="L27" s="93">
        <f>+'Key Assumptions'!$C$95+MIN(+'Key Assumptions'!$C$28,MAX(0,L$19-'Key Assumptions'!$C$109))*(+'Key Assumptions'!$C$94-'Key Assumptions'!$C$95)/'Key Assumptions'!$C$28</f>
        <v>9516</v>
      </c>
      <c r="M27" s="93">
        <f>+'Key Assumptions'!$C$95+MIN(+'Key Assumptions'!$C$28,MAX(0,M$19-'Key Assumptions'!$C$109))*(+'Key Assumptions'!$C$94-'Key Assumptions'!$C$95)/'Key Assumptions'!$C$28</f>
        <v>9516</v>
      </c>
      <c r="N27" s="93">
        <f>+'Key Assumptions'!$C$95+MIN(+'Key Assumptions'!$C$28,MAX(0,N$19-'Key Assumptions'!$C$109))*(+'Key Assumptions'!$C$94-'Key Assumptions'!$C$95)/'Key Assumptions'!$C$28</f>
        <v>9516</v>
      </c>
      <c r="O27" s="93">
        <f>+'Key Assumptions'!$C$95+MIN(+'Key Assumptions'!$C$28,MAX(0,O$19-'Key Assumptions'!$C$109))*(+'Key Assumptions'!$C$94-'Key Assumptions'!$C$95)/'Key Assumptions'!$C$28</f>
        <v>9516</v>
      </c>
      <c r="P27" s="93">
        <f>+'Key Assumptions'!$C$95+MIN(+'Key Assumptions'!$C$28,MAX(0,P$19-'Key Assumptions'!$C$109))*(+'Key Assumptions'!$C$94-'Key Assumptions'!$C$95)/'Key Assumptions'!$C$28</f>
        <v>9516</v>
      </c>
      <c r="Q27" s="93">
        <f>+'Key Assumptions'!$C$95+MIN(+'Key Assumptions'!$C$28,MAX(0,Q$19-'Key Assumptions'!$C$109))*(+'Key Assumptions'!$C$94-'Key Assumptions'!$C$95)/'Key Assumptions'!$C$28</f>
        <v>9516</v>
      </c>
      <c r="R27" s="93">
        <f>+'Key Assumptions'!$C$95+MIN(+'Key Assumptions'!$C$28,MAX(0,R$19-'Key Assumptions'!$C$109))*(+'Key Assumptions'!$C$94-'Key Assumptions'!$C$95)/'Key Assumptions'!$C$28</f>
        <v>9516</v>
      </c>
      <c r="S27" s="93">
        <f>+'Key Assumptions'!$C$95+MIN(+'Key Assumptions'!$C$28,MAX(0,S$19-'Key Assumptions'!$C$109))*(+'Key Assumptions'!$C$94-'Key Assumptions'!$C$95)/'Key Assumptions'!$C$28</f>
        <v>9516</v>
      </c>
      <c r="T27" s="93">
        <f>+'Key Assumptions'!$C$95+MIN(+'Key Assumptions'!$C$28,MAX(0,T$19-'Key Assumptions'!$C$109))*(+'Key Assumptions'!$C$94-'Key Assumptions'!$C$95)/'Key Assumptions'!$C$28</f>
        <v>9516</v>
      </c>
      <c r="U27" s="93">
        <f>+'Key Assumptions'!$C$95+MIN(+'Key Assumptions'!$C$28,MAX(0,U$19-'Key Assumptions'!$C$109))*(+'Key Assumptions'!$C$94-'Key Assumptions'!$C$95)/'Key Assumptions'!$C$28</f>
        <v>9516</v>
      </c>
      <c r="V27" s="93">
        <f>+'Key Assumptions'!$C$95+MIN(+'Key Assumptions'!$C$28,MAX(0,V$19-'Key Assumptions'!$C$109))*(+'Key Assumptions'!$C$94-'Key Assumptions'!$C$95)/'Key Assumptions'!$C$28</f>
        <v>9516</v>
      </c>
      <c r="W27" s="93">
        <f>+'Key Assumptions'!$C$95+MIN(+'Key Assumptions'!$C$28,MAX(0,W$19-'Key Assumptions'!$C$109))*(+'Key Assumptions'!$C$94-'Key Assumptions'!$C$95)/'Key Assumptions'!$C$28</f>
        <v>9516</v>
      </c>
      <c r="X27" s="93">
        <f>+'Key Assumptions'!$C$95+MIN(+'Key Assumptions'!$C$28,MAX(0,X$19-'Key Assumptions'!$C$109))*(+'Key Assumptions'!$C$94-'Key Assumptions'!$C$95)/'Key Assumptions'!$C$28</f>
        <v>9516</v>
      </c>
      <c r="Y27" s="93">
        <f>+'Key Assumptions'!$C$95+MIN(+'Key Assumptions'!$C$28,MAX(0,Y$19-'Key Assumptions'!$C$109))*(+'Key Assumptions'!$C$94-'Key Assumptions'!$C$95)/'Key Assumptions'!$C$28</f>
        <v>9516</v>
      </c>
      <c r="Z27" s="93">
        <f>+'Key Assumptions'!$C$95+MIN(+'Key Assumptions'!$C$28,MAX(0,Z$19-'Key Assumptions'!$C$109))*(+'Key Assumptions'!$C$94-'Key Assumptions'!$C$95)/'Key Assumptions'!$C$28</f>
        <v>9516</v>
      </c>
      <c r="AA27" s="93">
        <f>+'Key Assumptions'!$C$95+MIN(+'Key Assumptions'!$C$28,MAX(0,AA$19-'Key Assumptions'!$C$109))*(+'Key Assumptions'!$C$94-'Key Assumptions'!$C$95)/'Key Assumptions'!$C$28</f>
        <v>9516</v>
      </c>
      <c r="AB27" s="93">
        <f>+'Key Assumptions'!$C$95+MIN(+'Key Assumptions'!$C$28,MAX(0,AB$19-'Key Assumptions'!$C$109))*(+'Key Assumptions'!$C$94-'Key Assumptions'!$C$95)/'Key Assumptions'!$C$28</f>
        <v>9516</v>
      </c>
      <c r="AC27" s="93">
        <f>+'Key Assumptions'!$C$95+MIN(+'Key Assumptions'!$C$28,MAX(0,AC$19-'Key Assumptions'!$C$109))*(+'Key Assumptions'!$C$94-'Key Assumptions'!$C$95)/'Key Assumptions'!$C$28</f>
        <v>9516</v>
      </c>
      <c r="AD27" s="93">
        <f>+'Key Assumptions'!$C$95+MIN(+'Key Assumptions'!$C$28,MAX(0,AD$19-'Key Assumptions'!$C$109))*(+'Key Assumptions'!$C$94-'Key Assumptions'!$C$95)/'Key Assumptions'!$C$28</f>
        <v>9516</v>
      </c>
      <c r="AE27" s="93">
        <f>+'Key Assumptions'!$C$95+MIN(+'Key Assumptions'!$C$28,MAX(0,AE$19-'Key Assumptions'!$C$109))*(+'Key Assumptions'!$C$94-'Key Assumptions'!$C$95)/'Key Assumptions'!$C$28</f>
        <v>9516</v>
      </c>
      <c r="AF27" s="93">
        <f>+'Key Assumptions'!$C$95+MIN(+'Key Assumptions'!$C$28,MAX(0,AF$19-'Key Assumptions'!$C$109))*(+'Key Assumptions'!$C$94-'Key Assumptions'!$C$95)/'Key Assumptions'!$C$28</f>
        <v>9516</v>
      </c>
      <c r="AG27" s="93">
        <f>+'Key Assumptions'!$C$95+MIN(+'Key Assumptions'!$C$28,MAX(0,AG$19-'Key Assumptions'!$C$109))*(+'Key Assumptions'!$C$94-'Key Assumptions'!$C$95)/'Key Assumptions'!$C$28</f>
        <v>9516</v>
      </c>
      <c r="AH27" s="99">
        <f>+'Key Assumptions'!$C$95+MIN(+'Key Assumptions'!$C$28,MAX(0,AH$19-'Key Assumptions'!$C$109))*(+'Key Assumptions'!$C$94-'Key Assumptions'!$C$95)/'Key Assumptions'!$C$28</f>
        <v>9516</v>
      </c>
      <c r="AI27" s="91">
        <f>+'Key Assumptions'!$C$95+MIN(+'Key Assumptions'!$C$28,MAX(0,AI$19-'Key Assumptions'!$C$109))*(+'Key Assumptions'!$C$94-'Key Assumptions'!$C$95)/'Key Assumptions'!$C$28</f>
        <v>9516</v>
      </c>
      <c r="AJ27" s="92">
        <f>+'Key Assumptions'!$C$95+MIN(+'Key Assumptions'!$C$28,MAX(0,AJ$19-'Key Assumptions'!$C$109))*(+'Key Assumptions'!$C$94-'Key Assumptions'!$C$95)/'Key Assumptions'!$C$28</f>
        <v>9516</v>
      </c>
      <c r="AK27" s="93">
        <f>+'Key Assumptions'!$C$95+MIN(+'Key Assumptions'!$C$28,MAX(0,AK$19-'Key Assumptions'!$C$109))*(+'Key Assumptions'!$C$94-'Key Assumptions'!$C$95)/'Key Assumptions'!$C$28</f>
        <v>9516</v>
      </c>
      <c r="AL27" s="93">
        <f>+'Key Assumptions'!$C$95+MIN(+'Key Assumptions'!$C$28,MAX(0,AL$19-'Key Assumptions'!$C$109))*(+'Key Assumptions'!$C$94-'Key Assumptions'!$C$95)/'Key Assumptions'!$C$28</f>
        <v>9516</v>
      </c>
      <c r="AM27" s="99">
        <f>+'Key Assumptions'!$C$95+MIN(+'Key Assumptions'!$C$28,MAX(0,AM$19-'Key Assumptions'!$C$109))*(+'Key Assumptions'!$C$94-'Key Assumptions'!$C$95)/'Key Assumptions'!$C$28</f>
        <v>9516</v>
      </c>
    </row>
    <row r="28" spans="2:39" s="11" customFormat="1" ht="18">
      <c r="B28" s="91" t="s">
        <v>18</v>
      </c>
      <c r="C28" s="92"/>
      <c r="D28" s="94"/>
      <c r="E28" s="93">
        <f>+E27*E26</f>
        <v>20962428</v>
      </c>
      <c r="F28" s="93">
        <f aca="true" t="shared" si="2" ref="F28:AM28">+F27*F26</f>
        <v>20962428</v>
      </c>
      <c r="G28" s="93">
        <f t="shared" si="2"/>
        <v>20691895.666666668</v>
      </c>
      <c r="H28" s="93">
        <f t="shared" si="2"/>
        <v>20416106.666666664</v>
      </c>
      <c r="I28" s="93">
        <f t="shared" si="2"/>
        <v>20135061</v>
      </c>
      <c r="J28" s="93">
        <f t="shared" si="2"/>
        <v>19848758.666666668</v>
      </c>
      <c r="K28" s="93">
        <f t="shared" si="2"/>
        <v>19557199.666666664</v>
      </c>
      <c r="L28" s="93">
        <f t="shared" si="2"/>
        <v>19260384</v>
      </c>
      <c r="M28" s="93">
        <f t="shared" si="2"/>
        <v>19260384</v>
      </c>
      <c r="N28" s="93">
        <f t="shared" si="2"/>
        <v>19260384</v>
      </c>
      <c r="O28" s="93">
        <f t="shared" si="2"/>
        <v>19260384</v>
      </c>
      <c r="P28" s="93">
        <f t="shared" si="2"/>
        <v>19260384</v>
      </c>
      <c r="Q28" s="93">
        <f t="shared" si="2"/>
        <v>19260384</v>
      </c>
      <c r="R28" s="93">
        <f t="shared" si="2"/>
        <v>19260384</v>
      </c>
      <c r="S28" s="93">
        <f t="shared" si="2"/>
        <v>19260384</v>
      </c>
      <c r="T28" s="93">
        <f t="shared" si="2"/>
        <v>19260384</v>
      </c>
      <c r="U28" s="93">
        <f t="shared" si="2"/>
        <v>19260384</v>
      </c>
      <c r="V28" s="93">
        <f t="shared" si="2"/>
        <v>19260384</v>
      </c>
      <c r="W28" s="93">
        <f t="shared" si="2"/>
        <v>19260384</v>
      </c>
      <c r="X28" s="93">
        <f t="shared" si="2"/>
        <v>19260384</v>
      </c>
      <c r="Y28" s="93">
        <f t="shared" si="2"/>
        <v>19260384</v>
      </c>
      <c r="Z28" s="93">
        <f t="shared" si="2"/>
        <v>19260384</v>
      </c>
      <c r="AA28" s="93">
        <f t="shared" si="2"/>
        <v>19260384</v>
      </c>
      <c r="AB28" s="93">
        <f t="shared" si="2"/>
        <v>19260384</v>
      </c>
      <c r="AC28" s="93">
        <f t="shared" si="2"/>
        <v>19260384</v>
      </c>
      <c r="AD28" s="93">
        <f t="shared" si="2"/>
        <v>19260384</v>
      </c>
      <c r="AE28" s="93">
        <f t="shared" si="2"/>
        <v>19260384</v>
      </c>
      <c r="AF28" s="93">
        <f t="shared" si="2"/>
        <v>19260384</v>
      </c>
      <c r="AG28" s="93">
        <f t="shared" si="2"/>
        <v>19260384</v>
      </c>
      <c r="AH28" s="99">
        <f t="shared" si="2"/>
        <v>19260384</v>
      </c>
      <c r="AI28" s="91">
        <f t="shared" si="2"/>
        <v>19260384</v>
      </c>
      <c r="AJ28" s="92">
        <f t="shared" si="2"/>
        <v>19260384</v>
      </c>
      <c r="AK28" s="94">
        <f t="shared" si="2"/>
        <v>19260384</v>
      </c>
      <c r="AL28" s="93">
        <f t="shared" si="2"/>
        <v>19260384</v>
      </c>
      <c r="AM28" s="99">
        <f t="shared" si="2"/>
        <v>19260384</v>
      </c>
    </row>
    <row r="29" spans="2:39" s="11" customFormat="1" ht="36">
      <c r="B29" s="106" t="s">
        <v>16</v>
      </c>
      <c r="C29" s="107"/>
      <c r="D29" s="108"/>
      <c r="E29" s="108">
        <f>+E21*'Key Assumptions'!C23*'Key Assumptions'!$C$100*'Key Assumptions'!$C$103</f>
        <v>6170572.0704</v>
      </c>
      <c r="F29" s="108">
        <f>+E29*0.98</f>
        <v>6047160.628992</v>
      </c>
      <c r="G29" s="108">
        <f>+F29*0.96</f>
        <v>5805274.203832319</v>
      </c>
      <c r="H29" s="108">
        <f>+G29*0.94</f>
        <v>5456957.75160238</v>
      </c>
      <c r="I29" s="108">
        <f>+H29*0.93</f>
        <v>5074970.708990213</v>
      </c>
      <c r="J29" s="108">
        <f>+I29*0.92</f>
        <v>4668973.052270996</v>
      </c>
      <c r="K29" s="108">
        <f>+J29*0.9</f>
        <v>4202075.7470438965</v>
      </c>
      <c r="L29" s="108">
        <f>+K29*0.88</f>
        <v>3697826.657398629</v>
      </c>
      <c r="M29" s="108">
        <f>+L29*0.86</f>
        <v>3180130.9253628207</v>
      </c>
      <c r="N29" s="108">
        <f>+M29*0.84</f>
        <v>2671309.977304769</v>
      </c>
      <c r="O29" s="108">
        <f>+N29*0.82</f>
        <v>2190474.1813899106</v>
      </c>
      <c r="P29" s="108">
        <f>+O29*0.8</f>
        <v>1752379.3451119286</v>
      </c>
      <c r="Q29" s="108">
        <f>+P29</f>
        <v>1752379.3451119286</v>
      </c>
      <c r="R29" s="108">
        <f>+Q29</f>
        <v>1752379.3451119286</v>
      </c>
      <c r="S29" s="108">
        <f>+R29</f>
        <v>1752379.3451119286</v>
      </c>
      <c r="T29" s="108"/>
      <c r="U29" s="108"/>
      <c r="V29" s="108"/>
      <c r="W29" s="108"/>
      <c r="X29" s="108"/>
      <c r="Y29" s="108"/>
      <c r="Z29" s="108"/>
      <c r="AA29" s="108"/>
      <c r="AB29" s="108"/>
      <c r="AC29" s="108"/>
      <c r="AD29" s="108"/>
      <c r="AE29" s="108"/>
      <c r="AF29" s="108"/>
      <c r="AG29" s="108"/>
      <c r="AH29" s="109"/>
      <c r="AI29" s="106"/>
      <c r="AJ29" s="107"/>
      <c r="AK29" s="108"/>
      <c r="AL29" s="108"/>
      <c r="AM29" s="109"/>
    </row>
    <row r="30" spans="2:39" s="115" customFormat="1" ht="36">
      <c r="B30" s="110" t="s">
        <v>59</v>
      </c>
      <c r="C30" s="111"/>
      <c r="D30" s="112"/>
      <c r="E30" s="113">
        <f aca="true" t="shared" si="3" ref="E30:AM30">+E23-E28</f>
        <v>0</v>
      </c>
      <c r="F30" s="113">
        <f t="shared" si="3"/>
        <v>0</v>
      </c>
      <c r="G30" s="113">
        <f t="shared" si="3"/>
        <v>4527193.333333332</v>
      </c>
      <c r="H30" s="113">
        <f t="shared" si="3"/>
        <v>9245760.000000004</v>
      </c>
      <c r="I30" s="113">
        <f t="shared" si="3"/>
        <v>14155700</v>
      </c>
      <c r="J30" s="113">
        <f t="shared" si="3"/>
        <v>19257013.333333332</v>
      </c>
      <c r="K30" s="113">
        <f t="shared" si="3"/>
        <v>24549700.000000007</v>
      </c>
      <c r="L30" s="113">
        <f t="shared" si="3"/>
        <v>30033760</v>
      </c>
      <c r="M30" s="113">
        <f t="shared" si="3"/>
        <v>30033760</v>
      </c>
      <c r="N30" s="113">
        <f t="shared" si="3"/>
        <v>30033760</v>
      </c>
      <c r="O30" s="113">
        <f t="shared" si="3"/>
        <v>30033760</v>
      </c>
      <c r="P30" s="113">
        <f t="shared" si="3"/>
        <v>30033760</v>
      </c>
      <c r="Q30" s="113">
        <f t="shared" si="3"/>
        <v>30033760</v>
      </c>
      <c r="R30" s="113">
        <f t="shared" si="3"/>
        <v>30033760</v>
      </c>
      <c r="S30" s="113">
        <f t="shared" si="3"/>
        <v>30033760</v>
      </c>
      <c r="T30" s="113">
        <f t="shared" si="3"/>
        <v>30033760</v>
      </c>
      <c r="U30" s="113">
        <f t="shared" si="3"/>
        <v>30033760</v>
      </c>
      <c r="V30" s="113">
        <f t="shared" si="3"/>
        <v>30033760</v>
      </c>
      <c r="W30" s="113">
        <f t="shared" si="3"/>
        <v>30033760</v>
      </c>
      <c r="X30" s="113">
        <f t="shared" si="3"/>
        <v>30033760</v>
      </c>
      <c r="Y30" s="113">
        <f t="shared" si="3"/>
        <v>30033760</v>
      </c>
      <c r="Z30" s="113">
        <f t="shared" si="3"/>
        <v>30033760</v>
      </c>
      <c r="AA30" s="113">
        <f t="shared" si="3"/>
        <v>30033760</v>
      </c>
      <c r="AB30" s="113">
        <f t="shared" si="3"/>
        <v>30033760</v>
      </c>
      <c r="AC30" s="113">
        <f t="shared" si="3"/>
        <v>30033760</v>
      </c>
      <c r="AD30" s="113">
        <f t="shared" si="3"/>
        <v>30033760</v>
      </c>
      <c r="AE30" s="113">
        <f t="shared" si="3"/>
        <v>30033760</v>
      </c>
      <c r="AF30" s="113">
        <f t="shared" si="3"/>
        <v>30033760</v>
      </c>
      <c r="AG30" s="113">
        <f t="shared" si="3"/>
        <v>30033760</v>
      </c>
      <c r="AH30" s="114">
        <f t="shared" si="3"/>
        <v>30033760</v>
      </c>
      <c r="AI30" s="110">
        <f t="shared" si="3"/>
        <v>30033760</v>
      </c>
      <c r="AJ30" s="111">
        <f t="shared" si="3"/>
        <v>30033760</v>
      </c>
      <c r="AK30" s="112">
        <f t="shared" si="3"/>
        <v>30033760</v>
      </c>
      <c r="AL30" s="113">
        <f t="shared" si="3"/>
        <v>30033760</v>
      </c>
      <c r="AM30" s="114">
        <f t="shared" si="3"/>
        <v>30033760</v>
      </c>
    </row>
    <row r="31" spans="2:39" s="11" customFormat="1" ht="36">
      <c r="B31" s="91" t="s">
        <v>95</v>
      </c>
      <c r="C31" s="92"/>
      <c r="D31" s="94"/>
      <c r="E31" s="93">
        <f>50*'DW Loss Savings, Farmers'!D22</f>
        <v>896750</v>
      </c>
      <c r="F31" s="93">
        <f>50*'DW Loss Savings, Farmers'!E22</f>
        <v>941587.5</v>
      </c>
      <c r="G31" s="93">
        <f>50*'DW Loss Savings, Farmers'!F22</f>
        <v>1159661.5625</v>
      </c>
      <c r="H31" s="93">
        <f>50*'DW Loss Savings, Farmers'!G22</f>
        <v>1397189.0625000002</v>
      </c>
      <c r="I31" s="93">
        <f>50*'DW Loss Savings, Farmers'!H22</f>
        <v>1655570.1585937506</v>
      </c>
      <c r="J31" s="93">
        <f>50*'DW Loss Savings, Farmers'!I22</f>
        <v>1936296.3916406257</v>
      </c>
      <c r="K31" s="93">
        <f>50*'DW Loss Savings, Farmers'!J22</f>
        <v>2240956.3225957043</v>
      </c>
      <c r="L31" s="93">
        <f>50*'DW Loss Savings, Farmers'!K22</f>
        <v>2571241.5056671887</v>
      </c>
      <c r="M31" s="93">
        <f>50*'DW Loss Savings, Farmers'!L22</f>
        <v>2699803.5809505484</v>
      </c>
      <c r="N31" s="93">
        <f>50*'DW Loss Savings, Farmers'!M22</f>
        <v>2834793.7599980757</v>
      </c>
      <c r="O31" s="93">
        <f>50*'DW Loss Savings, Farmers'!N22</f>
        <v>2976533.44799798</v>
      </c>
      <c r="P31" s="93">
        <f>50*'DW Loss Savings, Farmers'!O22</f>
        <v>3125360.1203978783</v>
      </c>
      <c r="Q31" s="93">
        <f>50*'DW Loss Savings, Farmers'!P22</f>
        <v>3281628.126417773</v>
      </c>
      <c r="R31" s="93">
        <f>50*'DW Loss Savings, Farmers'!Q22</f>
        <v>3445709.532738662</v>
      </c>
      <c r="S31" s="93">
        <f>50*'DW Loss Savings, Farmers'!R22</f>
        <v>3617995.009375595</v>
      </c>
      <c r="T31" s="93"/>
      <c r="U31" s="93"/>
      <c r="V31" s="93"/>
      <c r="W31" s="93"/>
      <c r="X31" s="93"/>
      <c r="Y31" s="93"/>
      <c r="Z31" s="93"/>
      <c r="AA31" s="93"/>
      <c r="AB31" s="93"/>
      <c r="AC31" s="93"/>
      <c r="AD31" s="93"/>
      <c r="AE31" s="93"/>
      <c r="AF31" s="93"/>
      <c r="AG31" s="93"/>
      <c r="AH31" s="99"/>
      <c r="AI31" s="91"/>
      <c r="AJ31" s="92"/>
      <c r="AK31" s="94"/>
      <c r="AL31" s="93"/>
      <c r="AM31" s="99"/>
    </row>
    <row r="32" spans="2:39" s="11" customFormat="1" ht="5.25" customHeight="1">
      <c r="B32" s="91"/>
      <c r="C32" s="92"/>
      <c r="D32" s="94"/>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9"/>
      <c r="AI32" s="91"/>
      <c r="AJ32" s="92"/>
      <c r="AK32" s="94"/>
      <c r="AL32" s="93"/>
      <c r="AM32" s="99"/>
    </row>
    <row r="33" spans="2:55" s="11" customFormat="1" ht="36">
      <c r="B33" s="91" t="s">
        <v>74</v>
      </c>
      <c r="C33" s="92"/>
      <c r="D33" s="94"/>
      <c r="E33" s="93">
        <f>+'DW Loss Savings, Farmers'!D23</f>
        <v>695384.4381412512</v>
      </c>
      <c r="F33" s="93">
        <f>+'DW Loss Savings, Farmers'!E23</f>
        <v>1460307.3200966276</v>
      </c>
      <c r="G33" s="93">
        <f>+'DW Loss Savings, Farmers'!F23</f>
        <v>2697785.5872698813</v>
      </c>
      <c r="H33" s="93">
        <f>+'DW Loss Savings, Farmers'!G23</f>
        <v>5417277.504428256</v>
      </c>
      <c r="I33" s="93">
        <f>+'DW Loss Savings, Farmers'!H23</f>
        <v>6419101.742690931</v>
      </c>
      <c r="J33" s="93">
        <f>+'DW Loss Savings, Farmers'!I23</f>
        <v>7507565.2110188035</v>
      </c>
      <c r="K33" s="93">
        <f>+'DW Loss Savings, Farmers'!J23</f>
        <v>8688827.271822734</v>
      </c>
      <c r="L33" s="93">
        <f>+'DW Loss Savings, Farmers'!K23</f>
        <v>9969446.625679512</v>
      </c>
      <c r="M33" s="93">
        <f>+'DW Loss Savings, Farmers'!L23</f>
        <v>10467918.956963485</v>
      </c>
      <c r="N33" s="93">
        <f>+'DW Loss Savings, Farmers'!M23</f>
        <v>10991314.90481166</v>
      </c>
      <c r="O33" s="93">
        <f>+'DW Loss Savings, Farmers'!N23</f>
        <v>11540880.650052244</v>
      </c>
      <c r="P33" s="93">
        <f>+'DW Loss Savings, Farmers'!O23</f>
        <v>12117924.682554856</v>
      </c>
      <c r="Q33" s="93"/>
      <c r="R33" s="93"/>
      <c r="S33" s="93"/>
      <c r="T33" s="93"/>
      <c r="U33" s="93"/>
      <c r="V33" s="93"/>
      <c r="W33" s="93"/>
      <c r="X33" s="93"/>
      <c r="Y33" s="93"/>
      <c r="Z33" s="93"/>
      <c r="AA33" s="93"/>
      <c r="AB33" s="93"/>
      <c r="AC33" s="93"/>
      <c r="AD33" s="93"/>
      <c r="AE33" s="93"/>
      <c r="AF33" s="93"/>
      <c r="AG33" s="93"/>
      <c r="AH33" s="99"/>
      <c r="AI33" s="91"/>
      <c r="AJ33" s="92"/>
      <c r="AK33" s="94"/>
      <c r="AL33" s="93"/>
      <c r="AM33" s="99"/>
      <c r="AN33" s="75"/>
      <c r="AO33" s="75"/>
      <c r="AP33" s="75"/>
      <c r="AQ33" s="75"/>
      <c r="AR33" s="75"/>
      <c r="AS33" s="75"/>
      <c r="AT33" s="75"/>
      <c r="AU33" s="75"/>
      <c r="AV33" s="75"/>
      <c r="AW33" s="75"/>
      <c r="AX33" s="75"/>
      <c r="AY33" s="75"/>
      <c r="AZ33" s="75"/>
      <c r="BA33" s="75"/>
      <c r="BB33" s="75"/>
      <c r="BC33" s="75"/>
    </row>
    <row r="34" spans="2:55" s="11" customFormat="1" ht="36">
      <c r="B34" s="119" t="s">
        <v>61</v>
      </c>
      <c r="C34" s="107"/>
      <c r="D34" s="108"/>
      <c r="E34" s="108">
        <f>+E29-E24</f>
        <v>0</v>
      </c>
      <c r="F34" s="108">
        <f aca="true" t="shared" si="4" ref="F34:P34">+F29-F24</f>
        <v>302358.0314496001</v>
      </c>
      <c r="G34" s="108">
        <f t="shared" si="4"/>
        <v>580527.4203832317</v>
      </c>
      <c r="H34" s="108">
        <f t="shared" si="4"/>
        <v>1364239.437900595</v>
      </c>
      <c r="I34" s="108">
        <f t="shared" si="4"/>
        <v>2029988.2835960854</v>
      </c>
      <c r="J34" s="120">
        <f t="shared" si="4"/>
        <v>2101037.8735219482</v>
      </c>
      <c r="K34" s="120">
        <f t="shared" si="4"/>
        <v>2101037.8735219482</v>
      </c>
      <c r="L34" s="120">
        <f t="shared" si="4"/>
        <v>1848913.3286993145</v>
      </c>
      <c r="M34" s="120">
        <f t="shared" si="4"/>
        <v>1590065.4626814104</v>
      </c>
      <c r="N34" s="120">
        <f t="shared" si="4"/>
        <v>1335654.9886523846</v>
      </c>
      <c r="O34" s="120">
        <f t="shared" si="4"/>
        <v>1095237.0906949553</v>
      </c>
      <c r="P34" s="120">
        <f t="shared" si="4"/>
        <v>876189.6725559643</v>
      </c>
      <c r="Q34" s="120"/>
      <c r="R34" s="120"/>
      <c r="S34" s="120"/>
      <c r="T34" s="120"/>
      <c r="U34" s="120"/>
      <c r="V34" s="120"/>
      <c r="W34" s="120"/>
      <c r="X34" s="120"/>
      <c r="Y34" s="120"/>
      <c r="Z34" s="120"/>
      <c r="AA34" s="120"/>
      <c r="AB34" s="120"/>
      <c r="AC34" s="120"/>
      <c r="AD34" s="120"/>
      <c r="AE34" s="120"/>
      <c r="AF34" s="120"/>
      <c r="AG34" s="120"/>
      <c r="AH34" s="121"/>
      <c r="AI34" s="119"/>
      <c r="AJ34" s="107"/>
      <c r="AK34" s="108"/>
      <c r="AL34" s="108"/>
      <c r="AM34" s="109"/>
      <c r="AN34" s="74"/>
      <c r="AO34" s="75"/>
      <c r="AP34" s="75"/>
      <c r="AQ34" s="75"/>
      <c r="AR34" s="75"/>
      <c r="AS34" s="75"/>
      <c r="AT34" s="75"/>
      <c r="AU34" s="75"/>
      <c r="AV34" s="75"/>
      <c r="AW34" s="75"/>
      <c r="AX34" s="75"/>
      <c r="AY34" s="75"/>
      <c r="AZ34" s="75"/>
      <c r="BA34" s="75"/>
      <c r="BB34" s="75"/>
      <c r="BC34" s="75"/>
    </row>
    <row r="35" spans="2:40" s="115" customFormat="1" ht="18">
      <c r="B35" s="110" t="s">
        <v>93</v>
      </c>
      <c r="C35" s="116"/>
      <c r="D35" s="117"/>
      <c r="E35" s="118">
        <f>(+E31+E30+E33+E34)*'ERR &amp; Sensitivity Analysis'!$G$27</f>
        <v>1592134.4381412512</v>
      </c>
      <c r="F35" s="118">
        <f>(+F31+F30+F33+F34)*'ERR &amp; Sensitivity Analysis'!$G$27</f>
        <v>2704252.851546228</v>
      </c>
      <c r="G35" s="118">
        <f>(+G31+G30+G33+G34)*'ERR &amp; Sensitivity Analysis'!$G$27</f>
        <v>8965167.903486446</v>
      </c>
      <c r="H35" s="118">
        <f>(+H31+H30+H33+H34)*'ERR &amp; Sensitivity Analysis'!$G$27</f>
        <v>17424466.004828855</v>
      </c>
      <c r="I35" s="118">
        <f>(+I31+I30+I33+I34)*'ERR &amp; Sensitivity Analysis'!$G$27</f>
        <v>24260360.18488077</v>
      </c>
      <c r="J35" s="118">
        <f>(+J31+J30+J33+J34)*'ERR &amp; Sensitivity Analysis'!$G$27</f>
        <v>30801912.80951471</v>
      </c>
      <c r="K35" s="118">
        <f>(+K31+K30+K33+K34)*'ERR &amp; Sensitivity Analysis'!$G$27</f>
        <v>37580521.46794039</v>
      </c>
      <c r="L35" s="118">
        <f>(+L31+L30+L33+L34)*'ERR &amp; Sensitivity Analysis'!$G$27</f>
        <v>44423361.460046016</v>
      </c>
      <c r="M35" s="118">
        <f>(+M31+M30+M33+M34)*'ERR &amp; Sensitivity Analysis'!$G$27</f>
        <v>44791548.00059544</v>
      </c>
      <c r="N35" s="118">
        <f>(+N31+N30+N33+N34)*'ERR &amp; Sensitivity Analysis'!$G$27</f>
        <v>45195523.65346212</v>
      </c>
      <c r="O35" s="118">
        <f>(+O31+O30+O33+O34)*'ERR &amp; Sensitivity Analysis'!$G$27</f>
        <v>45646411.18874518</v>
      </c>
      <c r="P35" s="118">
        <f>(+P31+P30+P33+P34)*'ERR &amp; Sensitivity Analysis'!$G$27</f>
        <v>46153234.4755087</v>
      </c>
      <c r="Q35" s="118">
        <f>(+Q31+Q30+Q33+Q34)*'ERR &amp; Sensitivity Analysis'!$G$27</f>
        <v>33315388.12641777</v>
      </c>
      <c r="R35" s="118">
        <f>(+R31+R30+R33+R34)*'ERR &amp; Sensitivity Analysis'!$G$27</f>
        <v>33479469.532738663</v>
      </c>
      <c r="S35" s="118">
        <f>(+S31+S30+S33+S34)*'ERR &amp; Sensitivity Analysis'!$G$27</f>
        <v>33651755.009375595</v>
      </c>
      <c r="T35" s="118">
        <f>(+T31+T30+T33+T34)*'ERR &amp; Sensitivity Analysis'!$G$27</f>
        <v>30033760</v>
      </c>
      <c r="U35" s="118">
        <f>(+U31+U30+U33+U34)*'ERR &amp; Sensitivity Analysis'!$G$27</f>
        <v>30033760</v>
      </c>
      <c r="V35" s="118">
        <f>(+V31+V30+V33+V34)*'ERR &amp; Sensitivity Analysis'!$G$27</f>
        <v>30033760</v>
      </c>
      <c r="W35" s="118">
        <f>(+W31+W30+W33+W34)*'ERR &amp; Sensitivity Analysis'!$G$27</f>
        <v>30033760</v>
      </c>
      <c r="X35" s="118">
        <f>(+X31+X30+X33+X34)*'ERR &amp; Sensitivity Analysis'!$G$27</f>
        <v>30033760</v>
      </c>
      <c r="Y35" s="118">
        <f>(+Y31+Y30+Y33+Y34)*'ERR &amp; Sensitivity Analysis'!$G$27</f>
        <v>30033760</v>
      </c>
      <c r="Z35" s="118">
        <f>(+Z31+Z30+Z33+Z34)*'ERR &amp; Sensitivity Analysis'!$G$27</f>
        <v>30033760</v>
      </c>
      <c r="AA35" s="118">
        <f>(+AA31+AA30+AA33+AA34)*'ERR &amp; Sensitivity Analysis'!$G$27</f>
        <v>30033760</v>
      </c>
      <c r="AB35" s="118">
        <f>(+AB31+AB30+AB33+AB34)*'ERR &amp; Sensitivity Analysis'!$G$27</f>
        <v>30033760</v>
      </c>
      <c r="AC35" s="118">
        <f>(+AC31+AC30+AC33+AC34)*'ERR &amp; Sensitivity Analysis'!$G$27</f>
        <v>30033760</v>
      </c>
      <c r="AD35" s="118">
        <f>(+AD31+AD30+AD33+AD34)*'ERR &amp; Sensitivity Analysis'!$G$27</f>
        <v>30033760</v>
      </c>
      <c r="AE35" s="118">
        <f>(+AE31+AE30+AE33+AE34)*'ERR &amp; Sensitivity Analysis'!$G$27</f>
        <v>30033760</v>
      </c>
      <c r="AF35" s="118">
        <f>(+AF31+AF30+AF33+AF34)*'ERR &amp; Sensitivity Analysis'!$G$27</f>
        <v>30033760</v>
      </c>
      <c r="AG35" s="118">
        <f>(+AG31+AG30+AG33+AG34)*'ERR &amp; Sensitivity Analysis'!$G$27</f>
        <v>30033760</v>
      </c>
      <c r="AH35" s="118">
        <f>(+AH31+AH30+AH33+AH34)*'ERR &amp; Sensitivity Analysis'!$G$27</f>
        <v>30033760</v>
      </c>
      <c r="AI35" s="118">
        <f>(+AI31+AI30+AI33+AI34)*'ERR &amp; Sensitivity Analysis'!$G$27</f>
        <v>30033760</v>
      </c>
      <c r="AJ35" s="118">
        <f>(+AJ31+AJ30+AJ33+AJ34)*'ERR &amp; Sensitivity Analysis'!$G$27</f>
        <v>30033760</v>
      </c>
      <c r="AK35" s="118">
        <f>(+AK31+AK30+AK33+AK34)*'ERR &amp; Sensitivity Analysis'!$G$27</f>
        <v>30033760</v>
      </c>
      <c r="AL35" s="118">
        <f>(+AL31+AL30+AL33+AL34)*'ERR &amp; Sensitivity Analysis'!$G$27</f>
        <v>30033760</v>
      </c>
      <c r="AM35" s="118">
        <f>(+AM31+AM30+AM33+AM34)*'ERR &amp; Sensitivity Analysis'!$G$27</f>
        <v>30033760</v>
      </c>
      <c r="AN35" s="135"/>
    </row>
    <row r="36" spans="2:39" s="11" customFormat="1" ht="18">
      <c r="B36" s="122" t="s">
        <v>62</v>
      </c>
      <c r="C36" s="130"/>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5"/>
      <c r="AI36" s="98"/>
      <c r="AJ36" s="97"/>
      <c r="AK36" s="94"/>
      <c r="AL36" s="94"/>
      <c r="AM36" s="95"/>
    </row>
    <row r="37" spans="2:55" s="11" customFormat="1" ht="17.25" customHeight="1">
      <c r="B37" s="91" t="s">
        <v>19</v>
      </c>
      <c r="C37" s="131">
        <f>SUM(E38:I38)/7</f>
        <v>3543571.42857143</v>
      </c>
      <c r="D37" s="96"/>
      <c r="E37" s="93"/>
      <c r="F37" s="93"/>
      <c r="G37" s="93"/>
      <c r="H37" s="93"/>
      <c r="I37" s="93"/>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5"/>
      <c r="AI37" s="91"/>
      <c r="AJ37" s="92"/>
      <c r="AK37" s="96"/>
      <c r="AL37" s="93"/>
      <c r="AM37" s="99"/>
      <c r="AN37" s="75"/>
      <c r="AO37" s="75"/>
      <c r="AP37" s="75"/>
      <c r="AQ37" s="75"/>
      <c r="AR37" s="75"/>
      <c r="AS37" s="75"/>
      <c r="AT37" s="75"/>
      <c r="AU37" s="75"/>
      <c r="AV37" s="75"/>
      <c r="AW37" s="75"/>
      <c r="AX37" s="75"/>
      <c r="AY37" s="75"/>
      <c r="AZ37" s="75"/>
      <c r="BA37" s="75"/>
      <c r="BB37" s="75"/>
      <c r="BC37" s="75"/>
    </row>
    <row r="38" spans="2:55" s="11" customFormat="1" ht="18">
      <c r="B38" s="168" t="s">
        <v>107</v>
      </c>
      <c r="D38" s="96"/>
      <c r="E38" s="93">
        <v>0</v>
      </c>
      <c r="F38" s="93">
        <f>7*3543571.42857143</f>
        <v>24805000.00000001</v>
      </c>
      <c r="G38" s="93">
        <v>0</v>
      </c>
      <c r="H38" s="93">
        <f>+G38</f>
        <v>0</v>
      </c>
      <c r="I38" s="94">
        <v>0</v>
      </c>
      <c r="J38" s="94">
        <v>200000</v>
      </c>
      <c r="K38" s="94">
        <v>200000</v>
      </c>
      <c r="L38" s="94">
        <v>200000</v>
      </c>
      <c r="M38" s="94">
        <v>200000</v>
      </c>
      <c r="N38" s="94">
        <v>200000</v>
      </c>
      <c r="O38" s="94">
        <v>200000</v>
      </c>
      <c r="P38" s="94">
        <v>200000</v>
      </c>
      <c r="Q38" s="94">
        <v>200000</v>
      </c>
      <c r="R38" s="94">
        <v>200000</v>
      </c>
      <c r="S38" s="94">
        <v>200000</v>
      </c>
      <c r="T38" s="94">
        <v>200000</v>
      </c>
      <c r="U38" s="94">
        <v>200000</v>
      </c>
      <c r="V38" s="94">
        <v>200000</v>
      </c>
      <c r="W38" s="94">
        <v>200000</v>
      </c>
      <c r="X38" s="94">
        <v>200000</v>
      </c>
      <c r="Y38" s="94">
        <v>200000</v>
      </c>
      <c r="Z38" s="94">
        <v>200000</v>
      </c>
      <c r="AA38" s="94">
        <v>200000</v>
      </c>
      <c r="AB38" s="94">
        <v>200000</v>
      </c>
      <c r="AC38" s="94">
        <v>200000</v>
      </c>
      <c r="AD38" s="94">
        <v>200000</v>
      </c>
      <c r="AE38" s="94">
        <v>200000</v>
      </c>
      <c r="AF38" s="94">
        <v>200000</v>
      </c>
      <c r="AG38" s="94">
        <v>200000</v>
      </c>
      <c r="AH38" s="95">
        <v>200000</v>
      </c>
      <c r="AI38" s="91">
        <v>200000</v>
      </c>
      <c r="AJ38" s="92">
        <v>200000</v>
      </c>
      <c r="AK38" s="96">
        <v>200000</v>
      </c>
      <c r="AL38" s="93">
        <v>200000</v>
      </c>
      <c r="AM38" s="99">
        <v>200000</v>
      </c>
      <c r="AN38" s="76"/>
      <c r="AO38" s="76"/>
      <c r="AP38" s="76"/>
      <c r="AQ38" s="76"/>
      <c r="AR38" s="76"/>
      <c r="AS38" s="76"/>
      <c r="AT38" s="76"/>
      <c r="AU38" s="76"/>
      <c r="AV38" s="76"/>
      <c r="AW38" s="76"/>
      <c r="AX38" s="76"/>
      <c r="AY38" s="76"/>
      <c r="AZ38" s="76"/>
      <c r="BA38" s="76"/>
      <c r="BB38" s="76"/>
      <c r="BC38" s="76"/>
    </row>
    <row r="39" spans="2:55" s="115" customFormat="1" ht="18">
      <c r="B39" s="110" t="s">
        <v>57</v>
      </c>
      <c r="C39" s="132"/>
      <c r="D39" s="124"/>
      <c r="E39" s="113">
        <f>7*75000</f>
        <v>525000</v>
      </c>
      <c r="F39" s="113"/>
      <c r="G39" s="113"/>
      <c r="H39" s="113"/>
      <c r="I39" s="113"/>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25"/>
      <c r="AI39" s="110"/>
      <c r="AJ39" s="123"/>
      <c r="AK39" s="124"/>
      <c r="AL39" s="113"/>
      <c r="AM39" s="114"/>
      <c r="AN39" s="126"/>
      <c r="AO39" s="126"/>
      <c r="AP39" s="126"/>
      <c r="AQ39" s="126"/>
      <c r="AR39" s="126"/>
      <c r="AS39" s="126"/>
      <c r="AT39" s="126"/>
      <c r="AU39" s="126"/>
      <c r="AV39" s="126"/>
      <c r="AW39" s="126"/>
      <c r="AX39" s="126"/>
      <c r="AY39" s="126"/>
      <c r="AZ39" s="126"/>
      <c r="BA39" s="126"/>
      <c r="BB39" s="126"/>
      <c r="BC39" s="126"/>
    </row>
    <row r="40" spans="2:55" s="11" customFormat="1" ht="18">
      <c r="B40" s="98" t="s">
        <v>20</v>
      </c>
      <c r="C40" s="131">
        <v>7485770</v>
      </c>
      <c r="D40" s="94"/>
      <c r="E40" s="94">
        <v>0</v>
      </c>
      <c r="F40" s="94">
        <f>0.5*8268101.12118571*7</f>
        <v>28938353.924149983</v>
      </c>
      <c r="G40" s="94">
        <f>+F40</f>
        <v>28938353.924149983</v>
      </c>
      <c r="H40" s="94">
        <v>0</v>
      </c>
      <c r="I40" s="94">
        <f>+H40</f>
        <v>0</v>
      </c>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5"/>
      <c r="AI40" s="98"/>
      <c r="AJ40" s="97"/>
      <c r="AK40" s="94"/>
      <c r="AL40" s="94"/>
      <c r="AM40" s="95"/>
      <c r="AN40" s="76"/>
      <c r="AO40" s="76"/>
      <c r="AP40" s="76"/>
      <c r="AQ40" s="76"/>
      <c r="AR40" s="76"/>
      <c r="AS40" s="76"/>
      <c r="AT40" s="76"/>
      <c r="AU40" s="76"/>
      <c r="AV40" s="76"/>
      <c r="AW40" s="76"/>
      <c r="AX40" s="76"/>
      <c r="AY40" s="76"/>
      <c r="AZ40" s="76"/>
      <c r="BA40" s="76"/>
      <c r="BB40" s="76"/>
      <c r="BC40" s="76"/>
    </row>
    <row r="41" spans="2:55" s="11" customFormat="1" ht="18">
      <c r="B41" s="91" t="s">
        <v>21</v>
      </c>
      <c r="C41" s="131">
        <f>SUM(D41:I41)/7</f>
        <v>5372080</v>
      </c>
      <c r="D41" s="96">
        <f>7*500080</f>
        <v>3500560</v>
      </c>
      <c r="E41" s="93">
        <f>7*1418000</f>
        <v>9926000</v>
      </c>
      <c r="F41" s="93">
        <f>7*2218000</f>
        <v>15526000</v>
      </c>
      <c r="G41" s="93">
        <f>7*818000</f>
        <v>5726000</v>
      </c>
      <c r="H41" s="93">
        <f>7*418000</f>
        <v>2926000</v>
      </c>
      <c r="I41" s="93"/>
      <c r="J41" s="93"/>
      <c r="K41" s="94"/>
      <c r="L41" s="94"/>
      <c r="M41" s="94"/>
      <c r="N41" s="94"/>
      <c r="O41" s="94"/>
      <c r="P41" s="94"/>
      <c r="Q41" s="94"/>
      <c r="R41" s="94"/>
      <c r="S41" s="94"/>
      <c r="T41" s="94"/>
      <c r="U41" s="94"/>
      <c r="V41" s="94"/>
      <c r="W41" s="94"/>
      <c r="X41" s="94"/>
      <c r="Y41" s="94"/>
      <c r="Z41" s="94"/>
      <c r="AA41" s="94"/>
      <c r="AB41" s="94"/>
      <c r="AC41" s="94"/>
      <c r="AD41" s="94"/>
      <c r="AE41" s="94"/>
      <c r="AF41" s="94"/>
      <c r="AG41" s="94"/>
      <c r="AH41" s="95"/>
      <c r="AI41" s="91"/>
      <c r="AJ41" s="92"/>
      <c r="AK41" s="96"/>
      <c r="AL41" s="93"/>
      <c r="AM41" s="99"/>
      <c r="AN41" s="76"/>
      <c r="AO41" s="76"/>
      <c r="AP41" s="76"/>
      <c r="AQ41" s="76"/>
      <c r="AR41" s="76"/>
      <c r="AS41" s="76"/>
      <c r="AT41" s="76"/>
      <c r="AU41" s="76"/>
      <c r="AV41" s="76"/>
      <c r="AW41" s="76"/>
      <c r="AX41" s="76"/>
      <c r="AY41" s="76"/>
      <c r="AZ41" s="76"/>
      <c r="BA41" s="76"/>
      <c r="BB41" s="76"/>
      <c r="BC41" s="76"/>
    </row>
    <row r="42" spans="2:55" s="11" customFormat="1" ht="54">
      <c r="B42" s="91" t="s">
        <v>22</v>
      </c>
      <c r="C42" s="131">
        <f>SUM(E42:I42)/7</f>
        <v>9041070</v>
      </c>
      <c r="D42" s="93"/>
      <c r="E42" s="93">
        <f>7*1577460</f>
        <v>11042220</v>
      </c>
      <c r="F42" s="93">
        <f>7*3023460</f>
        <v>21164220</v>
      </c>
      <c r="G42" s="93">
        <f>7*2678460</f>
        <v>18749220</v>
      </c>
      <c r="H42" s="93">
        <f>7*1274460</f>
        <v>8921220</v>
      </c>
      <c r="I42" s="93">
        <f>7*487230</f>
        <v>3410610</v>
      </c>
      <c r="J42" s="93">
        <f>+$E$57*$E$58*0.9</f>
        <v>0</v>
      </c>
      <c r="K42" s="93">
        <f>+$E$57*$E$58*0.8</f>
        <v>0</v>
      </c>
      <c r="L42" s="93">
        <f>+$E$57*$E$58*0.7</f>
        <v>0</v>
      </c>
      <c r="M42" s="93">
        <f>+$E$57*$E$58*0.6</f>
        <v>0</v>
      </c>
      <c r="N42" s="93">
        <f>+$E$57*$E$58*0.5</f>
        <v>0</v>
      </c>
      <c r="O42" s="93">
        <f>+$E$57*$E$58*0.4</f>
        <v>0</v>
      </c>
      <c r="P42" s="93">
        <f>+$E$57*$E$58*0.3</f>
        <v>0</v>
      </c>
      <c r="Q42" s="93"/>
      <c r="R42" s="93"/>
      <c r="S42" s="93"/>
      <c r="T42" s="93"/>
      <c r="U42" s="93"/>
      <c r="V42" s="93"/>
      <c r="W42" s="93"/>
      <c r="X42" s="93"/>
      <c r="Y42" s="93"/>
      <c r="Z42" s="93"/>
      <c r="AA42" s="93"/>
      <c r="AB42" s="93"/>
      <c r="AC42" s="93"/>
      <c r="AD42" s="93"/>
      <c r="AE42" s="93"/>
      <c r="AF42" s="93"/>
      <c r="AG42" s="93"/>
      <c r="AH42" s="99"/>
      <c r="AI42" s="91"/>
      <c r="AJ42" s="92"/>
      <c r="AK42" s="93"/>
      <c r="AL42" s="93"/>
      <c r="AM42" s="99"/>
      <c r="AN42" s="76"/>
      <c r="AO42" s="76"/>
      <c r="AP42" s="76"/>
      <c r="AQ42" s="76"/>
      <c r="AR42" s="76"/>
      <c r="AS42" s="76"/>
      <c r="AT42" s="76"/>
      <c r="AU42" s="76"/>
      <c r="AV42" s="76"/>
      <c r="AW42" s="76"/>
      <c r="AX42" s="76"/>
      <c r="AY42" s="76"/>
      <c r="AZ42" s="76"/>
      <c r="BA42" s="76"/>
      <c r="BB42" s="76"/>
      <c r="BC42" s="76"/>
    </row>
    <row r="43" spans="2:55" s="11" customFormat="1" ht="36">
      <c r="B43" s="91" t="s">
        <v>23</v>
      </c>
      <c r="C43" s="131">
        <f>SUM(E43:I43)/7</f>
        <v>11935565</v>
      </c>
      <c r="D43" s="93"/>
      <c r="E43" s="93">
        <f>3135432*7</f>
        <v>21948024</v>
      </c>
      <c r="F43" s="93">
        <f>7*2710811</f>
        <v>18975677</v>
      </c>
      <c r="G43" s="93">
        <f>7*2602617</f>
        <v>18218319</v>
      </c>
      <c r="H43" s="93">
        <f>7*2294366</f>
        <v>16060562</v>
      </c>
      <c r="I43" s="93">
        <f>7*1192339</f>
        <v>8346373</v>
      </c>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9"/>
      <c r="AI43" s="91"/>
      <c r="AJ43" s="92"/>
      <c r="AK43" s="93"/>
      <c r="AL43" s="93"/>
      <c r="AM43" s="99"/>
      <c r="AN43" s="76"/>
      <c r="AO43" s="76"/>
      <c r="AP43" s="76"/>
      <c r="AQ43" s="76"/>
      <c r="AR43" s="76"/>
      <c r="AS43" s="76"/>
      <c r="AT43" s="76"/>
      <c r="AU43" s="76"/>
      <c r="AV43" s="76"/>
      <c r="AW43" s="76"/>
      <c r="AX43" s="76"/>
      <c r="AY43" s="76"/>
      <c r="AZ43" s="76"/>
      <c r="BA43" s="76"/>
      <c r="BB43" s="76"/>
      <c r="BC43" s="76"/>
    </row>
    <row r="44" spans="2:55" s="11" customFormat="1" ht="18">
      <c r="B44" s="110" t="s">
        <v>47</v>
      </c>
      <c r="C44" s="133">
        <f>SUM(C37:C43)</f>
        <v>37378056.42857143</v>
      </c>
      <c r="D44" s="94"/>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9"/>
      <c r="AI44" s="91"/>
      <c r="AJ44" s="92"/>
      <c r="AK44" s="94"/>
      <c r="AL44" s="93"/>
      <c r="AM44" s="99"/>
      <c r="AN44" s="76"/>
      <c r="AO44" s="76"/>
      <c r="AP44" s="76"/>
      <c r="AQ44" s="76"/>
      <c r="AR44" s="76"/>
      <c r="AS44" s="76"/>
      <c r="AT44" s="76"/>
      <c r="AU44" s="76"/>
      <c r="AV44" s="76"/>
      <c r="AW44" s="76"/>
      <c r="AX44" s="76"/>
      <c r="AY44" s="76"/>
      <c r="AZ44" s="76"/>
      <c r="BA44" s="76"/>
      <c r="BB44" s="76"/>
      <c r="BC44" s="76"/>
    </row>
    <row r="45" spans="2:55" s="11" customFormat="1" ht="18">
      <c r="B45" s="91" t="s">
        <v>24</v>
      </c>
      <c r="C45" s="131"/>
      <c r="D45" s="94">
        <f>7*181390</f>
        <v>1269730</v>
      </c>
      <c r="E45" s="93">
        <f aca="true" t="shared" si="5" ref="E45:AM45">+SUM(E37:E44)</f>
        <v>43441244</v>
      </c>
      <c r="F45" s="93">
        <f t="shared" si="5"/>
        <v>109409250.92414999</v>
      </c>
      <c r="G45" s="93">
        <f t="shared" si="5"/>
        <v>71631892.92414999</v>
      </c>
      <c r="H45" s="93">
        <f t="shared" si="5"/>
        <v>27907782</v>
      </c>
      <c r="I45" s="93">
        <f t="shared" si="5"/>
        <v>11756983</v>
      </c>
      <c r="J45" s="93">
        <f t="shared" si="5"/>
        <v>200000</v>
      </c>
      <c r="K45" s="93">
        <f t="shared" si="5"/>
        <v>200000</v>
      </c>
      <c r="L45" s="93">
        <f t="shared" si="5"/>
        <v>200000</v>
      </c>
      <c r="M45" s="93">
        <f t="shared" si="5"/>
        <v>200000</v>
      </c>
      <c r="N45" s="93">
        <f t="shared" si="5"/>
        <v>200000</v>
      </c>
      <c r="O45" s="93">
        <f t="shared" si="5"/>
        <v>200000</v>
      </c>
      <c r="P45" s="93">
        <f t="shared" si="5"/>
        <v>200000</v>
      </c>
      <c r="Q45" s="93">
        <f t="shared" si="5"/>
        <v>200000</v>
      </c>
      <c r="R45" s="93">
        <f t="shared" si="5"/>
        <v>200000</v>
      </c>
      <c r="S45" s="93">
        <f t="shared" si="5"/>
        <v>200000</v>
      </c>
      <c r="T45" s="93">
        <f t="shared" si="5"/>
        <v>200000</v>
      </c>
      <c r="U45" s="93">
        <f t="shared" si="5"/>
        <v>200000</v>
      </c>
      <c r="V45" s="93">
        <f t="shared" si="5"/>
        <v>200000</v>
      </c>
      <c r="W45" s="93">
        <f t="shared" si="5"/>
        <v>200000</v>
      </c>
      <c r="X45" s="93">
        <f t="shared" si="5"/>
        <v>200000</v>
      </c>
      <c r="Y45" s="93">
        <f t="shared" si="5"/>
        <v>200000</v>
      </c>
      <c r="Z45" s="93">
        <f t="shared" si="5"/>
        <v>200000</v>
      </c>
      <c r="AA45" s="93">
        <f t="shared" si="5"/>
        <v>200000</v>
      </c>
      <c r="AB45" s="93">
        <f t="shared" si="5"/>
        <v>200000</v>
      </c>
      <c r="AC45" s="93">
        <f t="shared" si="5"/>
        <v>200000</v>
      </c>
      <c r="AD45" s="93">
        <f t="shared" si="5"/>
        <v>200000</v>
      </c>
      <c r="AE45" s="93">
        <f t="shared" si="5"/>
        <v>200000</v>
      </c>
      <c r="AF45" s="93">
        <f t="shared" si="5"/>
        <v>200000</v>
      </c>
      <c r="AG45" s="93">
        <f t="shared" si="5"/>
        <v>200000</v>
      </c>
      <c r="AH45" s="99">
        <f t="shared" si="5"/>
        <v>200000</v>
      </c>
      <c r="AI45" s="91">
        <f t="shared" si="5"/>
        <v>200000</v>
      </c>
      <c r="AJ45" s="92">
        <f t="shared" si="5"/>
        <v>200000</v>
      </c>
      <c r="AK45" s="94">
        <f t="shared" si="5"/>
        <v>200000</v>
      </c>
      <c r="AL45" s="93">
        <f t="shared" si="5"/>
        <v>200000</v>
      </c>
      <c r="AM45" s="99">
        <f t="shared" si="5"/>
        <v>200000</v>
      </c>
      <c r="AN45" s="76"/>
      <c r="AO45" s="76"/>
      <c r="AP45" s="76"/>
      <c r="AQ45" s="76"/>
      <c r="AR45" s="76"/>
      <c r="AS45" s="76"/>
      <c r="AT45" s="76"/>
      <c r="AU45" s="76"/>
      <c r="AV45" s="76"/>
      <c r="AW45" s="76"/>
      <c r="AX45" s="76"/>
      <c r="AY45" s="76"/>
      <c r="AZ45" s="76"/>
      <c r="BA45" s="76"/>
      <c r="BB45" s="76"/>
      <c r="BC45" s="76"/>
    </row>
    <row r="46" spans="2:55" s="11" customFormat="1" ht="36">
      <c r="B46" s="91" t="s">
        <v>92</v>
      </c>
      <c r="C46" s="131"/>
      <c r="D46" s="94">
        <f>(+(D45+D41)*(1+'Key Assumptions'!$C$106))*'ERR &amp; Sensitivity Analysis'!$G$26</f>
        <v>5199616.100000001</v>
      </c>
      <c r="E46" s="93">
        <f>(+E45*(1+'Key Assumptions'!$C$106))*'ERR &amp; Sensitivity Analysis'!$G$26</f>
        <v>47350955.96</v>
      </c>
      <c r="F46" s="93">
        <f>(+F45*(1+'Key Assumptions'!$C$106))*'ERR &amp; Sensitivity Analysis'!$G$26</f>
        <v>119256083.5073235</v>
      </c>
      <c r="G46" s="93">
        <f>(+G45*(1+'Key Assumptions'!$C$106))*'ERR &amp; Sensitivity Analysis'!$G$26</f>
        <v>78078763.28732349</v>
      </c>
      <c r="H46" s="93">
        <f>(+H45*(1+'Key Assumptions'!$C$106))*'ERR &amp; Sensitivity Analysis'!$G$26</f>
        <v>30419482.380000003</v>
      </c>
      <c r="I46" s="93">
        <f>(+I45*(1+'Key Assumptions'!$C$106))*'ERR &amp; Sensitivity Analysis'!$G$26</f>
        <v>12815111.47</v>
      </c>
      <c r="J46" s="93">
        <f>(+J45)*'ERR &amp; Sensitivity Analysis'!$G$26</f>
        <v>200000</v>
      </c>
      <c r="K46" s="93">
        <f>(+K45)*'ERR &amp; Sensitivity Analysis'!$G$26</f>
        <v>200000</v>
      </c>
      <c r="L46" s="93">
        <f>(+L45)*'ERR &amp; Sensitivity Analysis'!$G$26</f>
        <v>200000</v>
      </c>
      <c r="M46" s="93">
        <f>(+M45)*'ERR &amp; Sensitivity Analysis'!$G$26</f>
        <v>200000</v>
      </c>
      <c r="N46" s="93">
        <f>(+N45)*'ERR &amp; Sensitivity Analysis'!$G$26</f>
        <v>200000</v>
      </c>
      <c r="O46" s="93">
        <f>(+O45)*'ERR &amp; Sensitivity Analysis'!$G$26</f>
        <v>200000</v>
      </c>
      <c r="P46" s="93">
        <f>(+P45)*'ERR &amp; Sensitivity Analysis'!$G$26</f>
        <v>200000</v>
      </c>
      <c r="Q46" s="93">
        <f>(+Q45)*'ERR &amp; Sensitivity Analysis'!$G$26</f>
        <v>200000</v>
      </c>
      <c r="R46" s="93">
        <f>(+R45)*'ERR &amp; Sensitivity Analysis'!$G$26</f>
        <v>200000</v>
      </c>
      <c r="S46" s="93">
        <f>(+S45)*'ERR &amp; Sensitivity Analysis'!$G$26</f>
        <v>200000</v>
      </c>
      <c r="T46" s="93">
        <f>(+T45)*'ERR &amp; Sensitivity Analysis'!$G$26</f>
        <v>200000</v>
      </c>
      <c r="U46" s="93">
        <f>(+U45)*'ERR &amp; Sensitivity Analysis'!$G$26</f>
        <v>200000</v>
      </c>
      <c r="V46" s="93">
        <f>(+V45)*'ERR &amp; Sensitivity Analysis'!$G$26</f>
        <v>200000</v>
      </c>
      <c r="W46" s="93">
        <f>(+W45)*'ERR &amp; Sensitivity Analysis'!$G$26</f>
        <v>200000</v>
      </c>
      <c r="X46" s="93">
        <f>(+X45)*'ERR &amp; Sensitivity Analysis'!$G$26</f>
        <v>200000</v>
      </c>
      <c r="Y46" s="93">
        <f>(+Y45)*'ERR &amp; Sensitivity Analysis'!$G$26</f>
        <v>200000</v>
      </c>
      <c r="Z46" s="93">
        <f>(+Z45)*'ERR &amp; Sensitivity Analysis'!$G$26</f>
        <v>200000</v>
      </c>
      <c r="AA46" s="93">
        <f>(+AA45)*'ERR &amp; Sensitivity Analysis'!$G$26</f>
        <v>200000</v>
      </c>
      <c r="AB46" s="93">
        <f>(+AB45)*'ERR &amp; Sensitivity Analysis'!$G$26</f>
        <v>200000</v>
      </c>
      <c r="AC46" s="93">
        <f>(+AC45)*'ERR &amp; Sensitivity Analysis'!$G$26</f>
        <v>200000</v>
      </c>
      <c r="AD46" s="93">
        <f>(+AD45)*'ERR &amp; Sensitivity Analysis'!$G$26</f>
        <v>200000</v>
      </c>
      <c r="AE46" s="93">
        <f>(+AE45)*'ERR &amp; Sensitivity Analysis'!$G$26</f>
        <v>200000</v>
      </c>
      <c r="AF46" s="93">
        <f>(+AF45)*'ERR &amp; Sensitivity Analysis'!$G$26</f>
        <v>200000</v>
      </c>
      <c r="AG46" s="93">
        <f>(+AG45)*'ERR &amp; Sensitivity Analysis'!$G$26</f>
        <v>200000</v>
      </c>
      <c r="AH46" s="93">
        <f>(+AH45)*'ERR &amp; Sensitivity Analysis'!$G$26</f>
        <v>200000</v>
      </c>
      <c r="AI46" s="93">
        <f>(+AI45)*'ERR &amp; Sensitivity Analysis'!$G$26</f>
        <v>200000</v>
      </c>
      <c r="AJ46" s="93">
        <f>(+AJ45)*'ERR &amp; Sensitivity Analysis'!$G$26</f>
        <v>200000</v>
      </c>
      <c r="AK46" s="93">
        <f>(+AK45)*'ERR &amp; Sensitivity Analysis'!$G$26</f>
        <v>200000</v>
      </c>
      <c r="AL46" s="93">
        <f>(+AL45)*'ERR &amp; Sensitivity Analysis'!$G$26</f>
        <v>200000</v>
      </c>
      <c r="AM46" s="93">
        <f>(+AM45)*'ERR &amp; Sensitivity Analysis'!$G$26</f>
        <v>200000</v>
      </c>
      <c r="AN46" s="76"/>
      <c r="AO46" s="76"/>
      <c r="AP46" s="76"/>
      <c r="AQ46" s="76"/>
      <c r="AR46" s="76"/>
      <c r="AS46" s="76"/>
      <c r="AT46" s="76"/>
      <c r="AU46" s="76"/>
      <c r="AV46" s="76"/>
      <c r="AW46" s="76"/>
      <c r="AX46" s="76"/>
      <c r="AY46" s="76"/>
      <c r="AZ46" s="76"/>
      <c r="BA46" s="76"/>
      <c r="BB46" s="76"/>
      <c r="BC46" s="76"/>
    </row>
    <row r="47" spans="2:55" s="11" customFormat="1" ht="18">
      <c r="B47" s="100" t="s">
        <v>91</v>
      </c>
      <c r="C47" s="134"/>
      <c r="D47" s="128">
        <f aca="true" t="shared" si="6" ref="D47:AM47">+D35-D46</f>
        <v>-5199616.100000001</v>
      </c>
      <c r="E47" s="101">
        <f t="shared" si="6"/>
        <v>-45758821.52185875</v>
      </c>
      <c r="F47" s="101">
        <f t="shared" si="6"/>
        <v>-116551830.65577728</v>
      </c>
      <c r="G47" s="101">
        <f t="shared" si="6"/>
        <v>-69113595.38383704</v>
      </c>
      <c r="H47" s="101">
        <f t="shared" si="6"/>
        <v>-12995016.375171147</v>
      </c>
      <c r="I47" s="101">
        <f t="shared" si="6"/>
        <v>11445248.71488077</v>
      </c>
      <c r="J47" s="101">
        <f t="shared" si="6"/>
        <v>30601912.80951471</v>
      </c>
      <c r="K47" s="101">
        <f t="shared" si="6"/>
        <v>37380521.46794039</v>
      </c>
      <c r="L47" s="101">
        <f t="shared" si="6"/>
        <v>44223361.460046016</v>
      </c>
      <c r="M47" s="101">
        <f t="shared" si="6"/>
        <v>44591548.00059544</v>
      </c>
      <c r="N47" s="101">
        <f t="shared" si="6"/>
        <v>44995523.65346212</v>
      </c>
      <c r="O47" s="101">
        <f t="shared" si="6"/>
        <v>45446411.18874518</v>
      </c>
      <c r="P47" s="101">
        <f t="shared" si="6"/>
        <v>45953234.4755087</v>
      </c>
      <c r="Q47" s="101">
        <f t="shared" si="6"/>
        <v>33115388.12641777</v>
      </c>
      <c r="R47" s="101">
        <f t="shared" si="6"/>
        <v>33279469.532738663</v>
      </c>
      <c r="S47" s="101">
        <f t="shared" si="6"/>
        <v>33451755.009375595</v>
      </c>
      <c r="T47" s="101">
        <f t="shared" si="6"/>
        <v>29833760</v>
      </c>
      <c r="U47" s="101">
        <f t="shared" si="6"/>
        <v>29833760</v>
      </c>
      <c r="V47" s="101">
        <f t="shared" si="6"/>
        <v>29833760</v>
      </c>
      <c r="W47" s="101">
        <f t="shared" si="6"/>
        <v>29833760</v>
      </c>
      <c r="X47" s="101">
        <f t="shared" si="6"/>
        <v>29833760</v>
      </c>
      <c r="Y47" s="101">
        <f t="shared" si="6"/>
        <v>29833760</v>
      </c>
      <c r="Z47" s="101">
        <f t="shared" si="6"/>
        <v>29833760</v>
      </c>
      <c r="AA47" s="101">
        <f t="shared" si="6"/>
        <v>29833760</v>
      </c>
      <c r="AB47" s="101">
        <f t="shared" si="6"/>
        <v>29833760</v>
      </c>
      <c r="AC47" s="101">
        <f t="shared" si="6"/>
        <v>29833760</v>
      </c>
      <c r="AD47" s="101">
        <f t="shared" si="6"/>
        <v>29833760</v>
      </c>
      <c r="AE47" s="101">
        <f t="shared" si="6"/>
        <v>29833760</v>
      </c>
      <c r="AF47" s="101">
        <f t="shared" si="6"/>
        <v>29833760</v>
      </c>
      <c r="AG47" s="101">
        <f t="shared" si="6"/>
        <v>29833760</v>
      </c>
      <c r="AH47" s="102">
        <f t="shared" si="6"/>
        <v>29833760</v>
      </c>
      <c r="AI47" s="100">
        <f t="shared" si="6"/>
        <v>29833760</v>
      </c>
      <c r="AJ47" s="127">
        <f t="shared" si="6"/>
        <v>29833760</v>
      </c>
      <c r="AK47" s="128">
        <f t="shared" si="6"/>
        <v>29833760</v>
      </c>
      <c r="AL47" s="101">
        <f t="shared" si="6"/>
        <v>29833760</v>
      </c>
      <c r="AM47" s="102">
        <f t="shared" si="6"/>
        <v>29833760</v>
      </c>
      <c r="AN47" s="75"/>
      <c r="AO47" s="75"/>
      <c r="AP47" s="75"/>
      <c r="AQ47" s="75"/>
      <c r="AR47" s="75"/>
      <c r="AS47" s="75"/>
      <c r="AT47" s="75"/>
      <c r="AU47" s="75"/>
      <c r="AV47" s="75"/>
      <c r="AW47" s="75"/>
      <c r="AX47" s="75"/>
      <c r="AY47" s="75"/>
      <c r="AZ47" s="75"/>
      <c r="BA47" s="75"/>
      <c r="BB47" s="75"/>
      <c r="BC47" s="75"/>
    </row>
    <row r="48" spans="2:19" s="11" customFormat="1" ht="18">
      <c r="B48" s="81"/>
      <c r="D48" s="75"/>
      <c r="E48" s="74"/>
      <c r="F48" s="75"/>
      <c r="G48" s="75"/>
      <c r="H48" s="75"/>
      <c r="I48" s="75"/>
      <c r="J48" s="75"/>
      <c r="K48" s="75"/>
      <c r="L48" s="75"/>
      <c r="M48" s="75"/>
      <c r="N48" s="75"/>
      <c r="O48" s="75"/>
      <c r="P48" s="75"/>
      <c r="Q48" s="75"/>
      <c r="R48" s="75"/>
      <c r="S48" s="75"/>
    </row>
    <row r="49" spans="2:54" s="11" customFormat="1" ht="18">
      <c r="B49" s="343" t="s">
        <v>96</v>
      </c>
      <c r="C49" s="343"/>
      <c r="D49" s="129">
        <f>+IRR(C47:X47)</f>
        <v>0.0874571071933465</v>
      </c>
      <c r="G49" s="78"/>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row>
    <row r="50" spans="2:55" s="11" customFormat="1" ht="18">
      <c r="B50" s="81"/>
      <c r="C50" s="72"/>
      <c r="D50" s="72"/>
      <c r="E50" s="77"/>
      <c r="F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row>
    <row r="51" spans="2:55" s="11" customFormat="1" ht="18">
      <c r="B51"/>
      <c r="C51"/>
      <c r="D51"/>
      <c r="E51" s="73"/>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row>
    <row r="52" spans="2:55" s="11" customFormat="1" ht="18">
      <c r="B52"/>
      <c r="C52"/>
      <c r="D52"/>
      <c r="E52" s="73"/>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row>
    <row r="53" spans="2:55" s="11" customFormat="1" ht="18">
      <c r="B53"/>
      <c r="C53"/>
      <c r="D53"/>
      <c r="E53" s="74"/>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row>
    <row r="54" spans="2:55" s="11" customFormat="1" ht="18">
      <c r="B54"/>
      <c r="C54"/>
      <c r="D54"/>
      <c r="E54" s="74"/>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row>
    <row r="55" spans="2:29" s="11" customFormat="1" ht="18">
      <c r="B55"/>
      <c r="C55"/>
      <c r="D55"/>
      <c r="E55" s="74"/>
      <c r="M55" s="75"/>
      <c r="N55" s="75"/>
      <c r="O55" s="75"/>
      <c r="P55" s="75"/>
      <c r="Q55" s="75"/>
      <c r="R55" s="75"/>
      <c r="S55" s="75"/>
      <c r="T55" s="75"/>
      <c r="U55" s="75"/>
      <c r="V55" s="75"/>
      <c r="W55" s="75"/>
      <c r="X55" s="75"/>
      <c r="Y55" s="75"/>
      <c r="Z55" s="75"/>
      <c r="AA55" s="75"/>
      <c r="AB55" s="75"/>
      <c r="AC55" s="76"/>
    </row>
    <row r="56" spans="2:29" s="11" customFormat="1" ht="18">
      <c r="B56"/>
      <c r="C56"/>
      <c r="D56"/>
      <c r="E56" s="74"/>
      <c r="M56" s="75"/>
      <c r="N56" s="75"/>
      <c r="O56" s="75"/>
      <c r="P56" s="75"/>
      <c r="Q56" s="75"/>
      <c r="R56" s="75"/>
      <c r="S56" s="75"/>
      <c r="T56" s="75"/>
      <c r="U56" s="75"/>
      <c r="V56" s="75"/>
      <c r="W56" s="75"/>
      <c r="X56" s="75"/>
      <c r="Y56" s="75"/>
      <c r="Z56" s="75"/>
      <c r="AA56" s="75"/>
      <c r="AB56" s="75"/>
      <c r="AC56" s="76"/>
    </row>
    <row r="57" spans="2:29" s="11" customFormat="1" ht="18">
      <c r="B57"/>
      <c r="C57"/>
      <c r="D57"/>
      <c r="E57" s="73"/>
      <c r="M57" s="76"/>
      <c r="N57" s="76"/>
      <c r="O57" s="76"/>
      <c r="P57" s="76"/>
      <c r="Q57" s="76"/>
      <c r="R57" s="76"/>
      <c r="S57" s="76"/>
      <c r="T57" s="76"/>
      <c r="U57" s="76"/>
      <c r="V57" s="76"/>
      <c r="W57" s="76"/>
      <c r="X57" s="76"/>
      <c r="Y57" s="76"/>
      <c r="Z57" s="76"/>
      <c r="AA57" s="76"/>
      <c r="AB57" s="76"/>
      <c r="AC57" s="76"/>
    </row>
    <row r="58" spans="2:29" s="11" customFormat="1" ht="18">
      <c r="B58" s="82"/>
      <c r="E58" s="73"/>
      <c r="M58" s="76"/>
      <c r="N58" s="76"/>
      <c r="O58" s="76"/>
      <c r="P58" s="76"/>
      <c r="Q58" s="76"/>
      <c r="R58" s="76"/>
      <c r="S58" s="76"/>
      <c r="T58" s="76"/>
      <c r="U58" s="76"/>
      <c r="V58" s="76"/>
      <c r="W58" s="76"/>
      <c r="X58" s="76"/>
      <c r="Y58" s="76"/>
      <c r="Z58" s="76"/>
      <c r="AA58" s="76"/>
      <c r="AB58" s="76"/>
      <c r="AC58" s="76"/>
    </row>
    <row r="59" spans="2:29" s="11" customFormat="1" ht="18">
      <c r="B59" s="82"/>
      <c r="E59" s="74"/>
      <c r="M59" s="76"/>
      <c r="N59" s="76"/>
      <c r="O59" s="76"/>
      <c r="P59" s="76"/>
      <c r="Q59" s="76"/>
      <c r="R59" s="76"/>
      <c r="S59" s="76"/>
      <c r="T59" s="76"/>
      <c r="U59" s="76"/>
      <c r="V59" s="76"/>
      <c r="W59" s="76"/>
      <c r="X59" s="76"/>
      <c r="Y59" s="76"/>
      <c r="Z59" s="76"/>
      <c r="AA59" s="76"/>
      <c r="AB59" s="76"/>
      <c r="AC59" s="76"/>
    </row>
    <row r="60" spans="2:29" s="11" customFormat="1" ht="18">
      <c r="B60" s="82"/>
      <c r="E60" s="74"/>
      <c r="M60" s="76"/>
      <c r="N60" s="76"/>
      <c r="O60" s="76"/>
      <c r="P60" s="76"/>
      <c r="Q60" s="76"/>
      <c r="R60" s="76"/>
      <c r="S60" s="76"/>
      <c r="T60" s="76"/>
      <c r="U60" s="76"/>
      <c r="V60" s="76"/>
      <c r="W60" s="76"/>
      <c r="X60" s="76"/>
      <c r="Y60" s="76"/>
      <c r="Z60" s="76"/>
      <c r="AA60" s="76"/>
      <c r="AB60" s="76"/>
      <c r="AC60" s="76"/>
    </row>
    <row r="61" spans="2:29" s="11" customFormat="1" ht="18">
      <c r="B61" s="82"/>
      <c r="E61" s="73"/>
      <c r="M61" s="76"/>
      <c r="N61" s="76"/>
      <c r="O61" s="76"/>
      <c r="P61" s="76"/>
      <c r="Q61" s="76"/>
      <c r="R61" s="76"/>
      <c r="S61" s="76"/>
      <c r="T61" s="76"/>
      <c r="U61" s="76"/>
      <c r="V61" s="76"/>
      <c r="W61" s="76"/>
      <c r="X61" s="76"/>
      <c r="Y61" s="76"/>
      <c r="Z61" s="76"/>
      <c r="AA61" s="76"/>
      <c r="AB61" s="76"/>
      <c r="AC61" s="76"/>
    </row>
    <row r="62" spans="2:29" s="11" customFormat="1" ht="18">
      <c r="B62" s="82"/>
      <c r="E62" s="73"/>
      <c r="M62" s="76"/>
      <c r="N62" s="76"/>
      <c r="O62" s="76"/>
      <c r="P62" s="76"/>
      <c r="Q62" s="76"/>
      <c r="R62" s="76"/>
      <c r="S62" s="76"/>
      <c r="T62" s="76"/>
      <c r="U62" s="76"/>
      <c r="V62" s="76"/>
      <c r="W62" s="76"/>
      <c r="X62" s="76"/>
      <c r="Y62" s="76"/>
      <c r="Z62" s="76"/>
      <c r="AA62" s="76"/>
      <c r="AB62" s="76"/>
      <c r="AC62" s="76"/>
    </row>
    <row r="63" spans="2:29" s="11" customFormat="1" ht="18">
      <c r="B63" s="82"/>
      <c r="E63" s="74"/>
      <c r="F63" s="75"/>
      <c r="G63" s="75"/>
      <c r="H63" s="75"/>
      <c r="I63" s="75"/>
      <c r="M63" s="76"/>
      <c r="N63" s="76"/>
      <c r="O63" s="76"/>
      <c r="P63" s="76"/>
      <c r="Q63" s="76"/>
      <c r="R63" s="76"/>
      <c r="S63" s="76"/>
      <c r="T63" s="76"/>
      <c r="U63" s="76"/>
      <c r="V63" s="76"/>
      <c r="W63" s="76"/>
      <c r="X63" s="76"/>
      <c r="Y63" s="76"/>
      <c r="Z63" s="76"/>
      <c r="AA63" s="76"/>
      <c r="AB63" s="76"/>
      <c r="AC63" s="76"/>
    </row>
    <row r="64" spans="2:29" s="11" customFormat="1" ht="18">
      <c r="B64" s="82"/>
      <c r="E64" s="74"/>
      <c r="M64" s="76"/>
      <c r="N64" s="76"/>
      <c r="O64" s="76"/>
      <c r="P64" s="76"/>
      <c r="Q64" s="76"/>
      <c r="R64" s="76"/>
      <c r="S64" s="76"/>
      <c r="T64" s="76"/>
      <c r="U64" s="76"/>
      <c r="V64" s="76"/>
      <c r="W64" s="76"/>
      <c r="X64" s="76"/>
      <c r="Y64" s="76"/>
      <c r="Z64" s="76"/>
      <c r="AA64" s="76"/>
      <c r="AB64" s="76"/>
      <c r="AC64" s="76"/>
    </row>
    <row r="65" spans="2:29" s="11" customFormat="1" ht="18">
      <c r="B65" s="82"/>
      <c r="E65" s="74"/>
      <c r="M65" s="76"/>
      <c r="N65" s="76"/>
      <c r="O65" s="76"/>
      <c r="P65" s="76"/>
      <c r="Q65" s="76"/>
      <c r="R65" s="76"/>
      <c r="S65" s="76"/>
      <c r="T65" s="76"/>
      <c r="U65" s="76"/>
      <c r="V65" s="76"/>
      <c r="W65" s="76"/>
      <c r="X65" s="76"/>
      <c r="Y65" s="76"/>
      <c r="Z65" s="76"/>
      <c r="AA65" s="76"/>
      <c r="AB65" s="76"/>
      <c r="AC65" s="76"/>
    </row>
    <row r="66" spans="2:29" s="11" customFormat="1" ht="18">
      <c r="B66" s="82"/>
      <c r="E66" s="73"/>
      <c r="M66" s="76"/>
      <c r="N66" s="76"/>
      <c r="O66" s="76"/>
      <c r="P66" s="76"/>
      <c r="Q66" s="76"/>
      <c r="R66" s="76"/>
      <c r="S66" s="76"/>
      <c r="T66" s="76"/>
      <c r="U66" s="76"/>
      <c r="V66" s="76"/>
      <c r="W66" s="76"/>
      <c r="X66" s="76"/>
      <c r="Y66" s="76"/>
      <c r="Z66" s="76"/>
      <c r="AA66" s="76"/>
      <c r="AB66" s="76"/>
      <c r="AC66" s="76"/>
    </row>
    <row r="67" spans="2:29" s="11" customFormat="1" ht="18">
      <c r="B67" s="81"/>
      <c r="C67" s="72"/>
      <c r="D67" s="72"/>
      <c r="E67" s="73"/>
      <c r="M67" s="76"/>
      <c r="N67" s="76"/>
      <c r="O67" s="76"/>
      <c r="P67" s="76"/>
      <c r="Q67" s="76"/>
      <c r="R67" s="76"/>
      <c r="S67" s="76"/>
      <c r="T67" s="76"/>
      <c r="U67" s="76"/>
      <c r="V67" s="76"/>
      <c r="W67" s="76"/>
      <c r="X67" s="76"/>
      <c r="Y67" s="76"/>
      <c r="Z67" s="76"/>
      <c r="AA67" s="76"/>
      <c r="AB67" s="76"/>
      <c r="AC67" s="76"/>
    </row>
    <row r="68" spans="2:29" s="11" customFormat="1" ht="18">
      <c r="B68" s="81"/>
      <c r="C68" s="72"/>
      <c r="D68" s="72"/>
      <c r="E68" s="73"/>
      <c r="M68" s="76"/>
      <c r="N68" s="76"/>
      <c r="O68" s="76"/>
      <c r="P68" s="76"/>
      <c r="Q68" s="76"/>
      <c r="R68" s="76"/>
      <c r="S68" s="76"/>
      <c r="T68" s="76"/>
      <c r="U68" s="76"/>
      <c r="V68" s="76"/>
      <c r="W68" s="76"/>
      <c r="X68" s="76"/>
      <c r="Y68" s="76"/>
      <c r="Z68" s="76"/>
      <c r="AA68" s="76"/>
      <c r="AB68" s="76"/>
      <c r="AC68" s="76"/>
    </row>
    <row r="69" spans="2:37" s="11" customFormat="1" ht="18">
      <c r="B69" s="82"/>
      <c r="E69" s="73"/>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row>
    <row r="70" spans="2:37" s="11" customFormat="1" ht="18">
      <c r="B70" s="82"/>
      <c r="E70" s="73"/>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row>
    <row r="71" spans="2:37" s="11" customFormat="1" ht="18">
      <c r="B71" s="82"/>
      <c r="E71" s="73"/>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row>
    <row r="72" spans="2:37" s="11" customFormat="1" ht="18">
      <c r="B72" s="82"/>
      <c r="E72" s="73"/>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row>
    <row r="73" spans="2:26" s="11" customFormat="1" ht="18">
      <c r="B73" s="82"/>
      <c r="E73" s="74"/>
      <c r="F73" s="76"/>
      <c r="G73" s="76"/>
      <c r="H73" s="76"/>
      <c r="I73" s="76"/>
      <c r="J73" s="76"/>
      <c r="K73" s="76"/>
      <c r="L73" s="76"/>
      <c r="M73" s="76"/>
      <c r="N73" s="76"/>
      <c r="O73" s="76"/>
      <c r="P73" s="76"/>
      <c r="Q73" s="76"/>
      <c r="R73" s="76"/>
      <c r="S73" s="76"/>
      <c r="T73" s="76"/>
      <c r="U73" s="76"/>
      <c r="V73" s="76"/>
      <c r="W73" s="76"/>
      <c r="X73" s="76"/>
      <c r="Y73" s="76"/>
      <c r="Z73" s="76"/>
    </row>
    <row r="74" spans="2:26" s="11" customFormat="1" ht="18">
      <c r="B74" s="81"/>
      <c r="C74" s="72"/>
      <c r="D74" s="72"/>
      <c r="E74" s="74"/>
      <c r="F74" s="76"/>
      <c r="G74" s="76"/>
      <c r="H74" s="76"/>
      <c r="I74" s="76"/>
      <c r="J74" s="76"/>
      <c r="K74" s="76"/>
      <c r="L74" s="76"/>
      <c r="M74" s="76"/>
      <c r="N74" s="76"/>
      <c r="O74" s="76"/>
      <c r="P74" s="76"/>
      <c r="Q74" s="76"/>
      <c r="R74" s="76"/>
      <c r="S74" s="76"/>
      <c r="T74" s="76"/>
      <c r="U74" s="76"/>
      <c r="V74" s="76"/>
      <c r="W74" s="76"/>
      <c r="X74" s="76"/>
      <c r="Y74" s="76"/>
      <c r="Z74" s="76"/>
    </row>
    <row r="75" spans="2:26" s="11" customFormat="1" ht="18">
      <c r="B75" s="81"/>
      <c r="C75" s="72"/>
      <c r="D75" s="72"/>
      <c r="E75" s="74"/>
      <c r="F75" s="76"/>
      <c r="G75" s="76"/>
      <c r="H75" s="76"/>
      <c r="I75" s="76"/>
      <c r="J75" s="76"/>
      <c r="K75" s="76"/>
      <c r="L75" s="76"/>
      <c r="M75" s="76"/>
      <c r="N75" s="76"/>
      <c r="O75" s="76"/>
      <c r="P75" s="76"/>
      <c r="Q75" s="76"/>
      <c r="R75" s="76"/>
      <c r="S75" s="76"/>
      <c r="T75" s="76"/>
      <c r="U75" s="76"/>
      <c r="V75" s="76"/>
      <c r="W75" s="76"/>
      <c r="X75" s="76"/>
      <c r="Y75" s="76"/>
      <c r="Z75" s="76"/>
    </row>
    <row r="76" spans="2:26" s="11" customFormat="1" ht="18">
      <c r="B76" s="81"/>
      <c r="C76" s="72"/>
      <c r="D76" s="72"/>
      <c r="E76" s="74"/>
      <c r="F76" s="76"/>
      <c r="G76" s="76"/>
      <c r="H76" s="76"/>
      <c r="I76" s="76"/>
      <c r="J76" s="76"/>
      <c r="K76" s="76"/>
      <c r="L76" s="76"/>
      <c r="M76" s="76"/>
      <c r="N76" s="76"/>
      <c r="O76" s="76"/>
      <c r="P76" s="76"/>
      <c r="Q76" s="76"/>
      <c r="R76" s="76"/>
      <c r="S76" s="76"/>
      <c r="T76" s="76"/>
      <c r="U76" s="76"/>
      <c r="V76" s="76"/>
      <c r="W76" s="76"/>
      <c r="X76" s="76"/>
      <c r="Y76" s="76"/>
      <c r="Z76" s="76"/>
    </row>
    <row r="77" spans="2:26" s="11" customFormat="1" ht="18">
      <c r="B77" s="81"/>
      <c r="C77" s="72"/>
      <c r="D77" s="72"/>
      <c r="E77" s="74"/>
      <c r="F77" s="76"/>
      <c r="G77" s="76"/>
      <c r="H77" s="76"/>
      <c r="I77" s="76"/>
      <c r="J77" s="76"/>
      <c r="K77" s="76"/>
      <c r="L77" s="76"/>
      <c r="M77" s="76"/>
      <c r="N77" s="76"/>
      <c r="O77" s="76"/>
      <c r="P77" s="76"/>
      <c r="Q77" s="76"/>
      <c r="R77" s="76"/>
      <c r="S77" s="76"/>
      <c r="T77" s="76"/>
      <c r="U77" s="76"/>
      <c r="V77" s="76"/>
      <c r="W77" s="76"/>
      <c r="X77" s="76"/>
      <c r="Y77" s="76"/>
      <c r="Z77" s="76"/>
    </row>
    <row r="78" spans="2:26" s="11" customFormat="1" ht="18">
      <c r="B78" s="81"/>
      <c r="C78" s="72"/>
      <c r="D78" s="72"/>
      <c r="E78" s="74"/>
      <c r="F78" s="76"/>
      <c r="G78" s="76"/>
      <c r="H78" s="76"/>
      <c r="I78" s="76"/>
      <c r="J78" s="76"/>
      <c r="K78" s="76"/>
      <c r="L78" s="76"/>
      <c r="M78" s="76"/>
      <c r="N78" s="76"/>
      <c r="O78" s="76"/>
      <c r="P78" s="76"/>
      <c r="Q78" s="76"/>
      <c r="R78" s="76"/>
      <c r="S78" s="76"/>
      <c r="T78" s="76"/>
      <c r="U78" s="76"/>
      <c r="V78" s="76"/>
      <c r="W78" s="76"/>
      <c r="X78" s="76"/>
      <c r="Y78" s="76"/>
      <c r="Z78" s="76"/>
    </row>
    <row r="79" spans="2:26" s="11" customFormat="1" ht="18">
      <c r="B79" s="81"/>
      <c r="C79" s="72"/>
      <c r="D79" s="72"/>
      <c r="E79" s="74"/>
      <c r="F79" s="76"/>
      <c r="G79" s="76"/>
      <c r="H79" s="76"/>
      <c r="I79" s="76"/>
      <c r="J79" s="76"/>
      <c r="K79" s="76"/>
      <c r="L79" s="76"/>
      <c r="M79" s="76"/>
      <c r="N79" s="76"/>
      <c r="O79" s="76"/>
      <c r="P79" s="76"/>
      <c r="Q79" s="76"/>
      <c r="R79" s="76"/>
      <c r="S79" s="76"/>
      <c r="T79" s="76"/>
      <c r="U79" s="76"/>
      <c r="V79" s="76"/>
      <c r="W79" s="76"/>
      <c r="X79" s="76"/>
      <c r="Y79" s="76"/>
      <c r="Z79" s="76"/>
    </row>
    <row r="80" spans="2:26" s="11" customFormat="1" ht="18">
      <c r="B80" s="81"/>
      <c r="C80" s="72"/>
      <c r="D80" s="72"/>
      <c r="E80" s="74"/>
      <c r="F80" s="76"/>
      <c r="G80" s="76"/>
      <c r="H80" s="76"/>
      <c r="I80" s="76"/>
      <c r="J80" s="76"/>
      <c r="K80" s="76"/>
      <c r="L80" s="76"/>
      <c r="M80" s="76"/>
      <c r="N80" s="76"/>
      <c r="O80" s="76"/>
      <c r="P80" s="76"/>
      <c r="Q80" s="76"/>
      <c r="R80" s="76"/>
      <c r="S80" s="76"/>
      <c r="T80" s="76"/>
      <c r="U80" s="76"/>
      <c r="V80" s="76"/>
      <c r="W80" s="76"/>
      <c r="X80" s="76"/>
      <c r="Y80" s="76"/>
      <c r="Z80" s="76"/>
    </row>
    <row r="81" spans="2:26" s="11" customFormat="1" ht="18">
      <c r="B81" s="81"/>
      <c r="C81" s="72"/>
      <c r="D81" s="72"/>
      <c r="E81" s="74"/>
      <c r="F81" s="76"/>
      <c r="G81" s="76"/>
      <c r="H81" s="76"/>
      <c r="I81" s="76"/>
      <c r="J81" s="76"/>
      <c r="K81" s="76"/>
      <c r="L81" s="76"/>
      <c r="M81" s="76"/>
      <c r="N81" s="76"/>
      <c r="O81" s="76"/>
      <c r="P81" s="76"/>
      <c r="Q81" s="76"/>
      <c r="R81" s="76"/>
      <c r="S81" s="76"/>
      <c r="T81" s="76"/>
      <c r="U81" s="76"/>
      <c r="V81" s="76"/>
      <c r="W81" s="76"/>
      <c r="X81" s="76"/>
      <c r="Y81" s="76"/>
      <c r="Z81" s="76"/>
    </row>
    <row r="82" spans="2:26" s="11" customFormat="1" ht="18">
      <c r="B82" s="81"/>
      <c r="C82" s="72"/>
      <c r="D82" s="72"/>
      <c r="E82" s="74"/>
      <c r="F82" s="76"/>
      <c r="G82" s="76"/>
      <c r="H82" s="76"/>
      <c r="I82" s="76"/>
      <c r="J82" s="76"/>
      <c r="K82" s="76"/>
      <c r="L82" s="76"/>
      <c r="M82" s="76"/>
      <c r="N82" s="76"/>
      <c r="O82" s="76"/>
      <c r="P82" s="76"/>
      <c r="Q82" s="76"/>
      <c r="R82" s="76"/>
      <c r="S82" s="76"/>
      <c r="T82" s="76"/>
      <c r="U82" s="76"/>
      <c r="V82" s="76"/>
      <c r="W82" s="76"/>
      <c r="X82" s="76"/>
      <c r="Y82" s="76"/>
      <c r="Z82" s="76"/>
    </row>
    <row r="83" spans="2:26" s="11" customFormat="1" ht="18">
      <c r="B83" s="81"/>
      <c r="C83" s="72"/>
      <c r="D83" s="72"/>
      <c r="E83" s="74"/>
      <c r="F83" s="76"/>
      <c r="G83" s="76"/>
      <c r="H83" s="76"/>
      <c r="I83" s="76"/>
      <c r="J83" s="76"/>
      <c r="K83" s="76"/>
      <c r="L83" s="76"/>
      <c r="M83" s="76"/>
      <c r="N83" s="76"/>
      <c r="O83" s="76"/>
      <c r="P83" s="76"/>
      <c r="Q83" s="76"/>
      <c r="R83" s="76"/>
      <c r="S83" s="76"/>
      <c r="T83" s="76"/>
      <c r="U83" s="76"/>
      <c r="V83" s="76"/>
      <c r="W83" s="76"/>
      <c r="X83" s="76"/>
      <c r="Y83" s="76"/>
      <c r="Z83" s="76"/>
    </row>
    <row r="84" spans="2:26" s="11" customFormat="1" ht="18">
      <c r="B84" s="81"/>
      <c r="C84" s="72"/>
      <c r="D84" s="72"/>
      <c r="E84" s="74"/>
      <c r="F84" s="76"/>
      <c r="G84" s="76"/>
      <c r="H84" s="76"/>
      <c r="I84" s="76"/>
      <c r="J84" s="76"/>
      <c r="K84" s="76"/>
      <c r="L84" s="76"/>
      <c r="M84" s="76"/>
      <c r="N84" s="76"/>
      <c r="O84" s="76"/>
      <c r="P84" s="76"/>
      <c r="Q84" s="76"/>
      <c r="R84" s="76"/>
      <c r="S84" s="76"/>
      <c r="T84" s="76"/>
      <c r="U84" s="76"/>
      <c r="V84" s="76"/>
      <c r="W84" s="76"/>
      <c r="X84" s="76"/>
      <c r="Y84" s="76"/>
      <c r="Z84" s="76"/>
    </row>
    <row r="85" spans="2:26" s="11" customFormat="1" ht="18">
      <c r="B85" s="81"/>
      <c r="C85" s="72"/>
      <c r="D85" s="72"/>
      <c r="E85" s="74"/>
      <c r="F85" s="76"/>
      <c r="G85" s="76"/>
      <c r="H85" s="76"/>
      <c r="I85" s="76"/>
      <c r="J85" s="76"/>
      <c r="K85" s="76"/>
      <c r="L85" s="76"/>
      <c r="M85" s="76"/>
      <c r="N85" s="76"/>
      <c r="O85" s="76"/>
      <c r="P85" s="76"/>
      <c r="Q85" s="76"/>
      <c r="R85" s="76"/>
      <c r="S85" s="76"/>
      <c r="T85" s="76"/>
      <c r="U85" s="76"/>
      <c r="V85" s="76"/>
      <c r="W85" s="76"/>
      <c r="X85" s="76"/>
      <c r="Y85" s="76"/>
      <c r="Z85" s="76"/>
    </row>
    <row r="86" spans="2:26" s="11" customFormat="1" ht="18">
      <c r="B86" s="81"/>
      <c r="C86" s="72"/>
      <c r="D86" s="72"/>
      <c r="E86" s="74"/>
      <c r="F86" s="76"/>
      <c r="G86" s="76"/>
      <c r="H86" s="76"/>
      <c r="I86" s="76"/>
      <c r="J86" s="76"/>
      <c r="K86" s="76"/>
      <c r="L86" s="76"/>
      <c r="M86" s="76"/>
      <c r="N86" s="76"/>
      <c r="O86" s="76"/>
      <c r="P86" s="76"/>
      <c r="Q86" s="76"/>
      <c r="R86" s="76"/>
      <c r="S86" s="76"/>
      <c r="T86" s="76"/>
      <c r="U86" s="76"/>
      <c r="V86" s="76"/>
      <c r="W86" s="76"/>
      <c r="X86" s="76"/>
      <c r="Y86" s="76"/>
      <c r="Z86" s="76"/>
    </row>
    <row r="87" spans="2:26" s="11" customFormat="1" ht="18">
      <c r="B87" s="81"/>
      <c r="C87" s="72"/>
      <c r="D87" s="72"/>
      <c r="E87" s="74"/>
      <c r="F87" s="76"/>
      <c r="G87" s="76"/>
      <c r="H87" s="76"/>
      <c r="I87" s="76"/>
      <c r="J87" s="76"/>
      <c r="K87" s="76"/>
      <c r="L87" s="76"/>
      <c r="M87" s="76"/>
      <c r="N87" s="76"/>
      <c r="O87" s="76"/>
      <c r="P87" s="76"/>
      <c r="Q87" s="76"/>
      <c r="R87" s="76"/>
      <c r="S87" s="76"/>
      <c r="T87" s="76"/>
      <c r="U87" s="76"/>
      <c r="V87" s="76"/>
      <c r="W87" s="76"/>
      <c r="X87" s="76"/>
      <c r="Y87" s="76"/>
      <c r="Z87" s="76"/>
    </row>
    <row r="88" spans="2:74" s="11" customFormat="1" ht="18">
      <c r="B88" s="82"/>
      <c r="E88" s="74"/>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row>
    <row r="89" spans="2:74" s="11" customFormat="1" ht="18">
      <c r="B89" s="82"/>
      <c r="E89" s="74"/>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row>
    <row r="90" spans="2:74" s="11" customFormat="1" ht="18">
      <c r="B90" s="82"/>
      <c r="E90" s="74"/>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row>
    <row r="91" spans="2:74" s="11" customFormat="1" ht="18">
      <c r="B91" s="82"/>
      <c r="E91" s="74"/>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row>
    <row r="92" spans="2:74" s="11" customFormat="1" ht="18">
      <c r="B92" s="82"/>
      <c r="E92" s="74"/>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row>
    <row r="93" spans="2:74" s="11" customFormat="1" ht="18">
      <c r="B93" s="82"/>
      <c r="E93" s="74"/>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row>
    <row r="94" spans="2:74" s="11" customFormat="1" ht="18">
      <c r="B94" s="82"/>
      <c r="E94" s="74"/>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row>
    <row r="95" spans="2:74" s="11" customFormat="1" ht="18">
      <c r="B95" s="82"/>
      <c r="E95" s="74"/>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row>
    <row r="96" spans="2:74" s="11" customFormat="1" ht="18">
      <c r="B96" s="82"/>
      <c r="E96" s="74"/>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row>
    <row r="97" spans="2:74" s="11" customFormat="1" ht="18">
      <c r="B97" s="82"/>
      <c r="E97" s="74"/>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row>
    <row r="98" spans="2:74" s="11" customFormat="1" ht="18">
      <c r="B98" s="82"/>
      <c r="E98" s="74"/>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row>
    <row r="99" spans="2:74" s="11" customFormat="1" ht="18">
      <c r="B99" s="82"/>
      <c r="E99" s="74"/>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row>
    <row r="100" spans="2:74" s="11" customFormat="1" ht="18">
      <c r="B100" s="82"/>
      <c r="E100" s="74"/>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row>
    <row r="101" spans="2:74" s="11" customFormat="1" ht="18">
      <c r="B101" s="82"/>
      <c r="E101" s="74"/>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row>
    <row r="102" spans="2:74" s="11" customFormat="1" ht="18">
      <c r="B102" s="82"/>
      <c r="E102" s="74"/>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row>
    <row r="103" spans="2:74" s="11" customFormat="1" ht="18">
      <c r="B103" s="82"/>
      <c r="E103" s="74"/>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row>
    <row r="104" spans="2:74" s="11" customFormat="1" ht="18">
      <c r="B104" s="82"/>
      <c r="E104" s="74"/>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row>
    <row r="105" spans="5:74" ht="18">
      <c r="E105" s="66"/>
      <c r="F105" s="5"/>
      <c r="G105" s="5"/>
      <c r="H105" s="5"/>
      <c r="I105" s="5"/>
      <c r="J105" s="5"/>
      <c r="K105" s="5"/>
      <c r="L105" s="5"/>
      <c r="M105" s="5"/>
      <c r="N105" s="5"/>
      <c r="O105" s="5"/>
      <c r="P105" s="5"/>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row>
    <row r="106" spans="5:74" ht="18">
      <c r="E106" s="66"/>
      <c r="F106" s="5"/>
      <c r="G106" s="5"/>
      <c r="H106" s="5"/>
      <c r="I106" s="5"/>
      <c r="J106" s="5"/>
      <c r="K106" s="5"/>
      <c r="L106" s="5"/>
      <c r="M106" s="5"/>
      <c r="N106" s="5"/>
      <c r="O106" s="5"/>
      <c r="P106" s="5"/>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row>
    <row r="107" spans="5:74" ht="18">
      <c r="E107" s="66"/>
      <c r="F107" s="5"/>
      <c r="G107" s="5"/>
      <c r="H107" s="5"/>
      <c r="I107" s="5"/>
      <c r="J107" s="5"/>
      <c r="K107" s="5"/>
      <c r="L107" s="5"/>
      <c r="M107" s="5"/>
      <c r="N107" s="5"/>
      <c r="O107" s="5"/>
      <c r="P107" s="5"/>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row>
    <row r="108" spans="5:74" ht="18">
      <c r="E108" s="66"/>
      <c r="F108" s="5"/>
      <c r="G108" s="5"/>
      <c r="H108" s="5"/>
      <c r="I108" s="5"/>
      <c r="J108" s="5"/>
      <c r="K108" s="5"/>
      <c r="L108" s="5"/>
      <c r="M108" s="5"/>
      <c r="N108" s="5"/>
      <c r="O108" s="5"/>
      <c r="P108" s="5"/>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row>
    <row r="112" spans="5:7" ht="18">
      <c r="E112" s="66"/>
      <c r="F112" s="4"/>
      <c r="G112" s="4"/>
    </row>
    <row r="113" spans="5:29" ht="18">
      <c r="E113" s="66"/>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ht="18">
      <c r="E114" s="71"/>
    </row>
    <row r="117" spans="10:12" ht="18">
      <c r="J117" s="2"/>
      <c r="L117" s="2"/>
    </row>
    <row r="118" spans="5:8" ht="18">
      <c r="E118" s="66"/>
      <c r="F118" s="4"/>
      <c r="G118" s="5"/>
      <c r="H118" s="5"/>
    </row>
    <row r="119" spans="5:8" ht="18">
      <c r="E119" s="70"/>
      <c r="F119" s="4"/>
      <c r="G119" s="5"/>
      <c r="H119" s="4"/>
    </row>
    <row r="120" spans="3:12" ht="18">
      <c r="C120" s="1"/>
      <c r="D120" s="1"/>
      <c r="E120" s="66"/>
      <c r="F120" s="66"/>
      <c r="G120" s="67"/>
      <c r="H120" s="66"/>
      <c r="I120" s="68"/>
      <c r="J120" s="69"/>
      <c r="K120" s="68"/>
      <c r="L120" s="69"/>
    </row>
    <row r="121" spans="3:12" ht="18">
      <c r="C121" s="1"/>
      <c r="D121" s="1"/>
      <c r="E121" s="66"/>
      <c r="F121" s="66"/>
      <c r="G121" s="68"/>
      <c r="H121" s="66"/>
      <c r="I121" s="68"/>
      <c r="J121" s="69"/>
      <c r="K121" s="68"/>
      <c r="L121" s="69"/>
    </row>
    <row r="122" spans="3:12" ht="18">
      <c r="C122" s="1"/>
      <c r="D122" s="1"/>
      <c r="E122" s="66"/>
      <c r="F122" s="66"/>
      <c r="G122" s="68"/>
      <c r="H122" s="66"/>
      <c r="I122" s="68"/>
      <c r="J122" s="69"/>
      <c r="K122" s="68"/>
      <c r="L122" s="69"/>
    </row>
    <row r="123" spans="3:12" ht="18">
      <c r="C123" s="1"/>
      <c r="D123" s="1"/>
      <c r="E123" s="66"/>
      <c r="F123" s="66"/>
      <c r="G123" s="68"/>
      <c r="H123" s="66"/>
      <c r="I123" s="68"/>
      <c r="J123" s="69"/>
      <c r="K123" s="68"/>
      <c r="L123" s="69"/>
    </row>
    <row r="124" spans="3:12" ht="18">
      <c r="C124" s="1"/>
      <c r="D124" s="1"/>
      <c r="E124" s="70"/>
      <c r="F124" s="66"/>
      <c r="G124" s="68"/>
      <c r="H124" s="66"/>
      <c r="I124" s="68"/>
      <c r="J124" s="69"/>
      <c r="K124" s="65"/>
      <c r="L124" s="69"/>
    </row>
    <row r="125" spans="3:12" ht="18">
      <c r="C125" s="1"/>
      <c r="D125" s="1"/>
      <c r="E125" s="70"/>
      <c r="F125" s="66"/>
      <c r="G125" s="68"/>
      <c r="H125" s="66"/>
      <c r="I125" s="68"/>
      <c r="J125" s="68"/>
      <c r="K125" s="68"/>
      <c r="L125" s="68"/>
    </row>
    <row r="126" spans="3:12" ht="18">
      <c r="C126" s="1"/>
      <c r="D126" s="1"/>
      <c r="E126" s="66"/>
      <c r="F126" s="66"/>
      <c r="G126" s="68"/>
      <c r="H126" s="66"/>
      <c r="I126" s="68"/>
      <c r="J126" s="66"/>
      <c r="K126" s="68"/>
      <c r="L126" s="66"/>
    </row>
    <row r="127" spans="3:12" ht="18">
      <c r="C127" s="1"/>
      <c r="D127" s="1"/>
      <c r="E127" s="66"/>
      <c r="F127" s="66"/>
      <c r="G127" s="68"/>
      <c r="H127" s="66"/>
      <c r="I127" s="68"/>
      <c r="J127" s="66"/>
      <c r="K127" s="68"/>
      <c r="L127" s="66"/>
    </row>
    <row r="128" spans="3:12" ht="18">
      <c r="C128" s="1"/>
      <c r="D128" s="1"/>
      <c r="E128" s="66"/>
      <c r="F128" s="66"/>
      <c r="G128" s="68"/>
      <c r="H128" s="66"/>
      <c r="I128" s="68"/>
      <c r="J128" s="66"/>
      <c r="K128" s="68"/>
      <c r="L128" s="66"/>
    </row>
    <row r="129" spans="3:12" ht="18">
      <c r="C129" s="1"/>
      <c r="D129" s="1"/>
      <c r="E129" s="66"/>
      <c r="F129" s="66"/>
      <c r="G129" s="68"/>
      <c r="H129" s="66"/>
      <c r="I129" s="68"/>
      <c r="J129" s="66"/>
      <c r="K129" s="68"/>
      <c r="L129" s="66"/>
    </row>
    <row r="130" spans="3:12" ht="18">
      <c r="C130" s="1"/>
      <c r="D130" s="1"/>
      <c r="E130" s="66"/>
      <c r="F130" s="66"/>
      <c r="G130" s="68"/>
      <c r="H130" s="66"/>
      <c r="I130" s="68"/>
      <c r="J130" s="66"/>
      <c r="K130" s="68"/>
      <c r="L130" s="66"/>
    </row>
    <row r="131" spans="3:12" ht="18">
      <c r="C131" s="1"/>
      <c r="D131" s="1"/>
      <c r="F131" s="68"/>
      <c r="G131" s="68"/>
      <c r="H131" s="67"/>
      <c r="I131" s="67"/>
      <c r="J131" s="67"/>
      <c r="K131" s="68"/>
      <c r="L131" s="68"/>
    </row>
    <row r="132" spans="3:12" ht="18">
      <c r="C132" s="1"/>
      <c r="D132" s="1"/>
      <c r="F132" s="68"/>
      <c r="G132" s="68"/>
      <c r="H132" s="68"/>
      <c r="I132" s="68"/>
      <c r="J132" s="68"/>
      <c r="K132" s="68"/>
      <c r="L132" s="68"/>
    </row>
    <row r="133" spans="3:12" ht="18">
      <c r="C133" s="1"/>
      <c r="D133" s="1"/>
      <c r="F133" s="68"/>
      <c r="G133" s="68"/>
      <c r="H133" s="68"/>
      <c r="I133" s="68"/>
      <c r="J133" s="68"/>
      <c r="K133" s="68"/>
      <c r="L133" s="68"/>
    </row>
    <row r="134" spans="3:12" ht="18">
      <c r="C134" s="1"/>
      <c r="D134" s="1"/>
      <c r="F134" s="1"/>
      <c r="G134" s="1"/>
      <c r="H134" s="1"/>
      <c r="I134" s="1"/>
      <c r="J134" s="68"/>
      <c r="K134" s="68"/>
      <c r="L134" s="68"/>
    </row>
    <row r="135" spans="3:12" ht="18">
      <c r="C135" s="1"/>
      <c r="D135" s="1"/>
      <c r="E135" s="68"/>
      <c r="F135" s="1"/>
      <c r="G135" s="1"/>
      <c r="H135" s="1"/>
      <c r="I135" s="1"/>
      <c r="J135" s="68"/>
      <c r="K135" s="68"/>
      <c r="L135" s="68"/>
    </row>
    <row r="136" spans="3:12" ht="18">
      <c r="C136" s="1"/>
      <c r="D136" s="1"/>
      <c r="E136" s="68"/>
      <c r="F136" s="68"/>
      <c r="G136" s="68"/>
      <c r="H136" s="68"/>
      <c r="I136" s="68"/>
      <c r="J136" s="68"/>
      <c r="K136" s="68"/>
      <c r="L136" s="68"/>
    </row>
    <row r="137" spans="3:12" ht="18">
      <c r="C137" s="1"/>
      <c r="D137" s="1"/>
      <c r="F137" s="68"/>
      <c r="G137" s="68"/>
      <c r="H137" s="68"/>
      <c r="I137" s="68"/>
      <c r="J137" s="68"/>
      <c r="K137" s="68"/>
      <c r="L137" s="68"/>
    </row>
    <row r="138" spans="3:12" ht="18">
      <c r="C138" s="1"/>
      <c r="D138" s="1"/>
      <c r="F138" s="68"/>
      <c r="G138" s="68"/>
      <c r="H138" s="68"/>
      <c r="I138" s="68"/>
      <c r="J138" s="68"/>
      <c r="K138" s="68"/>
      <c r="L138" s="68"/>
    </row>
    <row r="139" spans="3:12" ht="18">
      <c r="C139" s="1"/>
      <c r="D139" s="1"/>
      <c r="F139" s="68"/>
      <c r="G139" s="68"/>
      <c r="H139" s="68"/>
      <c r="I139" s="68"/>
      <c r="J139" s="68"/>
      <c r="K139" s="68"/>
      <c r="L139" s="68"/>
    </row>
    <row r="140" spans="3:12" ht="18">
      <c r="C140" s="1"/>
      <c r="D140" s="1"/>
      <c r="F140" s="68"/>
      <c r="G140" s="68"/>
      <c r="H140" s="68"/>
      <c r="I140" s="68"/>
      <c r="J140" s="68"/>
      <c r="K140" s="68"/>
      <c r="L140" s="68"/>
    </row>
    <row r="141" spans="3:12" ht="18">
      <c r="C141" s="1"/>
      <c r="D141" s="1"/>
      <c r="F141" s="68"/>
      <c r="G141" s="68"/>
      <c r="H141" s="68"/>
      <c r="I141" s="68"/>
      <c r="J141" s="68"/>
      <c r="K141" s="68"/>
      <c r="L141" s="68"/>
    </row>
    <row r="142" spans="3:12" ht="18">
      <c r="C142" s="1"/>
      <c r="D142" s="1"/>
      <c r="E142" s="66"/>
      <c r="F142" s="68"/>
      <c r="G142" s="68"/>
      <c r="H142" s="68"/>
      <c r="I142" s="68"/>
      <c r="J142" s="68"/>
      <c r="K142" s="68"/>
      <c r="L142" s="68"/>
    </row>
    <row r="143" spans="3:12" ht="18">
      <c r="C143" s="1"/>
      <c r="D143" s="1"/>
      <c r="F143" s="68"/>
      <c r="G143" s="68"/>
      <c r="H143" s="68"/>
      <c r="I143" s="68"/>
      <c r="J143" s="68"/>
      <c r="K143" s="68"/>
      <c r="L143" s="68"/>
    </row>
    <row r="144" spans="3:12" ht="18">
      <c r="C144" s="1"/>
      <c r="D144" s="1"/>
      <c r="F144" s="68"/>
      <c r="G144" s="68"/>
      <c r="H144" s="68"/>
      <c r="I144" s="68"/>
      <c r="J144" s="68"/>
      <c r="K144" s="68"/>
      <c r="L144" s="68"/>
    </row>
    <row r="145" spans="3:12" ht="18">
      <c r="C145" s="1"/>
      <c r="D145" s="1"/>
      <c r="F145" s="68"/>
      <c r="G145" s="68"/>
      <c r="H145" s="68"/>
      <c r="I145" s="68"/>
      <c r="J145" s="68"/>
      <c r="K145" s="68"/>
      <c r="L145" s="68"/>
    </row>
    <row r="146" spans="3:12" ht="18">
      <c r="C146" s="1"/>
      <c r="D146" s="1"/>
      <c r="F146" s="68"/>
      <c r="G146" s="68"/>
      <c r="H146" s="68"/>
      <c r="I146" s="68"/>
      <c r="J146" s="68"/>
      <c r="K146" s="68"/>
      <c r="L146" s="68"/>
    </row>
    <row r="147" spans="3:12" ht="18">
      <c r="C147" s="1"/>
      <c r="D147" s="1"/>
      <c r="F147" s="68"/>
      <c r="G147" s="68"/>
      <c r="H147" s="68"/>
      <c r="I147" s="68"/>
      <c r="J147" s="68"/>
      <c r="K147" s="68"/>
      <c r="L147" s="68"/>
    </row>
    <row r="148" spans="3:12" ht="18">
      <c r="C148" s="1"/>
      <c r="D148" s="1"/>
      <c r="F148" s="68"/>
      <c r="G148" s="68"/>
      <c r="H148" s="68"/>
      <c r="I148" s="68"/>
      <c r="J148" s="68"/>
      <c r="K148" s="68"/>
      <c r="L148" s="68"/>
    </row>
    <row r="149" spans="3:12" ht="18">
      <c r="C149" s="1"/>
      <c r="D149" s="1"/>
      <c r="F149" s="68"/>
      <c r="G149" s="68"/>
      <c r="H149" s="67"/>
      <c r="I149" s="68"/>
      <c r="J149" s="68"/>
      <c r="K149" s="68"/>
      <c r="L149" s="68"/>
    </row>
    <row r="150" spans="3:12" ht="18">
      <c r="C150" s="1"/>
      <c r="D150" s="1"/>
      <c r="F150" s="68"/>
      <c r="G150" s="68"/>
      <c r="H150" s="68"/>
      <c r="I150" s="68"/>
      <c r="J150" s="68"/>
      <c r="K150" s="68"/>
      <c r="L150" s="68"/>
    </row>
    <row r="151" spans="3:12" ht="18">
      <c r="C151" s="1"/>
      <c r="D151" s="1"/>
      <c r="F151" s="68"/>
      <c r="G151" s="68"/>
      <c r="H151" s="68"/>
      <c r="I151" s="68"/>
      <c r="J151" s="68"/>
      <c r="K151" s="68"/>
      <c r="L151" s="68"/>
    </row>
    <row r="152" spans="3:12" ht="18">
      <c r="C152" s="1"/>
      <c r="D152" s="1"/>
      <c r="F152" s="68"/>
      <c r="G152" s="68"/>
      <c r="H152" s="68"/>
      <c r="I152" s="68"/>
      <c r="J152" s="68"/>
      <c r="K152" s="68"/>
      <c r="L152" s="68"/>
    </row>
    <row r="153" spans="3:12" ht="18">
      <c r="C153" s="1"/>
      <c r="D153" s="1"/>
      <c r="F153" s="68"/>
      <c r="G153" s="68"/>
      <c r="H153" s="68"/>
      <c r="I153" s="68"/>
      <c r="J153" s="68"/>
      <c r="K153" s="68"/>
      <c r="L153" s="68"/>
    </row>
    <row r="154" spans="3:12" ht="18">
      <c r="C154" s="1"/>
      <c r="D154" s="1"/>
      <c r="F154" s="68"/>
      <c r="G154" s="68"/>
      <c r="H154" s="68"/>
      <c r="I154" s="68"/>
      <c r="J154" s="68"/>
      <c r="K154" s="68"/>
      <c r="L154" s="68"/>
    </row>
  </sheetData>
  <mergeCells count="5">
    <mergeCell ref="B49:C49"/>
    <mergeCell ref="B9:U9"/>
    <mergeCell ref="B10:U14"/>
    <mergeCell ref="B16:I17"/>
    <mergeCell ref="B15:U15"/>
  </mergeCells>
  <printOptions horizontalCentered="1"/>
  <pageMargins left="0.25" right="0.26" top="1" bottom="1" header="0.5" footer="0.36"/>
  <pageSetup horizontalDpi="600" verticalDpi="600" orientation="landscape" scale="20" r:id="rId5"/>
  <headerFooter alignWithMargins="0">
    <oddHeader>&amp;L&amp;G&amp;R&amp;A</oddHeader>
    <oddFooter>&amp;R&amp;P</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codeName="Sheet5"/>
  <dimension ref="B2:V25"/>
  <sheetViews>
    <sheetView showGridLines="0" zoomScale="50" zoomScaleNormal="50" workbookViewId="0" topLeftCell="A1">
      <selection activeCell="B3" sqref="B3:R8"/>
    </sheetView>
  </sheetViews>
  <sheetFormatPr defaultColWidth="9.140625" defaultRowHeight="12.75"/>
  <cols>
    <col min="1" max="1" width="5.7109375" style="8" customWidth="1"/>
    <col min="2" max="2" width="47.57421875" style="144" customWidth="1"/>
    <col min="3" max="3" width="22.28125" style="8" bestFit="1" customWidth="1"/>
    <col min="4" max="4" width="11.57421875" style="8" bestFit="1" customWidth="1"/>
    <col min="5" max="10" width="14.00390625" style="8" bestFit="1" customWidth="1"/>
    <col min="11" max="11" width="13.8515625" style="8" bestFit="1" customWidth="1"/>
    <col min="12" max="18" width="15.421875" style="8" bestFit="1" customWidth="1"/>
    <col min="19" max="19" width="5.7109375" style="8" customWidth="1"/>
    <col min="20" max="16384" width="9.140625" style="8" customWidth="1"/>
  </cols>
  <sheetData>
    <row r="2" spans="2:21" ht="20.25">
      <c r="B2" s="344" t="s">
        <v>104</v>
      </c>
      <c r="C2" s="344"/>
      <c r="D2" s="344"/>
      <c r="E2" s="344"/>
      <c r="F2" s="344"/>
      <c r="G2" s="344"/>
      <c r="H2" s="344"/>
      <c r="I2" s="344"/>
      <c r="J2" s="344"/>
      <c r="K2" s="344"/>
      <c r="L2" s="344"/>
      <c r="M2" s="344"/>
      <c r="N2" s="344"/>
      <c r="O2" s="344"/>
      <c r="P2" s="344"/>
      <c r="Q2" s="344"/>
      <c r="R2" s="344"/>
      <c r="S2" s="142"/>
      <c r="T2" s="142"/>
      <c r="U2" s="142"/>
    </row>
    <row r="3" spans="2:21" ht="18" customHeight="1">
      <c r="B3" s="345" t="s">
        <v>216</v>
      </c>
      <c r="C3" s="345"/>
      <c r="D3" s="345"/>
      <c r="E3" s="345"/>
      <c r="F3" s="345"/>
      <c r="G3" s="345"/>
      <c r="H3" s="345"/>
      <c r="I3" s="345"/>
      <c r="J3" s="345"/>
      <c r="K3" s="345"/>
      <c r="L3" s="345"/>
      <c r="M3" s="345"/>
      <c r="N3" s="345"/>
      <c r="O3" s="345"/>
      <c r="P3" s="345"/>
      <c r="Q3" s="345"/>
      <c r="R3" s="345"/>
      <c r="S3" s="143"/>
      <c r="T3" s="143"/>
      <c r="U3" s="143"/>
    </row>
    <row r="4" spans="2:21" ht="18" customHeight="1">
      <c r="B4" s="345"/>
      <c r="C4" s="345"/>
      <c r="D4" s="345"/>
      <c r="E4" s="345"/>
      <c r="F4" s="345"/>
      <c r="G4" s="345"/>
      <c r="H4" s="345"/>
      <c r="I4" s="345"/>
      <c r="J4" s="345"/>
      <c r="K4" s="345"/>
      <c r="L4" s="345"/>
      <c r="M4" s="345"/>
      <c r="N4" s="345"/>
      <c r="O4" s="345"/>
      <c r="P4" s="345"/>
      <c r="Q4" s="345"/>
      <c r="R4" s="345"/>
      <c r="S4" s="143"/>
      <c r="T4" s="143"/>
      <c r="U4" s="143"/>
    </row>
    <row r="5" spans="2:21" ht="18" customHeight="1">
      <c r="B5" s="345"/>
      <c r="C5" s="345"/>
      <c r="D5" s="345"/>
      <c r="E5" s="345"/>
      <c r="F5" s="345"/>
      <c r="G5" s="345"/>
      <c r="H5" s="345"/>
      <c r="I5" s="345"/>
      <c r="J5" s="345"/>
      <c r="K5" s="345"/>
      <c r="L5" s="345"/>
      <c r="M5" s="345"/>
      <c r="N5" s="345"/>
      <c r="O5" s="345"/>
      <c r="P5" s="345"/>
      <c r="Q5" s="345"/>
      <c r="R5" s="345"/>
      <c r="S5" s="143"/>
      <c r="T5" s="143"/>
      <c r="U5" s="143"/>
    </row>
    <row r="6" spans="2:21" ht="18" customHeight="1">
      <c r="B6" s="345"/>
      <c r="C6" s="345"/>
      <c r="D6" s="345"/>
      <c r="E6" s="345"/>
      <c r="F6" s="345"/>
      <c r="G6" s="345"/>
      <c r="H6" s="345"/>
      <c r="I6" s="345"/>
      <c r="J6" s="345"/>
      <c r="K6" s="345"/>
      <c r="L6" s="345"/>
      <c r="M6" s="345"/>
      <c r="N6" s="345"/>
      <c r="O6" s="345"/>
      <c r="P6" s="345"/>
      <c r="Q6" s="345"/>
      <c r="R6" s="345"/>
      <c r="S6" s="143"/>
      <c r="T6" s="143"/>
      <c r="U6" s="143"/>
    </row>
    <row r="7" spans="2:21" ht="18" customHeight="1">
      <c r="B7" s="345"/>
      <c r="C7" s="345"/>
      <c r="D7" s="345"/>
      <c r="E7" s="345"/>
      <c r="F7" s="345"/>
      <c r="G7" s="345"/>
      <c r="H7" s="345"/>
      <c r="I7" s="345"/>
      <c r="J7" s="345"/>
      <c r="K7" s="345"/>
      <c r="L7" s="345"/>
      <c r="M7" s="345"/>
      <c r="N7" s="345"/>
      <c r="O7" s="345"/>
      <c r="P7" s="345"/>
      <c r="Q7" s="345"/>
      <c r="R7" s="345"/>
      <c r="S7" s="143"/>
      <c r="T7" s="143"/>
      <c r="U7" s="143"/>
    </row>
    <row r="8" spans="2:18" ht="18">
      <c r="B8" s="345"/>
      <c r="C8" s="345"/>
      <c r="D8" s="345"/>
      <c r="E8" s="345"/>
      <c r="F8" s="345"/>
      <c r="G8" s="345"/>
      <c r="H8" s="345"/>
      <c r="I8" s="345"/>
      <c r="J8" s="345"/>
      <c r="K8" s="345"/>
      <c r="L8" s="345"/>
      <c r="M8" s="345"/>
      <c r="N8" s="345"/>
      <c r="O8" s="345"/>
      <c r="P8" s="345"/>
      <c r="Q8" s="345"/>
      <c r="R8" s="345"/>
    </row>
    <row r="9" spans="2:18" ht="18">
      <c r="B9" s="347" t="s">
        <v>213</v>
      </c>
      <c r="C9" s="347"/>
      <c r="D9" s="347"/>
      <c r="E9" s="347"/>
      <c r="F9" s="347"/>
      <c r="G9" s="347"/>
      <c r="H9" s="347"/>
      <c r="I9" s="347"/>
      <c r="J9" s="347"/>
      <c r="K9" s="347"/>
      <c r="L9" s="347"/>
      <c r="M9" s="347"/>
      <c r="N9" s="347"/>
      <c r="O9" s="347"/>
      <c r="P9" s="347"/>
      <c r="Q9" s="347"/>
      <c r="R9" s="347"/>
    </row>
    <row r="10" spans="4:10" ht="18.75">
      <c r="D10" s="141"/>
      <c r="E10" s="141"/>
      <c r="F10" s="141"/>
      <c r="G10" s="141"/>
      <c r="H10" s="141"/>
      <c r="I10" s="141"/>
      <c r="J10" s="141"/>
    </row>
    <row r="11" spans="5:12" ht="18.75">
      <c r="E11" s="141"/>
      <c r="F11" s="141"/>
      <c r="G11" s="141"/>
      <c r="H11" s="141"/>
      <c r="I11" s="141"/>
      <c r="J11" s="141"/>
      <c r="K11" s="141"/>
      <c r="L11" s="141"/>
    </row>
    <row r="12" spans="5:13" ht="18.75">
      <c r="E12" s="141"/>
      <c r="F12" s="141"/>
      <c r="G12" s="141"/>
      <c r="H12" s="141"/>
      <c r="I12" s="141"/>
      <c r="J12" s="141"/>
      <c r="K12" s="141"/>
      <c r="L12" s="141"/>
      <c r="M12" s="141"/>
    </row>
    <row r="13" spans="2:18" ht="18">
      <c r="B13" s="103" t="s">
        <v>86</v>
      </c>
      <c r="C13" s="84"/>
      <c r="D13" s="84">
        <v>1</v>
      </c>
      <c r="E13" s="84">
        <v>2</v>
      </c>
      <c r="F13" s="84">
        <v>3</v>
      </c>
      <c r="G13" s="84">
        <v>4</v>
      </c>
      <c r="H13" s="84">
        <v>5</v>
      </c>
      <c r="I13" s="84">
        <v>6</v>
      </c>
      <c r="J13" s="84">
        <v>7</v>
      </c>
      <c r="K13" s="84">
        <v>8</v>
      </c>
      <c r="L13" s="84">
        <v>9</v>
      </c>
      <c r="M13" s="84">
        <v>10</v>
      </c>
      <c r="N13" s="84">
        <v>11</v>
      </c>
      <c r="O13" s="84">
        <v>12</v>
      </c>
      <c r="P13" s="84">
        <v>13</v>
      </c>
      <c r="Q13" s="84">
        <v>14</v>
      </c>
      <c r="R13" s="85">
        <v>15</v>
      </c>
    </row>
    <row r="14" spans="2:18" ht="18">
      <c r="B14" s="145" t="s">
        <v>73</v>
      </c>
      <c r="C14" s="146">
        <v>0.108</v>
      </c>
      <c r="D14" s="147"/>
      <c r="E14" s="147"/>
      <c r="F14" s="147"/>
      <c r="G14" s="147"/>
      <c r="H14" s="147"/>
      <c r="I14" s="147"/>
      <c r="J14" s="147"/>
      <c r="K14" s="147"/>
      <c r="L14" s="147"/>
      <c r="M14" s="147"/>
      <c r="N14" s="147"/>
      <c r="O14" s="147"/>
      <c r="P14" s="147"/>
      <c r="Q14" s="147"/>
      <c r="R14" s="148"/>
    </row>
    <row r="15" spans="2:18" ht="36">
      <c r="B15" s="149" t="s">
        <v>180</v>
      </c>
      <c r="C15" s="150">
        <v>0.5</v>
      </c>
      <c r="D15" s="151"/>
      <c r="E15" s="151"/>
      <c r="F15" s="151"/>
      <c r="G15" s="151"/>
      <c r="H15" s="151"/>
      <c r="I15" s="151"/>
      <c r="J15" s="151"/>
      <c r="K15" s="151"/>
      <c r="L15" s="151"/>
      <c r="M15" s="151"/>
      <c r="N15" s="151"/>
      <c r="O15" s="151"/>
      <c r="P15" s="151"/>
      <c r="Q15" s="151"/>
      <c r="R15" s="152"/>
    </row>
    <row r="16" spans="2:18" ht="36.75">
      <c r="B16" s="149" t="s">
        <v>66</v>
      </c>
      <c r="C16" s="153">
        <v>0.05</v>
      </c>
      <c r="D16" s="154"/>
      <c r="E16" s="151"/>
      <c r="F16" s="151"/>
      <c r="G16" s="151"/>
      <c r="H16" s="151"/>
      <c r="I16" s="151"/>
      <c r="J16" s="151"/>
      <c r="K16" s="151"/>
      <c r="L16" s="151"/>
      <c r="M16" s="151"/>
      <c r="N16" s="151"/>
      <c r="O16" s="151"/>
      <c r="P16" s="151"/>
      <c r="Q16" s="151"/>
      <c r="R16" s="152"/>
    </row>
    <row r="17" spans="2:18" s="11" customFormat="1" ht="18">
      <c r="B17" s="259" t="s">
        <v>63</v>
      </c>
      <c r="C17" s="260"/>
      <c r="D17" s="261"/>
      <c r="E17" s="261"/>
      <c r="F17" s="261"/>
      <c r="G17" s="261"/>
      <c r="H17" s="261"/>
      <c r="I17" s="261"/>
      <c r="J17" s="261"/>
      <c r="K17" s="261"/>
      <c r="L17" s="261"/>
      <c r="M17" s="261"/>
      <c r="N17" s="261"/>
      <c r="O17" s="261"/>
      <c r="P17" s="261"/>
      <c r="Q17" s="261"/>
      <c r="R17" s="262"/>
    </row>
    <row r="18" spans="2:18" ht="18">
      <c r="B18" s="149" t="s">
        <v>56</v>
      </c>
      <c r="C18" s="150"/>
      <c r="D18" s="155">
        <v>989899</v>
      </c>
      <c r="E18" s="155"/>
      <c r="F18" s="155"/>
      <c r="G18" s="155"/>
      <c r="H18" s="155"/>
      <c r="I18" s="155"/>
      <c r="J18" s="155"/>
      <c r="K18" s="155"/>
      <c r="L18" s="155"/>
      <c r="M18" s="155"/>
      <c r="N18" s="155"/>
      <c r="O18" s="155"/>
      <c r="P18" s="155"/>
      <c r="Q18" s="155"/>
      <c r="R18" s="156"/>
    </row>
    <row r="19" spans="2:18" ht="36">
      <c r="B19" s="149" t="s">
        <v>68</v>
      </c>
      <c r="C19" s="150"/>
      <c r="D19" s="155">
        <f>+'ERR Calculation'!E22/'Key Assumptions'!$C$36</f>
        <v>71740</v>
      </c>
      <c r="E19" s="155">
        <f>+'ERR Calculation'!F22/'Key Assumptions'!$C$36</f>
        <v>71740</v>
      </c>
      <c r="F19" s="155">
        <f>+'ERR Calculation'!G22/'Key Assumptions'!$C$36</f>
        <v>84147.77777777778</v>
      </c>
      <c r="G19" s="155">
        <f>+'ERR Calculation'!H22/'Key Assumptions'!$C$36</f>
        <v>96555.55555555556</v>
      </c>
      <c r="H19" s="155">
        <f>+'ERR Calculation'!I22/'Key Assumptions'!$C$36</f>
        <v>108963.33333333334</v>
      </c>
      <c r="I19" s="155">
        <f>+'ERR Calculation'!J22/'Key Assumptions'!$C$36</f>
        <v>121371.11111111112</v>
      </c>
      <c r="J19" s="155">
        <f>+'ERR Calculation'!K22/'Key Assumptions'!$C$36</f>
        <v>133778.8888888889</v>
      </c>
      <c r="K19" s="155">
        <f>+'ERR Calculation'!L22/'Key Assumptions'!$C$36</f>
        <v>146186.6666666667</v>
      </c>
      <c r="L19" s="155">
        <f>+'ERR Calculation'!M22/'Key Assumptions'!$C$36</f>
        <v>146186.6666666667</v>
      </c>
      <c r="M19" s="155">
        <f>+'ERR Calculation'!N22/'Key Assumptions'!$C$36</f>
        <v>146186.6666666667</v>
      </c>
      <c r="N19" s="155">
        <f>+'ERR Calculation'!O22/'Key Assumptions'!$C$36</f>
        <v>146186.6666666667</v>
      </c>
      <c r="O19" s="155">
        <f>+'ERR Calculation'!P22/'Key Assumptions'!$C$36</f>
        <v>146186.6666666667</v>
      </c>
      <c r="P19" s="155">
        <f>+'ERR Calculation'!Q22/'Key Assumptions'!$C$36</f>
        <v>146186.6666666667</v>
      </c>
      <c r="Q19" s="155">
        <f>+'ERR Calculation'!R22/'Key Assumptions'!$C$36</f>
        <v>146186.6666666667</v>
      </c>
      <c r="R19" s="156">
        <f>+'ERR Calculation'!S22/'Key Assumptions'!$C$36</f>
        <v>146186.6666666667</v>
      </c>
    </row>
    <row r="20" spans="2:18" ht="18">
      <c r="B20" s="149" t="s">
        <v>58</v>
      </c>
      <c r="C20" s="150"/>
      <c r="D20" s="157">
        <f>+D19/D18</f>
        <v>0.07247204007681592</v>
      </c>
      <c r="E20" s="155"/>
      <c r="F20" s="155"/>
      <c r="G20" s="155"/>
      <c r="H20" s="155"/>
      <c r="I20" s="155"/>
      <c r="J20" s="155"/>
      <c r="K20" s="155"/>
      <c r="L20" s="155"/>
      <c r="M20" s="155"/>
      <c r="N20" s="155"/>
      <c r="O20" s="155"/>
      <c r="P20" s="155"/>
      <c r="Q20" s="155"/>
      <c r="R20" s="156"/>
    </row>
    <row r="21" spans="2:18" ht="18">
      <c r="B21" s="149" t="s">
        <v>64</v>
      </c>
      <c r="C21" s="150"/>
      <c r="D21" s="158">
        <v>0.25</v>
      </c>
      <c r="E21" s="158">
        <f aca="true" t="shared" si="0" ref="E21:R21">+D21*(1+$C$16)</f>
        <v>0.2625</v>
      </c>
      <c r="F21" s="158">
        <f t="shared" si="0"/>
        <v>0.275625</v>
      </c>
      <c r="G21" s="158">
        <f t="shared" si="0"/>
        <v>0.28940625000000003</v>
      </c>
      <c r="H21" s="158">
        <f t="shared" si="0"/>
        <v>0.30387656250000006</v>
      </c>
      <c r="I21" s="158">
        <f t="shared" si="0"/>
        <v>0.3190703906250001</v>
      </c>
      <c r="J21" s="158">
        <f t="shared" si="0"/>
        <v>0.3350239101562501</v>
      </c>
      <c r="K21" s="158">
        <f t="shared" si="0"/>
        <v>0.3517751056640626</v>
      </c>
      <c r="L21" s="158">
        <f t="shared" si="0"/>
        <v>0.36936386094726575</v>
      </c>
      <c r="M21" s="158">
        <f t="shared" si="0"/>
        <v>0.38783205399462906</v>
      </c>
      <c r="N21" s="158">
        <f t="shared" si="0"/>
        <v>0.4072236566943605</v>
      </c>
      <c r="O21" s="158">
        <f t="shared" si="0"/>
        <v>0.42758483952907855</v>
      </c>
      <c r="P21" s="158">
        <f t="shared" si="0"/>
        <v>0.4489640815055325</v>
      </c>
      <c r="Q21" s="158">
        <f t="shared" si="0"/>
        <v>0.47141228558080916</v>
      </c>
      <c r="R21" s="159">
        <f t="shared" si="0"/>
        <v>0.49498289985984967</v>
      </c>
    </row>
    <row r="22" spans="2:22" ht="18">
      <c r="B22" s="149" t="s">
        <v>65</v>
      </c>
      <c r="C22" s="150"/>
      <c r="D22" s="155">
        <f>+D21*D19</f>
        <v>17935</v>
      </c>
      <c r="E22" s="155">
        <f aca="true" t="shared" si="1" ref="E22:R22">+E21*E19</f>
        <v>18831.75</v>
      </c>
      <c r="F22" s="155">
        <f t="shared" si="1"/>
        <v>23193.23125</v>
      </c>
      <c r="G22" s="155">
        <f t="shared" si="1"/>
        <v>27943.781250000004</v>
      </c>
      <c r="H22" s="155">
        <f t="shared" si="1"/>
        <v>33111.40317187501</v>
      </c>
      <c r="I22" s="155">
        <f t="shared" si="1"/>
        <v>38725.927832812515</v>
      </c>
      <c r="J22" s="155">
        <f t="shared" si="1"/>
        <v>44819.12645191408</v>
      </c>
      <c r="K22" s="155">
        <f t="shared" si="1"/>
        <v>51424.83011334377</v>
      </c>
      <c r="L22" s="155">
        <f t="shared" si="1"/>
        <v>53996.07161901097</v>
      </c>
      <c r="M22" s="155">
        <f t="shared" si="1"/>
        <v>56695.87519996151</v>
      </c>
      <c r="N22" s="155">
        <f t="shared" si="1"/>
        <v>59530.66895995959</v>
      </c>
      <c r="O22" s="155">
        <f t="shared" si="1"/>
        <v>62507.20240795757</v>
      </c>
      <c r="P22" s="155">
        <f t="shared" si="1"/>
        <v>65632.56252835545</v>
      </c>
      <c r="Q22" s="155">
        <f t="shared" si="1"/>
        <v>68914.19065477324</v>
      </c>
      <c r="R22" s="156">
        <f t="shared" si="1"/>
        <v>72359.9001875119</v>
      </c>
      <c r="S22" s="9"/>
      <c r="T22" s="9"/>
      <c r="U22" s="9"/>
      <c r="V22" s="9"/>
    </row>
    <row r="23" spans="2:22" ht="19.5" customHeight="1">
      <c r="B23" s="149" t="s">
        <v>67</v>
      </c>
      <c r="C23" s="150"/>
      <c r="D23" s="155">
        <v>695384.4381412512</v>
      </c>
      <c r="E23" s="155">
        <v>1460307.3200966276</v>
      </c>
      <c r="F23" s="155">
        <v>2697785.5872698813</v>
      </c>
      <c r="G23" s="155">
        <v>5417277.504428256</v>
      </c>
      <c r="H23" s="155">
        <v>6419101.742690931</v>
      </c>
      <c r="I23" s="155">
        <v>7507565.2110188035</v>
      </c>
      <c r="J23" s="155">
        <v>8688827.271822734</v>
      </c>
      <c r="K23" s="155">
        <v>9969446.625679512</v>
      </c>
      <c r="L23" s="155">
        <v>10467918.956963485</v>
      </c>
      <c r="M23" s="155">
        <v>10991314.90481166</v>
      </c>
      <c r="N23" s="155">
        <v>11540880.650052244</v>
      </c>
      <c r="O23" s="155">
        <v>12117924.682554856</v>
      </c>
      <c r="P23" s="155">
        <v>12723820.916682601</v>
      </c>
      <c r="Q23" s="155">
        <v>13360011.96251673</v>
      </c>
      <c r="R23" s="156">
        <v>14028012.56064257</v>
      </c>
      <c r="S23" s="9"/>
      <c r="T23" s="9"/>
      <c r="U23" s="9"/>
      <c r="V23" s="9"/>
    </row>
    <row r="24" spans="2:18" ht="18">
      <c r="B24" s="160" t="s">
        <v>69</v>
      </c>
      <c r="C24" s="161">
        <f>NPV(C14,C23:O23)</f>
        <v>39298515.22462229</v>
      </c>
      <c r="D24" s="162"/>
      <c r="E24" s="162"/>
      <c r="F24" s="162"/>
      <c r="G24" s="162"/>
      <c r="H24" s="162"/>
      <c r="I24" s="162"/>
      <c r="J24" s="162"/>
      <c r="K24" s="162"/>
      <c r="L24" s="162"/>
      <c r="M24" s="162"/>
      <c r="N24" s="162"/>
      <c r="O24" s="162"/>
      <c r="P24" s="162"/>
      <c r="Q24" s="162"/>
      <c r="R24" s="163"/>
    </row>
    <row r="25" spans="2:18" ht="18">
      <c r="B25" s="164" t="s">
        <v>51</v>
      </c>
      <c r="C25" s="165">
        <f>+C24/7</f>
        <v>5614073.60351747</v>
      </c>
      <c r="D25" s="166"/>
      <c r="E25" s="166"/>
      <c r="F25" s="166"/>
      <c r="G25" s="166"/>
      <c r="H25" s="166"/>
      <c r="I25" s="166"/>
      <c r="J25" s="166"/>
      <c r="K25" s="166"/>
      <c r="L25" s="166"/>
      <c r="M25" s="166"/>
      <c r="N25" s="166"/>
      <c r="O25" s="166"/>
      <c r="P25" s="166"/>
      <c r="Q25" s="166"/>
      <c r="R25" s="167"/>
    </row>
  </sheetData>
  <mergeCells count="3">
    <mergeCell ref="B2:R2"/>
    <mergeCell ref="B3:R8"/>
    <mergeCell ref="B9:R9"/>
  </mergeCells>
  <printOptions horizontalCentered="1"/>
  <pageMargins left="0.25" right="0.5" top="1" bottom="1" header="0.5" footer="0.36"/>
  <pageSetup horizontalDpi="600" verticalDpi="600" orientation="portrait" scale="31" r:id="rId2"/>
  <headerFooter alignWithMargins="0">
    <oddHeader>&amp;L&amp;G&amp;R&amp;27&amp;A</oddHeader>
    <oddFooter>&amp;R&amp;P</oddFooter>
  </headerFooter>
  <legacyDrawingHF r:id="rId1"/>
</worksheet>
</file>

<file path=xl/worksheets/sheet7.xml><?xml version="1.0" encoding="utf-8"?>
<worksheet xmlns="http://schemas.openxmlformats.org/spreadsheetml/2006/main" xmlns:r="http://schemas.openxmlformats.org/officeDocument/2006/relationships">
  <sheetPr codeName="Sheet6"/>
  <dimension ref="A7:AQ180"/>
  <sheetViews>
    <sheetView showGridLines="0" zoomScale="55" zoomScaleNormal="55" zoomScaleSheetLayoutView="40" workbookViewId="0" topLeftCell="A1">
      <selection activeCell="B8" sqref="B8:D12"/>
    </sheetView>
  </sheetViews>
  <sheetFormatPr defaultColWidth="9.140625" defaultRowHeight="12.75"/>
  <cols>
    <col min="1" max="1" width="9.140625" style="11" customWidth="1"/>
    <col min="2" max="2" width="108.421875" style="175" customWidth="1"/>
    <col min="3" max="3" width="17.140625" style="202" bestFit="1" customWidth="1"/>
    <col min="4" max="4" width="18.421875" style="202" bestFit="1" customWidth="1"/>
    <col min="5" max="5" width="12.57421875" style="202" bestFit="1" customWidth="1"/>
    <col min="6" max="6" width="52.57421875" style="205" customWidth="1"/>
    <col min="7" max="7" width="12.57421875" style="202" bestFit="1" customWidth="1"/>
    <col min="8" max="8" width="19.28125" style="11" bestFit="1" customWidth="1"/>
    <col min="9" max="9" width="8.8515625" style="11" bestFit="1" customWidth="1"/>
    <col min="10" max="10" width="10.140625" style="11" bestFit="1" customWidth="1"/>
    <col min="11" max="16384" width="9.140625" style="11" customWidth="1"/>
  </cols>
  <sheetData>
    <row r="7" spans="2:15" s="176" customFormat="1" ht="18">
      <c r="B7" s="359" t="s">
        <v>104</v>
      </c>
      <c r="C7" s="359"/>
      <c r="D7" s="359"/>
      <c r="E7" s="177"/>
      <c r="N7" s="6"/>
      <c r="O7" s="6"/>
    </row>
    <row r="8" spans="2:20" s="176" customFormat="1" ht="20.25">
      <c r="B8" s="345" t="s">
        <v>216</v>
      </c>
      <c r="C8" s="345"/>
      <c r="D8" s="345"/>
      <c r="E8" s="195"/>
      <c r="F8" s="196"/>
      <c r="G8" s="196"/>
      <c r="H8" s="143"/>
      <c r="I8" s="143"/>
      <c r="J8" s="143"/>
      <c r="K8" s="143"/>
      <c r="L8" s="143"/>
      <c r="M8" s="143"/>
      <c r="N8" s="143"/>
      <c r="O8" s="143"/>
      <c r="P8" s="143"/>
      <c r="Q8" s="143"/>
      <c r="R8" s="143"/>
      <c r="S8" s="143"/>
      <c r="T8" s="143"/>
    </row>
    <row r="9" spans="2:20" s="176" customFormat="1" ht="20.25">
      <c r="B9" s="345"/>
      <c r="C9" s="345"/>
      <c r="D9" s="345"/>
      <c r="E9" s="195"/>
      <c r="F9" s="196"/>
      <c r="G9" s="196"/>
      <c r="H9" s="143"/>
      <c r="I9" s="143"/>
      <c r="J9" s="143"/>
      <c r="K9" s="143"/>
      <c r="L9" s="143"/>
      <c r="M9" s="143"/>
      <c r="N9" s="143"/>
      <c r="O9" s="143"/>
      <c r="P9" s="143"/>
      <c r="Q9" s="143"/>
      <c r="R9" s="143"/>
      <c r="S9" s="143"/>
      <c r="T9" s="143"/>
    </row>
    <row r="10" spans="2:20" s="176" customFormat="1" ht="20.25">
      <c r="B10" s="345"/>
      <c r="C10" s="345"/>
      <c r="D10" s="345"/>
      <c r="E10" s="195"/>
      <c r="F10" s="196"/>
      <c r="G10" s="196"/>
      <c r="H10" s="143"/>
      <c r="I10" s="143"/>
      <c r="J10" s="143"/>
      <c r="K10" s="143"/>
      <c r="L10" s="143"/>
      <c r="M10" s="143"/>
      <c r="N10" s="143"/>
      <c r="O10" s="143"/>
      <c r="P10" s="143"/>
      <c r="Q10" s="143"/>
      <c r="R10" s="143"/>
      <c r="S10" s="143"/>
      <c r="T10" s="143"/>
    </row>
    <row r="11" spans="2:20" s="176" customFormat="1" ht="20.25">
      <c r="B11" s="345"/>
      <c r="C11" s="345"/>
      <c r="D11" s="345"/>
      <c r="E11" s="195"/>
      <c r="F11" s="196"/>
      <c r="G11" s="196"/>
      <c r="H11" s="143"/>
      <c r="I11" s="143"/>
      <c r="J11" s="143"/>
      <c r="K11" s="143"/>
      <c r="L11" s="143"/>
      <c r="M11" s="143"/>
      <c r="N11" s="143"/>
      <c r="O11" s="143"/>
      <c r="P11" s="143"/>
      <c r="Q11" s="143"/>
      <c r="R11" s="143"/>
      <c r="S11" s="143"/>
      <c r="T11" s="143"/>
    </row>
    <row r="12" spans="2:20" s="176" customFormat="1" ht="20.25">
      <c r="B12" s="345"/>
      <c r="C12" s="345"/>
      <c r="D12" s="345"/>
      <c r="E12" s="195"/>
      <c r="F12" s="196"/>
      <c r="G12" s="196"/>
      <c r="H12" s="143"/>
      <c r="I12" s="143"/>
      <c r="J12" s="143"/>
      <c r="K12" s="143"/>
      <c r="L12" s="143"/>
      <c r="M12" s="143"/>
      <c r="N12" s="143"/>
      <c r="O12" s="143"/>
      <c r="P12" s="143"/>
      <c r="Q12" s="143"/>
      <c r="R12" s="143"/>
      <c r="S12" s="143"/>
      <c r="T12" s="143"/>
    </row>
    <row r="13" spans="2:20" s="176" customFormat="1" ht="20.25">
      <c r="B13" s="360" t="s">
        <v>213</v>
      </c>
      <c r="C13" s="360"/>
      <c r="D13" s="360"/>
      <c r="E13" s="197"/>
      <c r="F13" s="198"/>
      <c r="G13" s="198"/>
      <c r="H13"/>
      <c r="I13"/>
      <c r="J13"/>
      <c r="K13"/>
      <c r="L13" s="143"/>
      <c r="M13" s="143"/>
      <c r="N13" s="143"/>
      <c r="O13" s="143"/>
      <c r="P13" s="143"/>
      <c r="Q13" s="143"/>
      <c r="R13" s="143"/>
      <c r="S13" s="143"/>
      <c r="T13" s="143"/>
    </row>
    <row r="14" spans="1:43" s="181" customFormat="1" ht="18">
      <c r="A14" s="178"/>
      <c r="B14" s="351" t="s">
        <v>124</v>
      </c>
      <c r="C14" s="352"/>
      <c r="D14" s="353"/>
      <c r="E14" s="182"/>
      <c r="F14" s="179"/>
      <c r="G14" s="179"/>
      <c r="H14" s="8"/>
      <c r="I14" s="8"/>
      <c r="J14" s="8"/>
      <c r="K14" s="8"/>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row>
    <row r="15" spans="1:11" s="258" customFormat="1" ht="59.25" customHeight="1">
      <c r="A15" s="182"/>
      <c r="B15" s="351" t="s">
        <v>2</v>
      </c>
      <c r="C15" s="352"/>
      <c r="D15" s="353"/>
      <c r="E15" s="182"/>
      <c r="F15" s="257"/>
      <c r="G15" s="257"/>
      <c r="H15" s="257"/>
      <c r="I15" s="257"/>
      <c r="J15" s="257"/>
      <c r="K15" s="257"/>
    </row>
    <row r="16" spans="1:43" s="181" customFormat="1" ht="40.5" customHeight="1">
      <c r="A16" s="178"/>
      <c r="B16" s="356" t="s">
        <v>1</v>
      </c>
      <c r="C16" s="357"/>
      <c r="D16" s="358"/>
      <c r="E16" s="182"/>
      <c r="F16" s="199"/>
      <c r="G16" s="199"/>
      <c r="H16" s="8"/>
      <c r="I16" s="8"/>
      <c r="J16" s="8"/>
      <c r="K16" s="8"/>
      <c r="L16" s="183"/>
      <c r="M16" s="183"/>
      <c r="N16" s="183"/>
      <c r="O16" s="183"/>
      <c r="P16" s="183"/>
      <c r="Q16" s="183"/>
      <c r="R16" s="183"/>
      <c r="S16" s="183"/>
      <c r="T16" s="183"/>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row>
    <row r="17" spans="2:6" ht="18">
      <c r="B17" s="194" t="s">
        <v>26</v>
      </c>
      <c r="C17" s="200"/>
      <c r="D17" s="200"/>
      <c r="E17" s="200"/>
      <c r="F17" s="201"/>
    </row>
    <row r="18" spans="2:4" ht="18">
      <c r="B18" s="203" t="s">
        <v>70</v>
      </c>
      <c r="C18" s="204">
        <v>50</v>
      </c>
      <c r="D18" s="200"/>
    </row>
    <row r="19" spans="2:7" ht="21">
      <c r="B19" s="206" t="s">
        <v>138</v>
      </c>
      <c r="C19" s="207">
        <v>72</v>
      </c>
      <c r="D19" s="200"/>
      <c r="E19" s="348" t="s">
        <v>139</v>
      </c>
      <c r="F19" s="349"/>
      <c r="G19" s="350"/>
    </row>
    <row r="20" spans="2:7" ht="21">
      <c r="B20" s="206" t="s">
        <v>140</v>
      </c>
      <c r="C20" s="208">
        <v>0.6</v>
      </c>
      <c r="D20" s="200"/>
      <c r="E20" s="348" t="s">
        <v>141</v>
      </c>
      <c r="F20" s="349"/>
      <c r="G20" s="350"/>
    </row>
    <row r="21" spans="2:7" ht="18.75">
      <c r="B21" s="206" t="s">
        <v>71</v>
      </c>
      <c r="C21" s="207">
        <v>98</v>
      </c>
      <c r="D21" s="200"/>
      <c r="E21" s="348" t="s">
        <v>143</v>
      </c>
      <c r="F21" s="349"/>
      <c r="G21" s="350"/>
    </row>
    <row r="22" spans="2:7" ht="32.25" customHeight="1">
      <c r="B22" s="206" t="s">
        <v>142</v>
      </c>
      <c r="C22" s="209">
        <v>3010</v>
      </c>
      <c r="D22" s="210"/>
      <c r="E22" s="348" t="s">
        <v>0</v>
      </c>
      <c r="F22" s="349"/>
      <c r="G22" s="350"/>
    </row>
    <row r="23" spans="2:7" ht="36">
      <c r="B23" s="206" t="s">
        <v>184</v>
      </c>
      <c r="C23" s="209">
        <v>989889</v>
      </c>
      <c r="D23" s="210"/>
      <c r="E23" s="348" t="s">
        <v>147</v>
      </c>
      <c r="F23" s="349"/>
      <c r="G23" s="350"/>
    </row>
    <row r="24" spans="2:7" ht="48.75" customHeight="1">
      <c r="B24" s="206" t="s">
        <v>72</v>
      </c>
      <c r="C24" s="209">
        <v>150500</v>
      </c>
      <c r="D24" s="200"/>
      <c r="E24" s="348" t="s">
        <v>148</v>
      </c>
      <c r="F24" s="349"/>
      <c r="G24" s="350"/>
    </row>
    <row r="25" spans="2:7" ht="36.75" customHeight="1">
      <c r="B25" s="211" t="s">
        <v>144</v>
      </c>
      <c r="C25" s="212">
        <v>0.4</v>
      </c>
      <c r="D25" s="200"/>
      <c r="E25" s="348" t="s">
        <v>150</v>
      </c>
      <c r="F25" s="349"/>
      <c r="G25" s="350"/>
    </row>
    <row r="26" spans="2:7" ht="18.75">
      <c r="B26" s="194" t="s">
        <v>97</v>
      </c>
      <c r="C26" s="169"/>
      <c r="D26" s="169"/>
      <c r="E26" s="348" t="s">
        <v>152</v>
      </c>
      <c r="F26" s="349"/>
      <c r="G26" s="350"/>
    </row>
    <row r="27" spans="2:7" ht="35.25" customHeight="1">
      <c r="B27" s="203" t="s">
        <v>94</v>
      </c>
      <c r="C27" s="204">
        <v>2</v>
      </c>
      <c r="D27" s="169"/>
      <c r="E27" s="348" t="s">
        <v>155</v>
      </c>
      <c r="F27" s="349"/>
      <c r="G27" s="350"/>
    </row>
    <row r="28" spans="2:7" ht="35.25" customHeight="1">
      <c r="B28" s="211" t="s">
        <v>100</v>
      </c>
      <c r="C28" s="213">
        <v>6</v>
      </c>
      <c r="D28" s="214"/>
      <c r="E28" s="348" t="s">
        <v>157</v>
      </c>
      <c r="F28" s="349"/>
      <c r="G28" s="350"/>
    </row>
    <row r="29" spans="2:7" ht="63.75" customHeight="1">
      <c r="B29" s="194" t="s">
        <v>99</v>
      </c>
      <c r="C29" s="215"/>
      <c r="D29" s="215"/>
      <c r="E29" s="348" t="s">
        <v>159</v>
      </c>
      <c r="F29" s="349"/>
      <c r="G29" s="350"/>
    </row>
    <row r="30" spans="2:7" ht="38.25" customHeight="1">
      <c r="B30" s="203" t="s">
        <v>146</v>
      </c>
      <c r="C30" s="216">
        <v>0.06</v>
      </c>
      <c r="D30" s="217"/>
      <c r="E30" s="348" t="s">
        <v>161</v>
      </c>
      <c r="F30" s="349"/>
      <c r="G30" s="350"/>
    </row>
    <row r="31" spans="2:7" ht="45.75" customHeight="1">
      <c r="B31" s="206" t="s">
        <v>183</v>
      </c>
      <c r="C31" s="208">
        <v>0.2</v>
      </c>
      <c r="D31" s="217"/>
      <c r="E31" s="348" t="s">
        <v>163</v>
      </c>
      <c r="F31" s="349"/>
      <c r="G31" s="350"/>
    </row>
    <row r="32" spans="2:7" ht="39.75" customHeight="1">
      <c r="B32" s="206" t="s">
        <v>149</v>
      </c>
      <c r="C32" s="208">
        <v>0.23137254901960785</v>
      </c>
      <c r="D32" s="217"/>
      <c r="E32" s="348" t="s">
        <v>165</v>
      </c>
      <c r="F32" s="349"/>
      <c r="G32" s="350"/>
    </row>
    <row r="33" spans="2:7" ht="45.75" customHeight="1">
      <c r="B33" s="206" t="s">
        <v>151</v>
      </c>
      <c r="C33" s="208">
        <v>0.15</v>
      </c>
      <c r="D33" s="217"/>
      <c r="E33" s="348" t="s">
        <v>167</v>
      </c>
      <c r="F33" s="349"/>
      <c r="G33" s="350"/>
    </row>
    <row r="34" spans="2:7" ht="36">
      <c r="B34" s="211" t="s">
        <v>55</v>
      </c>
      <c r="C34" s="218">
        <v>0.23607843137254902</v>
      </c>
      <c r="D34" s="217"/>
      <c r="E34" s="219"/>
      <c r="F34" s="219"/>
      <c r="G34" s="219"/>
    </row>
    <row r="35" spans="2:7" ht="18">
      <c r="B35" s="194" t="s">
        <v>76</v>
      </c>
      <c r="C35" s="217"/>
      <c r="D35" s="217"/>
      <c r="E35" s="219"/>
      <c r="F35" s="219"/>
      <c r="G35" s="219"/>
    </row>
    <row r="36" spans="2:7" ht="18">
      <c r="B36" s="288" t="s">
        <v>153</v>
      </c>
      <c r="C36" s="292">
        <f>'ERR &amp; Sensitivity Analysis'!G28</f>
        <v>0.15</v>
      </c>
      <c r="D36" s="217"/>
      <c r="E36" s="219"/>
      <c r="F36" s="219"/>
      <c r="G36" s="219"/>
    </row>
    <row r="37" spans="2:7" ht="21">
      <c r="B37" s="206" t="s">
        <v>154</v>
      </c>
      <c r="C37" s="207">
        <v>150500</v>
      </c>
      <c r="D37" s="220"/>
      <c r="E37" s="219"/>
      <c r="F37" s="219"/>
      <c r="G37" s="219"/>
    </row>
    <row r="38" spans="2:7" ht="21">
      <c r="B38" s="206" t="s">
        <v>156</v>
      </c>
      <c r="C38" s="208">
        <v>0.75</v>
      </c>
      <c r="D38" s="217"/>
      <c r="E38" s="219"/>
      <c r="F38" s="219"/>
      <c r="G38" s="219"/>
    </row>
    <row r="39" spans="2:7" ht="21">
      <c r="B39" s="206" t="s">
        <v>158</v>
      </c>
      <c r="C39" s="208">
        <v>1</v>
      </c>
      <c r="D39" s="217"/>
      <c r="E39" s="219"/>
      <c r="F39" s="219"/>
      <c r="G39" s="219"/>
    </row>
    <row r="40" spans="2:7" ht="21">
      <c r="B40" s="206" t="s">
        <v>160</v>
      </c>
      <c r="C40" s="208">
        <v>0.5</v>
      </c>
      <c r="D40" s="217"/>
      <c r="E40" s="219"/>
      <c r="F40" s="219"/>
      <c r="G40" s="219"/>
    </row>
    <row r="41" spans="2:6" ht="18">
      <c r="B41" s="206" t="s">
        <v>75</v>
      </c>
      <c r="C41" s="208">
        <v>0.884313725490196</v>
      </c>
      <c r="D41" s="217"/>
      <c r="E41" s="217"/>
      <c r="F41" s="201"/>
    </row>
    <row r="42" spans="2:6" ht="18">
      <c r="B42" s="211" t="s">
        <v>48</v>
      </c>
      <c r="C42" s="218">
        <v>0.869313725490196</v>
      </c>
      <c r="D42" s="217"/>
      <c r="E42" s="217"/>
      <c r="F42" s="201"/>
    </row>
    <row r="43" spans="2:6" ht="18">
      <c r="B43" s="194" t="s">
        <v>85</v>
      </c>
      <c r="C43" s="217"/>
      <c r="D43" s="217"/>
      <c r="E43" s="217"/>
      <c r="F43" s="201"/>
    </row>
    <row r="44" spans="2:6" ht="21">
      <c r="B44" s="203" t="s">
        <v>162</v>
      </c>
      <c r="C44" s="216">
        <v>0.5128607103712532</v>
      </c>
      <c r="D44" s="220"/>
      <c r="E44" s="220"/>
      <c r="F44" s="201"/>
    </row>
    <row r="45" spans="2:6" ht="21">
      <c r="B45" s="206" t="s">
        <v>164</v>
      </c>
      <c r="C45" s="208">
        <v>0.25</v>
      </c>
      <c r="D45" s="217"/>
      <c r="E45" s="217"/>
      <c r="F45" s="201"/>
    </row>
    <row r="46" spans="2:6" ht="21">
      <c r="B46" s="211" t="s">
        <v>166</v>
      </c>
      <c r="C46" s="218">
        <v>0.8</v>
      </c>
      <c r="D46" s="217"/>
      <c r="E46" s="217"/>
      <c r="F46" s="201"/>
    </row>
    <row r="47" spans="2:5" ht="18">
      <c r="B47" s="194" t="s">
        <v>98</v>
      </c>
      <c r="C47" s="217"/>
      <c r="D47" s="217"/>
      <c r="E47" s="217"/>
    </row>
    <row r="48" spans="2:6" ht="18.75">
      <c r="B48" s="203" t="s">
        <v>168</v>
      </c>
      <c r="C48" s="216">
        <v>0.3956147798771772</v>
      </c>
      <c r="D48" s="221"/>
      <c r="E48" s="221"/>
      <c r="F48" s="201"/>
    </row>
    <row r="49" spans="2:6" ht="18">
      <c r="B49" s="206" t="s">
        <v>169</v>
      </c>
      <c r="C49" s="208">
        <v>0.1850980392156863</v>
      </c>
      <c r="D49" s="217"/>
      <c r="E49" s="217"/>
      <c r="F49" s="201"/>
    </row>
    <row r="50" spans="2:6" ht="18">
      <c r="B50" s="211" t="s">
        <v>28</v>
      </c>
      <c r="C50" s="218">
        <v>0</v>
      </c>
      <c r="D50" s="217"/>
      <c r="E50" s="217"/>
      <c r="F50" s="201"/>
    </row>
    <row r="51" spans="2:6" ht="18">
      <c r="B51" s="194" t="s">
        <v>101</v>
      </c>
      <c r="C51" s="217"/>
      <c r="D51" s="217"/>
      <c r="E51" s="217"/>
      <c r="F51" s="201"/>
    </row>
    <row r="52" spans="2:6" ht="18">
      <c r="B52" s="203" t="s">
        <v>170</v>
      </c>
      <c r="C52" s="222">
        <v>3340.237518680095</v>
      </c>
      <c r="D52" s="220"/>
      <c r="E52" s="220"/>
      <c r="F52" s="201"/>
    </row>
    <row r="53" spans="2:6" ht="18">
      <c r="B53" s="206" t="s">
        <v>171</v>
      </c>
      <c r="C53" s="209">
        <v>1708.417740717879</v>
      </c>
      <c r="D53" s="220"/>
      <c r="E53" s="220"/>
      <c r="F53" s="201"/>
    </row>
    <row r="54" spans="2:6" ht="18">
      <c r="B54" s="206" t="s">
        <v>172</v>
      </c>
      <c r="C54" s="209">
        <v>1364.579777962216</v>
      </c>
      <c r="D54" s="220"/>
      <c r="E54" s="220"/>
      <c r="F54" s="201"/>
    </row>
    <row r="55" spans="2:6" ht="18">
      <c r="B55" s="206" t="s">
        <v>173</v>
      </c>
      <c r="C55" s="209">
        <v>1975.657740717879</v>
      </c>
      <c r="D55" s="220"/>
      <c r="E55" s="220"/>
      <c r="F55" s="201"/>
    </row>
    <row r="56" spans="2:6" ht="18">
      <c r="B56" s="206" t="s">
        <v>174</v>
      </c>
      <c r="C56" s="209">
        <v>2050.2975126206097</v>
      </c>
      <c r="D56" s="220"/>
      <c r="E56" s="220"/>
      <c r="F56" s="201"/>
    </row>
    <row r="57" spans="2:6" ht="18">
      <c r="B57" s="211" t="s">
        <v>175</v>
      </c>
      <c r="C57" s="223">
        <v>2050.2975126206097</v>
      </c>
      <c r="D57" s="220"/>
      <c r="E57" s="220"/>
      <c r="F57" s="201"/>
    </row>
    <row r="58" spans="2:6" ht="18">
      <c r="B58" s="194" t="s">
        <v>29</v>
      </c>
      <c r="C58" s="220"/>
      <c r="D58" s="220"/>
      <c r="E58" s="220"/>
      <c r="F58" s="201"/>
    </row>
    <row r="59" spans="2:6" ht="18">
      <c r="B59" s="203" t="s">
        <v>168</v>
      </c>
      <c r="C59" s="216">
        <v>0.6</v>
      </c>
      <c r="D59" s="217"/>
      <c r="E59" s="217"/>
      <c r="F59" s="201"/>
    </row>
    <row r="60" spans="2:5" ht="18">
      <c r="B60" s="206" t="s">
        <v>169</v>
      </c>
      <c r="C60" s="208">
        <v>0.3</v>
      </c>
      <c r="D60" s="217"/>
      <c r="E60" s="217"/>
    </row>
    <row r="61" spans="2:6" ht="18">
      <c r="B61" s="211" t="s">
        <v>28</v>
      </c>
      <c r="C61" s="218">
        <v>0.3</v>
      </c>
      <c r="D61" s="217"/>
      <c r="E61" s="217"/>
      <c r="F61" s="201"/>
    </row>
    <row r="62" spans="2:6" ht="18">
      <c r="B62" s="194" t="s">
        <v>102</v>
      </c>
      <c r="C62" s="217"/>
      <c r="D62" s="217"/>
      <c r="E62" s="217"/>
      <c r="F62" s="201"/>
    </row>
    <row r="63" spans="2:6" ht="18">
      <c r="B63" s="288" t="s">
        <v>168</v>
      </c>
      <c r="C63" s="295">
        <f>'ERR &amp; Sensitivity Analysis'!G29</f>
        <v>2248</v>
      </c>
      <c r="D63" s="220"/>
      <c r="E63" s="220"/>
      <c r="F63" s="201"/>
    </row>
    <row r="64" spans="2:6" ht="18">
      <c r="B64" s="289" t="s">
        <v>169</v>
      </c>
      <c r="C64" s="296">
        <f>'ERR &amp; Sensitivity Analysis'!G30</f>
        <v>2024</v>
      </c>
      <c r="D64" s="220"/>
      <c r="E64" s="220"/>
      <c r="F64" s="201"/>
    </row>
    <row r="65" spans="2:6" ht="18">
      <c r="B65" s="206" t="s">
        <v>28</v>
      </c>
      <c r="C65" s="207">
        <v>1948</v>
      </c>
      <c r="D65" s="220"/>
      <c r="E65" s="220"/>
      <c r="F65" s="201"/>
    </row>
    <row r="66" spans="2:6" ht="18">
      <c r="B66" s="211" t="s">
        <v>49</v>
      </c>
      <c r="C66" s="218">
        <v>0</v>
      </c>
      <c r="D66" s="217"/>
      <c r="E66" s="217"/>
      <c r="F66" s="201"/>
    </row>
    <row r="67" spans="2:6" ht="18">
      <c r="B67" s="194" t="s">
        <v>30</v>
      </c>
      <c r="C67" s="224"/>
      <c r="D67" s="224"/>
      <c r="E67" s="224"/>
      <c r="F67" s="201"/>
    </row>
    <row r="68" spans="2:6" ht="18">
      <c r="B68" s="194" t="s">
        <v>77</v>
      </c>
      <c r="C68" s="224"/>
      <c r="D68" s="224"/>
      <c r="E68" s="224"/>
      <c r="F68" s="201"/>
    </row>
    <row r="69" spans="2:6" ht="18">
      <c r="B69" s="203" t="s">
        <v>168</v>
      </c>
      <c r="C69" s="225">
        <v>0.04686</v>
      </c>
      <c r="D69" s="226"/>
      <c r="E69" s="226"/>
      <c r="F69" s="201"/>
    </row>
    <row r="70" spans="2:5" ht="18">
      <c r="B70" s="206" t="s">
        <v>176</v>
      </c>
      <c r="C70" s="227"/>
      <c r="D70" s="228"/>
      <c r="E70" s="228"/>
    </row>
    <row r="71" spans="2:6" ht="18">
      <c r="B71" s="206" t="s">
        <v>169</v>
      </c>
      <c r="C71" s="227">
        <v>0.065</v>
      </c>
      <c r="D71" s="229"/>
      <c r="E71" s="229"/>
      <c r="F71" s="201"/>
    </row>
    <row r="72" spans="2:6" ht="18">
      <c r="B72" s="211" t="s">
        <v>28</v>
      </c>
      <c r="C72" s="230">
        <v>0.065</v>
      </c>
      <c r="D72" s="229"/>
      <c r="E72" s="229"/>
      <c r="F72" s="201"/>
    </row>
    <row r="73" spans="2:6" ht="18">
      <c r="B73" s="194" t="s">
        <v>27</v>
      </c>
      <c r="C73" s="231"/>
      <c r="D73" s="229"/>
      <c r="E73" s="229"/>
      <c r="F73" s="201"/>
    </row>
    <row r="74" spans="2:6" ht="18">
      <c r="B74" s="203" t="s">
        <v>28</v>
      </c>
      <c r="C74" s="216">
        <v>0.3</v>
      </c>
      <c r="D74" s="217"/>
      <c r="E74" s="217"/>
      <c r="F74" s="201"/>
    </row>
    <row r="75" spans="2:6" ht="18">
      <c r="B75" s="211" t="s">
        <v>50</v>
      </c>
      <c r="C75" s="218">
        <v>0.35</v>
      </c>
      <c r="D75" s="217"/>
      <c r="E75" s="217"/>
      <c r="F75" s="201"/>
    </row>
    <row r="76" spans="2:6" ht="18">
      <c r="B76" s="194" t="s">
        <v>145</v>
      </c>
      <c r="C76" s="201"/>
      <c r="D76" s="224"/>
      <c r="E76" s="224"/>
      <c r="F76" s="201"/>
    </row>
    <row r="77" spans="2:5" ht="18">
      <c r="B77" s="203" t="s">
        <v>50</v>
      </c>
      <c r="C77" s="216">
        <v>0.7</v>
      </c>
      <c r="D77" s="217"/>
      <c r="E77" s="217"/>
    </row>
    <row r="78" spans="2:5" ht="18">
      <c r="B78" s="206" t="s">
        <v>177</v>
      </c>
      <c r="C78" s="208"/>
      <c r="D78" s="217"/>
      <c r="E78" s="217"/>
    </row>
    <row r="79" spans="2:5" ht="18">
      <c r="B79" s="206" t="s">
        <v>169</v>
      </c>
      <c r="C79" s="208">
        <v>0.65</v>
      </c>
      <c r="D79" s="217"/>
      <c r="E79" s="217"/>
    </row>
    <row r="80" spans="2:6" ht="18">
      <c r="B80" s="206" t="s">
        <v>28</v>
      </c>
      <c r="C80" s="208">
        <v>0.65</v>
      </c>
      <c r="D80" s="217"/>
      <c r="E80" s="217"/>
      <c r="F80" s="201"/>
    </row>
    <row r="81" spans="2:5" ht="18.75">
      <c r="B81" s="232" t="s">
        <v>82</v>
      </c>
      <c r="C81" s="208"/>
      <c r="D81" s="217"/>
      <c r="E81" s="217"/>
    </row>
    <row r="82" spans="2:5" ht="18">
      <c r="B82" s="206" t="s">
        <v>168</v>
      </c>
      <c r="C82" s="208">
        <v>0.2875</v>
      </c>
      <c r="D82" s="217"/>
      <c r="E82" s="217"/>
    </row>
    <row r="83" spans="2:5" ht="18">
      <c r="B83" s="206" t="s">
        <v>169</v>
      </c>
      <c r="C83" s="208">
        <v>0.4</v>
      </c>
      <c r="D83" s="217"/>
      <c r="E83" s="217"/>
    </row>
    <row r="84" spans="2:6" ht="18">
      <c r="B84" s="211" t="s">
        <v>28</v>
      </c>
      <c r="C84" s="218">
        <v>0.4</v>
      </c>
      <c r="D84" s="217"/>
      <c r="E84" s="217"/>
      <c r="F84" s="201"/>
    </row>
    <row r="85" spans="2:5" ht="18">
      <c r="B85" s="194" t="s">
        <v>103</v>
      </c>
      <c r="C85" s="215"/>
      <c r="D85" s="217"/>
      <c r="E85" s="217"/>
    </row>
    <row r="86" spans="2:6" ht="18">
      <c r="B86" s="203" t="s">
        <v>84</v>
      </c>
      <c r="C86" s="216">
        <v>0.35</v>
      </c>
      <c r="D86" s="217"/>
      <c r="E86" s="217"/>
      <c r="F86" s="201"/>
    </row>
    <row r="87" spans="2:6" ht="18">
      <c r="B87" s="211" t="s">
        <v>25</v>
      </c>
      <c r="C87" s="218">
        <v>0.43</v>
      </c>
      <c r="D87" s="217"/>
      <c r="E87" s="217"/>
      <c r="F87" s="201"/>
    </row>
    <row r="88" spans="2:6" ht="18">
      <c r="B88" s="194" t="s">
        <v>83</v>
      </c>
      <c r="C88" s="233"/>
      <c r="D88" s="234"/>
      <c r="E88" s="234"/>
      <c r="F88" s="201"/>
    </row>
    <row r="89" spans="2:6" ht="18">
      <c r="B89" s="203" t="s">
        <v>168</v>
      </c>
      <c r="C89" s="235">
        <v>0.16760249999999988</v>
      </c>
      <c r="D89" s="229"/>
      <c r="E89" s="229"/>
      <c r="F89" s="201"/>
    </row>
    <row r="90" spans="2:6" ht="18">
      <c r="B90" s="206" t="s">
        <v>169</v>
      </c>
      <c r="C90" s="227">
        <v>0.07150000000000012</v>
      </c>
      <c r="D90" s="229"/>
      <c r="E90" s="229"/>
      <c r="F90" s="201"/>
    </row>
    <row r="91" spans="2:6" ht="18">
      <c r="B91" s="211" t="s">
        <v>28</v>
      </c>
      <c r="C91" s="230">
        <v>0.07150000000000012</v>
      </c>
      <c r="D91" s="229"/>
      <c r="E91" s="229"/>
      <c r="F91" s="201"/>
    </row>
    <row r="92" spans="2:6" ht="18">
      <c r="B92" s="194" t="s">
        <v>32</v>
      </c>
      <c r="C92" s="201"/>
      <c r="D92" s="224"/>
      <c r="E92" s="224"/>
      <c r="F92" s="201"/>
    </row>
    <row r="93" spans="2:6" ht="18">
      <c r="B93" s="288" t="s">
        <v>168</v>
      </c>
      <c r="C93" s="290">
        <f>'ERR &amp; Sensitivity Analysis'!G31</f>
        <v>21928</v>
      </c>
      <c r="D93" s="220"/>
      <c r="E93" s="220"/>
      <c r="F93" s="236"/>
    </row>
    <row r="94" spans="2:6" ht="18">
      <c r="B94" s="289" t="s">
        <v>169</v>
      </c>
      <c r="C94" s="291">
        <f>'ERR &amp; Sensitivity Analysis'!G32</f>
        <v>9516</v>
      </c>
      <c r="D94" s="220"/>
      <c r="E94" s="220"/>
      <c r="F94" s="236"/>
    </row>
    <row r="95" spans="2:6" ht="18">
      <c r="B95" s="211" t="s">
        <v>28</v>
      </c>
      <c r="C95" s="223">
        <v>10761</v>
      </c>
      <c r="D95" s="220"/>
      <c r="E95" s="220"/>
      <c r="F95" s="236"/>
    </row>
    <row r="96" spans="2:6" ht="18">
      <c r="B96" s="194" t="s">
        <v>31</v>
      </c>
      <c r="C96" s="201"/>
      <c r="D96" s="224"/>
      <c r="E96" s="224"/>
      <c r="F96" s="201"/>
    </row>
    <row r="97" spans="2:8" ht="18">
      <c r="B97" s="203" t="s">
        <v>80</v>
      </c>
      <c r="C97" s="237">
        <v>410.05950252412197</v>
      </c>
      <c r="D97" s="214"/>
      <c r="E97" s="214"/>
      <c r="F97" s="201"/>
      <c r="H97" s="185"/>
    </row>
    <row r="98" spans="2:14" ht="18">
      <c r="B98" s="211" t="s">
        <v>79</v>
      </c>
      <c r="C98" s="238">
        <v>0.1</v>
      </c>
      <c r="D98" s="220"/>
      <c r="E98" s="220"/>
      <c r="F98" s="201"/>
      <c r="H98" s="170"/>
      <c r="I98" s="170"/>
      <c r="J98" s="10"/>
      <c r="L98" s="170"/>
      <c r="M98" s="170"/>
      <c r="N98" s="13"/>
    </row>
    <row r="99" spans="2:4" ht="18">
      <c r="B99" s="194" t="s">
        <v>53</v>
      </c>
      <c r="C99" s="239"/>
      <c r="D99" s="240"/>
    </row>
    <row r="100" spans="2:4" ht="18">
      <c r="B100" s="288" t="s">
        <v>54</v>
      </c>
      <c r="C100" s="292">
        <f>'ERR &amp; Sensitivity Analysis'!G33</f>
        <v>0.04</v>
      </c>
      <c r="D100" s="240"/>
    </row>
    <row r="101" spans="2:4" ht="18.75">
      <c r="B101" s="243" t="s">
        <v>179</v>
      </c>
      <c r="C101" s="244"/>
      <c r="D101" s="240"/>
    </row>
    <row r="102" spans="2:4" ht="18">
      <c r="B102" s="243" t="s">
        <v>178</v>
      </c>
      <c r="C102" s="245">
        <v>0.028</v>
      </c>
      <c r="D102" s="240"/>
    </row>
    <row r="103" spans="2:6" ht="18">
      <c r="B103" s="246" t="s">
        <v>5</v>
      </c>
      <c r="C103" s="247">
        <v>0.08</v>
      </c>
      <c r="D103" s="240"/>
      <c r="F103" s="263"/>
    </row>
    <row r="104" spans="2:4" ht="18">
      <c r="B104" s="194" t="s">
        <v>78</v>
      </c>
      <c r="C104" s="248"/>
      <c r="D104" s="240"/>
    </row>
    <row r="105" spans="2:4" ht="18">
      <c r="B105" s="241" t="s">
        <v>60</v>
      </c>
      <c r="C105" s="242">
        <v>0.2</v>
      </c>
      <c r="D105" s="248"/>
    </row>
    <row r="106" spans="2:4" ht="18">
      <c r="B106" s="294" t="s">
        <v>52</v>
      </c>
      <c r="C106" s="293">
        <f>'ERR &amp; Sensitivity Analysis'!G34</f>
        <v>0.09</v>
      </c>
      <c r="D106" s="248"/>
    </row>
    <row r="107" spans="2:8" ht="18">
      <c r="B107" s="194" t="s">
        <v>81</v>
      </c>
      <c r="C107" s="184"/>
      <c r="D107" s="205"/>
      <c r="H107" s="12"/>
    </row>
    <row r="108" spans="2:8" ht="18">
      <c r="B108" s="241" t="s">
        <v>87</v>
      </c>
      <c r="C108" s="222">
        <v>2</v>
      </c>
      <c r="D108" s="205"/>
      <c r="H108" s="12"/>
    </row>
    <row r="109" spans="2:8" ht="18">
      <c r="B109" s="243" t="s">
        <v>88</v>
      </c>
      <c r="C109" s="207">
        <v>2</v>
      </c>
      <c r="D109" s="205"/>
      <c r="H109" s="12"/>
    </row>
    <row r="110" spans="2:8" ht="18">
      <c r="B110" s="246" t="s">
        <v>89</v>
      </c>
      <c r="C110" s="187">
        <v>8</v>
      </c>
      <c r="D110" s="205"/>
      <c r="H110" s="12"/>
    </row>
    <row r="111" spans="2:4" ht="18.75" thickBot="1">
      <c r="B111" s="248"/>
      <c r="C111" s="248"/>
      <c r="D111" s="248"/>
    </row>
    <row r="112" spans="2:8" ht="75">
      <c r="B112" s="354" t="s">
        <v>33</v>
      </c>
      <c r="C112" s="354" t="s">
        <v>34</v>
      </c>
      <c r="D112" s="354" t="s">
        <v>35</v>
      </c>
      <c r="E112" s="354" t="s">
        <v>36</v>
      </c>
      <c r="F112" s="354" t="s">
        <v>37</v>
      </c>
      <c r="G112" s="249" t="s">
        <v>38</v>
      </c>
      <c r="H112" s="171" t="s">
        <v>40</v>
      </c>
    </row>
    <row r="113" spans="2:8" ht="75.75" thickBot="1">
      <c r="B113" s="355"/>
      <c r="C113" s="355"/>
      <c r="D113" s="355"/>
      <c r="E113" s="355"/>
      <c r="F113" s="355"/>
      <c r="G113" s="250" t="s">
        <v>39</v>
      </c>
      <c r="H113" s="172" t="s">
        <v>41</v>
      </c>
    </row>
    <row r="114" spans="2:8" ht="19.5" thickBot="1">
      <c r="B114" s="251" t="s">
        <v>42</v>
      </c>
      <c r="C114" s="252">
        <v>1</v>
      </c>
      <c r="D114" s="252">
        <v>16</v>
      </c>
      <c r="E114" s="253">
        <v>188304</v>
      </c>
      <c r="F114" s="253">
        <v>11769</v>
      </c>
      <c r="G114" s="253">
        <v>4707</v>
      </c>
      <c r="H114" s="173">
        <v>37656</v>
      </c>
    </row>
    <row r="115" spans="2:8" ht="19.5" thickBot="1">
      <c r="B115" s="251" t="s">
        <v>43</v>
      </c>
      <c r="C115" s="252">
        <v>1</v>
      </c>
      <c r="D115" s="252">
        <v>17</v>
      </c>
      <c r="E115" s="253">
        <v>160161</v>
      </c>
      <c r="F115" s="253">
        <v>9421</v>
      </c>
      <c r="G115" s="253">
        <v>4004</v>
      </c>
      <c r="H115" s="173">
        <v>32032</v>
      </c>
    </row>
    <row r="116" spans="2:8" ht="19.5" thickBot="1">
      <c r="B116" s="251" t="s">
        <v>44</v>
      </c>
      <c r="C116" s="252">
        <v>2</v>
      </c>
      <c r="D116" s="252">
        <v>26</v>
      </c>
      <c r="E116" s="253">
        <v>108945</v>
      </c>
      <c r="F116" s="253">
        <v>8380</v>
      </c>
      <c r="G116" s="253">
        <v>5447</v>
      </c>
      <c r="H116" s="173">
        <v>43576</v>
      </c>
    </row>
    <row r="117" spans="2:8" ht="19.5" thickBot="1">
      <c r="B117" s="251" t="s">
        <v>45</v>
      </c>
      <c r="C117" s="252">
        <v>2</v>
      </c>
      <c r="D117" s="252">
        <v>22</v>
      </c>
      <c r="E117" s="253">
        <v>97522</v>
      </c>
      <c r="F117" s="253">
        <v>8865</v>
      </c>
      <c r="G117" s="253">
        <v>4876</v>
      </c>
      <c r="H117" s="173">
        <v>39008</v>
      </c>
    </row>
    <row r="118" spans="2:8" ht="19.5" thickBot="1">
      <c r="B118" s="251" t="s">
        <v>46</v>
      </c>
      <c r="C118" s="252">
        <v>2</v>
      </c>
      <c r="D118" s="252">
        <v>29</v>
      </c>
      <c r="E118" s="253">
        <v>113037</v>
      </c>
      <c r="F118" s="253">
        <v>7795</v>
      </c>
      <c r="G118" s="253">
        <v>5652</v>
      </c>
      <c r="H118" s="173">
        <v>45216</v>
      </c>
    </row>
    <row r="119" spans="2:8" ht="19.5" thickBot="1">
      <c r="B119" s="254" t="s">
        <v>47</v>
      </c>
      <c r="C119" s="250"/>
      <c r="D119" s="250"/>
      <c r="E119" s="255"/>
      <c r="F119" s="255"/>
      <c r="G119" s="256">
        <v>24686</v>
      </c>
      <c r="H119" s="174">
        <v>197488</v>
      </c>
    </row>
    <row r="120" spans="2:4" ht="18">
      <c r="B120" s="248"/>
      <c r="C120" s="248"/>
      <c r="D120" s="248"/>
    </row>
    <row r="121" spans="2:6" ht="18">
      <c r="B121" s="248"/>
      <c r="C121" s="248"/>
      <c r="D121" s="248"/>
      <c r="E121" s="248"/>
      <c r="F121" s="236"/>
    </row>
    <row r="122" spans="2:6" ht="18">
      <c r="B122" s="248"/>
      <c r="C122" s="248"/>
      <c r="D122" s="248"/>
      <c r="E122" s="248"/>
      <c r="F122" s="201"/>
    </row>
    <row r="123" spans="2:6" ht="18">
      <c r="B123" s="248"/>
      <c r="C123" s="248"/>
      <c r="D123" s="248"/>
      <c r="E123" s="248"/>
      <c r="F123" s="201"/>
    </row>
    <row r="124" spans="2:6" ht="18">
      <c r="B124" s="248"/>
      <c r="C124" s="248"/>
      <c r="D124" s="248"/>
      <c r="E124" s="248"/>
      <c r="F124" s="201"/>
    </row>
    <row r="125" spans="2:6" ht="18">
      <c r="B125" s="248"/>
      <c r="C125" s="248"/>
      <c r="D125" s="248"/>
      <c r="E125" s="248"/>
      <c r="F125" s="201"/>
    </row>
    <row r="126" spans="2:6" ht="18">
      <c r="B126" s="248"/>
      <c r="C126" s="248"/>
      <c r="D126" s="248"/>
      <c r="E126" s="248"/>
      <c r="F126" s="201"/>
    </row>
    <row r="127" spans="2:6" ht="18">
      <c r="B127" s="248"/>
      <c r="C127" s="248"/>
      <c r="D127" s="248"/>
      <c r="E127" s="248"/>
      <c r="F127" s="201"/>
    </row>
    <row r="128" spans="2:6" ht="18">
      <c r="B128" s="248"/>
      <c r="C128" s="248"/>
      <c r="D128" s="248"/>
      <c r="E128" s="248"/>
      <c r="F128" s="201"/>
    </row>
    <row r="129" spans="2:6" ht="18">
      <c r="B129" s="248"/>
      <c r="C129" s="248"/>
      <c r="D129" s="248"/>
      <c r="E129" s="248"/>
      <c r="F129" s="201"/>
    </row>
    <row r="130" spans="2:6" ht="18">
      <c r="B130" s="248"/>
      <c r="C130" s="248"/>
      <c r="D130" s="248"/>
      <c r="E130" s="248"/>
      <c r="F130" s="201"/>
    </row>
    <row r="131" spans="2:6" ht="18">
      <c r="B131" s="248"/>
      <c r="C131" s="248"/>
      <c r="D131" s="248"/>
      <c r="E131" s="248"/>
      <c r="F131" s="201"/>
    </row>
    <row r="132" spans="2:6" ht="18">
      <c r="B132" s="176"/>
      <c r="C132" s="176"/>
      <c r="D132" s="176"/>
      <c r="E132" s="176"/>
      <c r="F132" s="201"/>
    </row>
    <row r="133" spans="2:6" ht="18.75">
      <c r="B133" s="202"/>
      <c r="E133" s="186"/>
      <c r="F133" s="201"/>
    </row>
    <row r="134" spans="2:6" ht="18.75">
      <c r="B134" s="202"/>
      <c r="E134" s="186"/>
      <c r="F134" s="201"/>
    </row>
    <row r="135" spans="2:6" ht="18.75">
      <c r="B135" s="202"/>
      <c r="E135" s="186"/>
      <c r="F135" s="201"/>
    </row>
    <row r="136" spans="2:6" ht="18.75">
      <c r="B136" s="202"/>
      <c r="E136" s="186"/>
      <c r="F136" s="201"/>
    </row>
    <row r="137" spans="2:6" ht="18.75">
      <c r="B137" s="202"/>
      <c r="E137" s="186"/>
      <c r="F137" s="201"/>
    </row>
    <row r="138" spans="2:6" ht="18.75">
      <c r="B138" s="202"/>
      <c r="E138" s="186"/>
      <c r="F138" s="201"/>
    </row>
    <row r="139" spans="2:6" ht="18.75">
      <c r="B139" s="202"/>
      <c r="E139" s="186"/>
      <c r="F139" s="201"/>
    </row>
    <row r="140" spans="2:6" ht="18.75">
      <c r="B140" s="202"/>
      <c r="E140" s="186"/>
      <c r="F140" s="201"/>
    </row>
    <row r="141" spans="2:6" ht="18.75">
      <c r="B141" s="202"/>
      <c r="E141" s="186"/>
      <c r="F141" s="201"/>
    </row>
    <row r="142" spans="2:6" ht="18.75">
      <c r="B142" s="202"/>
      <c r="E142" s="186"/>
      <c r="F142" s="201"/>
    </row>
    <row r="143" spans="2:6" ht="18.75">
      <c r="B143" s="202"/>
      <c r="E143" s="186"/>
      <c r="F143" s="201"/>
    </row>
    <row r="144" spans="2:6" ht="18.75">
      <c r="B144" s="202"/>
      <c r="E144" s="186"/>
      <c r="F144" s="201"/>
    </row>
    <row r="145" spans="2:6" ht="18.75">
      <c r="B145" s="202"/>
      <c r="E145" s="186"/>
      <c r="F145" s="201"/>
    </row>
    <row r="146" spans="2:6" ht="18.75">
      <c r="B146" s="202"/>
      <c r="E146" s="186"/>
      <c r="F146" s="201"/>
    </row>
    <row r="147" spans="2:6" ht="18.75">
      <c r="B147" s="202"/>
      <c r="E147" s="186"/>
      <c r="F147" s="201"/>
    </row>
    <row r="148" spans="2:6" ht="18.75">
      <c r="B148" s="202"/>
      <c r="E148" s="186"/>
      <c r="F148" s="201"/>
    </row>
    <row r="149" spans="2:6" ht="18.75">
      <c r="B149" s="202"/>
      <c r="E149" s="186"/>
      <c r="F149" s="201"/>
    </row>
    <row r="150" spans="2:6" ht="18.75">
      <c r="B150" s="202"/>
      <c r="E150" s="186"/>
      <c r="F150" s="201"/>
    </row>
    <row r="151" spans="2:6" ht="18.75">
      <c r="B151" s="202"/>
      <c r="E151" s="186"/>
      <c r="F151" s="201"/>
    </row>
    <row r="152" spans="2:6" ht="18.75">
      <c r="B152" s="202"/>
      <c r="E152" s="186"/>
      <c r="F152" s="201"/>
    </row>
    <row r="153" spans="2:6" ht="18.75">
      <c r="B153" s="202"/>
      <c r="E153" s="186"/>
      <c r="F153" s="201"/>
    </row>
    <row r="154" spans="2:6" ht="18.75">
      <c r="B154" s="202"/>
      <c r="E154" s="186"/>
      <c r="F154" s="201"/>
    </row>
    <row r="155" spans="2:6" ht="18">
      <c r="B155" s="248"/>
      <c r="C155" s="248"/>
      <c r="D155" s="248"/>
      <c r="E155" s="248"/>
      <c r="F155" s="201"/>
    </row>
    <row r="156" spans="2:6" ht="18">
      <c r="B156" s="248"/>
      <c r="C156" s="248"/>
      <c r="D156" s="248"/>
      <c r="E156" s="248"/>
      <c r="F156" s="201"/>
    </row>
    <row r="157" spans="2:6" ht="18">
      <c r="B157" s="248"/>
      <c r="C157" s="248"/>
      <c r="D157" s="248"/>
      <c r="E157" s="248"/>
      <c r="F157" s="201"/>
    </row>
    <row r="158" spans="2:6" ht="18">
      <c r="B158" s="248"/>
      <c r="C158" s="248"/>
      <c r="D158" s="248"/>
      <c r="E158" s="248"/>
      <c r="F158" s="201"/>
    </row>
    <row r="159" spans="2:6" ht="18">
      <c r="B159" s="248"/>
      <c r="C159" s="248"/>
      <c r="D159" s="248"/>
      <c r="E159" s="248"/>
      <c r="F159" s="201"/>
    </row>
    <row r="160" spans="2:6" ht="18">
      <c r="B160" s="248"/>
      <c r="C160" s="248"/>
      <c r="D160" s="248"/>
      <c r="E160" s="248"/>
      <c r="F160" s="201"/>
    </row>
    <row r="161" spans="2:6" ht="18">
      <c r="B161" s="248"/>
      <c r="C161" s="248"/>
      <c r="D161" s="248"/>
      <c r="E161" s="248"/>
      <c r="F161" s="201"/>
    </row>
    <row r="162" spans="2:6" ht="18">
      <c r="B162" s="248"/>
      <c r="C162" s="248"/>
      <c r="D162" s="248"/>
      <c r="E162" s="248"/>
      <c r="F162" s="201"/>
    </row>
    <row r="163" spans="2:6" ht="18">
      <c r="B163" s="248"/>
      <c r="C163" s="248"/>
      <c r="D163" s="248"/>
      <c r="E163" s="248"/>
      <c r="F163" s="201"/>
    </row>
    <row r="164" spans="2:6" ht="18">
      <c r="B164" s="248"/>
      <c r="C164" s="248"/>
      <c r="D164" s="248"/>
      <c r="E164" s="248"/>
      <c r="F164" s="201"/>
    </row>
    <row r="165" spans="2:6" ht="18">
      <c r="B165" s="248"/>
      <c r="C165" s="248"/>
      <c r="D165" s="248"/>
      <c r="E165" s="248"/>
      <c r="F165" s="201"/>
    </row>
    <row r="166" spans="2:6" ht="18">
      <c r="B166" s="248"/>
      <c r="C166" s="248"/>
      <c r="D166" s="248"/>
      <c r="E166" s="248"/>
      <c r="F166" s="201"/>
    </row>
    <row r="167" spans="2:6" ht="18">
      <c r="B167" s="248"/>
      <c r="C167" s="248"/>
      <c r="D167" s="248"/>
      <c r="E167" s="248"/>
      <c r="F167" s="201"/>
    </row>
    <row r="168" spans="2:6" ht="18">
      <c r="B168" s="248"/>
      <c r="C168" s="248"/>
      <c r="D168" s="248"/>
      <c r="E168" s="248"/>
      <c r="F168" s="201"/>
    </row>
    <row r="169" spans="2:6" ht="18">
      <c r="B169" s="248"/>
      <c r="C169" s="248"/>
      <c r="D169" s="248"/>
      <c r="E169" s="248"/>
      <c r="F169" s="201"/>
    </row>
    <row r="170" spans="2:6" ht="18">
      <c r="B170" s="248"/>
      <c r="C170" s="248"/>
      <c r="D170" s="248"/>
      <c r="E170" s="248"/>
      <c r="F170" s="201"/>
    </row>
    <row r="171" spans="2:6" ht="18">
      <c r="B171" s="248"/>
      <c r="C171" s="248"/>
      <c r="D171" s="248"/>
      <c r="E171" s="248"/>
      <c r="F171" s="201"/>
    </row>
    <row r="172" spans="2:6" ht="18">
      <c r="B172" s="248"/>
      <c r="C172" s="248"/>
      <c r="D172" s="248"/>
      <c r="E172" s="248"/>
      <c r="F172" s="201"/>
    </row>
    <row r="173" spans="2:6" ht="18">
      <c r="B173" s="248"/>
      <c r="C173" s="248"/>
      <c r="D173" s="248"/>
      <c r="E173" s="248"/>
      <c r="F173" s="201"/>
    </row>
    <row r="174" spans="2:6" ht="18">
      <c r="B174" s="248"/>
      <c r="C174" s="248"/>
      <c r="D174" s="248"/>
      <c r="E174" s="248"/>
      <c r="F174" s="201"/>
    </row>
    <row r="175" spans="2:6" ht="18">
      <c r="B175" s="248"/>
      <c r="C175" s="248"/>
      <c r="D175" s="248"/>
      <c r="E175" s="248"/>
      <c r="F175" s="201"/>
    </row>
    <row r="176" spans="2:6" ht="18">
      <c r="B176" s="248"/>
      <c r="C176" s="248"/>
      <c r="D176" s="248"/>
      <c r="E176" s="248"/>
      <c r="F176" s="201"/>
    </row>
    <row r="177" spans="2:6" ht="18">
      <c r="B177" s="248"/>
      <c r="C177" s="248"/>
      <c r="D177" s="248"/>
      <c r="E177" s="248"/>
      <c r="F177" s="201"/>
    </row>
    <row r="178" spans="2:6" ht="18">
      <c r="B178" s="248"/>
      <c r="C178" s="248"/>
      <c r="D178" s="248"/>
      <c r="E178" s="248"/>
      <c r="F178" s="201"/>
    </row>
    <row r="179" spans="2:6" ht="18">
      <c r="B179" s="248"/>
      <c r="C179" s="248"/>
      <c r="D179" s="248"/>
      <c r="E179" s="248"/>
      <c r="F179" s="201"/>
    </row>
    <row r="180" spans="2:6" ht="18">
      <c r="B180" s="248"/>
      <c r="C180" s="248"/>
      <c r="D180" s="248"/>
      <c r="E180" s="248"/>
      <c r="F180" s="201"/>
    </row>
  </sheetData>
  <mergeCells count="26">
    <mergeCell ref="B7:D7"/>
    <mergeCell ref="B8:D12"/>
    <mergeCell ref="B112:B113"/>
    <mergeCell ref="C112:C113"/>
    <mergeCell ref="D112:D113"/>
    <mergeCell ref="B13:D13"/>
    <mergeCell ref="E19:G19"/>
    <mergeCell ref="B14:D14"/>
    <mergeCell ref="E112:E113"/>
    <mergeCell ref="F112:F113"/>
    <mergeCell ref="B15:D15"/>
    <mergeCell ref="E27:G27"/>
    <mergeCell ref="B16:D16"/>
    <mergeCell ref="E20:G20"/>
    <mergeCell ref="E28:G28"/>
    <mergeCell ref="E21:G21"/>
    <mergeCell ref="E22:G22"/>
    <mergeCell ref="E23:G23"/>
    <mergeCell ref="E24:G24"/>
    <mergeCell ref="E25:G25"/>
    <mergeCell ref="E26:G26"/>
    <mergeCell ref="E33:G33"/>
    <mergeCell ref="E29:G29"/>
    <mergeCell ref="E30:G30"/>
    <mergeCell ref="E31:G31"/>
    <mergeCell ref="E32:G32"/>
  </mergeCells>
  <printOptions horizontalCentered="1"/>
  <pageMargins left="0.25" right="0.25" top="1" bottom="1" header="0.5" footer="0.36"/>
  <pageSetup horizontalDpi="600" verticalDpi="600" orientation="portrait" scale="25" r:id="rId3"/>
  <headerFooter alignWithMargins="0">
    <oddHeader>&amp;L&amp;G&amp;R&amp;27&amp;A</oddHeader>
    <oddFooter>&amp;R&amp;P</oddFooter>
  </headerFooter>
  <rowBreaks count="1" manualBreakCount="1">
    <brk id="123" max="8"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benyishaya</cp:lastModifiedBy>
  <cp:lastPrinted>2008-12-22T14:50:17Z</cp:lastPrinted>
  <dcterms:created xsi:type="dcterms:W3CDTF">2007-08-06T21:22:49Z</dcterms:created>
  <dcterms:modified xsi:type="dcterms:W3CDTF">2008-12-22T14:52:02Z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