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85" firstSheet="1" activeTab="1"/>
  </bookViews>
  <sheets>
    <sheet name="User's Guide" sheetId="1" r:id="rId1"/>
    <sheet name="Activity Description" sheetId="2" r:id="rId2"/>
    <sheet name="CB_DATA_" sheetId="3" state="veryHidden" r:id="rId3"/>
    <sheet name="ERR &amp; Sensitivity Analysis" sheetId="4" r:id="rId4"/>
    <sheet name="Cost &amp; Benefit Summary" sheetId="5" r:id="rId5"/>
    <sheet name="FIRR" sheetId="6" r:id="rId6"/>
    <sheet name="AIC Consolidated" sheetId="7" r:id="rId7"/>
    <sheet name="AIC Maseru" sheetId="8" r:id="rId8"/>
    <sheet name="AIC Roma" sheetId="9" r:id="rId9"/>
    <sheet name="AIC Mazenod" sheetId="10" r:id="rId10"/>
    <sheet name="AIC Morija" sheetId="11" r:id="rId11"/>
    <sheet name="Add Costs and Benefits" sheetId="12" r:id="rId12"/>
    <sheet name="WACC" sheetId="13" r:id="rId13"/>
  </sheets>
  <externalReferences>
    <externalReference r:id="rId16"/>
    <externalReference r:id="rId17"/>
    <externalReference r:id="rId18"/>
  </externalReferences>
  <definedNames>
    <definedName name="ART_Cost">'[1]Costs &amp; Benefits Summary'!$B$18</definedName>
    <definedName name="CB_1639ef64ea1848eaa5da8f6d049a3d40" localSheetId="3" hidden="1">'ERR &amp; Sensitivity Analysis'!$E$16</definedName>
    <definedName name="CB_a1df2e60ebeb4e54afd9b18f4e5580f8" localSheetId="3" hidden="1">'ERR &amp; Sensitivity Analysis'!$E$14</definedName>
    <definedName name="CB_c5fe090f2bfe4113acd03177de913b82" localSheetId="3" hidden="1">'ERR &amp; Sensitivity Analysis'!$E$13</definedName>
    <definedName name="CBWorkbookPriority" hidden="1">-1845719022</definedName>
    <definedName name="CBx_7549df9a7aed4b2e9c1a0629503c386d" localSheetId="2" hidden="1">"'ERR &amp; Sensitivity Analysis'!$A$1"</definedName>
    <definedName name="CBx_e50a567f8a224ed2b17bb4ec834099ab" localSheetId="2" hidden="1">"'CB_DATA_'!$A$1"</definedName>
    <definedName name="CBx_Sheet_Guid" localSheetId="2" hidden="1">"'e50a567f-8a22-4ed2-b17b-b4ec834099ab"</definedName>
    <definedName name="CBx_Sheet_Guid" localSheetId="3" hidden="1">"'7549df9a-7aed-4b2e-9c1a-0629503c386d"</definedName>
    <definedName name="CBx_StorageType" localSheetId="2" hidden="1">1</definedName>
    <definedName name="CBx_StorageType" localSheetId="3" hidden="1">1</definedName>
    <definedName name="Cost">'[2]Cost Assumptions'!$C$22:$E$22</definedName>
    <definedName name="Cost1">'[3]Cost Assumptions'!$C$22:$E$22</definedName>
    <definedName name="GDP_Capita_Growth">'[1]Costs &amp; Benefits Summary'!$B$17</definedName>
    <definedName name="OM_perc">'[1]Costs &amp; Benefits Summary'!$B$21</definedName>
    <definedName name="PhaseIn">#REF!</definedName>
    <definedName name="Pop_Growth">'[1]Costs &amp; Benefits Summary'!$B$16</definedName>
    <definedName name="_xlnm.Print_Area" localSheetId="11">'Add Costs and Benefits'!$A$8:$AI$67</definedName>
    <definedName name="_xlnm.Print_Area" localSheetId="6">'AIC Consolidated'!$A$7:$AI$58</definedName>
    <definedName name="_xlnm.Print_Area" localSheetId="7">'AIC Maseru'!$A$8:$AI$58</definedName>
    <definedName name="_xlnm.Print_Area" localSheetId="9">'AIC Mazenod'!$A$8:$AI$58</definedName>
    <definedName name="_xlnm.Print_Area" localSheetId="10">'AIC Morija'!$A$8:$AI$58</definedName>
    <definedName name="_xlnm.Print_Area" localSheetId="8">'AIC Roma'!$A$8:$AI$58</definedName>
    <definedName name="_xlnm.Print_Area" localSheetId="4">'Cost &amp; Benefit Summary'!$A$8:$AI$74</definedName>
    <definedName name="_xlnm.Print_Area" localSheetId="12">'WACC'!$A$7:$J$36</definedName>
    <definedName name="_xlnm.Print_Titles" localSheetId="11">'Add Costs and Benefits'!$10:$10</definedName>
  </definedNames>
  <calcPr fullCalcOnLoad="1"/>
</workbook>
</file>

<file path=xl/comments10.xml><?xml version="1.0" encoding="utf-8"?>
<comments xmlns="http://schemas.openxmlformats.org/spreadsheetml/2006/main">
  <authors>
    <author>mur10721</author>
  </authors>
  <commentList>
    <comment ref="Q34" authorId="0">
      <text>
        <r>
          <rPr>
            <sz val="8"/>
            <rFont val="Tahoma"/>
            <family val="0"/>
          </rPr>
          <t>M&amp;E replaced every 10 years</t>
        </r>
      </text>
    </comment>
  </commentList>
</comments>
</file>

<file path=xl/comments11.xml><?xml version="1.0" encoding="utf-8"?>
<comments xmlns="http://schemas.openxmlformats.org/spreadsheetml/2006/main">
  <authors>
    <author>mur10721</author>
  </authors>
  <commentList>
    <comment ref="Q34" authorId="0">
      <text>
        <r>
          <rPr>
            <sz val="8"/>
            <rFont val="Tahoma"/>
            <family val="0"/>
          </rPr>
          <t>M&amp;E replaced every 10 years</t>
        </r>
      </text>
    </comment>
  </commentList>
</comments>
</file>

<file path=xl/comments12.xml><?xml version="1.0" encoding="utf-8"?>
<comments xmlns="http://schemas.openxmlformats.org/spreadsheetml/2006/main">
  <authors>
    <author>mur10721</author>
  </authors>
  <commentList>
    <comment ref="D43" authorId="0">
      <text>
        <r>
          <rPr>
            <sz val="8"/>
            <rFont val="Tahoma"/>
            <family val="0"/>
          </rPr>
          <t>9 months employment in 2007</t>
        </r>
      </text>
    </comment>
    <comment ref="A66" authorId="0">
      <text>
        <r>
          <rPr>
            <sz val="8"/>
            <rFont val="Tahoma"/>
            <family val="0"/>
          </rPr>
          <t>Due to slower closure rate and increased replacement rate with other manufacturing e.g. woven fabric, footwear etc.</t>
        </r>
      </text>
    </comment>
  </commentList>
</comments>
</file>

<file path=xl/comments13.xml><?xml version="1.0" encoding="utf-8"?>
<comments xmlns="http://schemas.openxmlformats.org/spreadsheetml/2006/main">
  <authors>
    <author>mur10721</author>
  </authors>
  <commentList>
    <comment ref="D11" authorId="0">
      <text>
        <r>
          <rPr>
            <sz val="8"/>
            <rFont val="Tahoma"/>
            <family val="0"/>
          </rPr>
          <t>Bank of Lesotho Bank Lending Rate - December 2006</t>
        </r>
      </text>
    </comment>
    <comment ref="D17" authorId="0">
      <text>
        <r>
          <rPr>
            <sz val="8"/>
            <rFont val="Tahoma"/>
            <family val="0"/>
          </rPr>
          <t>December 12 2006 LIBOR plus 1% (bankrate.com)</t>
        </r>
      </text>
    </comment>
  </commentList>
</comments>
</file>

<file path=xl/comments6.xml><?xml version="1.0" encoding="utf-8"?>
<comments xmlns="http://schemas.openxmlformats.org/spreadsheetml/2006/main">
  <authors>
    <author>mur10721</author>
    <author>Murphy</author>
  </authors>
  <commentList>
    <comment ref="B15" authorId="0">
      <text>
        <r>
          <rPr>
            <sz val="8"/>
            <rFont val="Tahoma"/>
            <family val="0"/>
          </rPr>
          <t>Using a discount rate of 10%</t>
        </r>
      </text>
    </comment>
    <comment ref="E9" authorId="1">
      <text>
        <r>
          <rPr>
            <sz val="8"/>
            <rFont val="Tahoma"/>
            <family val="0"/>
          </rPr>
          <t>Discount rate switch:
Use 0 for 0%
Use 1 for WACC
Use 2 for 5% rate used in AIC calculations</t>
        </r>
      </text>
    </comment>
    <comment ref="D9" authorId="0">
      <text>
        <r>
          <rPr>
            <sz val="8"/>
            <rFont val="Tahoma"/>
            <family val="0"/>
          </rPr>
          <t>Ideally use the estiimated  w</t>
        </r>
        <r>
          <rPr>
            <sz val="10"/>
            <rFont val="Tahoma"/>
            <family val="2"/>
          </rPr>
          <t>eighted average cost of capital from Schedule 8: Weighted Average Cost of Capital Calculation</t>
        </r>
      </text>
    </comment>
  </commentList>
</comments>
</file>

<file path=xl/comments7.xml><?xml version="1.0" encoding="utf-8"?>
<comments xmlns="http://schemas.openxmlformats.org/spreadsheetml/2006/main">
  <authors>
    <author>mur10721</author>
  </authors>
  <commentList>
    <comment ref="Q34" authorId="0">
      <text>
        <r>
          <rPr>
            <sz val="8"/>
            <rFont val="Tahoma"/>
            <family val="0"/>
          </rPr>
          <t>M&amp;E replaced every 10 years</t>
        </r>
      </text>
    </comment>
  </commentList>
</comments>
</file>

<file path=xl/comments8.xml><?xml version="1.0" encoding="utf-8"?>
<comments xmlns="http://schemas.openxmlformats.org/spreadsheetml/2006/main">
  <authors>
    <author>mur10721</author>
  </authors>
  <commentList>
    <comment ref="Q34" authorId="0">
      <text>
        <r>
          <rPr>
            <sz val="8"/>
            <rFont val="Tahoma"/>
            <family val="0"/>
          </rPr>
          <t>M&amp;E replaced every 10 years</t>
        </r>
      </text>
    </comment>
  </commentList>
</comments>
</file>

<file path=xl/comments9.xml><?xml version="1.0" encoding="utf-8"?>
<comments xmlns="http://schemas.openxmlformats.org/spreadsheetml/2006/main">
  <authors>
    <author>mur10721</author>
  </authors>
  <commentList>
    <comment ref="Q34" authorId="0">
      <text>
        <r>
          <rPr>
            <sz val="8"/>
            <rFont val="Tahoma"/>
            <family val="0"/>
          </rPr>
          <t>M&amp;E replaced every 10 years</t>
        </r>
      </text>
    </comment>
  </commentList>
</comments>
</file>

<file path=xl/sharedStrings.xml><?xml version="1.0" encoding="utf-8"?>
<sst xmlns="http://schemas.openxmlformats.org/spreadsheetml/2006/main" count="704" uniqueCount="272">
  <si>
    <t xml:space="preserve">The Metolong Dam Activity will help secure the continuity of the current industrial base in Maseru district and provide the technical feasibility of future economic expansion. The overall economic return is expected to rise significantly above 20 percent, so long as the scheme’s long-term management is sustainable.  Water demand in Maseru is close to, or even greater than, the reliable capacity of the existing water supply resources. The absence of secure water supply to industry prevents Lesotho from attracting FDI to set-up new industries, and particularly so-called “wet” industries, such as knitted-fabric mills, the presence of which would remove Lesotho’s dependence on the AGOA third country fabric provision for knit fabric exports to the USA. Some 28 000 employees could lose their jobs had the third country fabric provision expired in September 2007. The extension of the agreement has given Lesotho an opportunity to pursue further structural adjustments in its industry. The Metolong scheme will, as long as the capacity of the existing water supply system in Maseru is maintained, ensure water demands are met well beyond 2020. Crucially Metolong will also improve security of supply significantly compared to the existing situation. </t>
  </si>
  <si>
    <t xml:space="preserve">These factors are important, both for the improvement in access to water for domestic consumers provided by the ongoing and planned peri-urban water supply schemes and to enable continued development of the industrial manufacturing base in the Metolong service area.  These urban employment opportunities also contribute to poverty reduction in rural areas, due to labor migration, and offer particular opportunities to women who are often disproportionately affected by poverty, with over 80% of manufacturing employment and over 90% of employment in garments and footwear manufacture being female. The transfer of wages earned in urban areas to family members in rural areas plays an important role in rural poverty reduction. </t>
  </si>
  <si>
    <t xml:space="preserve">This analysis of the quantifiable economic costs and benefits associated with the Metolong scheme focuses on the benefits arising from preserved employment and new employment in industry. The key assumption, which as in due course proved valid, is that the termination AGOA third country fabric provision will mean that a local milling facility is an absolute requirement for the continuation of the existing employment in the knitted fabric sector. Such a facility could not be developed without the increase in water supply afforded by the scheme, which is also a requirement for further expansion of the textile industry at Tikoe. The benefits are evaluated as 25% of the value of the preserved employment and 20% of the new employment. No allowance has been taken of the increase in incremental water revenue. </t>
  </si>
  <si>
    <t>The base ERR, which assumes that investment in expanding production in the textile and garment industries occurs in response to the incremental supply of water , is estimated at approximately 24%, and is not sensitive to variations in base investment and operating costs. In this scenario, complementary private sector investments are made gradually to develop production capacity. In the absence of this response by the private sector, the ERR falls to one percent on the strength of maintaining current levels of employment.  As most of the anticipated incremental employment would occur in the textile/garment industry, urban women (in Maseru district) are more likely than men to fill these positions as production expands.</t>
  </si>
  <si>
    <t>Lesotho: Metolong</t>
  </si>
  <si>
    <t>Finanical Internal Rate of Return Estimates</t>
  </si>
  <si>
    <t>Cost and Benefit Stream Summary</t>
  </si>
  <si>
    <t>Average Incremental Costs - Consolidated</t>
  </si>
  <si>
    <t>Average Incremental Costs - Maseru</t>
  </si>
  <si>
    <t>Average Incremental Costs - Roma</t>
  </si>
  <si>
    <t>Average Incremental Costs - Morija</t>
  </si>
  <si>
    <t>Additional Costs and Benefits</t>
  </si>
  <si>
    <t>Weighted Average Cost of Capital (WACC) Calculation</t>
  </si>
  <si>
    <t>High South Reservoirs</t>
  </si>
  <si>
    <t>Pump stations - Civil Works</t>
  </si>
  <si>
    <t>Pump stations - M&amp;E Works</t>
  </si>
  <si>
    <t>Dam - Civil Works</t>
  </si>
  <si>
    <t>Dam - M&amp;E Works</t>
  </si>
  <si>
    <t>WTW - Civil Works</t>
  </si>
  <si>
    <t>WTW - M&amp;E Works</t>
  </si>
  <si>
    <t>Advance Infrastructure</t>
  </si>
  <si>
    <t>Pumping costs</t>
  </si>
  <si>
    <t>WTW costs</t>
  </si>
  <si>
    <t>General O&amp;M</t>
  </si>
  <si>
    <t>Sludge Disposal</t>
  </si>
  <si>
    <t>Administration</t>
  </si>
  <si>
    <t>Total Program Costs</t>
  </si>
  <si>
    <t>Actual Benefits as % of Estimated</t>
  </si>
  <si>
    <t>Total Costs as % of Estimated</t>
  </si>
  <si>
    <t>Capital Costs as % of Estimated</t>
  </si>
  <si>
    <t>Capital costs as percentage of estimated</t>
  </si>
  <si>
    <t>Development of factory space at Tikoe (m2)</t>
  </si>
  <si>
    <t>80% - 120%</t>
  </si>
  <si>
    <t>66,000 - 86,000</t>
  </si>
  <si>
    <t>Summary</t>
  </si>
  <si>
    <t>Discount Rate</t>
  </si>
  <si>
    <t>Key to Programme Costs</t>
  </si>
  <si>
    <t>FIRR</t>
  </si>
  <si>
    <t>AIC financial</t>
  </si>
  <si>
    <t>EIRR</t>
  </si>
  <si>
    <t>Conversion Factor:</t>
  </si>
  <si>
    <t>Units:</t>
  </si>
  <si>
    <t>FIRR Calculation</t>
  </si>
  <si>
    <t>Totals</t>
  </si>
  <si>
    <t>Costs</t>
  </si>
  <si>
    <t>Net costs</t>
  </si>
  <si>
    <t>AIC</t>
  </si>
  <si>
    <t>Net cash flow</t>
  </si>
  <si>
    <t>NPV</t>
  </si>
  <si>
    <t>EIRR Calculation</t>
  </si>
  <si>
    <t>Price adjustment factors for financial to economic conversion</t>
  </si>
  <si>
    <t>Item</t>
  </si>
  <si>
    <t xml:space="preserve">Market </t>
  </si>
  <si>
    <t xml:space="preserve">Tax </t>
  </si>
  <si>
    <t>Conversion</t>
  </si>
  <si>
    <t>Adjustment</t>
  </si>
  <si>
    <t>Factor</t>
  </si>
  <si>
    <t>Benefit-Cost Analysis</t>
  </si>
  <si>
    <t>Benefits</t>
  </si>
  <si>
    <t>Total quantifiable benefits</t>
  </si>
  <si>
    <t>Conversions</t>
  </si>
  <si>
    <t>Total economic costs</t>
  </si>
  <si>
    <t>Benefits - Costs</t>
  </si>
  <si>
    <t>Sensitivity Analysis</t>
  </si>
  <si>
    <t>NPV @</t>
  </si>
  <si>
    <t>Change in Parameter</t>
  </si>
  <si>
    <t>Switching Value</t>
  </si>
  <si>
    <t>Sensitivity</t>
  </si>
  <si>
    <t>Parameter</t>
  </si>
  <si>
    <t>+10%</t>
  </si>
  <si>
    <t>+5%</t>
  </si>
  <si>
    <t>-5%</t>
  </si>
  <si>
    <t>-10%</t>
  </si>
  <si>
    <t>@10%</t>
  </si>
  <si>
    <t>@12%</t>
  </si>
  <si>
    <t>Sensitivity tests</t>
  </si>
  <si>
    <t>Benefits-Costs</t>
  </si>
  <si>
    <t>Fixed Matrix</t>
  </si>
  <si>
    <t>Capital Costs</t>
  </si>
  <si>
    <t>Operating Costs</t>
  </si>
  <si>
    <t>LSL Th/a</t>
  </si>
  <si>
    <t>(LSL Thousand)</t>
  </si>
  <si>
    <t>Average operating cost per m3</t>
  </si>
  <si>
    <t>Water Demand</t>
  </si>
  <si>
    <t>Discounted Flow</t>
  </si>
  <si>
    <t>Th m3/an</t>
  </si>
  <si>
    <t>LSL Th</t>
  </si>
  <si>
    <t>Expenditure Profile</t>
  </si>
  <si>
    <t>LSL (Th)</t>
  </si>
  <si>
    <t>Q4 2006 Prices</t>
  </si>
  <si>
    <t>Engineering Plus:</t>
  </si>
  <si>
    <t>Physical Contingency:</t>
  </si>
  <si>
    <t>LSL</t>
  </si>
  <si>
    <t>LSL/m3</t>
  </si>
  <si>
    <t>Connection to the Maseru System</t>
  </si>
  <si>
    <t>Capex</t>
  </si>
  <si>
    <t>Opex</t>
  </si>
  <si>
    <t>Net Income</t>
  </si>
  <si>
    <t>Development and Operation of the Tikoe Industrial Estate</t>
  </si>
  <si>
    <t>Estimated Number Employed in Knitted Fabric Sector</t>
  </si>
  <si>
    <t>Th LSL</t>
  </si>
  <si>
    <t>Value Added or Income Without Metolong</t>
  </si>
  <si>
    <t>Value Added or Income With Metolong</t>
  </si>
  <si>
    <t>Income Without AGOA 3rd Country Fabric Provision</t>
  </si>
  <si>
    <t>Post 2007 Without AGOA 3rd Country Fabric Provision Extension</t>
  </si>
  <si>
    <t>Post 2007 With AGOA 3rd Country Fabric Provision Extension</t>
  </si>
  <si>
    <t>Income With AGOA 3rd Country Fabric Provision</t>
  </si>
  <si>
    <t>Net Change in Income Without 3rd Country Fabric Provision</t>
  </si>
  <si>
    <t>Direct Income Derived in 2006</t>
  </si>
  <si>
    <t>Income Due to Multiplier Effect in 2006</t>
  </si>
  <si>
    <t>Total Cost</t>
  </si>
  <si>
    <t>Factory Space per Worker (m2)</t>
  </si>
  <si>
    <t>Total Direct Worker Income at Tikoe</t>
  </si>
  <si>
    <t>Total Factory Space at Tikoe (m2)</t>
  </si>
  <si>
    <t>Development of Factory Space at Tikoe (m2)</t>
  </si>
  <si>
    <t>Average Annual Wage (Including Overtime) - LSL</t>
  </si>
  <si>
    <t>Number of Factory Workers Employed</t>
  </si>
  <si>
    <t>Stand, Commercial and Office Employment</t>
  </si>
  <si>
    <t>Total Incremental Employment at Tikoe</t>
  </si>
  <si>
    <t>Total Employment Income at Tikoe</t>
  </si>
  <si>
    <t>Income Due to Multiplier Effect - (+ 20%)</t>
  </si>
  <si>
    <t>Opex as a % of Capex Excluding Dam</t>
  </si>
  <si>
    <t>Net Cost or Benefit</t>
  </si>
  <si>
    <t>Incremental Revenue</t>
  </si>
  <si>
    <t>Flow</t>
  </si>
  <si>
    <t>Preserved Income</t>
  </si>
  <si>
    <t>Additional Income</t>
  </si>
  <si>
    <t>Incremental Water Revenue</t>
  </si>
  <si>
    <t>Metolong Costs</t>
  </si>
  <si>
    <t>Other Costs</t>
  </si>
  <si>
    <t>Tikoe Net Effect</t>
  </si>
  <si>
    <t>Switch</t>
  </si>
  <si>
    <t>Others</t>
  </si>
  <si>
    <t>Preserved Income Apportioned to Metolong</t>
  </si>
  <si>
    <t>EIRR - 30 years</t>
  </si>
  <si>
    <t>EIRR - 10 Years</t>
  </si>
  <si>
    <t>Trigger for Lesotho Sun Second Pipeline</t>
  </si>
  <si>
    <t>Costs Associated with Environmental Impact and Compensation</t>
  </si>
  <si>
    <t>Monitoring</t>
  </si>
  <si>
    <t>Cultural Resources Management Plan</t>
  </si>
  <si>
    <t>Health Mitigation Measures</t>
  </si>
  <si>
    <t>Compensation for Land Losses</t>
  </si>
  <si>
    <t>Compensation for Crop and Tree Losses</t>
  </si>
  <si>
    <t>Relocation Measures</t>
  </si>
  <si>
    <t>Relocation od Graves</t>
  </si>
  <si>
    <t>Environmental Management Plan</t>
  </si>
  <si>
    <t>Source of Funds</t>
  </si>
  <si>
    <t>% of</t>
  </si>
  <si>
    <t>Cost of Funds</t>
  </si>
  <si>
    <t>Inflation</t>
  </si>
  <si>
    <t>WACC</t>
  </si>
  <si>
    <t>Project</t>
  </si>
  <si>
    <t>Current</t>
  </si>
  <si>
    <t>Tax</t>
  </si>
  <si>
    <t>After</t>
  </si>
  <si>
    <t>Constant</t>
  </si>
  <si>
    <t>Rate</t>
  </si>
  <si>
    <t>Cost</t>
  </si>
  <si>
    <t>Prices</t>
  </si>
  <si>
    <t>Total</t>
  </si>
  <si>
    <t>GoL</t>
  </si>
  <si>
    <t>Saudi Fund</t>
  </si>
  <si>
    <t>BADEA</t>
  </si>
  <si>
    <t>OPEC Fund</t>
  </si>
  <si>
    <t>Kuwait Fund</t>
  </si>
  <si>
    <t>MCC Grant</t>
  </si>
  <si>
    <t>Other</t>
  </si>
  <si>
    <t>Component</t>
  </si>
  <si>
    <t>OPEC</t>
  </si>
  <si>
    <t>Kuwait fund</t>
  </si>
  <si>
    <t>MCC</t>
  </si>
  <si>
    <t>PIU</t>
  </si>
  <si>
    <t>Further extension of 3rd country fabric provision (years)</t>
  </si>
  <si>
    <t>US$ million - from April 2006 Aide Memoire</t>
  </si>
  <si>
    <t>Reduced income decline due to Metolong Commitment</t>
  </si>
  <si>
    <t>Tikoe</t>
  </si>
  <si>
    <t>Knitted and Woven Fabric Sector</t>
  </si>
  <si>
    <t>Mitigation Measures for the Loss of Natural Resources</t>
  </si>
  <si>
    <t>PIU % per annum</t>
  </si>
  <si>
    <t>PIU Annual Amount</t>
  </si>
  <si>
    <t>Advance Infrastructure, ESIA and PIU</t>
  </si>
  <si>
    <t>MCC Switch</t>
  </si>
  <si>
    <t>Schedule 9: Indicative Financing Plan</t>
  </si>
  <si>
    <t>(continued)</t>
  </si>
  <si>
    <t>(Investment Decision)</t>
  </si>
  <si>
    <t>Debt Service</t>
  </si>
  <si>
    <t>Amount outstanding at start of year</t>
  </si>
  <si>
    <t>Amount borrowed during year</t>
  </si>
  <si>
    <t>Amortisation (paid at start of year)</t>
  </si>
  <si>
    <t>Amount for interest calculations</t>
  </si>
  <si>
    <t>Interest</t>
  </si>
  <si>
    <t>Amount for committment fee calcs</t>
  </si>
  <si>
    <t>Committment Fee</t>
  </si>
  <si>
    <t>Operating + Interest costs</t>
  </si>
  <si>
    <t>Depreciation</t>
  </si>
  <si>
    <t>Civil</t>
  </si>
  <si>
    <t>M&amp;E</t>
  </si>
  <si>
    <t>Income tax</t>
  </si>
  <si>
    <t>Net cash flow (after income tax)</t>
  </si>
  <si>
    <t>Saudi Fund Loan</t>
  </si>
  <si>
    <t>Badea Loan</t>
  </si>
  <si>
    <t>Opec Loan</t>
  </si>
  <si>
    <t>Kuwait Fund Loan</t>
  </si>
  <si>
    <t>Other Loans</t>
  </si>
  <si>
    <t>Pipelines</t>
  </si>
  <si>
    <t>FIRR before income tax</t>
  </si>
  <si>
    <t>FIRR after income tax</t>
  </si>
  <si>
    <t>AIC operating</t>
  </si>
  <si>
    <t>NPV @ 9.2% (USD'000)</t>
  </si>
  <si>
    <t>Last updated:  5/22/2007</t>
  </si>
  <si>
    <t>Activity Description</t>
  </si>
  <si>
    <t>Economic Rationale</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</si>
  <si>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</si>
  <si>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</si>
  <si>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</si>
  <si>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</si>
  <si>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</si>
  <si>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</si>
  <si>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</si>
  <si>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</si>
  <si>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</si>
  <si>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</si>
  <si>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One should read this sheet first, as it offers a summary of the activity, a list of components, and states the economic rationale for the project.</t>
  </si>
  <si>
    <t>ERR &amp; Sensitivity Analysis</t>
  </si>
  <si>
    <t>A brief summary of the project's key parameters and ERR calculations.</t>
  </si>
  <si>
    <t>Costs &amp; Benefits Summary</t>
  </si>
  <si>
    <t>ERR and sensitivity analysis</t>
  </si>
  <si>
    <t>Parameter 
Type</t>
  </si>
  <si>
    <t>Description of key parameters</t>
  </si>
  <si>
    <t>Parameter values</t>
  </si>
  <si>
    <t>User Input</t>
  </si>
  <si>
    <t>MCC Estimate</t>
  </si>
  <si>
    <t>Plausible Range</t>
  </si>
  <si>
    <t>Values used in ERR computation</t>
  </si>
  <si>
    <t>All summary parameters set to initial values?</t>
  </si>
  <si>
    <t>Actual costs as a percentage of estimated costs</t>
  </si>
  <si>
    <t>80 - 120%</t>
  </si>
  <si>
    <t>Actual benefits as a percentage of estimated benefits</t>
  </si>
  <si>
    <t>Specific</t>
  </si>
  <si>
    <t xml:space="preserve">   More Info</t>
  </si>
  <si>
    <t>Economic rate of return (ERR):</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</si>
  <si>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t>
    </r>
  </si>
  <si>
    <r>
      <t xml:space="preserve">   </t>
    </r>
    <r>
      <rPr>
        <u val="single"/>
        <sz val="10"/>
        <color indexed="12"/>
        <rFont val="Arial"/>
        <family val="0"/>
      </rPr>
      <t>Activity Description</t>
    </r>
  </si>
  <si>
    <r>
      <t xml:space="preserve">   </t>
    </r>
    <r>
      <rPr>
        <u val="single"/>
        <sz val="10"/>
        <color indexed="12"/>
        <rFont val="Arial"/>
        <family val="0"/>
      </rPr>
      <t>User's Guide</t>
    </r>
  </si>
  <si>
    <t>Lesotho: Water Sector Project</t>
  </si>
  <si>
    <t>Metolong Dam</t>
  </si>
  <si>
    <t>Bulk Water Conveyance System and Program Management Unit Activity</t>
  </si>
  <si>
    <t>Value added (wage income) of manufacturing jobs preserved and added through the construction of the Metolong Dam and conveyance structures</t>
  </si>
  <si>
    <t>Operating costs</t>
  </si>
  <si>
    <t>24% over 20 years</t>
  </si>
  <si>
    <t>$86.8 million</t>
  </si>
  <si>
    <t>Lesotho: Water Sector Project - Metolong Dam Activity</t>
  </si>
  <si>
    <t>As one component of the Water Sector Project, this Activity includes construction of downstream works for the supply of water from the Metolong Dam to Maseru and neighboring towns of Mazenod, Roma and Morija (through a Bulk Water Conveyance System), as well as the establishment of the Metolong Program Management Unit (MPMU), which will act as a dedicated project management unit for the Activity.</t>
  </si>
  <si>
    <t>As one component of the Water Sector Project, this Activity includes construction of downstream works for the supply of water from the Metolong Dam to nearby areas, as well as the establishment of the Metolong Program Management Unit.</t>
  </si>
  <si>
    <t>AIC Consolidated</t>
  </si>
  <si>
    <t>AIC Maseru</t>
  </si>
  <si>
    <t>AIC Roma</t>
  </si>
  <si>
    <t>AIC Mazenod</t>
  </si>
  <si>
    <t>AIC Morija</t>
  </si>
  <si>
    <t>Add Costs and Benefits</t>
  </si>
  <si>
    <t xml:space="preserve">This worksheet presents a number of key parameters as well as details on the annual cost and economic benefit streams for the project.  Further sensitivity analysis details are also included  </t>
  </si>
  <si>
    <t>This worksheet calculates the financial internal rate of return for the project, which concentrates on the revenues and costs associated with water provision.</t>
  </si>
  <si>
    <t>This worksheet presents the average incremental costs for water provision across all four affected areas</t>
  </si>
  <si>
    <t>This worksheet contains the average incremental costs for water provision for Maseru</t>
  </si>
  <si>
    <t>This worksheet details the average incremental costs for water provision for Roma</t>
  </si>
  <si>
    <t>This worksheet details the average incremental costs for water provision for Mazenod</t>
  </si>
  <si>
    <t>This worksheet details the average incremental costs for water provision for Morija</t>
  </si>
  <si>
    <t>This worksheet incorporates additional benefits associated with expanded industrial development in Tikoe and jobs maintained in the knitted fabric sector, as well as additional environmental and other costs</t>
  </si>
  <si>
    <t>This worksheet calculates the weighted average cost of capital for project finance</t>
  </si>
  <si>
    <t>Metolong Dam Activity</t>
  </si>
  <si>
    <t xml:space="preserve">Lesotho: Water Sector Project </t>
  </si>
  <si>
    <r>
      <t xml:space="preserve">MCC Estimated ERR </t>
    </r>
    <r>
      <rPr>
        <b/>
        <sz val="8"/>
        <rFont val="Arial"/>
        <family val="2"/>
      </rPr>
      <t>(as of 5/22/2007)</t>
    </r>
    <r>
      <rPr>
        <b/>
        <sz val="10"/>
        <rFont val="Arial"/>
        <family val="2"/>
      </rPr>
      <t>:</t>
    </r>
  </si>
</sst>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_)"/>
    <numFmt numFmtId="175" formatCode="0.000_)"/>
    <numFmt numFmtId="176" formatCode="_(* #,##0.000_);_(* \(#,##0.000\);_(* &quot;-&quot;??_);_(@_)"/>
    <numFmt numFmtId="177" formatCode="_(* #,##0.0_);_(* \(#,##0.0\);_(* &quot;-&quot;??_);_(@_)"/>
    <numFmt numFmtId="178" formatCode="_(* #,##0_);_(* \(#,##0\);_(* &quot;-&quot;??_);_(@_)"/>
    <numFmt numFmtId="179" formatCode="0.000"/>
    <numFmt numFmtId="180" formatCode="#,##0.0"/>
    <numFmt numFmtId="181" formatCode="#,##0.000"/>
    <numFmt numFmtId="182" formatCode="0.0"/>
    <numFmt numFmtId="183" formatCode="0.0000"/>
    <numFmt numFmtId="184" formatCode="0.00000"/>
    <numFmt numFmtId="185" formatCode="0.0000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0_-;\-* #,##0.0_-;_-* &quot;-&quot;??_-;_-@_-"/>
    <numFmt numFmtId="193" formatCode="_-* #,##0.000_-;\-* #,##0.000_-;_-* &quot;-&quot;??_-;_-@_-"/>
    <numFmt numFmtId="194" formatCode="0.000%"/>
    <numFmt numFmtId="195" formatCode="#,##0.00_ ;[Red]\-#,##0.00\ "/>
    <numFmt numFmtId="196" formatCode="#,##0.0_ ;[Red]\-#,##0.0\ "/>
    <numFmt numFmtId="197" formatCode="#,##0_ ;[Red]\-#,##0\ "/>
    <numFmt numFmtId="198" formatCode="_-* #,##0_-;\-* #,##0_-;_-* &quot;-&quot;??_-;_-@_-"/>
    <numFmt numFmtId="199" formatCode="&quot;Yes&quot;;&quot;Yes&quot;;&quot;No&quot;"/>
    <numFmt numFmtId="200" formatCode="&quot;True&quot;;&quot;True&quot;;&quot;False&quot;"/>
    <numFmt numFmtId="201" formatCode="&quot;On&quot;;&quot;On&quot;;&quot;Off&quot;"/>
    <numFmt numFmtId="202" formatCode="[$€-2]\ #,##0.00_);[Red]\([$€-2]\ #,##0.00\)"/>
    <numFmt numFmtId="203" formatCode="&quot;R&quot;\ #,##0;&quot;R&quot;\ \-#,##0"/>
    <numFmt numFmtId="204" formatCode="&quot;R&quot;\ #,##0;[Red]&quot;R&quot;\ \-#,##0"/>
    <numFmt numFmtId="205" formatCode="&quot;R&quot;\ #,##0.00;&quot;R&quot;\ \-#,##0.00"/>
    <numFmt numFmtId="206" formatCode="&quot;R&quot;\ #,##0.00;[Red]&quot;R&quot;\ \-#,##0.00"/>
    <numFmt numFmtId="207" formatCode="_ &quot;R&quot;\ * #,##0_ ;_ &quot;R&quot;\ * \-#,##0_ ;_ &quot;R&quot;\ * &quot;-&quot;_ ;_ @_ "/>
    <numFmt numFmtId="208" formatCode="_ * #,##0_ ;_ * \-#,##0_ ;_ * &quot;-&quot;_ ;_ @_ "/>
    <numFmt numFmtId="209" formatCode="_ &quot;R&quot;\ * #,##0.00_ ;_ &quot;R&quot;\ * \-#,##0.00_ ;_ &quot;R&quot;\ * &quot;-&quot;??_ ;_ @_ "/>
    <numFmt numFmtId="210" formatCode="_ * #,##0.00_ ;_ * \-#,##0.00_ ;_ * &quot;-&quot;??_ ;_ @_ "/>
    <numFmt numFmtId="211" formatCode="0.0000000"/>
    <numFmt numFmtId="212" formatCode="0.00000000"/>
    <numFmt numFmtId="213" formatCode="0.000000000"/>
    <numFmt numFmtId="214" formatCode="0.0000000000"/>
    <numFmt numFmtId="215" formatCode="0.00000000000"/>
    <numFmt numFmtId="216" formatCode="0.0,,"/>
    <numFmt numFmtId="217" formatCode="0.00,,"/>
    <numFmt numFmtId="218" formatCode="_(&quot;$&quot;* #,##0.0000_);_(&quot;$&quot;* \(#,##0.0000\);_(&quot;$&quot;* &quot;-&quot;????_);_(@_)"/>
    <numFmt numFmtId="219" formatCode="_(&quot;$&quot;* #,##0.000_);_(&quot;$&quot;* \(#,##0.000\);_(&quot;$&quot;* &quot;-&quot;??_);_(@_)"/>
    <numFmt numFmtId="220" formatCode="_(&quot;$&quot;* #,##0.0_);_(&quot;$&quot;* \(#,##0.0\);_(&quot;$&quot;* &quot;-&quot;??_);_(@_)"/>
    <numFmt numFmtId="221" formatCode="_(&quot;$&quot;* #,##0_);_(&quot;$&quot;* \(#,##0\);_(&quot;$&quot;* &quot;-&quot;??_);_(@_)"/>
    <numFmt numFmtId="222" formatCode="_(&quot;$&quot;* #,##0.0000_);_(&quot;$&quot;* \(#,##0.0000\);_(&quot;$&quot;* &quot;-&quot;??_);_(@_)"/>
    <numFmt numFmtId="223" formatCode="_(&quot;$&quot;* #,##0.000_);_(&quot;$&quot;* \(#,##0.000\);_(&quot;$&quot;* &quot;-&quot;???_);_(@_)"/>
    <numFmt numFmtId="224" formatCode="&quot;$&quot;#,##0.00"/>
    <numFmt numFmtId="225" formatCode="0\)."/>
    <numFmt numFmtId="226" formatCode="#%\)."/>
    <numFmt numFmtId="227" formatCode="#%."/>
  </numFmts>
  <fonts count="32">
    <font>
      <sz val="10"/>
      <name val="Arial"/>
      <family val="0"/>
    </font>
    <font>
      <sz val="11"/>
      <name val="Tms Rmn"/>
      <family val="0"/>
    </font>
    <font>
      <u val="single"/>
      <sz val="7.5"/>
      <color indexed="36"/>
      <name val="Arial"/>
      <family val="0"/>
    </font>
    <font>
      <u val="single"/>
      <sz val="8.4"/>
      <color indexed="12"/>
      <name val="Arial"/>
      <family val="0"/>
    </font>
    <font>
      <b/>
      <i/>
      <sz val="16"/>
      <name val="Helv"/>
      <family val="0"/>
    </font>
    <font>
      <sz val="11"/>
      <name val="Arial"/>
      <family val="2"/>
    </font>
    <font>
      <b/>
      <sz val="12"/>
      <name val="Arial"/>
      <family val="2"/>
    </font>
    <font>
      <b/>
      <sz val="10"/>
      <name val="Arial"/>
      <family val="2"/>
    </font>
    <font>
      <sz val="10"/>
      <color indexed="56"/>
      <name val="Arial"/>
      <family val="2"/>
    </font>
    <font>
      <b/>
      <sz val="11"/>
      <name val="Times New Roman"/>
      <family val="0"/>
    </font>
    <font>
      <sz val="10"/>
      <color indexed="8"/>
      <name val="Arial"/>
      <family val="2"/>
    </font>
    <font>
      <sz val="8"/>
      <name val="Tahoma"/>
      <family val="0"/>
    </font>
    <font>
      <sz val="10"/>
      <name val="Tahoma"/>
      <family val="2"/>
    </font>
    <font>
      <b/>
      <sz val="11"/>
      <name val="Arial"/>
      <family val="2"/>
    </font>
    <font>
      <u val="single"/>
      <sz val="10"/>
      <color indexed="12"/>
      <name val="Arial"/>
      <family val="0"/>
    </font>
    <font>
      <sz val="8"/>
      <name val="Arial"/>
      <family val="0"/>
    </font>
    <font>
      <sz val="8"/>
      <color indexed="17"/>
      <name val="Arial"/>
      <family val="2"/>
    </font>
    <font>
      <b/>
      <sz val="16"/>
      <name val="Arial"/>
      <family val="2"/>
    </font>
    <font>
      <sz val="14"/>
      <name val="Arial"/>
      <family val="0"/>
    </font>
    <font>
      <b/>
      <sz val="18"/>
      <color indexed="32"/>
      <name val="Arial"/>
      <family val="2"/>
    </font>
    <font>
      <sz val="10"/>
      <color indexed="12"/>
      <name val="Arial"/>
      <family val="2"/>
    </font>
    <font>
      <b/>
      <sz val="10"/>
      <color indexed="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8"/>
      <name val="Arial"/>
      <family val="2"/>
    </font>
    <font>
      <b/>
      <sz val="10.25"/>
      <name val="Arial"/>
      <family val="0"/>
    </font>
    <font>
      <sz val="10.25"/>
      <name val="Arial"/>
      <family val="0"/>
    </font>
    <font>
      <sz val="12"/>
      <name val="Arial"/>
      <family val="2"/>
    </font>
    <font>
      <b/>
      <sz val="12"/>
      <color indexed="10"/>
      <name val="Arial"/>
      <family val="2"/>
    </font>
    <font>
      <b/>
      <sz val="14"/>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s>
  <borders count="62">
    <border>
      <left/>
      <right/>
      <top/>
      <bottom/>
      <diagonal/>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double"/>
      <right>
        <color indexed="63"/>
      </right>
      <top>
        <color indexed="63"/>
      </top>
      <bottom>
        <color indexed="63"/>
      </bottom>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style="double"/>
      <top>
        <color indexed="63"/>
      </top>
      <bottom>
        <color indexed="63"/>
      </bottom>
    </border>
    <border>
      <left style="double"/>
      <right>
        <color indexed="63"/>
      </right>
      <top style="thin"/>
      <bottom style="thin"/>
    </border>
    <border>
      <left style="thin"/>
      <right style="double"/>
      <top style="thin"/>
      <bottom>
        <color indexed="63"/>
      </bottom>
    </border>
    <border>
      <left style="thin"/>
      <right style="double"/>
      <top>
        <color indexed="63"/>
      </top>
      <bottom style="double"/>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double"/>
      <top style="double"/>
      <bottom>
        <color indexed="63"/>
      </bottom>
    </border>
    <border>
      <left style="medium"/>
      <right style="thin"/>
      <top style="medium"/>
      <bottom style="medium"/>
    </border>
    <border>
      <left>
        <color indexed="63"/>
      </left>
      <right style="medium"/>
      <top style="medium"/>
      <bottom style="medium"/>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double"/>
      <right style="thin"/>
      <top style="double"/>
      <bottom>
        <color indexed="63"/>
      </bottom>
    </border>
  </borders>
  <cellStyleXfs count="35">
    <xf numFmtId="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174" fontId="4" fillId="0" borderId="0">
      <alignment/>
      <protection/>
    </xf>
    <xf numFmtId="2" fontId="5"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73">
    <xf numFmtId="3" fontId="0" fillId="0" borderId="0" xfId="0" applyAlignment="1">
      <alignment/>
    </xf>
    <xf numFmtId="2" fontId="6" fillId="0" borderId="0" xfId="31" applyFont="1">
      <alignment/>
      <protection/>
    </xf>
    <xf numFmtId="2" fontId="5" fillId="0" borderId="0" xfId="31">
      <alignment/>
      <protection/>
    </xf>
    <xf numFmtId="2" fontId="5" fillId="0" borderId="0" xfId="31" applyAlignment="1">
      <alignment horizontal="center"/>
      <protection/>
    </xf>
    <xf numFmtId="2" fontId="7" fillId="0" borderId="0" xfId="31" applyFont="1">
      <alignment/>
      <protection/>
    </xf>
    <xf numFmtId="2" fontId="0" fillId="0" borderId="0" xfId="31" applyFont="1">
      <alignment/>
      <protection/>
    </xf>
    <xf numFmtId="2" fontId="0" fillId="0" borderId="0" xfId="31" applyFont="1" applyAlignment="1">
      <alignment horizontal="center"/>
      <protection/>
    </xf>
    <xf numFmtId="2" fontId="7" fillId="0" borderId="1" xfId="31" applyFont="1" applyBorder="1">
      <alignment/>
      <protection/>
    </xf>
    <xf numFmtId="2" fontId="0" fillId="0" borderId="2" xfId="31" applyFont="1" applyBorder="1">
      <alignment/>
      <protection/>
    </xf>
    <xf numFmtId="9" fontId="8" fillId="0" borderId="2" xfId="34" applyNumberFormat="1" applyFont="1" applyBorder="1" applyAlignment="1">
      <alignment horizontal="center"/>
    </xf>
    <xf numFmtId="2" fontId="0" fillId="0" borderId="3" xfId="31" applyFont="1" applyBorder="1">
      <alignment/>
      <protection/>
    </xf>
    <xf numFmtId="2" fontId="0" fillId="0" borderId="4" xfId="31" applyFont="1" applyBorder="1">
      <alignment/>
      <protection/>
    </xf>
    <xf numFmtId="2" fontId="7" fillId="0" borderId="5" xfId="31" applyFont="1" applyBorder="1">
      <alignment/>
      <protection/>
    </xf>
    <xf numFmtId="2" fontId="0" fillId="0" borderId="6" xfId="31" applyFont="1" applyBorder="1">
      <alignment/>
      <protection/>
    </xf>
    <xf numFmtId="2" fontId="0" fillId="0" borderId="7" xfId="31" applyFont="1" applyBorder="1">
      <alignment/>
      <protection/>
    </xf>
    <xf numFmtId="2" fontId="7" fillId="0" borderId="8" xfId="31" applyFont="1" applyBorder="1">
      <alignment/>
      <protection/>
    </xf>
    <xf numFmtId="2" fontId="0" fillId="0" borderId="9" xfId="31" applyFont="1" applyBorder="1">
      <alignment/>
      <protection/>
    </xf>
    <xf numFmtId="171" fontId="8" fillId="0" borderId="9" xfId="15" applyFont="1" applyBorder="1" applyAlignment="1">
      <alignment horizontal="right"/>
    </xf>
    <xf numFmtId="2" fontId="0" fillId="0" borderId="10" xfId="31" applyFont="1" applyBorder="1" applyAlignment="1">
      <alignment horizontal="center"/>
      <protection/>
    </xf>
    <xf numFmtId="2" fontId="0" fillId="0" borderId="11" xfId="31" applyFont="1" applyBorder="1">
      <alignment/>
      <protection/>
    </xf>
    <xf numFmtId="2" fontId="0" fillId="0" borderId="12" xfId="31" applyFont="1" applyBorder="1">
      <alignment/>
      <protection/>
    </xf>
    <xf numFmtId="2" fontId="0" fillId="0" borderId="0" xfId="31" applyFont="1" applyBorder="1">
      <alignment/>
      <protection/>
    </xf>
    <xf numFmtId="172" fontId="0" fillId="0" borderId="9" xfId="34" applyNumberFormat="1" applyFont="1" applyBorder="1" applyAlignment="1">
      <alignment horizontal="right"/>
    </xf>
    <xf numFmtId="2" fontId="0" fillId="0" borderId="13" xfId="31" applyFont="1" applyBorder="1">
      <alignment/>
      <protection/>
    </xf>
    <xf numFmtId="2" fontId="0" fillId="0" borderId="14" xfId="31" applyFont="1" applyBorder="1">
      <alignment/>
      <protection/>
    </xf>
    <xf numFmtId="2" fontId="0" fillId="0" borderId="15" xfId="31" applyFont="1" applyBorder="1">
      <alignment/>
      <protection/>
    </xf>
    <xf numFmtId="2" fontId="0" fillId="0" borderId="16" xfId="31" applyFont="1" applyBorder="1">
      <alignment/>
      <protection/>
    </xf>
    <xf numFmtId="2" fontId="0" fillId="0" borderId="17" xfId="31" applyFont="1" applyBorder="1">
      <alignment/>
      <protection/>
    </xf>
    <xf numFmtId="171" fontId="0" fillId="0" borderId="9" xfId="15" applyNumberFormat="1" applyFont="1" applyBorder="1" applyAlignment="1">
      <alignment horizontal="right"/>
    </xf>
    <xf numFmtId="2" fontId="0" fillId="0" borderId="9" xfId="31" applyFont="1" applyBorder="1" applyAlignment="1">
      <alignment horizontal="center"/>
      <protection/>
    </xf>
    <xf numFmtId="1" fontId="0" fillId="0" borderId="12" xfId="31" applyNumberFormat="1" applyFont="1" applyBorder="1" applyAlignment="1">
      <alignment horizontal="center"/>
      <protection/>
    </xf>
    <xf numFmtId="2" fontId="0" fillId="0" borderId="18" xfId="31" applyFont="1" applyBorder="1">
      <alignment/>
      <protection/>
    </xf>
    <xf numFmtId="2" fontId="7" fillId="0" borderId="19" xfId="31" applyFont="1" applyBorder="1">
      <alignment/>
      <protection/>
    </xf>
    <xf numFmtId="2" fontId="0" fillId="0" borderId="20" xfId="31" applyFont="1" applyBorder="1">
      <alignment/>
      <protection/>
    </xf>
    <xf numFmtId="171" fontId="0" fillId="0" borderId="20" xfId="15" applyNumberFormat="1" applyFont="1" applyBorder="1" applyAlignment="1">
      <alignment horizontal="right"/>
    </xf>
    <xf numFmtId="2" fontId="0" fillId="0" borderId="20" xfId="31" applyFont="1" applyBorder="1" applyAlignment="1">
      <alignment horizontal="center"/>
      <protection/>
    </xf>
    <xf numFmtId="2" fontId="0" fillId="0" borderId="21" xfId="31" applyFont="1" applyBorder="1">
      <alignment/>
      <protection/>
    </xf>
    <xf numFmtId="3" fontId="0" fillId="0" borderId="0" xfId="0" applyAlignment="1">
      <alignment horizontal="right"/>
    </xf>
    <xf numFmtId="182" fontId="6" fillId="0" borderId="0" xfId="31" applyNumberFormat="1" applyFont="1" applyAlignment="1">
      <alignment horizontal="right"/>
      <protection/>
    </xf>
    <xf numFmtId="3" fontId="6" fillId="0" borderId="0" xfId="31" applyNumberFormat="1" applyFont="1">
      <alignment/>
      <protection/>
    </xf>
    <xf numFmtId="1" fontId="0" fillId="0" borderId="22" xfId="31" applyNumberFormat="1" applyFont="1" applyBorder="1" applyAlignment="1">
      <alignment horizontal="center"/>
      <protection/>
    </xf>
    <xf numFmtId="2" fontId="0" fillId="0" borderId="23" xfId="31" applyFont="1" applyBorder="1">
      <alignment/>
      <protection/>
    </xf>
    <xf numFmtId="2" fontId="0" fillId="0" borderId="24" xfId="31" applyFont="1" applyBorder="1">
      <alignment/>
      <protection/>
    </xf>
    <xf numFmtId="2" fontId="7" fillId="0" borderId="6" xfId="31" applyFont="1" applyBorder="1">
      <alignment/>
      <protection/>
    </xf>
    <xf numFmtId="2" fontId="0" fillId="0" borderId="6" xfId="31" applyFont="1" applyBorder="1" applyAlignment="1">
      <alignment horizontal="center"/>
      <protection/>
    </xf>
    <xf numFmtId="2" fontId="7" fillId="0" borderId="25" xfId="31" applyFont="1" applyBorder="1">
      <alignment/>
      <protection/>
    </xf>
    <xf numFmtId="2" fontId="0" fillId="0" borderId="26" xfId="31" applyFont="1" applyBorder="1">
      <alignment/>
      <protection/>
    </xf>
    <xf numFmtId="2" fontId="0" fillId="0" borderId="26" xfId="31" applyFont="1" applyBorder="1" applyAlignment="1">
      <alignment horizontal="center"/>
      <protection/>
    </xf>
    <xf numFmtId="2" fontId="0" fillId="0" borderId="8" xfId="31" applyFont="1" applyBorder="1">
      <alignment/>
      <protection/>
    </xf>
    <xf numFmtId="1" fontId="7" fillId="0" borderId="26" xfId="31" applyNumberFormat="1" applyFont="1" applyBorder="1">
      <alignment/>
      <protection/>
    </xf>
    <xf numFmtId="1" fontId="7" fillId="0" borderId="27" xfId="31" applyNumberFormat="1" applyFont="1" applyBorder="1">
      <alignment/>
      <protection/>
    </xf>
    <xf numFmtId="1" fontId="7" fillId="0" borderId="28" xfId="31" applyNumberFormat="1" applyFont="1" applyBorder="1">
      <alignment/>
      <protection/>
    </xf>
    <xf numFmtId="1" fontId="9" fillId="0" borderId="0" xfId="31" applyNumberFormat="1" applyFont="1">
      <alignment/>
      <protection/>
    </xf>
    <xf numFmtId="9" fontId="0" fillId="0" borderId="9" xfId="31" applyNumberFormat="1" applyFont="1" applyBorder="1" applyAlignment="1">
      <alignment horizontal="center"/>
      <protection/>
    </xf>
    <xf numFmtId="197" fontId="0" fillId="0" borderId="9" xfId="15" applyNumberFormat="1" applyFont="1" applyBorder="1" applyAlignment="1">
      <alignment/>
    </xf>
    <xf numFmtId="2" fontId="0" fillId="0" borderId="0" xfId="31" applyNumberFormat="1" applyFont="1" applyBorder="1">
      <alignment/>
      <protection/>
    </xf>
    <xf numFmtId="2" fontId="0" fillId="0" borderId="11" xfId="31" applyNumberFormat="1" applyFont="1" applyBorder="1">
      <alignment/>
      <protection/>
    </xf>
    <xf numFmtId="2" fontId="7" fillId="0" borderId="9" xfId="31" applyFont="1" applyBorder="1">
      <alignment/>
      <protection/>
    </xf>
    <xf numFmtId="1" fontId="0" fillId="0" borderId="9" xfId="31" applyNumberFormat="1" applyFont="1" applyBorder="1" applyAlignment="1">
      <alignment horizontal="center"/>
      <protection/>
    </xf>
    <xf numFmtId="4" fontId="0" fillId="0" borderId="9" xfId="15" applyNumberFormat="1" applyFont="1" applyBorder="1" applyAlignment="1">
      <alignment/>
    </xf>
    <xf numFmtId="171" fontId="0" fillId="0" borderId="9" xfId="15" applyFont="1" applyBorder="1" applyAlignment="1">
      <alignment/>
    </xf>
    <xf numFmtId="2" fontId="0" fillId="0" borderId="9" xfId="31" applyNumberFormat="1" applyFont="1" applyBorder="1">
      <alignment/>
      <protection/>
    </xf>
    <xf numFmtId="2" fontId="0" fillId="0" borderId="19" xfId="31" applyFont="1" applyBorder="1">
      <alignment/>
      <protection/>
    </xf>
    <xf numFmtId="9" fontId="0" fillId="0" borderId="20" xfId="31" applyNumberFormat="1" applyFont="1" applyBorder="1" applyAlignment="1">
      <alignment horizontal="center"/>
      <protection/>
    </xf>
    <xf numFmtId="171" fontId="0" fillId="0" borderId="20" xfId="15" applyFont="1" applyBorder="1" applyAlignment="1">
      <alignment/>
    </xf>
    <xf numFmtId="2" fontId="0" fillId="0" borderId="24" xfId="31" applyNumberFormat="1" applyFont="1" applyBorder="1">
      <alignment/>
      <protection/>
    </xf>
    <xf numFmtId="9" fontId="0" fillId="0" borderId="0" xfId="31" applyNumberFormat="1" applyFont="1" applyBorder="1" applyAlignment="1">
      <alignment horizontal="center"/>
      <protection/>
    </xf>
    <xf numFmtId="171" fontId="0" fillId="0" borderId="0" xfId="15" applyFont="1" applyBorder="1" applyAlignment="1">
      <alignment/>
    </xf>
    <xf numFmtId="9" fontId="0" fillId="0" borderId="0" xfId="31" applyNumberFormat="1" applyFont="1" applyAlignment="1">
      <alignment horizontal="center"/>
      <protection/>
    </xf>
    <xf numFmtId="2" fontId="7" fillId="0" borderId="0" xfId="31" applyFont="1" applyBorder="1">
      <alignment/>
      <protection/>
    </xf>
    <xf numFmtId="2" fontId="7" fillId="0" borderId="6" xfId="31" applyFont="1" applyBorder="1" applyAlignment="1">
      <alignment horizontal="center"/>
      <protection/>
    </xf>
    <xf numFmtId="2" fontId="7" fillId="0" borderId="29" xfId="31" applyFont="1" applyBorder="1">
      <alignment/>
      <protection/>
    </xf>
    <xf numFmtId="2" fontId="0" fillId="0" borderId="30" xfId="31" applyFont="1" applyBorder="1">
      <alignment/>
      <protection/>
    </xf>
    <xf numFmtId="2" fontId="0" fillId="0" borderId="31" xfId="31" applyFont="1" applyBorder="1">
      <alignment/>
      <protection/>
    </xf>
    <xf numFmtId="2" fontId="0" fillId="0" borderId="32" xfId="31" applyFont="1" applyBorder="1">
      <alignment/>
      <protection/>
    </xf>
    <xf numFmtId="2" fontId="7" fillId="0" borderId="9" xfId="31" applyFont="1" applyBorder="1" applyAlignment="1">
      <alignment horizontal="right"/>
      <protection/>
    </xf>
    <xf numFmtId="2" fontId="7" fillId="0" borderId="9" xfId="31" applyFont="1" applyBorder="1" applyAlignment="1">
      <alignment horizontal="center"/>
      <protection/>
    </xf>
    <xf numFmtId="2" fontId="7" fillId="0" borderId="0" xfId="31" applyFont="1" applyBorder="1" applyAlignment="1">
      <alignment horizontal="left"/>
      <protection/>
    </xf>
    <xf numFmtId="2" fontId="7" fillId="0" borderId="30" xfId="31" applyFont="1" applyBorder="1" applyAlignment="1">
      <alignment horizontal="right"/>
      <protection/>
    </xf>
    <xf numFmtId="2" fontId="7" fillId="0" borderId="30" xfId="31" applyFont="1" applyBorder="1" applyAlignment="1">
      <alignment horizontal="center"/>
      <protection/>
    </xf>
    <xf numFmtId="2" fontId="7" fillId="0" borderId="26" xfId="31" applyFont="1" applyBorder="1" applyAlignment="1">
      <alignment horizontal="left"/>
      <protection/>
    </xf>
    <xf numFmtId="1" fontId="0" fillId="0" borderId="8" xfId="31" applyNumberFormat="1" applyFont="1" applyBorder="1" applyAlignment="1">
      <alignment horizontal="center"/>
      <protection/>
    </xf>
    <xf numFmtId="1" fontId="0" fillId="0" borderId="12" xfId="31" applyNumberFormat="1" applyFont="1" applyBorder="1">
      <alignment/>
      <protection/>
    </xf>
    <xf numFmtId="1" fontId="0" fillId="0" borderId="19" xfId="31" applyNumberFormat="1" applyFont="1" applyBorder="1" applyAlignment="1">
      <alignment horizontal="center"/>
      <protection/>
    </xf>
    <xf numFmtId="2" fontId="8" fillId="0" borderId="20" xfId="31" applyFont="1" applyBorder="1">
      <alignment/>
      <protection/>
    </xf>
    <xf numFmtId="2" fontId="8" fillId="0" borderId="20" xfId="31" applyNumberFormat="1" applyFont="1" applyBorder="1" applyAlignment="1">
      <alignment horizontal="center"/>
      <protection/>
    </xf>
    <xf numFmtId="2" fontId="0" fillId="0" borderId="22" xfId="31" applyFont="1" applyBorder="1">
      <alignment/>
      <protection/>
    </xf>
    <xf numFmtId="2" fontId="0" fillId="0" borderId="0" xfId="31" applyFont="1" applyBorder="1" applyAlignment="1">
      <alignment horizontal="center"/>
      <protection/>
    </xf>
    <xf numFmtId="1" fontId="7" fillId="0" borderId="0" xfId="31" applyNumberFormat="1" applyFont="1" applyBorder="1">
      <alignment/>
      <protection/>
    </xf>
    <xf numFmtId="1" fontId="7" fillId="0" borderId="11" xfId="31" applyNumberFormat="1" applyFont="1" applyBorder="1">
      <alignment/>
      <protection/>
    </xf>
    <xf numFmtId="1" fontId="7" fillId="0" borderId="33" xfId="31" applyNumberFormat="1" applyFont="1" applyBorder="1">
      <alignment/>
      <protection/>
    </xf>
    <xf numFmtId="1" fontId="5" fillId="0" borderId="0" xfId="31" applyNumberFormat="1">
      <alignment/>
      <protection/>
    </xf>
    <xf numFmtId="3" fontId="0" fillId="0" borderId="0" xfId="31" applyNumberFormat="1" applyFont="1" applyBorder="1">
      <alignment/>
      <protection/>
    </xf>
    <xf numFmtId="3" fontId="0" fillId="0" borderId="11" xfId="31" applyNumberFormat="1" applyFont="1" applyBorder="1">
      <alignment/>
      <protection/>
    </xf>
    <xf numFmtId="2" fontId="5" fillId="0" borderId="12" xfId="31" applyBorder="1">
      <alignment/>
      <protection/>
    </xf>
    <xf numFmtId="2" fontId="0" fillId="0" borderId="5" xfId="31" applyFont="1" applyBorder="1">
      <alignment/>
      <protection/>
    </xf>
    <xf numFmtId="2" fontId="7" fillId="0" borderId="12" xfId="31" applyFont="1" applyBorder="1">
      <alignment/>
      <protection/>
    </xf>
    <xf numFmtId="2" fontId="0" fillId="0" borderId="0" xfId="31" applyFont="1" applyAlignment="1">
      <alignment horizontal="right"/>
      <protection/>
    </xf>
    <xf numFmtId="9" fontId="8" fillId="0" borderId="0" xfId="31" applyNumberFormat="1" applyFont="1" applyProtection="1">
      <alignment/>
      <protection/>
    </xf>
    <xf numFmtId="2" fontId="0" fillId="0" borderId="16" xfId="31" applyFont="1" applyBorder="1" applyAlignment="1">
      <alignment horizontal="right"/>
      <protection/>
    </xf>
    <xf numFmtId="2" fontId="0" fillId="0" borderId="15" xfId="31" applyFont="1" applyBorder="1" applyAlignment="1">
      <alignment horizontal="center"/>
      <protection/>
    </xf>
    <xf numFmtId="2" fontId="0" fillId="0" borderId="16" xfId="31" applyFont="1" applyBorder="1" applyAlignment="1">
      <alignment horizontal="left"/>
      <protection/>
    </xf>
    <xf numFmtId="2" fontId="0" fillId="0" borderId="0" xfId="31" applyFont="1" applyAlignment="1">
      <alignment horizontal="left"/>
      <protection/>
    </xf>
    <xf numFmtId="9" fontId="0" fillId="0" borderId="0" xfId="31" applyNumberFormat="1" applyFont="1" applyProtection="1">
      <alignment/>
      <protection/>
    </xf>
    <xf numFmtId="2" fontId="0" fillId="0" borderId="16" xfId="31" applyFont="1" applyBorder="1" applyAlignment="1">
      <alignment horizontal="center"/>
      <protection/>
    </xf>
    <xf numFmtId="2" fontId="8" fillId="0" borderId="16" xfId="31" applyFont="1" applyBorder="1" applyAlignment="1">
      <alignment horizontal="center"/>
      <protection/>
    </xf>
    <xf numFmtId="2" fontId="8" fillId="0" borderId="17" xfId="31" applyFont="1" applyBorder="1" applyAlignment="1">
      <alignment horizontal="center"/>
      <protection/>
    </xf>
    <xf numFmtId="172" fontId="0" fillId="0" borderId="18" xfId="31" applyNumberFormat="1" applyFont="1" applyBorder="1" applyProtection="1">
      <alignment/>
      <protection/>
    </xf>
    <xf numFmtId="172" fontId="0" fillId="0" borderId="0" xfId="31" applyNumberFormat="1" applyFont="1" applyProtection="1">
      <alignment/>
      <protection/>
    </xf>
    <xf numFmtId="172" fontId="8" fillId="0" borderId="0" xfId="31" applyNumberFormat="1" applyFont="1" applyAlignment="1" applyProtection="1">
      <alignment horizontal="center"/>
      <protection/>
    </xf>
    <xf numFmtId="172" fontId="8" fillId="0" borderId="11" xfId="31" applyNumberFormat="1" applyFont="1" applyBorder="1" applyAlignment="1" applyProtection="1">
      <alignment horizontal="center"/>
      <protection/>
    </xf>
    <xf numFmtId="9" fontId="0" fillId="0" borderId="24" xfId="31" applyNumberFormat="1" applyFont="1" applyBorder="1" applyProtection="1">
      <alignment/>
      <protection/>
    </xf>
    <xf numFmtId="172" fontId="0" fillId="0" borderId="23" xfId="31" applyNumberFormat="1" applyFont="1" applyBorder="1" applyProtection="1">
      <alignment/>
      <protection/>
    </xf>
    <xf numFmtId="172" fontId="0" fillId="0" borderId="24" xfId="31" applyNumberFormat="1" applyFont="1" applyBorder="1" applyProtection="1">
      <alignment/>
      <protection/>
    </xf>
    <xf numFmtId="172" fontId="8" fillId="0" borderId="24" xfId="31" applyNumberFormat="1" applyFont="1" applyBorder="1" applyAlignment="1" applyProtection="1">
      <alignment horizontal="center"/>
      <protection/>
    </xf>
    <xf numFmtId="172" fontId="8" fillId="0" borderId="21" xfId="31" applyNumberFormat="1" applyFont="1" applyBorder="1" applyAlignment="1" applyProtection="1">
      <alignment horizontal="center"/>
      <protection/>
    </xf>
    <xf numFmtId="2" fontId="8" fillId="0" borderId="0" xfId="31" applyFont="1">
      <alignment/>
      <protection/>
    </xf>
    <xf numFmtId="174" fontId="0" fillId="0" borderId="0" xfId="31" applyNumberFormat="1" applyFont="1" applyProtection="1">
      <alignment/>
      <protection/>
    </xf>
    <xf numFmtId="9" fontId="0" fillId="0" borderId="0" xfId="34" applyFont="1" applyBorder="1" applyAlignment="1">
      <alignment/>
    </xf>
    <xf numFmtId="2" fontId="0" fillId="0" borderId="0" xfId="31" applyFont="1" applyFill="1" applyBorder="1" applyAlignment="1">
      <alignment horizontal="right"/>
      <protection/>
    </xf>
    <xf numFmtId="9" fontId="0" fillId="2" borderId="0" xfId="34" applyFill="1" applyAlignment="1">
      <alignment/>
    </xf>
    <xf numFmtId="3" fontId="0" fillId="2" borderId="0" xfId="0" applyFill="1" applyAlignment="1">
      <alignment/>
    </xf>
    <xf numFmtId="9" fontId="0" fillId="2" borderId="0" xfId="34" applyFont="1" applyFill="1" applyBorder="1" applyAlignment="1">
      <alignment/>
    </xf>
    <xf numFmtId="4" fontId="0" fillId="0" borderId="0" xfId="31" applyNumberFormat="1" applyFont="1" applyBorder="1">
      <alignment/>
      <protection/>
    </xf>
    <xf numFmtId="4" fontId="0" fillId="0" borderId="11" xfId="31" applyNumberFormat="1" applyFont="1" applyBorder="1">
      <alignment/>
      <protection/>
    </xf>
    <xf numFmtId="9" fontId="0" fillId="0" borderId="0" xfId="34" applyFill="1" applyAlignment="1">
      <alignment/>
    </xf>
    <xf numFmtId="1" fontId="0" fillId="0" borderId="0" xfId="34" applyNumberFormat="1" applyFill="1" applyAlignment="1">
      <alignment/>
    </xf>
    <xf numFmtId="4" fontId="0" fillId="0" borderId="9" xfId="31" applyNumberFormat="1" applyFont="1" applyBorder="1">
      <alignment/>
      <protection/>
    </xf>
    <xf numFmtId="4" fontId="0" fillId="0" borderId="0" xfId="31" applyNumberFormat="1" applyFont="1">
      <alignment/>
      <protection/>
    </xf>
    <xf numFmtId="3" fontId="0" fillId="0" borderId="0" xfId="31" applyNumberFormat="1" applyFont="1">
      <alignment/>
      <protection/>
    </xf>
    <xf numFmtId="3" fontId="0" fillId="0" borderId="0" xfId="31" applyNumberFormat="1" applyFont="1" applyAlignment="1">
      <alignment horizontal="center"/>
      <protection/>
    </xf>
    <xf numFmtId="9" fontId="0" fillId="0" borderId="0" xfId="34" applyFont="1" applyAlignment="1">
      <alignment horizontal="center"/>
    </xf>
    <xf numFmtId="194" fontId="0" fillId="0" borderId="0" xfId="34" applyNumberFormat="1" applyFont="1" applyAlignment="1">
      <alignment/>
    </xf>
    <xf numFmtId="1" fontId="7" fillId="0" borderId="6" xfId="31" applyNumberFormat="1" applyFont="1" applyBorder="1" applyAlignment="1">
      <alignment horizontal="center"/>
      <protection/>
    </xf>
    <xf numFmtId="2" fontId="7" fillId="0" borderId="16" xfId="31" applyFont="1" applyBorder="1">
      <alignment/>
      <protection/>
    </xf>
    <xf numFmtId="1" fontId="7" fillId="0" borderId="16" xfId="31" applyNumberFormat="1" applyFont="1" applyBorder="1" applyAlignment="1">
      <alignment horizontal="center"/>
      <protection/>
    </xf>
    <xf numFmtId="2" fontId="0" fillId="0" borderId="24" xfId="31" applyFont="1" applyBorder="1" applyAlignment="1">
      <alignment horizontal="center"/>
      <protection/>
    </xf>
    <xf numFmtId="3" fontId="0" fillId="0" borderId="24" xfId="31" applyNumberFormat="1" applyFont="1" applyBorder="1">
      <alignment/>
      <protection/>
    </xf>
    <xf numFmtId="172" fontId="0" fillId="0" borderId="9" xfId="34" applyNumberFormat="1" applyFont="1" applyBorder="1" applyAlignment="1">
      <alignment horizontal="center"/>
    </xf>
    <xf numFmtId="4" fontId="0" fillId="2" borderId="9" xfId="15" applyNumberFormat="1" applyFont="1" applyFill="1" applyBorder="1" applyAlignment="1">
      <alignment horizontal="center"/>
    </xf>
    <xf numFmtId="3" fontId="8" fillId="0" borderId="0" xfId="31" applyNumberFormat="1" applyFont="1" applyBorder="1">
      <alignment/>
      <protection/>
    </xf>
    <xf numFmtId="3" fontId="8" fillId="0" borderId="11" xfId="31" applyNumberFormat="1" applyFont="1" applyBorder="1">
      <alignment/>
      <protection/>
    </xf>
    <xf numFmtId="3" fontId="0" fillId="0" borderId="0" xfId="31" applyNumberFormat="1" applyFont="1" applyFill="1" applyBorder="1">
      <alignment/>
      <protection/>
    </xf>
    <xf numFmtId="3" fontId="10" fillId="0" borderId="9" xfId="15" applyNumberFormat="1" applyFont="1" applyBorder="1" applyAlignment="1">
      <alignment/>
    </xf>
    <xf numFmtId="3" fontId="0" fillId="0" borderId="9" xfId="15" applyNumberFormat="1" applyFont="1" applyBorder="1" applyAlignment="1">
      <alignment horizontal="right"/>
    </xf>
    <xf numFmtId="3" fontId="0" fillId="0" borderId="9" xfId="31" applyNumberFormat="1" applyFont="1" applyBorder="1">
      <alignment/>
      <protection/>
    </xf>
    <xf numFmtId="3" fontId="0" fillId="0" borderId="9" xfId="31" applyNumberFormat="1" applyFont="1" applyBorder="1" applyAlignment="1">
      <alignment horizontal="center"/>
      <protection/>
    </xf>
    <xf numFmtId="3" fontId="0" fillId="0" borderId="9" xfId="15" applyNumberFormat="1" applyFont="1" applyBorder="1" applyAlignment="1">
      <alignment/>
    </xf>
    <xf numFmtId="1" fontId="0" fillId="2" borderId="9" xfId="31" applyNumberFormat="1" applyFont="1" applyFill="1" applyBorder="1" applyAlignment="1">
      <alignment horizontal="center"/>
      <protection/>
    </xf>
    <xf numFmtId="9" fontId="0" fillId="2" borderId="9" xfId="34" applyFont="1" applyFill="1" applyBorder="1" applyAlignment="1">
      <alignment horizontal="center"/>
    </xf>
    <xf numFmtId="3" fontId="0" fillId="0" borderId="12" xfId="31" applyNumberFormat="1" applyFont="1" applyBorder="1">
      <alignment/>
      <protection/>
    </xf>
    <xf numFmtId="3" fontId="0" fillId="2" borderId="0" xfId="31" applyNumberFormat="1" applyFont="1" applyFill="1" applyAlignment="1">
      <alignment horizontal="center"/>
      <protection/>
    </xf>
    <xf numFmtId="9" fontId="0" fillId="2" borderId="0" xfId="34" applyFont="1" applyFill="1" applyAlignment="1">
      <alignment horizontal="center"/>
    </xf>
    <xf numFmtId="2" fontId="0" fillId="2" borderId="0" xfId="31" applyFont="1" applyFill="1" applyAlignment="1">
      <alignment horizontal="center"/>
      <protection/>
    </xf>
    <xf numFmtId="172" fontId="0" fillId="2" borderId="0" xfId="34" applyNumberFormat="1" applyFont="1" applyFill="1" applyAlignment="1">
      <alignment/>
    </xf>
    <xf numFmtId="3" fontId="0" fillId="2" borderId="0" xfId="31" applyNumberFormat="1" applyFont="1" applyFill="1">
      <alignment/>
      <protection/>
    </xf>
    <xf numFmtId="10" fontId="0" fillId="0" borderId="0" xfId="34" applyNumberFormat="1" applyFont="1" applyAlignment="1">
      <alignment/>
    </xf>
    <xf numFmtId="3" fontId="0" fillId="0" borderId="0" xfId="31" applyNumberFormat="1" applyFont="1" applyFill="1" applyAlignment="1">
      <alignment horizontal="center"/>
      <protection/>
    </xf>
    <xf numFmtId="172" fontId="0" fillId="0" borderId="20" xfId="15" applyNumberFormat="1" applyFont="1" applyBorder="1" applyAlignment="1">
      <alignment horizontal="right"/>
    </xf>
    <xf numFmtId="3" fontId="13" fillId="0" borderId="0" xfId="31" applyNumberFormat="1" applyFont="1">
      <alignment/>
      <protection/>
    </xf>
    <xf numFmtId="3" fontId="0" fillId="0" borderId="26" xfId="31" applyNumberFormat="1" applyFont="1" applyBorder="1">
      <alignment/>
      <protection/>
    </xf>
    <xf numFmtId="9" fontId="0" fillId="0" borderId="0" xfId="34" applyFont="1" applyAlignment="1">
      <alignment/>
    </xf>
    <xf numFmtId="0" fontId="0" fillId="0" borderId="0" xfId="32">
      <alignment/>
      <protection/>
    </xf>
    <xf numFmtId="3" fontId="6" fillId="0" borderId="0" xfId="0" applyFont="1" applyAlignment="1">
      <alignment/>
    </xf>
    <xf numFmtId="3" fontId="0" fillId="0" borderId="0" xfId="0" applyFont="1" applyAlignment="1">
      <alignment/>
    </xf>
    <xf numFmtId="3" fontId="7" fillId="0" borderId="0" xfId="0" applyFont="1" applyAlignment="1">
      <alignment/>
    </xf>
    <xf numFmtId="3" fontId="0" fillId="0" borderId="5" xfId="0" applyFont="1" applyBorder="1" applyAlignment="1">
      <alignment/>
    </xf>
    <xf numFmtId="3" fontId="7" fillId="0" borderId="34" xfId="0" applyFont="1" applyBorder="1" applyAlignment="1">
      <alignment/>
    </xf>
    <xf numFmtId="3" fontId="7" fillId="0" borderId="35" xfId="0" applyFont="1" applyBorder="1" applyAlignment="1">
      <alignment horizontal="center"/>
    </xf>
    <xf numFmtId="3" fontId="7" fillId="0" borderId="36" xfId="0" applyFont="1" applyBorder="1" applyAlignment="1">
      <alignment horizontal="center"/>
    </xf>
    <xf numFmtId="3" fontId="0" fillId="0" borderId="12" xfId="0" applyFont="1" applyBorder="1" applyAlignment="1">
      <alignment/>
    </xf>
    <xf numFmtId="3" fontId="7" fillId="0" borderId="9" xfId="0" applyFont="1" applyBorder="1" applyAlignment="1">
      <alignment/>
    </xf>
    <xf numFmtId="3" fontId="7" fillId="0" borderId="13" xfId="0" applyFont="1" applyBorder="1" applyAlignment="1">
      <alignment horizontal="center"/>
    </xf>
    <xf numFmtId="3" fontId="7" fillId="0" borderId="10" xfId="0" applyFont="1" applyBorder="1" applyAlignment="1">
      <alignment horizontal="center"/>
    </xf>
    <xf numFmtId="3" fontId="7" fillId="0" borderId="37" xfId="0" applyFont="1" applyBorder="1" applyAlignment="1">
      <alignment horizontal="center"/>
    </xf>
    <xf numFmtId="3" fontId="0" fillId="0" borderId="9" xfId="0" applyFont="1" applyBorder="1" applyAlignment="1">
      <alignment/>
    </xf>
    <xf numFmtId="3" fontId="0" fillId="0" borderId="10" xfId="0" applyFont="1" applyBorder="1" applyAlignment="1">
      <alignment horizontal="center"/>
    </xf>
    <xf numFmtId="3" fontId="0" fillId="0" borderId="10" xfId="0" applyFont="1" applyBorder="1" applyAlignment="1">
      <alignment/>
    </xf>
    <xf numFmtId="3" fontId="0" fillId="0" borderId="38" xfId="0" applyFont="1" applyBorder="1" applyAlignment="1">
      <alignment/>
    </xf>
    <xf numFmtId="10" fontId="0" fillId="0" borderId="13" xfId="34" applyNumberFormat="1" applyFont="1" applyBorder="1" applyAlignment="1">
      <alignment horizontal="right"/>
    </xf>
    <xf numFmtId="10" fontId="0" fillId="0" borderId="13" xfId="34" applyNumberFormat="1" applyFont="1" applyFill="1" applyBorder="1" applyAlignment="1">
      <alignment/>
    </xf>
    <xf numFmtId="10" fontId="0" fillId="0" borderId="13" xfId="34" applyNumberFormat="1" applyFont="1" applyBorder="1" applyAlignment="1">
      <alignment/>
    </xf>
    <xf numFmtId="10" fontId="0" fillId="0" borderId="37" xfId="34" applyNumberFormat="1" applyFont="1" applyBorder="1" applyAlignment="1">
      <alignment/>
    </xf>
    <xf numFmtId="10" fontId="7" fillId="0" borderId="37" xfId="34" applyNumberFormat="1" applyFont="1" applyBorder="1" applyAlignment="1">
      <alignment/>
    </xf>
    <xf numFmtId="3" fontId="0" fillId="0" borderId="22" xfId="0" applyFont="1" applyBorder="1" applyAlignment="1">
      <alignment/>
    </xf>
    <xf numFmtId="3" fontId="0" fillId="0" borderId="20" xfId="0" applyFont="1" applyBorder="1" applyAlignment="1">
      <alignment/>
    </xf>
    <xf numFmtId="3" fontId="0" fillId="0" borderId="39" xfId="0" applyFont="1" applyBorder="1" applyAlignment="1">
      <alignment horizontal="center"/>
    </xf>
    <xf numFmtId="3" fontId="0" fillId="0" borderId="39" xfId="0" applyFont="1" applyBorder="1" applyAlignment="1">
      <alignment/>
    </xf>
    <xf numFmtId="3" fontId="0" fillId="0" borderId="40" xfId="0" applyFont="1" applyBorder="1" applyAlignment="1">
      <alignment/>
    </xf>
    <xf numFmtId="0" fontId="0" fillId="0" borderId="0" xfId="32" applyFont="1">
      <alignment/>
      <protection/>
    </xf>
    <xf numFmtId="2" fontId="0" fillId="0" borderId="0" xfId="32" applyNumberFormat="1" applyFont="1">
      <alignment/>
      <protection/>
    </xf>
    <xf numFmtId="4" fontId="0" fillId="0" borderId="0" xfId="32" applyNumberFormat="1">
      <alignment/>
      <protection/>
    </xf>
    <xf numFmtId="9" fontId="0" fillId="0" borderId="0" xfId="34" applyAlignment="1">
      <alignment/>
    </xf>
    <xf numFmtId="172" fontId="8" fillId="0" borderId="2" xfId="34" applyNumberFormat="1" applyFont="1" applyBorder="1" applyAlignment="1">
      <alignment horizontal="center"/>
    </xf>
    <xf numFmtId="0" fontId="0" fillId="0" borderId="6" xfId="32" applyBorder="1">
      <alignment/>
      <protection/>
    </xf>
    <xf numFmtId="0" fontId="0" fillId="0" borderId="6" xfId="32" applyFont="1" applyBorder="1">
      <alignment/>
      <protection/>
    </xf>
    <xf numFmtId="0" fontId="0" fillId="0" borderId="24" xfId="32" applyBorder="1">
      <alignment/>
      <protection/>
    </xf>
    <xf numFmtId="0" fontId="0" fillId="0" borderId="24" xfId="32" applyFont="1" applyBorder="1">
      <alignment/>
      <protection/>
    </xf>
    <xf numFmtId="4" fontId="0" fillId="0" borderId="24" xfId="32" applyNumberFormat="1" applyBorder="1">
      <alignment/>
      <protection/>
    </xf>
    <xf numFmtId="1" fontId="0" fillId="2" borderId="0" xfId="31" applyNumberFormat="1" applyFont="1" applyFill="1" applyAlignment="1">
      <alignment horizontal="center"/>
      <protection/>
    </xf>
    <xf numFmtId="9" fontId="0" fillId="2" borderId="0" xfId="34" applyFont="1" applyFill="1" applyAlignment="1">
      <alignment/>
    </xf>
    <xf numFmtId="2" fontId="8" fillId="2" borderId="9" xfId="31" applyFont="1" applyFill="1" applyBorder="1">
      <alignment/>
      <protection/>
    </xf>
    <xf numFmtId="2" fontId="8" fillId="2" borderId="9" xfId="31" applyNumberFormat="1" applyFont="1" applyFill="1" applyBorder="1" applyAlignment="1">
      <alignment horizontal="center"/>
      <protection/>
    </xf>
    <xf numFmtId="9" fontId="0" fillId="0" borderId="0" xfId="34" applyFont="1" applyFill="1" applyBorder="1" applyAlignment="1">
      <alignment/>
    </xf>
    <xf numFmtId="0" fontId="0" fillId="2" borderId="0" xfId="32" applyFill="1" applyAlignment="1">
      <alignment horizontal="center"/>
      <protection/>
    </xf>
    <xf numFmtId="9" fontId="0" fillId="2" borderId="0" xfId="34" applyFill="1" applyAlignment="1">
      <alignment/>
    </xf>
    <xf numFmtId="1" fontId="7" fillId="0" borderId="0" xfId="31" applyNumberFormat="1" applyFont="1" applyBorder="1" applyAlignment="1">
      <alignment horizontal="center"/>
      <protection/>
    </xf>
    <xf numFmtId="1" fontId="7" fillId="0" borderId="11" xfId="31" applyNumberFormat="1" applyFont="1" applyBorder="1" applyAlignment="1">
      <alignment horizontal="center"/>
      <protection/>
    </xf>
    <xf numFmtId="9" fontId="0" fillId="2" borderId="24" xfId="34" applyFont="1" applyFill="1" applyBorder="1" applyAlignment="1">
      <alignment/>
    </xf>
    <xf numFmtId="9" fontId="0" fillId="2" borderId="21" xfId="34" applyFont="1" applyFill="1" applyBorder="1" applyAlignment="1">
      <alignment/>
    </xf>
    <xf numFmtId="2" fontId="5" fillId="0" borderId="0" xfId="31" applyFont="1">
      <alignment/>
      <protection/>
    </xf>
    <xf numFmtId="3" fontId="13" fillId="0" borderId="5" xfId="0" applyFont="1" applyBorder="1" applyAlignment="1">
      <alignment/>
    </xf>
    <xf numFmtId="3" fontId="13" fillId="0" borderId="6" xfId="0" applyFont="1" applyBorder="1" applyAlignment="1">
      <alignment/>
    </xf>
    <xf numFmtId="3" fontId="0" fillId="0" borderId="6" xfId="0" applyFont="1" applyBorder="1" applyAlignment="1">
      <alignment horizontal="center"/>
    </xf>
    <xf numFmtId="3" fontId="0" fillId="0" borderId="6" xfId="0" applyFont="1" applyBorder="1" applyAlignment="1">
      <alignment/>
    </xf>
    <xf numFmtId="3" fontId="0" fillId="0" borderId="7" xfId="0" applyFont="1" applyBorder="1" applyAlignment="1">
      <alignment/>
    </xf>
    <xf numFmtId="1" fontId="13" fillId="0" borderId="5" xfId="0" applyNumberFormat="1" applyFont="1" applyBorder="1" applyAlignment="1">
      <alignment/>
    </xf>
    <xf numFmtId="1" fontId="13" fillId="0" borderId="6" xfId="0" applyNumberFormat="1" applyFont="1" applyBorder="1" applyAlignment="1">
      <alignment/>
    </xf>
    <xf numFmtId="3" fontId="13" fillId="0" borderId="25" xfId="0" applyFont="1" applyBorder="1" applyAlignment="1">
      <alignment/>
    </xf>
    <xf numFmtId="3" fontId="0" fillId="0" borderId="26" xfId="0" applyFont="1" applyBorder="1" applyAlignment="1">
      <alignment/>
    </xf>
    <xf numFmtId="3" fontId="0" fillId="0" borderId="26" xfId="0" applyFont="1" applyBorder="1" applyAlignment="1">
      <alignment horizontal="center"/>
    </xf>
    <xf numFmtId="1" fontId="13" fillId="0" borderId="26" xfId="0" applyNumberFormat="1" applyFont="1" applyBorder="1" applyAlignment="1">
      <alignment/>
    </xf>
    <xf numFmtId="1" fontId="13" fillId="0" borderId="31" xfId="0" applyNumberFormat="1" applyFont="1" applyBorder="1" applyAlignment="1">
      <alignment/>
    </xf>
    <xf numFmtId="1" fontId="13" fillId="0" borderId="12" xfId="0" applyNumberFormat="1" applyFont="1" applyBorder="1" applyAlignment="1">
      <alignment/>
    </xf>
    <xf numFmtId="1" fontId="13" fillId="0" borderId="0" xfId="0" applyNumberFormat="1" applyFont="1" applyBorder="1" applyAlignment="1">
      <alignment/>
    </xf>
    <xf numFmtId="3" fontId="13" fillId="0" borderId="8" xfId="0" applyFont="1" applyBorder="1" applyAlignment="1">
      <alignment/>
    </xf>
    <xf numFmtId="3" fontId="13" fillId="0" borderId="9" xfId="0" applyFont="1" applyBorder="1" applyAlignment="1">
      <alignment/>
    </xf>
    <xf numFmtId="9" fontId="0" fillId="0" borderId="9" xfId="0" applyNumberFormat="1" applyFont="1" applyBorder="1" applyAlignment="1">
      <alignment horizontal="center"/>
    </xf>
    <xf numFmtId="3" fontId="0" fillId="0" borderId="8" xfId="0" applyFont="1" applyBorder="1" applyAlignment="1">
      <alignment/>
    </xf>
    <xf numFmtId="172" fontId="0" fillId="0" borderId="9" xfId="0" applyNumberFormat="1" applyFont="1" applyBorder="1" applyAlignment="1">
      <alignment horizontal="center"/>
    </xf>
    <xf numFmtId="10" fontId="0" fillId="0" borderId="9" xfId="0" applyNumberFormat="1" applyFont="1" applyBorder="1" applyAlignment="1">
      <alignment horizontal="center"/>
    </xf>
    <xf numFmtId="3" fontId="0" fillId="0" borderId="9" xfId="0" applyFont="1" applyBorder="1" applyAlignment="1">
      <alignment horizontal="center"/>
    </xf>
    <xf numFmtId="3" fontId="0" fillId="0" borderId="19" xfId="0" applyFont="1" applyBorder="1" applyAlignment="1">
      <alignment/>
    </xf>
    <xf numFmtId="9" fontId="0" fillId="0" borderId="20" xfId="0" applyNumberFormat="1" applyFont="1" applyBorder="1" applyAlignment="1">
      <alignment horizontal="center"/>
    </xf>
    <xf numFmtId="1" fontId="0" fillId="2" borderId="9" xfId="0" applyNumberFormat="1" applyFont="1" applyFill="1" applyBorder="1" applyAlignment="1">
      <alignment horizontal="center"/>
    </xf>
    <xf numFmtId="198" fontId="0" fillId="0" borderId="9" xfId="15" applyNumberFormat="1" applyFont="1" applyBorder="1" applyAlignment="1">
      <alignment/>
    </xf>
    <xf numFmtId="198" fontId="0" fillId="0" borderId="20" xfId="15" applyNumberFormat="1" applyFont="1" applyBorder="1" applyAlignment="1">
      <alignment/>
    </xf>
    <xf numFmtId="198" fontId="0" fillId="0" borderId="24" xfId="0" applyNumberFormat="1" applyFont="1" applyBorder="1" applyAlignment="1">
      <alignment/>
    </xf>
    <xf numFmtId="198" fontId="0" fillId="0" borderId="21" xfId="0" applyNumberFormat="1" applyFont="1" applyBorder="1" applyAlignment="1">
      <alignment/>
    </xf>
    <xf numFmtId="198" fontId="0" fillId="0" borderId="22" xfId="0" applyNumberFormat="1" applyFont="1" applyBorder="1" applyAlignment="1">
      <alignment/>
    </xf>
    <xf numFmtId="172" fontId="0" fillId="0" borderId="9" xfId="34" applyNumberFormat="1" applyFont="1" applyBorder="1" applyAlignment="1">
      <alignment/>
    </xf>
    <xf numFmtId="171" fontId="0" fillId="0" borderId="9" xfId="15" applyNumberFormat="1" applyFont="1" applyBorder="1" applyAlignment="1">
      <alignment/>
    </xf>
    <xf numFmtId="2" fontId="5" fillId="0" borderId="8" xfId="31" applyBorder="1">
      <alignment/>
      <protection/>
    </xf>
    <xf numFmtId="2" fontId="5" fillId="0" borderId="13" xfId="31" applyBorder="1">
      <alignment/>
      <protection/>
    </xf>
    <xf numFmtId="2" fontId="5" fillId="0" borderId="37" xfId="31" applyBorder="1">
      <alignment/>
      <protection/>
    </xf>
    <xf numFmtId="1" fontId="0" fillId="2" borderId="4" xfId="31" applyNumberFormat="1" applyFont="1" applyFill="1" applyBorder="1" applyAlignment="1">
      <alignment horizontal="center"/>
      <protection/>
    </xf>
    <xf numFmtId="1" fontId="13" fillId="0" borderId="41" xfId="0" applyNumberFormat="1" applyFont="1" applyBorder="1" applyAlignment="1">
      <alignment/>
    </xf>
    <xf numFmtId="1" fontId="13" fillId="0" borderId="28" xfId="0" applyNumberFormat="1" applyFont="1" applyBorder="1" applyAlignment="1">
      <alignment/>
    </xf>
    <xf numFmtId="1" fontId="13" fillId="0" borderId="27" xfId="0" applyNumberFormat="1" applyFont="1" applyBorder="1" applyAlignment="1">
      <alignment/>
    </xf>
    <xf numFmtId="0" fontId="16" fillId="0" borderId="0" xfId="33" applyFont="1" applyAlignment="1">
      <alignment horizontal="right"/>
      <protection/>
    </xf>
    <xf numFmtId="0" fontId="0" fillId="0" borderId="0" xfId="33" applyAlignment="1">
      <alignment vertical="center" wrapText="1"/>
      <protection/>
    </xf>
    <xf numFmtId="0" fontId="17" fillId="0" borderId="0" xfId="33" applyFont="1" applyAlignment="1">
      <alignment vertical="center" wrapText="1"/>
      <protection/>
    </xf>
    <xf numFmtId="0" fontId="18" fillId="0" borderId="0" xfId="33" applyFont="1" applyAlignment="1">
      <alignment vertical="center" wrapText="1"/>
      <protection/>
    </xf>
    <xf numFmtId="0" fontId="7" fillId="0" borderId="0" xfId="33" applyFont="1" applyAlignment="1">
      <alignment vertical="center" wrapText="1"/>
      <protection/>
    </xf>
    <xf numFmtId="0" fontId="0" fillId="0" borderId="0" xfId="33" applyNumberFormat="1" applyAlignment="1">
      <alignment vertical="center" wrapText="1"/>
      <protection/>
    </xf>
    <xf numFmtId="0" fontId="0" fillId="0" borderId="0" xfId="33">
      <alignment/>
      <protection/>
    </xf>
    <xf numFmtId="0" fontId="0" fillId="0" borderId="0" xfId="33" applyFont="1">
      <alignment/>
      <protection/>
    </xf>
    <xf numFmtId="0" fontId="0" fillId="0" borderId="42" xfId="33" applyFont="1" applyBorder="1" applyAlignment="1">
      <alignment vertical="center" wrapText="1"/>
      <protection/>
    </xf>
    <xf numFmtId="0" fontId="0" fillId="0" borderId="43" xfId="33" applyFont="1" applyBorder="1" applyAlignment="1">
      <alignment horizontal="left" vertical="center" wrapText="1"/>
      <protection/>
    </xf>
    <xf numFmtId="0" fontId="0" fillId="0" borderId="44" xfId="33" applyFont="1" applyBorder="1" applyAlignment="1">
      <alignment vertical="center" wrapText="1"/>
      <protection/>
    </xf>
    <xf numFmtId="14" fontId="0" fillId="0" borderId="45" xfId="33" applyNumberFormat="1" applyFont="1" applyBorder="1" applyAlignment="1">
      <alignment horizontal="left" vertical="center" wrapText="1"/>
      <protection/>
    </xf>
    <xf numFmtId="0" fontId="0" fillId="0" borderId="46" xfId="33" applyFont="1" applyBorder="1" applyAlignment="1">
      <alignment horizontal="left" vertical="center" wrapText="1"/>
      <protection/>
    </xf>
    <xf numFmtId="0" fontId="0" fillId="0" borderId="45" xfId="33" applyFont="1" applyBorder="1" applyAlignment="1">
      <alignment vertical="center" wrapText="1"/>
      <protection/>
    </xf>
    <xf numFmtId="0" fontId="0" fillId="0" borderId="46" xfId="33" applyFont="1" applyBorder="1" applyAlignment="1">
      <alignment vertical="center" wrapText="1"/>
      <protection/>
    </xf>
    <xf numFmtId="0" fontId="0" fillId="0" borderId="47" xfId="33" applyFont="1" applyBorder="1" applyAlignment="1">
      <alignment vertical="center" wrapText="1"/>
      <protection/>
    </xf>
    <xf numFmtId="0" fontId="0" fillId="0" borderId="45" xfId="33" applyFont="1" applyBorder="1" applyAlignment="1">
      <alignment horizontal="left" vertical="center" wrapText="1"/>
      <protection/>
    </xf>
    <xf numFmtId="0" fontId="0" fillId="0" borderId="48" xfId="33" applyBorder="1" applyAlignment="1">
      <alignment vertical="center"/>
      <protection/>
    </xf>
    <xf numFmtId="0" fontId="0" fillId="0" borderId="0" xfId="33" applyAlignment="1">
      <alignment wrapText="1"/>
      <protection/>
    </xf>
    <xf numFmtId="0" fontId="14" fillId="0" borderId="46" xfId="29" applyBorder="1" applyAlignment="1">
      <alignment vertical="center" wrapText="1"/>
    </xf>
    <xf numFmtId="0" fontId="0" fillId="0" borderId="46" xfId="33" applyBorder="1" applyAlignment="1">
      <alignment vertical="center"/>
      <protection/>
    </xf>
    <xf numFmtId="0" fontId="14" fillId="0" borderId="46" xfId="29" applyFill="1" applyBorder="1" applyAlignment="1">
      <alignment vertical="center" wrapText="1"/>
    </xf>
    <xf numFmtId="0" fontId="14" fillId="0" borderId="46" xfId="29" applyBorder="1" applyAlignment="1">
      <alignment vertical="center"/>
    </xf>
    <xf numFmtId="0" fontId="0" fillId="0" borderId="49" xfId="33" applyBorder="1" applyAlignment="1">
      <alignment vertical="center"/>
      <protection/>
    </xf>
    <xf numFmtId="0" fontId="0" fillId="0" borderId="0" xfId="33" applyAlignment="1">
      <alignment vertical="center"/>
      <protection/>
    </xf>
    <xf numFmtId="0" fontId="17" fillId="0" borderId="0" xfId="33" applyFont="1" applyAlignment="1">
      <alignment vertical="center"/>
      <protection/>
    </xf>
    <xf numFmtId="0" fontId="19" fillId="0" borderId="0" xfId="33" applyFont="1" applyAlignment="1">
      <alignment vertical="center"/>
      <protection/>
    </xf>
    <xf numFmtId="0" fontId="0" fillId="0" borderId="0" xfId="33" applyFont="1" applyAlignment="1">
      <alignment vertical="center"/>
      <protection/>
    </xf>
    <xf numFmtId="0" fontId="18" fillId="0" borderId="0" xfId="33" applyFont="1" applyAlignment="1">
      <alignment vertical="center"/>
      <protection/>
    </xf>
    <xf numFmtId="0" fontId="16" fillId="0" borderId="0" xfId="33" applyFont="1" applyAlignment="1">
      <alignment horizontal="right" vertical="center"/>
      <protection/>
    </xf>
    <xf numFmtId="0" fontId="21" fillId="0" borderId="50" xfId="33" applyFont="1" applyBorder="1" applyAlignment="1">
      <alignment horizontal="center" vertical="center"/>
      <protection/>
    </xf>
    <xf numFmtId="0" fontId="0" fillId="0" borderId="50" xfId="33" applyFont="1" applyBorder="1" applyAlignment="1">
      <alignment horizontal="center" vertical="center" wrapText="1"/>
      <protection/>
    </xf>
    <xf numFmtId="0" fontId="22" fillId="0" borderId="10" xfId="33" applyFont="1" applyBorder="1" applyAlignment="1">
      <alignment horizontal="center" vertical="center" wrapText="1"/>
      <protection/>
    </xf>
    <xf numFmtId="0" fontId="0" fillId="0" borderId="10" xfId="33" applyFont="1" applyBorder="1" applyAlignment="1">
      <alignment horizontal="left" vertical="center"/>
      <protection/>
    </xf>
    <xf numFmtId="9" fontId="21" fillId="2" borderId="10" xfId="33" applyNumberFormat="1" applyFont="1" applyFill="1" applyBorder="1" applyAlignment="1">
      <alignment horizontal="center" vertical="center" wrapText="1"/>
      <protection/>
    </xf>
    <xf numFmtId="9" fontId="0" fillId="0" borderId="10" xfId="33" applyNumberFormat="1" applyFont="1" applyBorder="1" applyAlignment="1">
      <alignment horizontal="center" vertical="center" wrapText="1"/>
      <protection/>
    </xf>
    <xf numFmtId="0" fontId="0" fillId="0" borderId="51" xfId="33" applyFont="1" applyBorder="1" applyAlignment="1">
      <alignment horizontal="center" vertical="center" wrapText="1"/>
      <protection/>
    </xf>
    <xf numFmtId="9" fontId="0" fillId="3" borderId="51" xfId="33" applyNumberFormat="1" applyFont="1" applyFill="1" applyBorder="1" applyAlignment="1">
      <alignment horizontal="center" vertical="center"/>
      <protection/>
    </xf>
    <xf numFmtId="0" fontId="23" fillId="0" borderId="52" xfId="33" applyFont="1" applyFill="1" applyBorder="1" applyAlignment="1">
      <alignment horizontal="center" vertical="center" wrapText="1"/>
      <protection/>
    </xf>
    <xf numFmtId="0" fontId="0" fillId="0" borderId="52" xfId="33" applyFont="1" applyBorder="1" applyAlignment="1">
      <alignment horizontal="left" vertical="center"/>
      <protection/>
    </xf>
    <xf numFmtId="9" fontId="21" fillId="2" borderId="52" xfId="33" applyNumberFormat="1" applyFont="1" applyFill="1" applyBorder="1" applyAlignment="1">
      <alignment horizontal="center" vertical="center" wrapText="1"/>
      <protection/>
    </xf>
    <xf numFmtId="9" fontId="0" fillId="0" borderId="52" xfId="33" applyNumberFormat="1" applyFont="1" applyBorder="1" applyAlignment="1">
      <alignment horizontal="center" vertical="center" wrapText="1"/>
      <protection/>
    </xf>
    <xf numFmtId="0" fontId="0" fillId="0" borderId="30" xfId="33" applyFont="1" applyBorder="1" applyAlignment="1">
      <alignment horizontal="center" vertical="center" wrapText="1"/>
      <protection/>
    </xf>
    <xf numFmtId="9" fontId="0" fillId="3" borderId="30" xfId="33" applyNumberFormat="1" applyFont="1" applyFill="1" applyBorder="1" applyAlignment="1">
      <alignment horizontal="center" vertical="center"/>
      <protection/>
    </xf>
    <xf numFmtId="0" fontId="24" fillId="0" borderId="0" xfId="33" applyFont="1" applyAlignment="1">
      <alignment horizontal="center" vertical="center"/>
      <protection/>
    </xf>
    <xf numFmtId="0" fontId="0" fillId="0" borderId="0" xfId="33" applyBorder="1" applyAlignment="1">
      <alignment vertical="center"/>
      <protection/>
    </xf>
    <xf numFmtId="0" fontId="6" fillId="0" borderId="0" xfId="33" applyFont="1" applyBorder="1" applyAlignment="1">
      <alignment horizontal="left" vertical="center"/>
      <protection/>
    </xf>
    <xf numFmtId="0" fontId="0" fillId="0" borderId="0" xfId="33" applyFont="1" applyBorder="1" applyAlignment="1">
      <alignment horizontal="center" vertical="center"/>
      <protection/>
    </xf>
    <xf numFmtId="0" fontId="0" fillId="0" borderId="0" xfId="33" applyFont="1" applyBorder="1" applyAlignment="1">
      <alignment horizontal="center" vertical="center" wrapText="1"/>
      <protection/>
    </xf>
    <xf numFmtId="0" fontId="0" fillId="0" borderId="0" xfId="33" applyFont="1" applyBorder="1">
      <alignment/>
      <protection/>
    </xf>
    <xf numFmtId="0" fontId="0" fillId="0" borderId="15" xfId="33" applyBorder="1" applyAlignment="1">
      <alignment horizontal="left" vertical="center"/>
      <protection/>
    </xf>
    <xf numFmtId="0" fontId="7" fillId="0" borderId="50" xfId="33" applyFont="1" applyBorder="1" applyAlignment="1">
      <alignment vertical="center"/>
      <protection/>
    </xf>
    <xf numFmtId="0" fontId="20" fillId="0" borderId="13" xfId="29" applyFont="1" applyBorder="1" applyAlignment="1">
      <alignment vertical="center"/>
    </xf>
    <xf numFmtId="0" fontId="20" fillId="0" borderId="52" xfId="29" applyFont="1" applyBorder="1" applyAlignment="1">
      <alignment vertical="center"/>
    </xf>
    <xf numFmtId="0" fontId="20" fillId="0" borderId="0" xfId="29" applyFont="1" applyBorder="1" applyAlignment="1">
      <alignment vertical="center"/>
    </xf>
    <xf numFmtId="0" fontId="0" fillId="0" borderId="53" xfId="33" applyBorder="1" applyAlignment="1">
      <alignment horizontal="left" vertical="center"/>
      <protection/>
    </xf>
    <xf numFmtId="0" fontId="7" fillId="0" borderId="0" xfId="33" applyFont="1" applyAlignment="1">
      <alignment horizontal="right" vertical="center"/>
      <protection/>
    </xf>
    <xf numFmtId="172" fontId="25" fillId="4" borderId="50" xfId="33" applyNumberFormat="1" applyFont="1" applyFill="1" applyBorder="1" applyAlignment="1">
      <alignment horizontal="center" vertical="center"/>
      <protection/>
    </xf>
    <xf numFmtId="0" fontId="7" fillId="0" borderId="54" xfId="33" applyFont="1" applyBorder="1" applyAlignment="1">
      <alignment horizontal="center" vertical="center"/>
      <protection/>
    </xf>
    <xf numFmtId="3" fontId="0" fillId="0" borderId="49" xfId="0" applyFont="1" applyBorder="1" applyAlignment="1">
      <alignment horizontal="center"/>
    </xf>
    <xf numFmtId="0" fontId="0" fillId="0" borderId="0" xfId="33" applyNumberFormat="1" applyFont="1" applyAlignment="1">
      <alignment vertical="center" wrapText="1"/>
      <protection/>
    </xf>
    <xf numFmtId="0" fontId="0" fillId="0" borderId="0" xfId="33" applyFont="1" applyAlignment="1">
      <alignment vertical="center" wrapText="1"/>
      <protection/>
    </xf>
    <xf numFmtId="3" fontId="0" fillId="0" borderId="0" xfId="0" applyAlignment="1">
      <alignment vertical="center" wrapText="1"/>
    </xf>
    <xf numFmtId="3" fontId="16" fillId="0" borderId="0" xfId="0" applyFont="1" applyAlignment="1">
      <alignment horizontal="right"/>
    </xf>
    <xf numFmtId="0" fontId="30" fillId="0" borderId="0" xfId="0" applyNumberFormat="1" applyFont="1" applyAlignment="1">
      <alignment vertical="top"/>
    </xf>
    <xf numFmtId="2" fontId="7" fillId="0" borderId="55" xfId="31" applyFont="1" applyBorder="1" applyAlignment="1">
      <alignment horizontal="center"/>
      <protection/>
    </xf>
    <xf numFmtId="172" fontId="7" fillId="5" borderId="56" xfId="31" applyNumberFormat="1" applyFont="1" applyFill="1" applyBorder="1">
      <alignment/>
      <protection/>
    </xf>
    <xf numFmtId="3" fontId="21" fillId="2" borderId="16" xfId="15" applyNumberFormat="1" applyFont="1" applyFill="1" applyBorder="1" applyAlignment="1">
      <alignment horizontal="center" vertical="center" wrapText="1"/>
    </xf>
    <xf numFmtId="3" fontId="0" fillId="0" borderId="10" xfId="34" applyNumberFormat="1" applyFont="1" applyBorder="1" applyAlignment="1">
      <alignment horizontal="center" vertical="center" wrapText="1"/>
    </xf>
    <xf numFmtId="3" fontId="0" fillId="0" borderId="10" xfId="33" applyNumberFormat="1" applyFont="1" applyBorder="1" applyAlignment="1">
      <alignment horizontal="center" vertical="center" wrapText="1"/>
      <protection/>
    </xf>
    <xf numFmtId="3" fontId="0" fillId="3" borderId="10" xfId="34" applyNumberFormat="1" applyFont="1" applyFill="1" applyBorder="1" applyAlignment="1">
      <alignment horizontal="center" vertical="center"/>
    </xf>
    <xf numFmtId="0" fontId="6" fillId="0" borderId="0" xfId="0" applyNumberFormat="1" applyFont="1" applyAlignment="1">
      <alignment vertical="top"/>
    </xf>
    <xf numFmtId="9" fontId="0" fillId="0" borderId="2" xfId="34" applyNumberFormat="1" applyFont="1" applyBorder="1" applyAlignment="1">
      <alignment horizontal="center"/>
    </xf>
    <xf numFmtId="171" fontId="0" fillId="0" borderId="9" xfId="15" applyFont="1" applyBorder="1" applyAlignment="1">
      <alignment horizontal="right"/>
    </xf>
    <xf numFmtId="9" fontId="0" fillId="0" borderId="0" xfId="34" applyFont="1" applyFill="1" applyAlignment="1">
      <alignment/>
    </xf>
    <xf numFmtId="3" fontId="0" fillId="0" borderId="0" xfId="0" applyFont="1" applyAlignment="1">
      <alignment horizontal="right"/>
    </xf>
    <xf numFmtId="1" fontId="0" fillId="0" borderId="0" xfId="34" applyNumberFormat="1" applyFont="1" applyFill="1" applyAlignment="1">
      <alignment/>
    </xf>
    <xf numFmtId="2" fontId="0" fillId="5" borderId="0" xfId="31" applyFont="1" applyFill="1">
      <alignment/>
      <protection/>
    </xf>
    <xf numFmtId="3" fontId="0" fillId="0" borderId="0" xfId="0" applyFont="1" applyAlignment="1">
      <alignment/>
    </xf>
    <xf numFmtId="3" fontId="0" fillId="0" borderId="0" xfId="0" applyFont="1" applyAlignment="1">
      <alignment/>
    </xf>
    <xf numFmtId="9" fontId="0" fillId="0" borderId="0" xfId="34" applyFont="1" applyFill="1" applyAlignment="1">
      <alignment/>
    </xf>
    <xf numFmtId="3" fontId="0" fillId="0" borderId="0" xfId="0" applyFont="1" applyAlignment="1">
      <alignment horizontal="right"/>
    </xf>
    <xf numFmtId="1" fontId="0" fillId="0" borderId="0" xfId="34" applyNumberFormat="1" applyFont="1" applyFill="1" applyAlignment="1">
      <alignment/>
    </xf>
    <xf numFmtId="3" fontId="0" fillId="2" borderId="0" xfId="31" applyNumberFormat="1" applyFont="1" applyFill="1" applyBorder="1">
      <alignment/>
      <protection/>
    </xf>
    <xf numFmtId="9" fontId="21" fillId="2" borderId="53" xfId="34" applyFont="1" applyFill="1" applyBorder="1" applyAlignment="1">
      <alignment horizontal="center" vertical="center"/>
    </xf>
    <xf numFmtId="9" fontId="0" fillId="0" borderId="53" xfId="34" applyBorder="1" applyAlignment="1">
      <alignment horizontal="center" vertical="center"/>
    </xf>
    <xf numFmtId="9" fontId="0" fillId="3" borderId="52" xfId="34" applyFont="1" applyFill="1" applyBorder="1" applyAlignment="1">
      <alignment horizontal="center" vertical="center"/>
    </xf>
    <xf numFmtId="1" fontId="0" fillId="6" borderId="50" xfId="31" applyNumberFormat="1" applyFont="1" applyFill="1" applyBorder="1" applyAlignment="1">
      <alignment horizontal="center"/>
      <protection/>
    </xf>
    <xf numFmtId="2" fontId="0" fillId="6" borderId="57" xfId="31" applyFont="1" applyFill="1" applyBorder="1" applyAlignment="1">
      <alignment horizontal="center"/>
      <protection/>
    </xf>
    <xf numFmtId="9" fontId="20" fillId="6" borderId="57" xfId="34" applyFont="1" applyFill="1" applyBorder="1" applyAlignment="1">
      <alignment/>
    </xf>
    <xf numFmtId="9" fontId="0" fillId="0" borderId="9" xfId="34" applyFont="1" applyFill="1" applyBorder="1" applyAlignment="1">
      <alignment horizontal="center"/>
    </xf>
    <xf numFmtId="9" fontId="0" fillId="0" borderId="52" xfId="34" applyFont="1" applyBorder="1" applyAlignment="1">
      <alignment horizontal="center" vertical="center"/>
    </xf>
    <xf numFmtId="0" fontId="0" fillId="0" borderId="0" xfId="33" applyAlignment="1">
      <alignment horizontal="center" vertical="center"/>
      <protection/>
    </xf>
    <xf numFmtId="172" fontId="7" fillId="0" borderId="50" xfId="33" applyNumberFormat="1" applyFont="1" applyBorder="1" applyAlignment="1">
      <alignment horizontal="center" vertical="center"/>
      <protection/>
    </xf>
    <xf numFmtId="0" fontId="7" fillId="0" borderId="0" xfId="33" applyFont="1" applyFill="1" applyBorder="1" applyAlignment="1">
      <alignment horizontal="right" vertical="center"/>
      <protection/>
    </xf>
    <xf numFmtId="0" fontId="0" fillId="0" borderId="46" xfId="33" applyFont="1" applyBorder="1" applyAlignment="1">
      <alignment vertical="center" wrapText="1"/>
      <protection/>
    </xf>
    <xf numFmtId="198" fontId="0" fillId="0" borderId="0" xfId="15" applyNumberFormat="1" applyFont="1" applyAlignment="1">
      <alignment/>
    </xf>
    <xf numFmtId="0" fontId="31" fillId="0" borderId="0" xfId="33" applyFont="1" applyAlignment="1">
      <alignment vertical="center" wrapText="1"/>
      <protection/>
    </xf>
    <xf numFmtId="0" fontId="0" fillId="0" borderId="46" xfId="33" applyFont="1" applyBorder="1" applyAlignment="1">
      <alignment vertical="center"/>
      <protection/>
    </xf>
    <xf numFmtId="0" fontId="14" fillId="0" borderId="46" xfId="28" applyFont="1" applyBorder="1" applyAlignment="1">
      <alignment vertical="center"/>
    </xf>
    <xf numFmtId="0" fontId="0" fillId="0" borderId="46" xfId="33" applyFont="1" applyBorder="1" applyAlignment="1">
      <alignment vertical="center" wrapText="1"/>
      <protection/>
    </xf>
    <xf numFmtId="0" fontId="0" fillId="0" borderId="46" xfId="33" applyFont="1" applyBorder="1" applyAlignment="1">
      <alignment vertical="center"/>
      <protection/>
    </xf>
    <xf numFmtId="0" fontId="0" fillId="0" borderId="58" xfId="33" applyFont="1" applyFill="1" applyBorder="1" applyAlignment="1">
      <alignment horizontal="left" vertical="center" wrapText="1"/>
      <protection/>
    </xf>
    <xf numFmtId="0" fontId="0" fillId="0" borderId="59" xfId="33" applyFont="1" applyFill="1" applyBorder="1" applyAlignment="1">
      <alignment horizontal="left" vertical="center" wrapText="1"/>
      <protection/>
    </xf>
    <xf numFmtId="0" fontId="0" fillId="0" borderId="60" xfId="33" applyFont="1" applyFill="1" applyBorder="1" applyAlignment="1">
      <alignment horizontal="left" vertical="center" wrapText="1"/>
      <protection/>
    </xf>
    <xf numFmtId="0" fontId="17" fillId="0" borderId="0" xfId="33" applyFont="1" applyAlignment="1">
      <alignment horizontal="center" vertical="center"/>
      <protection/>
    </xf>
    <xf numFmtId="0" fontId="0" fillId="0" borderId="61" xfId="33" applyFont="1" applyBorder="1" applyAlignment="1">
      <alignment horizontal="left" vertical="center" wrapText="1"/>
      <protection/>
    </xf>
    <xf numFmtId="0" fontId="0" fillId="0" borderId="60" xfId="33" applyFont="1" applyBorder="1" applyAlignment="1">
      <alignment horizontal="left" vertical="center" wrapText="1"/>
      <protection/>
    </xf>
    <xf numFmtId="0" fontId="0" fillId="0" borderId="0" xfId="33" applyAlignment="1">
      <alignment horizontal="left" wrapText="1"/>
      <protection/>
    </xf>
    <xf numFmtId="0" fontId="0" fillId="0" borderId="15" xfId="33" applyBorder="1" applyAlignment="1">
      <alignment horizontal="left" vertical="center" wrapText="1"/>
      <protection/>
    </xf>
    <xf numFmtId="0" fontId="0" fillId="0" borderId="51" xfId="33" applyBorder="1" applyAlignment="1">
      <alignment horizontal="left" vertical="center" wrapText="1"/>
      <protection/>
    </xf>
    <xf numFmtId="0" fontId="0" fillId="0" borderId="53" xfId="33" applyBorder="1" applyAlignment="1">
      <alignment horizontal="left" vertical="center" wrapText="1"/>
      <protection/>
    </xf>
    <xf numFmtId="0" fontId="0" fillId="0" borderId="30" xfId="33"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51" xfId="33" applyFont="1" applyBorder="1" applyAlignment="1">
      <alignment horizontal="left" vertical="center" wrapText="1"/>
      <protection/>
    </xf>
    <xf numFmtId="0" fontId="7" fillId="0" borderId="0" xfId="33" applyFont="1" applyFill="1" applyAlignment="1">
      <alignment horizontal="left" vertical="center" wrapText="1"/>
      <protection/>
    </xf>
    <xf numFmtId="0" fontId="6" fillId="0" borderId="57" xfId="33" applyFont="1" applyBorder="1" applyAlignment="1">
      <alignment horizontal="left" vertical="center"/>
      <protection/>
    </xf>
    <xf numFmtId="0" fontId="6" fillId="0" borderId="50" xfId="33" applyFont="1" applyBorder="1" applyAlignment="1">
      <alignment horizontal="left" vertical="center"/>
      <protection/>
    </xf>
    <xf numFmtId="0" fontId="6" fillId="0" borderId="50" xfId="33" applyFont="1" applyBorder="1" applyAlignment="1">
      <alignment horizontal="center" vertical="center" wrapText="1"/>
      <protection/>
    </xf>
    <xf numFmtId="0" fontId="6" fillId="0" borderId="50" xfId="33" applyFont="1" applyBorder="1" applyAlignment="1">
      <alignment horizontal="center" vertical="center"/>
      <protection/>
    </xf>
    <xf numFmtId="0" fontId="0" fillId="0" borderId="53" xfId="33" applyFont="1" applyBorder="1" applyAlignment="1">
      <alignment horizontal="left" vertical="center" wrapText="1"/>
      <protection/>
    </xf>
    <xf numFmtId="0" fontId="0" fillId="0" borderId="30" xfId="33" applyFont="1" applyBorder="1" applyAlignment="1">
      <alignment horizontal="left" vertical="center" wrapText="1"/>
      <protection/>
    </xf>
    <xf numFmtId="3" fontId="17" fillId="0" borderId="0" xfId="0" applyFont="1" applyAlignment="1">
      <alignment horizontal="left" vertical="center" wrapText="1"/>
    </xf>
    <xf numFmtId="3" fontId="7" fillId="0" borderId="35" xfId="0" applyFont="1" applyBorder="1" applyAlignment="1">
      <alignment horizontal="center"/>
    </xf>
  </cellXfs>
  <cellStyles count="21">
    <cellStyle name="Normal" xfId="0"/>
    <cellStyle name="Comma" xfId="15"/>
    <cellStyle name="Comma  - Style1" xfId="16"/>
    <cellStyle name="Comma  - Style2" xfId="17"/>
    <cellStyle name="Comma  - Style3" xfId="18"/>
    <cellStyle name="Comma  - Style4" xfId="19"/>
    <cellStyle name="Comma  - Style5" xfId="20"/>
    <cellStyle name="Comma  - Style6" xfId="21"/>
    <cellStyle name="Comma  - Style7" xfId="22"/>
    <cellStyle name="Comma  - Style8" xfId="23"/>
    <cellStyle name="Comma [0]" xfId="24"/>
    <cellStyle name="Currency" xfId="25"/>
    <cellStyle name="Currency [0]" xfId="26"/>
    <cellStyle name="Followed Hyperlink" xfId="27"/>
    <cellStyle name="Hyperlink" xfId="28"/>
    <cellStyle name="Hyperlink_Lesotho - Health - v2" xfId="29"/>
    <cellStyle name="Normal - Style1" xfId="30"/>
    <cellStyle name="Normal_cf&amp;e1" xfId="31"/>
    <cellStyle name="Normal_Finecon2" xfId="32"/>
    <cellStyle name="Normal_Lesotho - Health - v2" xfId="33"/>
    <cellStyle name="Percent" xfId="34"/>
  </cellStyles>
  <dxfs count="3">
    <dxf>
      <font>
        <color rgb="FFFFFFFF"/>
      </font>
      <fill>
        <patternFill patternType="none">
          <bgColor indexed="65"/>
        </patternFill>
      </fill>
      <border/>
    </dxf>
    <dxf>
      <font>
        <color rgb="FFFF0000"/>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Metolong Dam Activity</a:t>
            </a:r>
          </a:p>
        </c:rich>
      </c:tx>
      <c:layout/>
      <c:spPr>
        <a:noFill/>
        <a:ln>
          <a:noFill/>
        </a:ln>
      </c:spPr>
    </c:title>
    <c:plotArea>
      <c:layout/>
      <c:areaChart>
        <c:grouping val="standard"/>
        <c:varyColors val="0"/>
        <c:ser>
          <c:idx val="1"/>
          <c:order val="0"/>
          <c:spPr>
            <a:solidFill>
              <a:srgbClr val="0000FF"/>
            </a:solidFill>
          </c:spPr>
          <c:extLst>
            <c:ext xmlns:c14="http://schemas.microsoft.com/office/drawing/2007/8/2/chart" uri="{6F2FDCE9-48DA-4B69-8628-5D25D57E5C99}">
              <c14:invertSolidFillFmt>
                <c14:spPr>
                  <a:solidFill>
                    <a:srgbClr val="FFFFFF"/>
                  </a:solidFill>
                </c14:spPr>
              </c14:invertSolidFillFmt>
            </c:ext>
          </c:extLst>
          <c:val>
            <c:numRef>
              <c:f>'Cost &amp; Benefit Summary'!$E$64:$X$64</c:f>
              <c:numCache>
                <c:ptCount val="20"/>
                <c:pt idx="0">
                  <c:v>-89815.896825</c:v>
                </c:pt>
                <c:pt idx="1">
                  <c:v>-74809.85347255802</c:v>
                </c:pt>
                <c:pt idx="2">
                  <c:v>-149013.86351330904</c:v>
                </c:pt>
                <c:pt idx="3">
                  <c:v>-230625.28237458633</c:v>
                </c:pt>
                <c:pt idx="4">
                  <c:v>120844.28865256812</c:v>
                </c:pt>
                <c:pt idx="5">
                  <c:v>125544.80965606723</c:v>
                </c:pt>
                <c:pt idx="6">
                  <c:v>171851.81660761565</c:v>
                </c:pt>
                <c:pt idx="7">
                  <c:v>182166.6705002158</c:v>
                </c:pt>
                <c:pt idx="8">
                  <c:v>192466.90663014364</c:v>
                </c:pt>
                <c:pt idx="9">
                  <c:v>202773.8916244765</c:v>
                </c:pt>
                <c:pt idx="10">
                  <c:v>187341.37599720145</c:v>
                </c:pt>
                <c:pt idx="11">
                  <c:v>223238.0751691374</c:v>
                </c:pt>
                <c:pt idx="12">
                  <c:v>81170.97067130776</c:v>
                </c:pt>
                <c:pt idx="13">
                  <c:v>236666.7836086342</c:v>
                </c:pt>
                <c:pt idx="14">
                  <c:v>239845.21971566352</c:v>
                </c:pt>
                <c:pt idx="15">
                  <c:v>250076.7600065157</c:v>
                </c:pt>
                <c:pt idx="16">
                  <c:v>227491.81030717294</c:v>
                </c:pt>
                <c:pt idx="17">
                  <c:v>256230.14451906586</c:v>
                </c:pt>
                <c:pt idx="18">
                  <c:v>259324.85720351178</c:v>
                </c:pt>
                <c:pt idx="19">
                  <c:v>273000.202824351</c:v>
                </c:pt>
              </c:numCache>
            </c:numRef>
          </c:val>
        </c:ser>
        <c:axId val="27534264"/>
        <c:axId val="46481785"/>
      </c:areaChart>
      <c:catAx>
        <c:axId val="27534264"/>
        <c:scaling>
          <c:orientation val="minMax"/>
        </c:scaling>
        <c:axPos val="b"/>
        <c:title>
          <c:tx>
            <c:rich>
              <a:bodyPr vert="horz" rot="0" anchor="ctr"/>
              <a:lstStyle/>
              <a:p>
                <a:pPr algn="ctr">
                  <a:defRPr/>
                </a:pPr>
                <a:r>
                  <a:rPr lang="en-US" cap="none" sz="10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6481785"/>
        <c:crosses val="autoZero"/>
        <c:auto val="1"/>
        <c:lblOffset val="100"/>
        <c:noMultiLvlLbl val="0"/>
      </c:catAx>
      <c:valAx>
        <c:axId val="46481785"/>
        <c:scaling>
          <c:orientation val="minMax"/>
          <c:max val="400000"/>
          <c:min val="-400000"/>
        </c:scaling>
        <c:axPos val="l"/>
        <c:title>
          <c:tx>
            <c:rich>
              <a:bodyPr vert="horz" rot="-5400000" anchor="ctr"/>
              <a:lstStyle/>
              <a:p>
                <a:pPr algn="ctr">
                  <a:defRPr/>
                </a:pPr>
                <a:r>
                  <a:rPr lang="en-US" cap="none" sz="1025" b="1" i="0" u="none" baseline="0">
                    <a:latin typeface="Arial"/>
                    <a:ea typeface="Arial"/>
                    <a:cs typeface="Arial"/>
                  </a:rPr>
                  <a:t>LSL (Mil)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7534264"/>
        <c:crossesAt val="1"/>
        <c:crossBetween val="midCat"/>
        <c:dispUnits>
          <c:builtInUnit val="thousands"/>
        </c:dispUnits>
        <c:majorUnit val="10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Key Parameters
</a:t>
            </a:r>
            <a:r>
              <a:rPr lang="en-US" cap="none" sz="800" b="1" i="0" u="none" baseline="0">
                <a:latin typeface="Arial"/>
                <a:ea typeface="Arial"/>
                <a:cs typeface="Arial"/>
              </a:rPr>
              <a:t>(as of 5/22/2007)</a:t>
            </a:r>
          </a:p>
        </c:rich>
      </c:tx>
      <c:layout/>
      <c:spPr>
        <a:noFill/>
        <a:ln>
          <a:noFill/>
        </a:ln>
      </c:spPr>
    </c:title>
    <c:plotArea>
      <c:layout>
        <c:manualLayout>
          <c:xMode val="edge"/>
          <c:yMode val="edge"/>
          <c:x val="0.039"/>
          <c:y val="0.13175"/>
          <c:w val="0.949"/>
          <c:h val="0.840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0.17888705098391156</c:v>
              </c:pt>
              <c:pt idx="10">
                <c:v>0.2069334487607393</c:v>
              </c:pt>
              <c:pt idx="20">
                <c:v>0.23497984653756704</c:v>
              </c:pt>
              <c:pt idx="30">
                <c:v>0.26302624431439475</c:v>
              </c:pt>
              <c:pt idx="40">
                <c:v>0.2910726420912225</c:v>
              </c:pt>
              <c:pt idx="49">
                <c:v>0.3163144000903675</c:v>
              </c:pt>
            </c:strLit>
          </c:cat>
          <c:val>
            <c:numLit>
              <c:ptCount val="50"/>
              <c:pt idx="0">
                <c:v>2</c:v>
              </c:pt>
              <c:pt idx="1">
                <c:v>3</c:v>
              </c:pt>
              <c:pt idx="2">
                <c:v>13</c:v>
              </c:pt>
              <c:pt idx="3">
                <c:v>28</c:v>
              </c:pt>
              <c:pt idx="4">
                <c:v>35</c:v>
              </c:pt>
              <c:pt idx="5">
                <c:v>57</c:v>
              </c:pt>
              <c:pt idx="6">
                <c:v>78</c:v>
              </c:pt>
              <c:pt idx="7">
                <c:v>120</c:v>
              </c:pt>
              <c:pt idx="8">
                <c:v>127</c:v>
              </c:pt>
              <c:pt idx="9">
                <c:v>192</c:v>
              </c:pt>
              <c:pt idx="10">
                <c:v>209</c:v>
              </c:pt>
              <c:pt idx="11">
                <c:v>221</c:v>
              </c:pt>
              <c:pt idx="12">
                <c:v>278</c:v>
              </c:pt>
              <c:pt idx="13">
                <c:v>313</c:v>
              </c:pt>
              <c:pt idx="14">
                <c:v>320</c:v>
              </c:pt>
              <c:pt idx="15">
                <c:v>369</c:v>
              </c:pt>
              <c:pt idx="16">
                <c:v>411</c:v>
              </c:pt>
              <c:pt idx="17">
                <c:v>407</c:v>
              </c:pt>
              <c:pt idx="18">
                <c:v>387</c:v>
              </c:pt>
              <c:pt idx="19">
                <c:v>409</c:v>
              </c:pt>
              <c:pt idx="20">
                <c:v>418</c:v>
              </c:pt>
              <c:pt idx="21">
                <c:v>405</c:v>
              </c:pt>
              <c:pt idx="22">
                <c:v>408</c:v>
              </c:pt>
              <c:pt idx="23">
                <c:v>432</c:v>
              </c:pt>
              <c:pt idx="24">
                <c:v>401</c:v>
              </c:pt>
              <c:pt idx="25">
                <c:v>369</c:v>
              </c:pt>
              <c:pt idx="26">
                <c:v>348</c:v>
              </c:pt>
              <c:pt idx="27">
                <c:v>312</c:v>
              </c:pt>
              <c:pt idx="28">
                <c:v>316</c:v>
              </c:pt>
              <c:pt idx="29">
                <c:v>291</c:v>
              </c:pt>
              <c:pt idx="30">
                <c:v>253</c:v>
              </c:pt>
              <c:pt idx="31">
                <c:v>238</c:v>
              </c:pt>
              <c:pt idx="32">
                <c:v>223</c:v>
              </c:pt>
              <c:pt idx="33">
                <c:v>188</c:v>
              </c:pt>
              <c:pt idx="34">
                <c:v>156</c:v>
              </c:pt>
              <c:pt idx="35">
                <c:v>157</c:v>
              </c:pt>
              <c:pt idx="36">
                <c:v>139</c:v>
              </c:pt>
              <c:pt idx="37">
                <c:v>147</c:v>
              </c:pt>
              <c:pt idx="38">
                <c:v>120</c:v>
              </c:pt>
              <c:pt idx="39">
                <c:v>128</c:v>
              </c:pt>
              <c:pt idx="40">
                <c:v>106</c:v>
              </c:pt>
              <c:pt idx="41">
                <c:v>83</c:v>
              </c:pt>
              <c:pt idx="42">
                <c:v>63</c:v>
              </c:pt>
              <c:pt idx="43">
                <c:v>78</c:v>
              </c:pt>
              <c:pt idx="44">
                <c:v>49</c:v>
              </c:pt>
              <c:pt idx="45">
                <c:v>38</c:v>
              </c:pt>
              <c:pt idx="46">
                <c:v>39</c:v>
              </c:pt>
              <c:pt idx="47">
                <c:v>32</c:v>
              </c:pt>
              <c:pt idx="48">
                <c:v>21</c:v>
              </c:pt>
              <c:pt idx="49">
                <c:v>16</c:v>
              </c:pt>
            </c:numLit>
          </c:val>
        </c:ser>
        <c:overlap val="100"/>
        <c:gapWidth val="10"/>
        <c:axId val="15682882"/>
        <c:axId val="6928211"/>
      </c:barChart>
      <c:catAx>
        <c:axId val="15682882"/>
        <c:scaling>
          <c:orientation val="minMax"/>
        </c:scaling>
        <c:axPos val="b"/>
        <c:delete val="0"/>
        <c:numFmt formatCode="0.0%" sourceLinked="0"/>
        <c:majorTickMark val="out"/>
        <c:minorTickMark val="none"/>
        <c:tickLblPos val="nextTo"/>
        <c:txPr>
          <a:bodyPr vert="horz" rot="0"/>
          <a:lstStyle/>
          <a:p>
            <a:pPr>
              <a:defRPr lang="en-US" cap="none" sz="1000" b="0" i="0" u="none" baseline="0">
                <a:latin typeface="Arial"/>
                <a:ea typeface="Arial"/>
                <a:cs typeface="Arial"/>
              </a:defRPr>
            </a:pPr>
          </a:p>
        </c:txPr>
        <c:crossAx val="6928211"/>
        <c:crosses val="autoZero"/>
        <c:auto val="0"/>
        <c:lblOffset val="100"/>
        <c:tickLblSkip val="1"/>
        <c:tickMarkSkip val="5"/>
        <c:noMultiLvlLbl val="0"/>
      </c:catAx>
      <c:valAx>
        <c:axId val="6928211"/>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5682882"/>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6"/>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1209675</xdr:colOff>
      <xdr:row>0</xdr:row>
      <xdr:rowOff>152400</xdr:rowOff>
    </xdr:to>
    <xdr:pic>
      <xdr:nvPicPr>
        <xdr:cNvPr id="1" name="Picture 4"/>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16</xdr:row>
      <xdr:rowOff>19050</xdr:rowOff>
    </xdr:from>
    <xdr:to>
      <xdr:col>1</xdr:col>
      <xdr:colOff>2190750</xdr:colOff>
      <xdr:row>17</xdr:row>
      <xdr:rowOff>9525</xdr:rowOff>
    </xdr:to>
    <xdr:pic>
      <xdr:nvPicPr>
        <xdr:cNvPr id="1" name="Picture 1"/>
        <xdr:cNvPicPr preferRelativeResize="1">
          <a:picLocks noChangeAspect="1"/>
        </xdr:cNvPicPr>
      </xdr:nvPicPr>
      <xdr:blipFill>
        <a:blip r:embed="rId1"/>
        <a:stretch>
          <a:fillRect/>
        </a:stretch>
      </xdr:blipFill>
      <xdr:spPr>
        <a:xfrm>
          <a:off x="409575" y="8020050"/>
          <a:ext cx="2162175" cy="152400"/>
        </a:xfrm>
        <a:prstGeom prst="rect">
          <a:avLst/>
        </a:prstGeom>
        <a:noFill/>
        <a:ln w="9525" cmpd="sng">
          <a:noFill/>
        </a:ln>
      </xdr:spPr>
    </xdr:pic>
    <xdr:clientData/>
  </xdr:twoCellAnchor>
  <xdr:twoCellAnchor editAs="oneCell">
    <xdr:from>
      <xdr:col>1</xdr:col>
      <xdr:colOff>28575</xdr:colOff>
      <xdr:row>0</xdr:row>
      <xdr:rowOff>19050</xdr:rowOff>
    </xdr:from>
    <xdr:to>
      <xdr:col>1</xdr:col>
      <xdr:colOff>2190750</xdr:colOff>
      <xdr:row>1</xdr:row>
      <xdr:rowOff>9525</xdr:rowOff>
    </xdr:to>
    <xdr:pic>
      <xdr:nvPicPr>
        <xdr:cNvPr id="2" name="Picture 2"/>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twoCellAnchor editAs="oneCell">
    <xdr:from>
      <xdr:col>1</xdr:col>
      <xdr:colOff>28575</xdr:colOff>
      <xdr:row>16</xdr:row>
      <xdr:rowOff>19050</xdr:rowOff>
    </xdr:from>
    <xdr:to>
      <xdr:col>1</xdr:col>
      <xdr:colOff>2190750</xdr:colOff>
      <xdr:row>17</xdr:row>
      <xdr:rowOff>9525</xdr:rowOff>
    </xdr:to>
    <xdr:pic>
      <xdr:nvPicPr>
        <xdr:cNvPr id="3" name="Picture 3"/>
        <xdr:cNvPicPr preferRelativeResize="1">
          <a:picLocks noChangeAspect="1"/>
        </xdr:cNvPicPr>
      </xdr:nvPicPr>
      <xdr:blipFill>
        <a:blip r:embed="rId1"/>
        <a:stretch>
          <a:fillRect/>
        </a:stretch>
      </xdr:blipFill>
      <xdr:spPr>
        <a:xfrm>
          <a:off x="409575" y="8020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1</xdr:row>
      <xdr:rowOff>152400</xdr:rowOff>
    </xdr:from>
    <xdr:to>
      <xdr:col>8</xdr:col>
      <xdr:colOff>0</xdr:colOff>
      <xdr:row>2</xdr:row>
      <xdr:rowOff>9525</xdr:rowOff>
    </xdr:to>
    <xdr:pic>
      <xdr:nvPicPr>
        <xdr:cNvPr id="1" name="Picture 1"/>
        <xdr:cNvPicPr preferRelativeResize="1">
          <a:picLocks noChangeAspect="1"/>
        </xdr:cNvPicPr>
      </xdr:nvPicPr>
      <xdr:blipFill>
        <a:blip r:embed="rId1"/>
        <a:stretch>
          <a:fillRect/>
        </a:stretch>
      </xdr:blipFill>
      <xdr:spPr>
        <a:xfrm>
          <a:off x="6600825" y="314325"/>
          <a:ext cx="2162175" cy="152400"/>
        </a:xfrm>
        <a:prstGeom prst="rect">
          <a:avLst/>
        </a:prstGeom>
        <a:noFill/>
        <a:ln w="9525" cmpd="sng">
          <a:noFill/>
        </a:ln>
      </xdr:spPr>
    </xdr:pic>
    <xdr:clientData/>
  </xdr:twoCellAnchor>
  <xdr:twoCellAnchor>
    <xdr:from>
      <xdr:col>1</xdr:col>
      <xdr:colOff>361950</xdr:colOff>
      <xdr:row>19</xdr:row>
      <xdr:rowOff>152400</xdr:rowOff>
    </xdr:from>
    <xdr:to>
      <xdr:col>7</xdr:col>
      <xdr:colOff>590550</xdr:colOff>
      <xdr:row>44</xdr:row>
      <xdr:rowOff>104775</xdr:rowOff>
    </xdr:to>
    <xdr:graphicFrame>
      <xdr:nvGraphicFramePr>
        <xdr:cNvPr id="2" name="Chart 3"/>
        <xdr:cNvGraphicFramePr/>
      </xdr:nvGraphicFramePr>
      <xdr:xfrm>
        <a:off x="742950" y="5629275"/>
        <a:ext cx="7724775" cy="42576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342900</xdr:colOff>
      <xdr:row>45</xdr:row>
      <xdr:rowOff>152400</xdr:rowOff>
    </xdr:from>
    <xdr:to>
      <xdr:col>7</xdr:col>
      <xdr:colOff>704850</xdr:colOff>
      <xdr:row>68</xdr:row>
      <xdr:rowOff>19050</xdr:rowOff>
    </xdr:to>
    <xdr:graphicFrame>
      <xdr:nvGraphicFramePr>
        <xdr:cNvPr id="7" name="Chart 11"/>
        <xdr:cNvGraphicFramePr/>
      </xdr:nvGraphicFramePr>
      <xdr:xfrm>
        <a:off x="723900" y="10096500"/>
        <a:ext cx="7858125" cy="35909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5"/>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742950</xdr:colOff>
      <xdr:row>0</xdr:row>
      <xdr:rowOff>152400</xdr:rowOff>
    </xdr:to>
    <xdr:pic>
      <xdr:nvPicPr>
        <xdr:cNvPr id="1" name="Picture 4"/>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twoCellAnchor editAs="oneCell">
    <xdr:from>
      <xdr:col>0</xdr:col>
      <xdr:colOff>28575</xdr:colOff>
      <xdr:row>0</xdr:row>
      <xdr:rowOff>0</xdr:rowOff>
    </xdr:from>
    <xdr:to>
      <xdr:col>1</xdr:col>
      <xdr:colOff>885825</xdr:colOff>
      <xdr:row>0</xdr:row>
      <xdr:rowOff>152400</xdr:rowOff>
    </xdr:to>
    <xdr:pic>
      <xdr:nvPicPr>
        <xdr:cNvPr id="2" name="Picture 3"/>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10"/>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twoCellAnchor editAs="oneCell">
    <xdr:from>
      <xdr:col>0</xdr:col>
      <xdr:colOff>28575</xdr:colOff>
      <xdr:row>0</xdr:row>
      <xdr:rowOff>0</xdr:rowOff>
    </xdr:from>
    <xdr:to>
      <xdr:col>1</xdr:col>
      <xdr:colOff>885825</xdr:colOff>
      <xdr:row>0</xdr:row>
      <xdr:rowOff>152400</xdr:rowOff>
    </xdr:to>
    <xdr:pic>
      <xdr:nvPicPr>
        <xdr:cNvPr id="2" name="Picture 11"/>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Lesotho\Health\Lesotho%20-%20Health%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Georgia\Georgia%20Pipeline%20-%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Georgia\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osts &amp; Benefits Summary"/>
      <sheetName val="Life Table"/>
      <sheetName val="ART coverage"/>
      <sheetName val=" PMTCT coverage"/>
      <sheetName val="MCH coverage"/>
      <sheetName val="All combined"/>
      <sheetName val="Recurrent Costs"/>
    </sheetNames>
    <sheetDataSet>
      <sheetData sheetId="3">
        <row r="16">
          <cell r="B16">
            <v>-0.002</v>
          </cell>
        </row>
        <row r="17">
          <cell r="B17">
            <v>0.014</v>
          </cell>
        </row>
        <row r="18">
          <cell r="B18">
            <v>300</v>
          </cell>
        </row>
        <row r="21">
          <cell r="B21">
            <v>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s>
    <sheetDataSet>
      <sheetData sheetId="3">
        <row r="22">
          <cell r="C22" t="str">
            <v>Low</v>
          </cell>
          <cell r="D22" t="str">
            <v>Medium</v>
          </cell>
          <cell r="E22" t="str">
            <v>High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50"/>
  <sheetViews>
    <sheetView showGridLines="0" workbookViewId="0" topLeftCell="A1">
      <selection activeCell="B52" sqref="B52"/>
    </sheetView>
  </sheetViews>
  <sheetFormatPr defaultColWidth="9.140625" defaultRowHeight="12.75"/>
  <cols>
    <col min="1" max="1" width="39.57421875" style="255" customWidth="1"/>
    <col min="2" max="2" width="106.421875" style="255" customWidth="1"/>
    <col min="3" max="5" width="9.140625" style="255" customWidth="1"/>
    <col min="6" max="6" width="42.421875" style="255" customWidth="1"/>
    <col min="7" max="16384" width="9.140625" style="255" customWidth="1"/>
  </cols>
  <sheetData>
    <row r="1" ht="12.75">
      <c r="B1" s="249" t="s">
        <v>209</v>
      </c>
    </row>
    <row r="2" ht="20.25" customHeight="1">
      <c r="B2" s="354" t="s">
        <v>244</v>
      </c>
    </row>
    <row r="3" ht="12.75">
      <c r="B3" s="354"/>
    </row>
    <row r="4" ht="12.75">
      <c r="B4" s="354"/>
    </row>
    <row r="5" ht="12.75">
      <c r="B5" s="354"/>
    </row>
    <row r="6" ht="12.75">
      <c r="B6" s="354"/>
    </row>
    <row r="7" spans="1:2" ht="13.5" thickBot="1">
      <c r="A7" s="256"/>
      <c r="B7" s="256"/>
    </row>
    <row r="8" spans="1:2" ht="18" customHeight="1" thickTop="1">
      <c r="A8" s="355" t="s">
        <v>212</v>
      </c>
      <c r="B8" s="307" t="s">
        <v>245</v>
      </c>
    </row>
    <row r="9" spans="1:2" ht="18" customHeight="1" thickBot="1">
      <c r="A9" s="356"/>
      <c r="B9" s="308" t="s">
        <v>246</v>
      </c>
    </row>
    <row r="10" spans="1:2" ht="18" customHeight="1" thickTop="1">
      <c r="A10" s="257" t="s">
        <v>213</v>
      </c>
      <c r="B10" s="258" t="s">
        <v>214</v>
      </c>
    </row>
    <row r="11" spans="1:2" ht="18" customHeight="1">
      <c r="A11" s="259" t="s">
        <v>215</v>
      </c>
      <c r="B11" s="260">
        <v>39224</v>
      </c>
    </row>
    <row r="12" spans="1:2" ht="18" customHeight="1">
      <c r="A12" s="257" t="s">
        <v>216</v>
      </c>
      <c r="B12" s="261" t="s">
        <v>250</v>
      </c>
    </row>
    <row r="13" spans="1:2" ht="25.5">
      <c r="A13" s="259" t="s">
        <v>217</v>
      </c>
      <c r="B13" s="262" t="s">
        <v>253</v>
      </c>
    </row>
    <row r="14" spans="1:2" ht="34.5" customHeight="1">
      <c r="A14" s="257" t="s">
        <v>218</v>
      </c>
      <c r="B14" s="263" t="s">
        <v>247</v>
      </c>
    </row>
    <row r="15" spans="1:2" ht="30.75" customHeight="1">
      <c r="A15" s="264" t="s">
        <v>219</v>
      </c>
      <c r="B15" s="262" t="s">
        <v>248</v>
      </c>
    </row>
    <row r="16" spans="1:2" ht="18" customHeight="1">
      <c r="A16" s="264" t="s">
        <v>220</v>
      </c>
      <c r="B16" s="265" t="s">
        <v>249</v>
      </c>
    </row>
    <row r="17" spans="1:3" ht="6.75" customHeight="1">
      <c r="A17" s="351" t="s">
        <v>221</v>
      </c>
      <c r="B17" s="266"/>
      <c r="C17" s="267"/>
    </row>
    <row r="18" spans="1:3" ht="18" customHeight="1">
      <c r="A18" s="352"/>
      <c r="B18" s="268" t="s">
        <v>210</v>
      </c>
      <c r="C18" s="267"/>
    </row>
    <row r="19" spans="1:3" ht="25.5">
      <c r="A19" s="352"/>
      <c r="B19" s="261" t="s">
        <v>222</v>
      </c>
      <c r="C19" s="267"/>
    </row>
    <row r="20" spans="1:3" ht="6.75" customHeight="1">
      <c r="A20" s="352"/>
      <c r="B20" s="269"/>
      <c r="C20" s="267"/>
    </row>
    <row r="21" spans="1:3" ht="18" customHeight="1">
      <c r="A21" s="352"/>
      <c r="B21" s="270" t="s">
        <v>223</v>
      </c>
      <c r="C21" s="267"/>
    </row>
    <row r="22" spans="1:2" ht="18" customHeight="1">
      <c r="A22" s="352"/>
      <c r="B22" s="263" t="s">
        <v>224</v>
      </c>
    </row>
    <row r="23" spans="1:2" ht="6.75" customHeight="1">
      <c r="A23" s="352"/>
      <c r="B23" s="269"/>
    </row>
    <row r="24" spans="1:2" ht="18" customHeight="1">
      <c r="A24" s="352"/>
      <c r="B24" s="271" t="s">
        <v>225</v>
      </c>
    </row>
    <row r="25" spans="1:2" ht="41.25" customHeight="1">
      <c r="A25" s="352"/>
      <c r="B25" s="344" t="s">
        <v>260</v>
      </c>
    </row>
    <row r="26" spans="1:2" ht="6.75" customHeight="1">
      <c r="A26" s="352"/>
      <c r="B26" s="347"/>
    </row>
    <row r="27" spans="1:2" ht="18" customHeight="1">
      <c r="A27" s="352"/>
      <c r="B27" s="348" t="s">
        <v>37</v>
      </c>
    </row>
    <row r="28" spans="1:2" ht="29.25" customHeight="1">
      <c r="A28" s="352"/>
      <c r="B28" s="349" t="s">
        <v>261</v>
      </c>
    </row>
    <row r="29" spans="1:2" ht="6.75" customHeight="1">
      <c r="A29" s="352"/>
      <c r="B29" s="350"/>
    </row>
    <row r="30" spans="1:2" ht="18" customHeight="1">
      <c r="A30" s="352"/>
      <c r="B30" s="348" t="s">
        <v>254</v>
      </c>
    </row>
    <row r="31" spans="1:2" ht="29.25" customHeight="1">
      <c r="A31" s="352"/>
      <c r="B31" s="349" t="s">
        <v>262</v>
      </c>
    </row>
    <row r="32" spans="1:2" ht="6.75" customHeight="1">
      <c r="A32" s="352"/>
      <c r="B32" s="350"/>
    </row>
    <row r="33" spans="1:2" ht="18" customHeight="1">
      <c r="A33" s="352"/>
      <c r="B33" s="348" t="s">
        <v>255</v>
      </c>
    </row>
    <row r="34" spans="1:2" ht="29.25" customHeight="1">
      <c r="A34" s="352"/>
      <c r="B34" s="349" t="s">
        <v>263</v>
      </c>
    </row>
    <row r="35" spans="1:2" ht="6.75" customHeight="1">
      <c r="A35" s="352"/>
      <c r="B35" s="350"/>
    </row>
    <row r="36" spans="1:2" ht="18" customHeight="1">
      <c r="A36" s="352"/>
      <c r="B36" s="348" t="s">
        <v>256</v>
      </c>
    </row>
    <row r="37" spans="1:2" ht="29.25" customHeight="1">
      <c r="A37" s="352"/>
      <c r="B37" s="349" t="s">
        <v>264</v>
      </c>
    </row>
    <row r="38" spans="1:2" ht="6.75" customHeight="1">
      <c r="A38" s="352"/>
      <c r="B38" s="350"/>
    </row>
    <row r="39" spans="1:2" ht="18" customHeight="1">
      <c r="A39" s="352"/>
      <c r="B39" s="348" t="s">
        <v>257</v>
      </c>
    </row>
    <row r="40" spans="1:2" ht="29.25" customHeight="1">
      <c r="A40" s="352"/>
      <c r="B40" s="349" t="s">
        <v>265</v>
      </c>
    </row>
    <row r="41" spans="1:2" ht="6.75" customHeight="1">
      <c r="A41" s="352"/>
      <c r="B41" s="350"/>
    </row>
    <row r="42" spans="1:2" ht="18" customHeight="1">
      <c r="A42" s="352"/>
      <c r="B42" s="348" t="s">
        <v>258</v>
      </c>
    </row>
    <row r="43" spans="1:2" ht="29.25" customHeight="1">
      <c r="A43" s="352"/>
      <c r="B43" s="349" t="s">
        <v>266</v>
      </c>
    </row>
    <row r="44" spans="1:2" ht="6.75" customHeight="1">
      <c r="A44" s="352"/>
      <c r="B44" s="350"/>
    </row>
    <row r="45" spans="1:2" ht="18" customHeight="1">
      <c r="A45" s="352"/>
      <c r="B45" s="348" t="s">
        <v>259</v>
      </c>
    </row>
    <row r="46" spans="1:2" ht="29.25" customHeight="1">
      <c r="A46" s="352"/>
      <c r="B46" s="349" t="s">
        <v>267</v>
      </c>
    </row>
    <row r="47" spans="1:2" ht="6.75" customHeight="1">
      <c r="A47" s="352"/>
      <c r="B47" s="350"/>
    </row>
    <row r="48" spans="1:2" ht="18" customHeight="1">
      <c r="A48" s="352"/>
      <c r="B48" s="348" t="s">
        <v>150</v>
      </c>
    </row>
    <row r="49" spans="1:2" ht="29.25" customHeight="1">
      <c r="A49" s="352"/>
      <c r="B49" s="349" t="s">
        <v>268</v>
      </c>
    </row>
    <row r="50" spans="1:2" ht="6.75" customHeight="1" thickBot="1">
      <c r="A50" s="353"/>
      <c r="B50" s="272"/>
    </row>
    <row r="51" ht="13.5" thickTop="1"/>
  </sheetData>
  <mergeCells count="3">
    <mergeCell ref="A17:A50"/>
    <mergeCell ref="B2:B6"/>
    <mergeCell ref="A8:A9"/>
  </mergeCells>
  <hyperlinks>
    <hyperlink ref="B21" location="'ERR &amp; Sensitivity Analysis'!A1" display="ERR &amp; Sensitivity Analysis"/>
    <hyperlink ref="B18" location="'Activity Description'!A1" display="Activity Description"/>
    <hyperlink ref="B24" location="'Costs &amp; Benefits Summary'!A1" display="Costs &amp; Benefits Summary"/>
    <hyperlink ref="B30" location="'AIC Consolidated'!A1" display="AIC Consolidated"/>
    <hyperlink ref="B33" location="'AIC Maseru'!A1" display="AIC Maseru"/>
    <hyperlink ref="B36" location="'AIC Roma'!A1" display="AIC Roma"/>
    <hyperlink ref="B39" location="'AIC Mazenod'!A1" display="AIC Mazenod"/>
    <hyperlink ref="B42" location="'AIC Morija'!A1" display="AIC Morija"/>
    <hyperlink ref="B45" location="'Add Costs and Benefits'!A1" display="Add Costs and Benefits"/>
    <hyperlink ref="B48" location="WACC!A1" display="WACC"/>
    <hyperlink ref="B27" location="FIRR!A1" display="FIRR"/>
  </hyperlinks>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sheetPr codeName="Sheet15"/>
  <dimension ref="A1:AW237"/>
  <sheetViews>
    <sheetView zoomScale="75" zoomScaleNormal="75" workbookViewId="0" topLeftCell="A1">
      <selection activeCell="A6" sqref="A6:IV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311" customFormat="1" ht="12.75">
      <c r="G1" s="312" t="s">
        <v>209</v>
      </c>
    </row>
    <row r="2" spans="1:4" s="311" customFormat="1" ht="39" customHeight="1">
      <c r="A2" s="371" t="s">
        <v>4</v>
      </c>
      <c r="B2" s="371"/>
      <c r="C2" s="371"/>
      <c r="D2" s="371"/>
    </row>
    <row r="3" ht="12.75">
      <c r="A3" s="165" t="s">
        <v>9</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 t="s">
        <v>34</v>
      </c>
      <c r="B9" s="8"/>
      <c r="C9" s="9">
        <v>0.05</v>
      </c>
      <c r="D9" s="10" t="s">
        <v>35</v>
      </c>
      <c r="E9" s="11"/>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ht="14.25">
      <c r="A10" s="15"/>
      <c r="B10" s="16"/>
      <c r="C10" s="17"/>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15"/>
      <c r="B11" s="16"/>
      <c r="C11" s="22"/>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15"/>
      <c r="B12" s="16" t="s">
        <v>38</v>
      </c>
      <c r="C12" s="28">
        <f>D56</f>
        <v>5.5377921143204825</v>
      </c>
      <c r="D12" s="29" t="s">
        <v>93</v>
      </c>
      <c r="E12" s="19"/>
      <c r="F12" s="5"/>
      <c r="G12" s="5"/>
      <c r="H12" s="30">
        <f aca="true" t="shared" si="0" ref="H12:H20">C31</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
      <c r="B13" s="16"/>
      <c r="C13" s="22"/>
      <c r="D13" s="23"/>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5" thickBot="1">
      <c r="A14" s="32"/>
      <c r="B14" s="33"/>
      <c r="C14" s="34"/>
      <c r="D14" s="35"/>
      <c r="E14" s="36"/>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c r="C15"/>
      <c r="D15"/>
      <c r="E15"/>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40" ht="14.25">
      <c r="A16" s="327"/>
      <c r="B16" s="327"/>
      <c r="C16" s="327"/>
      <c r="D16" s="327"/>
      <c r="E16" s="327"/>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c r="AI16" s="210"/>
      <c r="AJ16" s="210"/>
      <c r="AK16" s="210"/>
      <c r="AL16" s="210"/>
      <c r="AM16" s="210"/>
      <c r="AN16" s="210"/>
    </row>
    <row r="17" spans="1:40" ht="14.25">
      <c r="A17" s="328"/>
      <c r="B17" s="119" t="s">
        <v>90</v>
      </c>
      <c r="C17" s="329">
        <f>'AIC Maseru'!C17</f>
        <v>0.12</v>
      </c>
      <c r="D17" s="328"/>
      <c r="E17" s="328"/>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c r="AI17" s="210"/>
      <c r="AJ17" s="210"/>
      <c r="AK17" s="210"/>
      <c r="AL17" s="210"/>
      <c r="AM17" s="210"/>
      <c r="AN17" s="210"/>
    </row>
    <row r="18" spans="1:40" ht="14.25">
      <c r="A18" s="328"/>
      <c r="B18" s="119" t="s">
        <v>91</v>
      </c>
      <c r="C18" s="329">
        <f>'AIC Maseru'!C18</f>
        <v>0.1</v>
      </c>
      <c r="D18" s="328"/>
      <c r="E18" s="328"/>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c r="AI18" s="210"/>
      <c r="AJ18" s="210"/>
      <c r="AK18" s="210"/>
      <c r="AL18" s="210"/>
      <c r="AM18" s="210"/>
      <c r="AN18" s="210"/>
    </row>
    <row r="19" spans="1:40" ht="15.75">
      <c r="A19" s="328"/>
      <c r="B19" s="330" t="s">
        <v>40</v>
      </c>
      <c r="C19" s="331">
        <f>'AIC Maseru'!C19</f>
        <v>1000</v>
      </c>
      <c r="D19" s="328"/>
      <c r="E19" s="328"/>
      <c r="F19" s="5"/>
      <c r="G19" s="5"/>
      <c r="H19" s="30">
        <f t="shared" si="0"/>
        <v>8</v>
      </c>
      <c r="I19" s="31" t="s">
        <v>19</v>
      </c>
      <c r="J19" s="21"/>
      <c r="K19" s="21"/>
      <c r="L19" s="21"/>
      <c r="M19" s="19"/>
      <c r="N19" s="5"/>
      <c r="O19" s="5"/>
      <c r="P19" s="5"/>
      <c r="Q19" s="5"/>
      <c r="R19" s="5"/>
      <c r="S19" s="5"/>
      <c r="T19" s="5"/>
      <c r="U19" s="5"/>
      <c r="V19" s="5"/>
      <c r="W19" s="5"/>
      <c r="X19" s="210"/>
      <c r="Y19" s="38" t="s">
        <v>41</v>
      </c>
      <c r="Z19" s="38" t="s">
        <v>92</v>
      </c>
      <c r="AA19" s="39">
        <f>C19</f>
        <v>1000</v>
      </c>
      <c r="AB19" s="38"/>
      <c r="AC19" s="210"/>
      <c r="AD19" s="1"/>
      <c r="AE19" s="1"/>
      <c r="AF19" s="210"/>
      <c r="AG19" s="210"/>
      <c r="AH19" s="210"/>
      <c r="AI19" s="210"/>
      <c r="AJ19" s="210"/>
      <c r="AK19" s="210"/>
      <c r="AL19" s="210"/>
      <c r="AM19" s="210"/>
      <c r="AN19" s="210"/>
    </row>
    <row r="20" spans="1:40" ht="14.25">
      <c r="A20" s="328"/>
      <c r="B20" s="330" t="s">
        <v>40</v>
      </c>
      <c r="C20" s="331">
        <f>'AIC Maseru'!C20</f>
        <v>365</v>
      </c>
      <c r="D20" s="328"/>
      <c r="E20" s="328"/>
      <c r="F20" s="5"/>
      <c r="G20" s="5"/>
      <c r="H20" s="30">
        <f t="shared" si="0"/>
        <v>9</v>
      </c>
      <c r="I20" s="31" t="s">
        <v>20</v>
      </c>
      <c r="J20" s="21"/>
      <c r="K20" s="21"/>
      <c r="L20" s="206">
        <f>E26</f>
        <v>2007</v>
      </c>
      <c r="M20" s="207">
        <f>F26</f>
        <v>2008</v>
      </c>
      <c r="N20" s="5"/>
      <c r="O20" s="5"/>
      <c r="P20" s="5"/>
      <c r="Q20" s="5"/>
      <c r="R20" s="5"/>
      <c r="S20" s="5"/>
      <c r="T20" s="5"/>
      <c r="U20" s="5"/>
      <c r="V20" s="5"/>
      <c r="W20" s="5"/>
      <c r="X20" s="5"/>
      <c r="Y20" s="5"/>
      <c r="Z20" s="5"/>
      <c r="AA20" s="5"/>
      <c r="AB20" s="5"/>
      <c r="AC20" s="5"/>
      <c r="AD20" s="5"/>
      <c r="AE20" s="5"/>
      <c r="AF20" s="5"/>
      <c r="AG20" s="5"/>
      <c r="AH20" s="5"/>
      <c r="AI20" s="210"/>
      <c r="AJ20" s="210"/>
      <c r="AK20" s="210"/>
      <c r="AL20" s="210"/>
      <c r="AM20" s="210"/>
      <c r="AN20" s="210"/>
    </row>
    <row r="21" spans="1:40" ht="15" thickBot="1">
      <c r="A21" s="328"/>
      <c r="B21" s="328"/>
      <c r="C21" s="328"/>
      <c r="D21" s="328"/>
      <c r="E21" s="328"/>
      <c r="F21" s="5"/>
      <c r="G21" s="5"/>
      <c r="H21" s="40"/>
      <c r="I21" s="41"/>
      <c r="J21" s="42"/>
      <c r="K21" s="42"/>
      <c r="L21" s="208">
        <v>0.5</v>
      </c>
      <c r="M21" s="209">
        <v>0.5</v>
      </c>
      <c r="N21" s="5"/>
      <c r="O21" s="5"/>
      <c r="P21" s="5"/>
      <c r="Q21" s="5"/>
      <c r="R21" s="5"/>
      <c r="S21" s="5"/>
      <c r="T21" s="5"/>
      <c r="U21" s="5"/>
      <c r="V21" s="5"/>
      <c r="W21" s="5"/>
      <c r="X21" s="5"/>
      <c r="Y21" s="5"/>
      <c r="Z21" s="5"/>
      <c r="AA21" s="5"/>
      <c r="AB21" s="5"/>
      <c r="AC21" s="5"/>
      <c r="AD21" s="5"/>
      <c r="AE21" s="5"/>
      <c r="AF21" s="5"/>
      <c r="AG21" s="5"/>
      <c r="AH21" s="5"/>
      <c r="AI21" s="210"/>
      <c r="AJ21" s="210"/>
      <c r="AK21" s="210"/>
      <c r="AL21" s="210"/>
      <c r="AM21" s="210"/>
      <c r="AN21" s="210"/>
    </row>
    <row r="22" spans="1:40"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210"/>
      <c r="AJ22" s="210"/>
      <c r="AK22" s="210"/>
      <c r="AL22" s="210"/>
      <c r="AM22" s="210"/>
      <c r="AN22" s="210"/>
    </row>
    <row r="23" spans="1:40"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210"/>
      <c r="AJ23" s="210"/>
      <c r="AK23" s="210"/>
      <c r="AL23" s="210"/>
      <c r="AM23" s="210"/>
      <c r="AN23" s="210"/>
    </row>
    <row r="24" spans="1:40" ht="14.25">
      <c r="A24" s="12"/>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c r="AI24" s="210"/>
      <c r="AJ24" s="210"/>
      <c r="AK24" s="210"/>
      <c r="AL24" s="210"/>
      <c r="AM24" s="210"/>
      <c r="AN24" s="210"/>
    </row>
    <row r="25" spans="1:40"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c r="AI25" s="210"/>
      <c r="AJ25" s="210"/>
      <c r="AK25" s="210"/>
      <c r="AL25" s="210"/>
      <c r="AM25" s="210"/>
      <c r="AN25" s="210"/>
    </row>
    <row r="26" spans="1:49"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40" ht="14.25">
      <c r="A27" s="15" t="s">
        <v>83</v>
      </c>
      <c r="B27" s="16"/>
      <c r="C27" s="29" t="s">
        <v>85</v>
      </c>
      <c r="D27" s="16"/>
      <c r="E27" s="92">
        <v>0</v>
      </c>
      <c r="F27" s="92">
        <v>0</v>
      </c>
      <c r="G27" s="92">
        <v>0</v>
      </c>
      <c r="H27" s="92">
        <v>0</v>
      </c>
      <c r="I27" s="92">
        <v>575.5320773795626</v>
      </c>
      <c r="J27" s="92">
        <v>594.1572298467905</v>
      </c>
      <c r="K27" s="92">
        <v>613.0973321556252</v>
      </c>
      <c r="L27" s="92">
        <v>632.3568207876516</v>
      </c>
      <c r="M27" s="92">
        <v>651.9401894591031</v>
      </c>
      <c r="N27" s="92">
        <v>672.5171898118274</v>
      </c>
      <c r="O27" s="92">
        <v>693.4679994093873</v>
      </c>
      <c r="P27" s="92">
        <v>714.7983522381259</v>
      </c>
      <c r="Q27" s="92">
        <v>736.5140632011684</v>
      </c>
      <c r="R27" s="92">
        <v>758.6210292047774</v>
      </c>
      <c r="S27" s="92">
        <v>781.8978565993311</v>
      </c>
      <c r="T27" s="92">
        <v>805.6240864231493</v>
      </c>
      <c r="U27" s="92">
        <v>829.8071524713881</v>
      </c>
      <c r="V27" s="92">
        <v>854.4546022363398</v>
      </c>
      <c r="W27" s="92">
        <v>879.5740985656947</v>
      </c>
      <c r="X27" s="92">
        <v>906.0678614839002</v>
      </c>
      <c r="Y27" s="92">
        <v>933.1018142153212</v>
      </c>
      <c r="Z27" s="92">
        <v>960.6855242491687</v>
      </c>
      <c r="AA27" s="92">
        <v>988.8287165372936</v>
      </c>
      <c r="AB27" s="93">
        <v>1017.5412759713122</v>
      </c>
      <c r="AC27" s="92">
        <v>1047.8666489596103</v>
      </c>
      <c r="AD27" s="92">
        <v>1078.8416943014906</v>
      </c>
      <c r="AE27" s="92">
        <v>1110.4786590497474</v>
      </c>
      <c r="AF27" s="92">
        <v>1142.790005838872</v>
      </c>
      <c r="AG27" s="92">
        <v>1175.7884165209189</v>
      </c>
      <c r="AH27" s="93">
        <v>1209.4867958609186</v>
      </c>
      <c r="AI27" s="210"/>
      <c r="AJ27" s="210"/>
      <c r="AK27" s="210"/>
      <c r="AL27" s="210"/>
      <c r="AM27" s="210"/>
      <c r="AN27" s="210"/>
    </row>
    <row r="28" spans="1:40" ht="14.25">
      <c r="A28" s="15"/>
      <c r="B28" s="16" t="s">
        <v>84</v>
      </c>
      <c r="C28" s="53">
        <f>C9</f>
        <v>0.05</v>
      </c>
      <c r="D28" s="54">
        <f>NPV(C28,E27:AH27)</f>
        <v>9388.290747330399</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c r="AI28" s="210"/>
      <c r="AJ28" s="210"/>
      <c r="AK28" s="210"/>
      <c r="AL28" s="210"/>
      <c r="AM28" s="210"/>
      <c r="AN28" s="210"/>
    </row>
    <row r="29" spans="1:40" ht="14.25">
      <c r="A29" s="15"/>
      <c r="B29" s="16"/>
      <c r="C29" s="29"/>
      <c r="D29" s="16"/>
      <c r="E29" s="21"/>
      <c r="F29" s="21"/>
      <c r="G29" s="21" t="s">
        <v>87</v>
      </c>
      <c r="H29" s="55"/>
      <c r="I29" s="55"/>
      <c r="J29" s="55"/>
      <c r="K29" s="55"/>
      <c r="L29" s="55"/>
      <c r="M29" s="55"/>
      <c r="N29" s="55"/>
      <c r="O29" s="55"/>
      <c r="P29" s="55"/>
      <c r="Q29" s="55"/>
      <c r="R29" s="55"/>
      <c r="S29" s="55"/>
      <c r="T29" s="55"/>
      <c r="U29" s="55"/>
      <c r="V29" s="55"/>
      <c r="W29" s="55"/>
      <c r="X29" s="55"/>
      <c r="Y29" s="55"/>
      <c r="Z29" s="55"/>
      <c r="AA29" s="55"/>
      <c r="AB29" s="56"/>
      <c r="AC29" s="55"/>
      <c r="AD29" s="55"/>
      <c r="AE29" s="55"/>
      <c r="AF29" s="55"/>
      <c r="AG29" s="55"/>
      <c r="AH29" s="56"/>
      <c r="AI29" s="210"/>
      <c r="AJ29" s="210"/>
      <c r="AK29" s="210"/>
      <c r="AL29" s="210"/>
      <c r="AM29" s="210"/>
      <c r="AN29" s="210"/>
    </row>
    <row r="30" spans="1:40" ht="14.25">
      <c r="A30" s="48"/>
      <c r="B30" s="16"/>
      <c r="C30" s="29" t="s">
        <v>86</v>
      </c>
      <c r="D30" s="29" t="s">
        <v>43</v>
      </c>
      <c r="E30" s="203">
        <f>'AIC Maseru'!E30</f>
        <v>0</v>
      </c>
      <c r="F30" s="203">
        <f>'AIC Maseru'!F30</f>
        <v>0.1</v>
      </c>
      <c r="G30" s="203">
        <f>'AIC Maseru'!G30</f>
        <v>0.4</v>
      </c>
      <c r="H30" s="203">
        <f>'AIC Maseru'!H30</f>
        <v>0.5</v>
      </c>
      <c r="I30" s="203">
        <f>'AIC Maseru'!I30</f>
        <v>0</v>
      </c>
      <c r="J30" s="203">
        <f>'AIC Maseru'!J30</f>
        <v>0</v>
      </c>
      <c r="K30" s="21"/>
      <c r="L30" s="21"/>
      <c r="M30" s="21"/>
      <c r="N30" s="21"/>
      <c r="O30" s="21"/>
      <c r="P30" s="21"/>
      <c r="Q30" s="21"/>
      <c r="R30" s="21"/>
      <c r="S30" s="21"/>
      <c r="T30" s="21"/>
      <c r="U30" s="21"/>
      <c r="V30" s="21"/>
      <c r="W30" s="21"/>
      <c r="X30" s="21"/>
      <c r="Y30" s="21"/>
      <c r="Z30" s="21"/>
      <c r="AA30" s="21"/>
      <c r="AB30" s="19"/>
      <c r="AC30" s="21"/>
      <c r="AD30" s="21"/>
      <c r="AE30" s="21"/>
      <c r="AF30" s="21"/>
      <c r="AG30" s="21"/>
      <c r="AH30" s="19"/>
      <c r="AI30" s="210"/>
      <c r="AJ30" s="210"/>
      <c r="AK30" s="210"/>
      <c r="AL30" s="210"/>
      <c r="AM30" s="210"/>
      <c r="AN30" s="210"/>
    </row>
    <row r="31" spans="1:40" ht="14.25">
      <c r="A31" s="15" t="s">
        <v>44</v>
      </c>
      <c r="B31" s="57" t="s">
        <v>78</v>
      </c>
      <c r="C31" s="58">
        <v>1</v>
      </c>
      <c r="D31" s="144">
        <f aca="true" t="shared" si="2" ref="D31:D39">SUM(E31:AG31)</f>
        <v>18360.411157839957</v>
      </c>
      <c r="E31" s="92">
        <v>0</v>
      </c>
      <c r="F31" s="92">
        <v>1836.0411157839958</v>
      </c>
      <c r="G31" s="92">
        <v>7344.164463135983</v>
      </c>
      <c r="H31" s="92">
        <v>9180.205578919979</v>
      </c>
      <c r="I31" s="92">
        <v>0</v>
      </c>
      <c r="J31" s="92">
        <v>0</v>
      </c>
      <c r="K31" s="92"/>
      <c r="L31" s="92"/>
      <c r="M31" s="92"/>
      <c r="N31" s="92"/>
      <c r="O31" s="92"/>
      <c r="P31" s="92"/>
      <c r="Q31" s="92"/>
      <c r="R31" s="92"/>
      <c r="S31" s="92"/>
      <c r="T31" s="92"/>
      <c r="U31" s="92"/>
      <c r="V31" s="92"/>
      <c r="W31" s="92"/>
      <c r="X31" s="92"/>
      <c r="Y31" s="92"/>
      <c r="Z31" s="92"/>
      <c r="AA31" s="92"/>
      <c r="AB31" s="93"/>
      <c r="AC31" s="92"/>
      <c r="AD31" s="92"/>
      <c r="AE31" s="92"/>
      <c r="AF31" s="92"/>
      <c r="AG31" s="92"/>
      <c r="AH31" s="93"/>
      <c r="AI31" s="210"/>
      <c r="AJ31" s="210"/>
      <c r="AK31" s="210"/>
      <c r="AL31" s="210"/>
      <c r="AM31" s="210"/>
      <c r="AN31" s="210"/>
    </row>
    <row r="32" spans="1:40" ht="14.25">
      <c r="A32" s="48"/>
      <c r="B32" s="16"/>
      <c r="C32" s="58">
        <f aca="true" t="shared" si="3" ref="C32:C39">C31+1</f>
        <v>2</v>
      </c>
      <c r="D32" s="144">
        <f t="shared" si="2"/>
        <v>0</v>
      </c>
      <c r="E32" s="332">
        <v>0</v>
      </c>
      <c r="F32" s="92">
        <v>0</v>
      </c>
      <c r="G32" s="92">
        <v>0</v>
      </c>
      <c r="H32" s="92">
        <v>0</v>
      </c>
      <c r="I32" s="92">
        <v>0</v>
      </c>
      <c r="J32" s="92">
        <v>0</v>
      </c>
      <c r="K32" s="92"/>
      <c r="L32" s="92"/>
      <c r="M32" s="92"/>
      <c r="N32" s="92"/>
      <c r="O32" s="92"/>
      <c r="P32" s="92"/>
      <c r="Q32" s="92"/>
      <c r="R32" s="92"/>
      <c r="S32" s="92"/>
      <c r="T32" s="92"/>
      <c r="U32" s="92"/>
      <c r="V32" s="92"/>
      <c r="W32" s="92"/>
      <c r="X32" s="92"/>
      <c r="Y32" s="92"/>
      <c r="Z32" s="92"/>
      <c r="AA32" s="92"/>
      <c r="AB32" s="93"/>
      <c r="AC32" s="92"/>
      <c r="AD32" s="92"/>
      <c r="AE32" s="92"/>
      <c r="AF32" s="92"/>
      <c r="AG32" s="92"/>
      <c r="AH32" s="93"/>
      <c r="AI32" s="210"/>
      <c r="AJ32" s="210"/>
      <c r="AK32" s="210"/>
      <c r="AL32" s="210"/>
      <c r="AM32" s="210"/>
      <c r="AN32" s="210"/>
    </row>
    <row r="33" spans="1:40" ht="14.25">
      <c r="A33" s="48"/>
      <c r="B33" s="16"/>
      <c r="C33" s="58">
        <f t="shared" si="3"/>
        <v>3</v>
      </c>
      <c r="D33" s="144">
        <f t="shared" si="2"/>
        <v>170.55254512331044</v>
      </c>
      <c r="E33" s="92">
        <v>0</v>
      </c>
      <c r="F33" s="92">
        <v>17.055254512331047</v>
      </c>
      <c r="G33" s="92">
        <v>68.22101804932419</v>
      </c>
      <c r="H33" s="92">
        <v>85.27627256165522</v>
      </c>
      <c r="I33" s="92">
        <v>0</v>
      </c>
      <c r="J33" s="92">
        <v>0</v>
      </c>
      <c r="K33" s="92"/>
      <c r="L33" s="92"/>
      <c r="M33" s="92"/>
      <c r="N33" s="92"/>
      <c r="O33" s="92"/>
      <c r="P33" s="92"/>
      <c r="Q33" s="92"/>
      <c r="R33" s="92"/>
      <c r="S33" s="92"/>
      <c r="T33" s="92"/>
      <c r="U33" s="92"/>
      <c r="V33" s="92"/>
      <c r="W33" s="92"/>
      <c r="X33" s="92"/>
      <c r="Y33" s="92"/>
      <c r="Z33" s="92"/>
      <c r="AA33" s="92"/>
      <c r="AB33" s="93"/>
      <c r="AC33" s="92"/>
      <c r="AD33" s="92"/>
      <c r="AE33" s="92"/>
      <c r="AF33" s="92"/>
      <c r="AG33" s="92"/>
      <c r="AH33" s="93"/>
      <c r="AI33" s="210"/>
      <c r="AJ33" s="210"/>
      <c r="AK33" s="210"/>
      <c r="AL33" s="210"/>
      <c r="AM33" s="210"/>
      <c r="AN33" s="210"/>
    </row>
    <row r="34" spans="1:40" ht="14.25">
      <c r="A34" s="48"/>
      <c r="B34" s="16"/>
      <c r="C34" s="58">
        <f t="shared" si="3"/>
        <v>4</v>
      </c>
      <c r="D34" s="144">
        <f t="shared" si="2"/>
        <v>5763.504586788302</v>
      </c>
      <c r="E34" s="92">
        <v>0</v>
      </c>
      <c r="F34" s="92">
        <v>192.11681955961006</v>
      </c>
      <c r="G34" s="92">
        <v>768.4672782384403</v>
      </c>
      <c r="H34" s="92">
        <v>960.5840977980503</v>
      </c>
      <c r="I34" s="92">
        <v>0</v>
      </c>
      <c r="J34" s="92">
        <v>0</v>
      </c>
      <c r="K34" s="92"/>
      <c r="L34" s="92"/>
      <c r="M34" s="92"/>
      <c r="N34" s="92"/>
      <c r="O34" s="92"/>
      <c r="P34" s="92"/>
      <c r="Q34" s="92">
        <f>SUM(E34:J34)</f>
        <v>1921.1681955961008</v>
      </c>
      <c r="R34" s="92"/>
      <c r="S34" s="92"/>
      <c r="T34" s="92"/>
      <c r="U34" s="92"/>
      <c r="V34" s="92"/>
      <c r="W34" s="92"/>
      <c r="X34" s="92"/>
      <c r="Y34" s="92"/>
      <c r="Z34" s="92"/>
      <c r="AA34" s="92">
        <f>SUM(E34:J34)</f>
        <v>1921.1681955961008</v>
      </c>
      <c r="AB34" s="93"/>
      <c r="AC34" s="92"/>
      <c r="AD34" s="92"/>
      <c r="AE34" s="92"/>
      <c r="AF34" s="92"/>
      <c r="AG34" s="92"/>
      <c r="AH34" s="93"/>
      <c r="AI34" s="210"/>
      <c r="AJ34" s="210"/>
      <c r="AK34" s="210"/>
      <c r="AL34" s="210"/>
      <c r="AM34" s="210"/>
      <c r="AN34" s="210"/>
    </row>
    <row r="35" spans="1:40" ht="14.25">
      <c r="A35" s="48"/>
      <c r="B35" s="16"/>
      <c r="C35" s="58">
        <f t="shared" si="3"/>
        <v>5</v>
      </c>
      <c r="D35" s="144">
        <f t="shared" si="2"/>
        <v>9957.027950863472</v>
      </c>
      <c r="E35" s="92">
        <v>0</v>
      </c>
      <c r="F35" s="92">
        <v>995.7027950863472</v>
      </c>
      <c r="G35" s="92">
        <v>3982.811180345389</v>
      </c>
      <c r="H35" s="92">
        <v>4978.513975431736</v>
      </c>
      <c r="I35" s="92">
        <v>0</v>
      </c>
      <c r="J35" s="92">
        <v>0</v>
      </c>
      <c r="K35" s="92"/>
      <c r="L35" s="92"/>
      <c r="M35" s="92"/>
      <c r="N35" s="92"/>
      <c r="O35" s="92"/>
      <c r="P35" s="92"/>
      <c r="Q35" s="92"/>
      <c r="R35" s="92"/>
      <c r="S35" s="92"/>
      <c r="T35" s="92"/>
      <c r="U35" s="92"/>
      <c r="V35" s="92"/>
      <c r="W35" s="92"/>
      <c r="X35" s="92"/>
      <c r="Y35" s="92"/>
      <c r="Z35" s="92"/>
      <c r="AA35" s="92"/>
      <c r="AB35" s="93"/>
      <c r="AC35" s="92"/>
      <c r="AD35" s="92"/>
      <c r="AE35" s="92"/>
      <c r="AF35" s="92"/>
      <c r="AG35" s="92"/>
      <c r="AH35" s="93"/>
      <c r="AI35" s="210"/>
      <c r="AJ35" s="210"/>
      <c r="AK35" s="210"/>
      <c r="AL35" s="210"/>
      <c r="AM35" s="210"/>
      <c r="AN35" s="210"/>
    </row>
    <row r="36" spans="1:40" ht="14.25">
      <c r="A36" s="48"/>
      <c r="B36" s="16"/>
      <c r="C36" s="58">
        <f t="shared" si="3"/>
        <v>6</v>
      </c>
      <c r="D36" s="144">
        <f t="shared" si="2"/>
        <v>1629.862979481738</v>
      </c>
      <c r="E36" s="92">
        <v>0</v>
      </c>
      <c r="F36" s="92">
        <v>54.3287659827246</v>
      </c>
      <c r="G36" s="92">
        <v>217.3150639308984</v>
      </c>
      <c r="H36" s="92">
        <v>271.64382991362294</v>
      </c>
      <c r="I36" s="92">
        <v>0</v>
      </c>
      <c r="J36" s="92">
        <v>0</v>
      </c>
      <c r="K36" s="92"/>
      <c r="L36" s="92"/>
      <c r="M36" s="92"/>
      <c r="N36" s="92"/>
      <c r="O36" s="92"/>
      <c r="P36" s="92"/>
      <c r="Q36" s="92">
        <f>SUM(E36:J36)</f>
        <v>543.287659827246</v>
      </c>
      <c r="R36" s="92"/>
      <c r="S36" s="92"/>
      <c r="T36" s="92"/>
      <c r="U36" s="92"/>
      <c r="V36" s="92"/>
      <c r="W36" s="92"/>
      <c r="X36" s="92"/>
      <c r="Y36" s="92"/>
      <c r="Z36" s="92"/>
      <c r="AA36" s="92">
        <f>SUM(E36:J36)</f>
        <v>543.287659827246</v>
      </c>
      <c r="AB36" s="93"/>
      <c r="AC36" s="92"/>
      <c r="AD36" s="92"/>
      <c r="AE36" s="92"/>
      <c r="AF36" s="92"/>
      <c r="AG36" s="92"/>
      <c r="AH36" s="93"/>
      <c r="AI36" s="210"/>
      <c r="AJ36" s="210"/>
      <c r="AK36" s="210"/>
      <c r="AL36" s="210"/>
      <c r="AM36" s="210"/>
      <c r="AN36" s="210"/>
    </row>
    <row r="37" spans="1:40" ht="14.25">
      <c r="A37" s="48"/>
      <c r="B37" s="16"/>
      <c r="C37" s="58">
        <f t="shared" si="3"/>
        <v>7</v>
      </c>
      <c r="D37" s="144">
        <f t="shared" si="2"/>
        <v>2087.4955626221517</v>
      </c>
      <c r="E37" s="92">
        <v>0</v>
      </c>
      <c r="F37" s="92">
        <v>208.74955626221515</v>
      </c>
      <c r="G37" s="92">
        <v>834.9982250488606</v>
      </c>
      <c r="H37" s="92">
        <v>1043.7477813110756</v>
      </c>
      <c r="I37" s="92">
        <v>0</v>
      </c>
      <c r="J37" s="92">
        <v>0</v>
      </c>
      <c r="K37" s="92"/>
      <c r="L37" s="92"/>
      <c r="M37" s="92"/>
      <c r="N37" s="92"/>
      <c r="O37" s="92"/>
      <c r="P37" s="92"/>
      <c r="Q37" s="92"/>
      <c r="R37" s="92"/>
      <c r="S37" s="92"/>
      <c r="T37" s="92"/>
      <c r="U37" s="92"/>
      <c r="V37" s="92"/>
      <c r="W37" s="92"/>
      <c r="X37" s="92"/>
      <c r="Y37" s="92"/>
      <c r="Z37" s="92"/>
      <c r="AA37" s="92"/>
      <c r="AB37" s="93"/>
      <c r="AC37" s="92"/>
      <c r="AD37" s="92"/>
      <c r="AE37" s="92"/>
      <c r="AF37" s="92"/>
      <c r="AG37" s="92"/>
      <c r="AH37" s="93"/>
      <c r="AI37" s="210"/>
      <c r="AJ37" s="210"/>
      <c r="AK37" s="210"/>
      <c r="AL37" s="210"/>
      <c r="AM37" s="210"/>
      <c r="AN37" s="210"/>
    </row>
    <row r="38" spans="1:40" ht="14.25">
      <c r="A38" s="48"/>
      <c r="B38" s="16"/>
      <c r="C38" s="58">
        <f t="shared" si="3"/>
        <v>8</v>
      </c>
      <c r="D38" s="144">
        <f t="shared" si="2"/>
        <v>12328.629849405215</v>
      </c>
      <c r="E38" s="92">
        <v>0</v>
      </c>
      <c r="F38" s="92">
        <v>410.9543283135072</v>
      </c>
      <c r="G38" s="92">
        <v>1643.8173132540287</v>
      </c>
      <c r="H38" s="92">
        <v>2054.771641567536</v>
      </c>
      <c r="I38" s="92">
        <v>0</v>
      </c>
      <c r="J38" s="92">
        <v>0</v>
      </c>
      <c r="K38" s="92"/>
      <c r="L38" s="92"/>
      <c r="M38" s="92"/>
      <c r="N38" s="92"/>
      <c r="O38" s="92"/>
      <c r="P38" s="92"/>
      <c r="Q38" s="92">
        <f>SUM(E38:J38)</f>
        <v>4109.543283135072</v>
      </c>
      <c r="R38" s="92"/>
      <c r="S38" s="92"/>
      <c r="T38" s="92"/>
      <c r="U38" s="92"/>
      <c r="V38" s="92"/>
      <c r="W38" s="92"/>
      <c r="X38" s="92"/>
      <c r="Y38" s="92"/>
      <c r="Z38" s="92"/>
      <c r="AA38" s="92">
        <f>SUM(E38:J38)</f>
        <v>4109.543283135072</v>
      </c>
      <c r="AB38" s="93"/>
      <c r="AC38" s="92"/>
      <c r="AD38" s="92"/>
      <c r="AE38" s="92"/>
      <c r="AF38" s="92"/>
      <c r="AG38" s="92"/>
      <c r="AH38" s="93"/>
      <c r="AI38" s="210"/>
      <c r="AJ38" s="210"/>
      <c r="AK38" s="210"/>
      <c r="AL38" s="210"/>
      <c r="AM38" s="210"/>
      <c r="AN38" s="210"/>
    </row>
    <row r="39" spans="1:40" ht="14.25">
      <c r="A39" s="48"/>
      <c r="B39" s="16"/>
      <c r="C39" s="58">
        <f t="shared" si="3"/>
        <v>9</v>
      </c>
      <c r="D39" s="144">
        <f t="shared" si="2"/>
        <v>9418.727627945173</v>
      </c>
      <c r="E39" s="92">
        <v>4709.363813972586</v>
      </c>
      <c r="F39" s="92">
        <v>4709.363813972586</v>
      </c>
      <c r="G39" s="92">
        <v>0</v>
      </c>
      <c r="H39" s="92">
        <v>0</v>
      </c>
      <c r="I39" s="92">
        <v>0</v>
      </c>
      <c r="J39" s="92">
        <v>0</v>
      </c>
      <c r="K39" s="92"/>
      <c r="L39" s="92"/>
      <c r="M39" s="92"/>
      <c r="N39" s="92"/>
      <c r="O39" s="92"/>
      <c r="P39" s="92"/>
      <c r="Q39" s="92"/>
      <c r="R39" s="92"/>
      <c r="S39" s="92"/>
      <c r="T39" s="92"/>
      <c r="U39" s="92"/>
      <c r="V39" s="92"/>
      <c r="W39" s="92"/>
      <c r="X39" s="92"/>
      <c r="Y39" s="92"/>
      <c r="Z39" s="92"/>
      <c r="AA39" s="92"/>
      <c r="AB39" s="93"/>
      <c r="AC39" s="92"/>
      <c r="AD39" s="92"/>
      <c r="AE39" s="92"/>
      <c r="AF39" s="92"/>
      <c r="AG39" s="92"/>
      <c r="AH39" s="93"/>
      <c r="AI39" s="210"/>
      <c r="AJ39" s="210"/>
      <c r="AK39" s="210"/>
      <c r="AL39" s="210"/>
      <c r="AM39" s="210"/>
      <c r="AN39" s="210"/>
    </row>
    <row r="40" spans="1:40" ht="14.25">
      <c r="A40" s="48"/>
      <c r="B40" s="16"/>
      <c r="C40" s="58"/>
      <c r="D40" s="144"/>
      <c r="E40" s="92"/>
      <c r="F40" s="92"/>
      <c r="G40" s="92"/>
      <c r="H40" s="92"/>
      <c r="I40" s="92"/>
      <c r="J40" s="92"/>
      <c r="K40" s="92"/>
      <c r="L40" s="92"/>
      <c r="M40" s="92"/>
      <c r="N40" s="92"/>
      <c r="O40" s="92"/>
      <c r="P40" s="92"/>
      <c r="Q40" s="92"/>
      <c r="R40" s="92"/>
      <c r="S40" s="92"/>
      <c r="T40" s="92"/>
      <c r="U40" s="92"/>
      <c r="V40" s="92"/>
      <c r="W40" s="92"/>
      <c r="X40" s="92"/>
      <c r="Y40" s="92"/>
      <c r="Z40" s="92"/>
      <c r="AA40" s="92"/>
      <c r="AB40" s="93"/>
      <c r="AC40" s="92"/>
      <c r="AD40" s="92"/>
      <c r="AE40" s="92"/>
      <c r="AF40" s="92"/>
      <c r="AG40" s="92"/>
      <c r="AH40" s="93"/>
      <c r="AI40" s="210"/>
      <c r="AJ40" s="210"/>
      <c r="AK40" s="210"/>
      <c r="AL40" s="210"/>
      <c r="AM40" s="210"/>
      <c r="AN40" s="210"/>
    </row>
    <row r="41" spans="1:40" ht="14.25">
      <c r="A41" s="48"/>
      <c r="B41" s="16"/>
      <c r="C41" s="29"/>
      <c r="D41" s="144">
        <f>SUM(D31:D39)</f>
        <v>59716.212260069326</v>
      </c>
      <c r="E41" s="92"/>
      <c r="F41" s="92"/>
      <c r="G41" s="92"/>
      <c r="H41" s="92"/>
      <c r="I41" s="92"/>
      <c r="J41" s="92"/>
      <c r="K41" s="92"/>
      <c r="L41" s="92"/>
      <c r="M41" s="92"/>
      <c r="N41" s="92"/>
      <c r="O41" s="92"/>
      <c r="P41" s="92"/>
      <c r="Q41" s="92"/>
      <c r="R41" s="92"/>
      <c r="S41" s="92"/>
      <c r="T41" s="92"/>
      <c r="U41" s="92"/>
      <c r="V41" s="92"/>
      <c r="W41" s="92"/>
      <c r="X41" s="92"/>
      <c r="Y41" s="92"/>
      <c r="Z41" s="92"/>
      <c r="AA41" s="92"/>
      <c r="AB41" s="93"/>
      <c r="AC41" s="92"/>
      <c r="AD41" s="92"/>
      <c r="AE41" s="92"/>
      <c r="AF41" s="92"/>
      <c r="AG41" s="92"/>
      <c r="AH41" s="93"/>
      <c r="AI41" s="210"/>
      <c r="AJ41" s="210"/>
      <c r="AK41" s="210"/>
      <c r="AL41" s="210"/>
      <c r="AM41" s="210"/>
      <c r="AN41" s="210"/>
    </row>
    <row r="42" spans="1:40" ht="14.25">
      <c r="A42" s="48"/>
      <c r="B42" s="57"/>
      <c r="C42" s="29"/>
      <c r="D42" s="145"/>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c r="AI42" s="210"/>
      <c r="AJ42" s="210"/>
      <c r="AK42" s="210"/>
      <c r="AL42" s="210"/>
      <c r="AM42" s="210"/>
      <c r="AN42" s="210"/>
    </row>
    <row r="43" spans="1:40" ht="14.25">
      <c r="A43" s="48"/>
      <c r="B43" s="16"/>
      <c r="C43" s="29"/>
      <c r="D43" s="145"/>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c r="AI43" s="210"/>
      <c r="AJ43" s="210"/>
      <c r="AK43" s="210"/>
      <c r="AL43" s="210"/>
      <c r="AM43" s="210"/>
      <c r="AN43" s="210"/>
    </row>
    <row r="44" spans="1:40" ht="14.25">
      <c r="A44" s="48"/>
      <c r="B44" s="57" t="s">
        <v>79</v>
      </c>
      <c r="C44" s="29"/>
      <c r="D44" s="145"/>
      <c r="E44" s="92">
        <f aca="true" t="shared" si="4" ref="E44:AH44">SUM(E45:E52)</f>
        <v>0</v>
      </c>
      <c r="F44" s="92">
        <f t="shared" si="4"/>
        <v>0</v>
      </c>
      <c r="G44" s="92">
        <f t="shared" si="4"/>
        <v>0</v>
      </c>
      <c r="H44" s="92">
        <f t="shared" si="4"/>
        <v>0</v>
      </c>
      <c r="I44" s="92">
        <f t="shared" si="4"/>
        <v>559.9410057751254</v>
      </c>
      <c r="J44" s="92">
        <f t="shared" si="4"/>
        <v>537.1880113203403</v>
      </c>
      <c r="K44" s="92">
        <f t="shared" si="4"/>
        <v>519.534299501729</v>
      </c>
      <c r="L44" s="92">
        <f t="shared" si="4"/>
        <v>505.78836971244255</v>
      </c>
      <c r="M44" s="92">
        <f t="shared" si="4"/>
        <v>495.1274410102751</v>
      </c>
      <c r="N44" s="92">
        <f t="shared" si="4"/>
        <v>488.71570255442674</v>
      </c>
      <c r="O44" s="92">
        <f t="shared" si="4"/>
        <v>484.10558872007357</v>
      </c>
      <c r="P44" s="92">
        <f t="shared" si="4"/>
        <v>481.0457995948085</v>
      </c>
      <c r="Q44" s="92">
        <f t="shared" si="4"/>
        <v>479.3482143276789</v>
      </c>
      <c r="R44" s="92">
        <f t="shared" si="4"/>
        <v>478.87201484309435</v>
      </c>
      <c r="S44" s="92">
        <f t="shared" si="4"/>
        <v>480.7202604627631</v>
      </c>
      <c r="T44" s="92">
        <f t="shared" si="4"/>
        <v>483.47130151128266</v>
      </c>
      <c r="U44" s="92">
        <f t="shared" si="4"/>
        <v>487.0852970396243</v>
      </c>
      <c r="V44" s="92">
        <f t="shared" si="4"/>
        <v>491.5366660953964</v>
      </c>
      <c r="W44" s="92">
        <f t="shared" si="4"/>
        <v>496.8120369371471</v>
      </c>
      <c r="X44" s="92">
        <f t="shared" si="4"/>
        <v>503.322523785072</v>
      </c>
      <c r="Y44" s="92">
        <f t="shared" si="4"/>
        <v>511.75225805086404</v>
      </c>
      <c r="Z44" s="92">
        <f t="shared" si="4"/>
        <v>520.7110463262064</v>
      </c>
      <c r="AA44" s="92">
        <f t="shared" si="4"/>
        <v>535.2026722158214</v>
      </c>
      <c r="AB44" s="93">
        <f t="shared" si="4"/>
        <v>548.557791334254</v>
      </c>
      <c r="AC44" s="92">
        <f t="shared" si="4"/>
        <v>562.6631389709622</v>
      </c>
      <c r="AD44" s="92">
        <f t="shared" si="4"/>
        <v>577.0706240305593</v>
      </c>
      <c r="AE44" s="92">
        <f t="shared" si="4"/>
        <v>591.7859418054464</v>
      </c>
      <c r="AF44" s="92">
        <f t="shared" si="4"/>
        <v>606.8148878615896</v>
      </c>
      <c r="AG44" s="92">
        <f t="shared" si="4"/>
        <v>622.163359729535</v>
      </c>
      <c r="AH44" s="93">
        <f t="shared" si="4"/>
        <v>637.8373586231204</v>
      </c>
      <c r="AI44" s="210"/>
      <c r="AJ44" s="210"/>
      <c r="AK44" s="210"/>
      <c r="AL44" s="210"/>
      <c r="AM44" s="210"/>
      <c r="AN44" s="210"/>
    </row>
    <row r="45" spans="1:40" ht="14.25">
      <c r="A45" s="48"/>
      <c r="B45" s="16" t="s">
        <v>21</v>
      </c>
      <c r="C45" s="29" t="s">
        <v>80</v>
      </c>
      <c r="D45" s="145"/>
      <c r="E45" s="142">
        <v>0</v>
      </c>
      <c r="F45" s="142">
        <v>0</v>
      </c>
      <c r="G45" s="142">
        <v>0</v>
      </c>
      <c r="H45" s="142">
        <v>0</v>
      </c>
      <c r="I45" s="142">
        <v>70.56102470546737</v>
      </c>
      <c r="J45" s="142">
        <v>73.42473489666233</v>
      </c>
      <c r="K45" s="142">
        <v>76.4490152514605</v>
      </c>
      <c r="L45" s="92">
        <v>79.6502021866396</v>
      </c>
      <c r="M45" s="92">
        <v>83.04650272922008</v>
      </c>
      <c r="N45" s="92">
        <v>86.66610212243052</v>
      </c>
      <c r="O45" s="92">
        <v>90.5062912779771</v>
      </c>
      <c r="P45" s="92">
        <v>94.5881042259057</v>
      </c>
      <c r="Q45" s="92">
        <v>98.93474755822953</v>
      </c>
      <c r="R45" s="92">
        <v>103.57182513018445</v>
      </c>
      <c r="S45" s="92">
        <v>108.48597005531394</v>
      </c>
      <c r="T45" s="92">
        <v>113.72013762370904</v>
      </c>
      <c r="U45" s="92">
        <v>119.30278144923092</v>
      </c>
      <c r="V45" s="92">
        <v>125.26503265306496</v>
      </c>
      <c r="W45" s="92">
        <v>131.6409542664654</v>
      </c>
      <c r="X45" s="92">
        <v>138.6095708534629</v>
      </c>
      <c r="Y45" s="92">
        <v>145.35495806940165</v>
      </c>
      <c r="Z45" s="92">
        <v>152.5490913827313</v>
      </c>
      <c r="AA45" s="92">
        <v>160.14972461736707</v>
      </c>
      <c r="AB45" s="93">
        <v>164.79941366574587</v>
      </c>
      <c r="AC45" s="92">
        <v>169.71033840523415</v>
      </c>
      <c r="AD45" s="92">
        <v>174.7264248415164</v>
      </c>
      <c r="AE45" s="92">
        <v>179.84965505355117</v>
      </c>
      <c r="AF45" s="92">
        <v>185.08204603112753</v>
      </c>
      <c r="AG45" s="92">
        <v>190.42565026351397</v>
      </c>
      <c r="AH45" s="93">
        <v>195.88255633774781</v>
      </c>
      <c r="AI45" s="210"/>
      <c r="AJ45" s="210"/>
      <c r="AK45" s="210"/>
      <c r="AL45" s="210"/>
      <c r="AM45" s="210"/>
      <c r="AN45" s="210"/>
    </row>
    <row r="46" spans="1:40" ht="14.25">
      <c r="A46" s="48"/>
      <c r="B46" s="16" t="s">
        <v>22</v>
      </c>
      <c r="C46" s="29" t="s">
        <v>80</v>
      </c>
      <c r="D46" s="145"/>
      <c r="E46" s="142">
        <v>0</v>
      </c>
      <c r="F46" s="142">
        <v>0</v>
      </c>
      <c r="G46" s="142">
        <v>0</v>
      </c>
      <c r="H46" s="142">
        <v>0</v>
      </c>
      <c r="I46" s="142">
        <v>229.89619622234227</v>
      </c>
      <c r="J46" s="142">
        <v>219.8594078883459</v>
      </c>
      <c r="K46" s="142">
        <v>212.058984677216</v>
      </c>
      <c r="L46" s="92">
        <v>205.95427477498234</v>
      </c>
      <c r="M46" s="92">
        <v>201.1689436614434</v>
      </c>
      <c r="N46" s="92">
        <v>198.26348559636597</v>
      </c>
      <c r="O46" s="92">
        <v>196.09501926718605</v>
      </c>
      <c r="P46" s="92">
        <v>194.54200782387966</v>
      </c>
      <c r="Q46" s="92">
        <v>193.51024566794064</v>
      </c>
      <c r="R46" s="92">
        <v>192.92564685189484</v>
      </c>
      <c r="S46" s="92">
        <v>193.34833536030646</v>
      </c>
      <c r="T46" s="92">
        <v>194.0667231567522</v>
      </c>
      <c r="U46" s="92">
        <v>195.05079443727453</v>
      </c>
      <c r="V46" s="92">
        <v>196.27573000459563</v>
      </c>
      <c r="W46" s="92">
        <v>197.72087489470232</v>
      </c>
      <c r="X46" s="92">
        <v>199.5597932563693</v>
      </c>
      <c r="Y46" s="92">
        <v>202.40001203914318</v>
      </c>
      <c r="Z46" s="92">
        <v>205.31861731006745</v>
      </c>
      <c r="AA46" s="92">
        <v>210.57649245170253</v>
      </c>
      <c r="AB46" s="93">
        <v>216.69098928397432</v>
      </c>
      <c r="AC46" s="92">
        <v>223.14894359837513</v>
      </c>
      <c r="AD46" s="92">
        <v>229.74524919967953</v>
      </c>
      <c r="AE46" s="92">
        <v>236.48251416487517</v>
      </c>
      <c r="AF46" s="92">
        <v>243.3633924802531</v>
      </c>
      <c r="AG46" s="92">
        <v>250.39058481568537</v>
      </c>
      <c r="AH46" s="93">
        <v>257.56683931158364</v>
      </c>
      <c r="AI46" s="210"/>
      <c r="AJ46" s="210"/>
      <c r="AK46" s="210"/>
      <c r="AL46" s="210"/>
      <c r="AM46" s="210"/>
      <c r="AN46" s="210"/>
    </row>
    <row r="47" spans="1:40" ht="14.25">
      <c r="A47" s="48"/>
      <c r="B47" s="16" t="s">
        <v>23</v>
      </c>
      <c r="C47" s="29" t="s">
        <v>80</v>
      </c>
      <c r="D47" s="145"/>
      <c r="E47" s="142">
        <v>0</v>
      </c>
      <c r="F47" s="142">
        <v>0</v>
      </c>
      <c r="G47" s="142">
        <v>0</v>
      </c>
      <c r="H47" s="142">
        <v>0</v>
      </c>
      <c r="I47" s="142">
        <v>259.4837848473157</v>
      </c>
      <c r="J47" s="142">
        <v>243.90386853533198</v>
      </c>
      <c r="K47" s="142">
        <v>231.0262995730525</v>
      </c>
      <c r="L47" s="92">
        <v>220.18389275082063</v>
      </c>
      <c r="M47" s="92">
        <v>210.91199461961165</v>
      </c>
      <c r="N47" s="92">
        <v>203.78611483563026</v>
      </c>
      <c r="O47" s="92">
        <v>197.5042781749104</v>
      </c>
      <c r="P47" s="92">
        <v>191.91568754502316</v>
      </c>
      <c r="Q47" s="92">
        <v>186.90322110150873</v>
      </c>
      <c r="R47" s="92">
        <v>182.37454286101507</v>
      </c>
      <c r="S47" s="92">
        <v>178.88595504714274</v>
      </c>
      <c r="T47" s="92">
        <v>175.68444073082145</v>
      </c>
      <c r="U47" s="92">
        <v>172.73172115311888</v>
      </c>
      <c r="V47" s="92">
        <v>169.9959034377358</v>
      </c>
      <c r="W47" s="92">
        <v>167.45020777597935</v>
      </c>
      <c r="X47" s="92">
        <v>165.15315967523978</v>
      </c>
      <c r="Y47" s="92">
        <v>163.9972879423192</v>
      </c>
      <c r="Z47" s="92">
        <v>162.8433376334077</v>
      </c>
      <c r="AA47" s="92">
        <v>164.47645514675173</v>
      </c>
      <c r="AB47" s="93">
        <v>167.06738838453384</v>
      </c>
      <c r="AC47" s="92">
        <v>169.80385696735297</v>
      </c>
      <c r="AD47" s="92">
        <v>172.5989499893634</v>
      </c>
      <c r="AE47" s="92">
        <v>175.4537725870201</v>
      </c>
      <c r="AF47" s="92">
        <v>178.36944935020895</v>
      </c>
      <c r="AG47" s="92">
        <v>181.34712465033567</v>
      </c>
      <c r="AH47" s="93">
        <v>184.38796297378894</v>
      </c>
      <c r="AI47" s="210"/>
      <c r="AJ47" s="210"/>
      <c r="AK47" s="210"/>
      <c r="AL47" s="210"/>
      <c r="AM47" s="210"/>
      <c r="AN47" s="210"/>
    </row>
    <row r="48" spans="1:40" ht="14.25">
      <c r="A48" s="48"/>
      <c r="B48" s="16" t="s">
        <v>24</v>
      </c>
      <c r="C48" s="29" t="s">
        <v>80</v>
      </c>
      <c r="D48" s="145"/>
      <c r="E48" s="142"/>
      <c r="F48" s="142"/>
      <c r="G48" s="142"/>
      <c r="H48" s="142"/>
      <c r="I48" s="142"/>
      <c r="J48" s="142"/>
      <c r="K48" s="142"/>
      <c r="L48" s="92"/>
      <c r="M48" s="92"/>
      <c r="N48" s="92"/>
      <c r="O48" s="92"/>
      <c r="P48" s="92"/>
      <c r="Q48" s="92"/>
      <c r="R48" s="92"/>
      <c r="S48" s="92"/>
      <c r="T48" s="92"/>
      <c r="U48" s="92"/>
      <c r="V48" s="92"/>
      <c r="W48" s="92"/>
      <c r="X48" s="92"/>
      <c r="Y48" s="92"/>
      <c r="Z48" s="92"/>
      <c r="AA48" s="92"/>
      <c r="AB48" s="93"/>
      <c r="AC48" s="92"/>
      <c r="AD48" s="92"/>
      <c r="AE48" s="92"/>
      <c r="AF48" s="92"/>
      <c r="AG48" s="92"/>
      <c r="AH48" s="93"/>
      <c r="AI48" s="210"/>
      <c r="AJ48" s="210"/>
      <c r="AK48" s="210"/>
      <c r="AL48" s="210"/>
      <c r="AM48" s="210"/>
      <c r="AN48" s="210"/>
    </row>
    <row r="49" spans="1:40" ht="14.25">
      <c r="A49" s="48"/>
      <c r="B49" s="16" t="s">
        <v>25</v>
      </c>
      <c r="C49" s="29" t="s">
        <v>80</v>
      </c>
      <c r="D49" s="145"/>
      <c r="E49" s="142"/>
      <c r="F49" s="142"/>
      <c r="G49" s="142"/>
      <c r="H49" s="142"/>
      <c r="I49" s="142"/>
      <c r="J49" s="142"/>
      <c r="K49" s="142"/>
      <c r="L49" s="92"/>
      <c r="M49" s="92"/>
      <c r="N49" s="92"/>
      <c r="O49" s="92"/>
      <c r="P49" s="92"/>
      <c r="Q49" s="92"/>
      <c r="R49" s="92"/>
      <c r="S49" s="92"/>
      <c r="T49" s="92"/>
      <c r="U49" s="92"/>
      <c r="V49" s="92"/>
      <c r="W49" s="92"/>
      <c r="X49" s="92"/>
      <c r="Y49" s="92"/>
      <c r="Z49" s="92"/>
      <c r="AA49" s="92"/>
      <c r="AB49" s="93"/>
      <c r="AC49" s="92"/>
      <c r="AD49" s="92"/>
      <c r="AE49" s="92"/>
      <c r="AF49" s="92"/>
      <c r="AG49" s="92"/>
      <c r="AH49" s="93"/>
      <c r="AI49" s="210"/>
      <c r="AJ49" s="210"/>
      <c r="AK49" s="210"/>
      <c r="AL49" s="210"/>
      <c r="AM49" s="210"/>
      <c r="AN49" s="210"/>
    </row>
    <row r="50" spans="1:40" ht="14.25">
      <c r="A50" s="48"/>
      <c r="B50" s="16" t="s">
        <v>132</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c r="AI50" s="210"/>
      <c r="AJ50" s="210"/>
      <c r="AK50" s="210"/>
      <c r="AL50" s="210"/>
      <c r="AM50" s="210"/>
      <c r="AN50" s="210"/>
    </row>
    <row r="51" spans="1:40" ht="14.25">
      <c r="A51" s="48"/>
      <c r="B51" s="16" t="str">
        <f>B50</f>
        <v>Others</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c r="AI51" s="210"/>
      <c r="AJ51" s="210"/>
      <c r="AK51" s="210"/>
      <c r="AL51" s="210"/>
      <c r="AM51" s="210"/>
      <c r="AN51" s="210"/>
    </row>
    <row r="52" spans="1:40" ht="14.25">
      <c r="A52" s="48"/>
      <c r="B52" s="16" t="str">
        <f>B51</f>
        <v>Others</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c r="AI52" s="210"/>
      <c r="AJ52" s="210"/>
      <c r="AK52" s="210"/>
      <c r="AL52" s="210"/>
      <c r="AM52" s="210"/>
      <c r="AN52" s="210"/>
    </row>
    <row r="53" spans="1:40" ht="14.25">
      <c r="A53" s="48"/>
      <c r="B53" s="16"/>
      <c r="C53" s="29"/>
      <c r="D53" s="145"/>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c r="AI53" s="210"/>
      <c r="AJ53" s="210"/>
      <c r="AK53" s="210"/>
      <c r="AL53" s="210"/>
      <c r="AM53" s="210"/>
      <c r="AN53" s="210"/>
    </row>
    <row r="54" spans="1:40" ht="14.25">
      <c r="A54" s="48"/>
      <c r="B54" s="16" t="s">
        <v>45</v>
      </c>
      <c r="C54" s="53">
        <f>C9</f>
        <v>0.05</v>
      </c>
      <c r="D54" s="147">
        <f>NPV(C54,E54:AH54)</f>
        <v>51990.40246751423</v>
      </c>
      <c r="E54" s="92">
        <f aca="true" t="shared" si="5" ref="E54:AH54">E44+SUM(E31:E39)</f>
        <v>4709.363813972586</v>
      </c>
      <c r="F54" s="92">
        <f t="shared" si="5"/>
        <v>8424.312449473317</v>
      </c>
      <c r="G54" s="92">
        <f t="shared" si="5"/>
        <v>14859.794542002925</v>
      </c>
      <c r="H54" s="92">
        <f t="shared" si="5"/>
        <v>18574.743177503653</v>
      </c>
      <c r="I54" s="92">
        <f t="shared" si="5"/>
        <v>559.9410057751254</v>
      </c>
      <c r="J54" s="92">
        <f t="shared" si="5"/>
        <v>537.1880113203403</v>
      </c>
      <c r="K54" s="92">
        <f t="shared" si="5"/>
        <v>519.534299501729</v>
      </c>
      <c r="L54" s="92">
        <f t="shared" si="5"/>
        <v>505.78836971244255</v>
      </c>
      <c r="M54" s="92">
        <f t="shared" si="5"/>
        <v>495.1274410102751</v>
      </c>
      <c r="N54" s="92">
        <f t="shared" si="5"/>
        <v>488.71570255442674</v>
      </c>
      <c r="O54" s="92">
        <f t="shared" si="5"/>
        <v>484.10558872007357</v>
      </c>
      <c r="P54" s="92">
        <f t="shared" si="5"/>
        <v>481.0457995948085</v>
      </c>
      <c r="Q54" s="92">
        <f t="shared" si="5"/>
        <v>7053.347352886097</v>
      </c>
      <c r="R54" s="92">
        <f t="shared" si="5"/>
        <v>478.87201484309435</v>
      </c>
      <c r="S54" s="92">
        <f t="shared" si="5"/>
        <v>480.7202604627631</v>
      </c>
      <c r="T54" s="92">
        <f t="shared" si="5"/>
        <v>483.47130151128266</v>
      </c>
      <c r="U54" s="92">
        <f t="shared" si="5"/>
        <v>487.0852970396243</v>
      </c>
      <c r="V54" s="92">
        <f t="shared" si="5"/>
        <v>491.5366660953964</v>
      </c>
      <c r="W54" s="92">
        <f t="shared" si="5"/>
        <v>496.8120369371471</v>
      </c>
      <c r="X54" s="92">
        <f t="shared" si="5"/>
        <v>503.322523785072</v>
      </c>
      <c r="Y54" s="92">
        <f t="shared" si="5"/>
        <v>511.75225805086404</v>
      </c>
      <c r="Z54" s="92">
        <f t="shared" si="5"/>
        <v>520.7110463262064</v>
      </c>
      <c r="AA54" s="92">
        <f t="shared" si="5"/>
        <v>7109.20181077424</v>
      </c>
      <c r="AB54" s="93">
        <f t="shared" si="5"/>
        <v>548.557791334254</v>
      </c>
      <c r="AC54" s="92">
        <f t="shared" si="5"/>
        <v>562.6631389709622</v>
      </c>
      <c r="AD54" s="92">
        <f t="shared" si="5"/>
        <v>577.0706240305593</v>
      </c>
      <c r="AE54" s="92">
        <f t="shared" si="5"/>
        <v>591.7859418054464</v>
      </c>
      <c r="AF54" s="92">
        <f t="shared" si="5"/>
        <v>606.8148878615896</v>
      </c>
      <c r="AG54" s="92">
        <f t="shared" si="5"/>
        <v>622.163359729535</v>
      </c>
      <c r="AH54" s="93">
        <f t="shared" si="5"/>
        <v>637.8373586231204</v>
      </c>
      <c r="AI54" s="210"/>
      <c r="AJ54" s="210"/>
      <c r="AK54" s="210"/>
      <c r="AL54" s="210"/>
      <c r="AM54" s="210"/>
      <c r="AN54" s="210"/>
    </row>
    <row r="55" spans="1:40" ht="14.25">
      <c r="A55" s="48"/>
      <c r="B55" s="16" t="s">
        <v>82</v>
      </c>
      <c r="C55" s="53"/>
      <c r="D55" s="60"/>
      <c r="E55" s="123">
        <f aca="true" t="shared" si="6" ref="E55:AH55">IF(E44=0,0,E44/E27)</f>
        <v>0</v>
      </c>
      <c r="F55" s="123">
        <f t="shared" si="6"/>
        <v>0</v>
      </c>
      <c r="G55" s="123">
        <f t="shared" si="6"/>
        <v>0</v>
      </c>
      <c r="H55" s="123">
        <f t="shared" si="6"/>
        <v>0</v>
      </c>
      <c r="I55" s="123">
        <f t="shared" si="6"/>
        <v>0.9729101604980483</v>
      </c>
      <c r="J55" s="123">
        <f t="shared" si="6"/>
        <v>0.9041176044577622</v>
      </c>
      <c r="K55" s="123">
        <f t="shared" si="6"/>
        <v>0.8473928563268538</v>
      </c>
      <c r="L55" s="123">
        <f t="shared" si="6"/>
        <v>0.7998464681418984</v>
      </c>
      <c r="M55" s="123">
        <f t="shared" si="6"/>
        <v>0.759467584627769</v>
      </c>
      <c r="N55" s="123">
        <f t="shared" si="6"/>
        <v>0.7266962242127537</v>
      </c>
      <c r="O55" s="123">
        <f t="shared" si="6"/>
        <v>0.6980936238332216</v>
      </c>
      <c r="P55" s="123">
        <f t="shared" si="6"/>
        <v>0.6729811255000687</v>
      </c>
      <c r="Q55" s="123">
        <f t="shared" si="6"/>
        <v>0.650833756309079</v>
      </c>
      <c r="R55" s="123">
        <f t="shared" si="6"/>
        <v>0.6312401006666936</v>
      </c>
      <c r="S55" s="123">
        <f t="shared" si="6"/>
        <v>0.6148120964975342</v>
      </c>
      <c r="T55" s="123">
        <f t="shared" si="6"/>
        <v>0.6001202169337105</v>
      </c>
      <c r="U55" s="123">
        <f t="shared" si="6"/>
        <v>0.5869861395975604</v>
      </c>
      <c r="V55" s="123">
        <f t="shared" si="6"/>
        <v>0.5752636416363274</v>
      </c>
      <c r="W55" s="123">
        <f t="shared" si="6"/>
        <v>0.5648324998965856</v>
      </c>
      <c r="X55" s="123">
        <f t="shared" si="6"/>
        <v>0.5555020161081119</v>
      </c>
      <c r="Y55" s="123">
        <f t="shared" si="6"/>
        <v>0.5484420352147905</v>
      </c>
      <c r="Z55" s="123">
        <f t="shared" si="6"/>
        <v>0.5420202898687083</v>
      </c>
      <c r="AA55" s="123">
        <f t="shared" si="6"/>
        <v>0.5412491195543028</v>
      </c>
      <c r="AB55" s="124">
        <f t="shared" si="6"/>
        <v>0.5391012672293007</v>
      </c>
      <c r="AC55" s="123">
        <f t="shared" si="6"/>
        <v>0.5369606328530548</v>
      </c>
      <c r="AD55" s="123">
        <f t="shared" si="6"/>
        <v>0.5348983331648031</v>
      </c>
      <c r="AE55" s="123">
        <f t="shared" si="6"/>
        <v>0.5329106840394809</v>
      </c>
      <c r="AF55" s="123">
        <f t="shared" si="6"/>
        <v>0.530994220076464</v>
      </c>
      <c r="AG55" s="123">
        <f t="shared" si="6"/>
        <v>0.5291456787527095</v>
      </c>
      <c r="AH55" s="124">
        <f t="shared" si="6"/>
        <v>0.5273619859314832</v>
      </c>
      <c r="AI55" s="210"/>
      <c r="AJ55" s="210"/>
      <c r="AK55" s="210"/>
      <c r="AL55" s="210"/>
      <c r="AM55" s="210"/>
      <c r="AN55" s="210"/>
    </row>
    <row r="56" spans="1:40" ht="14.25">
      <c r="A56" s="48"/>
      <c r="B56" s="16" t="s">
        <v>46</v>
      </c>
      <c r="C56" s="29" t="s">
        <v>93</v>
      </c>
      <c r="D56" s="61">
        <f>D54/D28</f>
        <v>5.5377921143204825</v>
      </c>
      <c r="E56" s="21"/>
      <c r="F56" s="21"/>
      <c r="G56" s="21"/>
      <c r="H56" s="21"/>
      <c r="I56" s="21"/>
      <c r="J56" s="21"/>
      <c r="K56" s="21"/>
      <c r="L56" s="21"/>
      <c r="M56" s="21"/>
      <c r="N56" s="21"/>
      <c r="O56" s="21"/>
      <c r="P56" s="21"/>
      <c r="Q56" s="21"/>
      <c r="R56" s="21"/>
      <c r="S56" s="21"/>
      <c r="T56" s="21"/>
      <c r="U56" s="21"/>
      <c r="V56" s="21"/>
      <c r="W56" s="21"/>
      <c r="X56" s="21"/>
      <c r="Y56" s="21"/>
      <c r="Z56" s="21"/>
      <c r="AA56" s="21"/>
      <c r="AB56" s="19"/>
      <c r="AC56" s="21"/>
      <c r="AD56" s="21"/>
      <c r="AE56" s="21"/>
      <c r="AF56" s="21"/>
      <c r="AG56" s="21"/>
      <c r="AH56" s="19"/>
      <c r="AI56" s="210"/>
      <c r="AJ56" s="210"/>
      <c r="AK56" s="210"/>
      <c r="AL56" s="210"/>
      <c r="AM56" s="210"/>
      <c r="AN56" s="210"/>
    </row>
    <row r="57" spans="1:40" ht="15" thickBot="1">
      <c r="A57" s="62"/>
      <c r="B57" s="33"/>
      <c r="C57" s="63"/>
      <c r="D57" s="64"/>
      <c r="E57" s="65"/>
      <c r="F57" s="42"/>
      <c r="G57" s="42"/>
      <c r="H57" s="42"/>
      <c r="I57" s="42"/>
      <c r="J57" s="42"/>
      <c r="K57" s="42"/>
      <c r="L57" s="42"/>
      <c r="M57" s="42"/>
      <c r="N57" s="42"/>
      <c r="O57" s="42"/>
      <c r="P57" s="42"/>
      <c r="Q57" s="42"/>
      <c r="R57" s="42"/>
      <c r="S57" s="42"/>
      <c r="T57" s="42"/>
      <c r="U57" s="42"/>
      <c r="V57" s="42"/>
      <c r="W57" s="42"/>
      <c r="X57" s="42"/>
      <c r="Y57" s="42"/>
      <c r="Z57" s="42"/>
      <c r="AA57" s="42"/>
      <c r="AB57" s="36"/>
      <c r="AC57" s="42"/>
      <c r="AD57" s="42"/>
      <c r="AE57" s="42"/>
      <c r="AF57" s="42"/>
      <c r="AG57" s="42"/>
      <c r="AH57" s="36"/>
      <c r="AI57" s="210"/>
      <c r="AJ57" s="210"/>
      <c r="AK57" s="210"/>
      <c r="AL57" s="210"/>
      <c r="AM57" s="210"/>
      <c r="AN57" s="210"/>
    </row>
    <row r="58" spans="1:40" ht="14.25">
      <c r="A58" s="21"/>
      <c r="B58" s="21"/>
      <c r="C58" s="66"/>
      <c r="D58" s="67"/>
      <c r="E58" s="55"/>
      <c r="F58" s="21"/>
      <c r="G58" s="21"/>
      <c r="H58" s="21"/>
      <c r="I58" s="21"/>
      <c r="J58" s="21"/>
      <c r="K58" s="21"/>
      <c r="L58" s="21"/>
      <c r="M58" s="21"/>
      <c r="N58" s="21"/>
      <c r="O58" s="21"/>
      <c r="P58" s="21"/>
      <c r="Q58" s="21"/>
      <c r="R58" s="21"/>
      <c r="S58" s="21"/>
      <c r="T58" s="21"/>
      <c r="U58" s="21"/>
      <c r="V58" s="21"/>
      <c r="W58" s="21"/>
      <c r="X58" s="21"/>
      <c r="Y58" s="21"/>
      <c r="Z58" s="21"/>
      <c r="AA58" s="21"/>
      <c r="AB58" s="21"/>
      <c r="AC58" s="5"/>
      <c r="AD58" s="5"/>
      <c r="AE58" s="5"/>
      <c r="AF58" s="5"/>
      <c r="AG58" s="5"/>
      <c r="AH58" s="5"/>
      <c r="AI58" s="210"/>
      <c r="AJ58" s="210"/>
      <c r="AK58" s="210"/>
      <c r="AL58" s="210"/>
      <c r="AM58" s="210"/>
      <c r="AN58" s="210"/>
    </row>
    <row r="59" spans="1:40"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210"/>
      <c r="AJ59" s="210"/>
      <c r="AK59" s="210"/>
      <c r="AL59" s="210"/>
      <c r="AM59" s="210"/>
      <c r="AN59" s="210"/>
    </row>
    <row r="60" spans="1:40"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210"/>
      <c r="AJ60" s="210"/>
      <c r="AK60" s="210"/>
      <c r="AL60" s="210"/>
      <c r="AM60" s="210"/>
      <c r="AN60" s="210"/>
    </row>
    <row r="61" spans="1:34"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4"/>
  <headerFooter alignWithMargins="0">
    <oddHeader>&amp;LUpdated Feasibility Study for Metolong Dam - Financial and Economic Analysis&amp;RDecember 2006</oddHeader>
    <oddFooter>&amp;L&amp;F, &amp;A&amp;C&amp;P of &amp;N&amp;R&amp;D</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6"/>
  <dimension ref="A1:AW237"/>
  <sheetViews>
    <sheetView zoomScale="75" zoomScaleNormal="75" workbookViewId="0" topLeftCell="A1">
      <selection activeCell="A6" sqref="A6:IV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311" customFormat="1" ht="12.75">
      <c r="G1" s="312" t="s">
        <v>209</v>
      </c>
    </row>
    <row r="2" spans="1:4" s="311" customFormat="1" ht="39" customHeight="1">
      <c r="A2" s="371" t="s">
        <v>4</v>
      </c>
      <c r="B2" s="371"/>
      <c r="C2" s="371"/>
      <c r="D2" s="371"/>
    </row>
    <row r="3" ht="12.75">
      <c r="A3" s="165" t="s">
        <v>10</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 t="s">
        <v>34</v>
      </c>
      <c r="B9" s="8"/>
      <c r="C9" s="9">
        <v>0.05</v>
      </c>
      <c r="D9" s="10" t="s">
        <v>35</v>
      </c>
      <c r="E9" s="11"/>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ht="14.25">
      <c r="A10" s="15"/>
      <c r="B10" s="16"/>
      <c r="C10" s="17"/>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15"/>
      <c r="B11" s="16"/>
      <c r="C11" s="22"/>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15"/>
      <c r="B12" s="16" t="s">
        <v>38</v>
      </c>
      <c r="C12" s="28">
        <f>D56</f>
        <v>8.247748480096943</v>
      </c>
      <c r="D12" s="29" t="s">
        <v>93</v>
      </c>
      <c r="E12" s="19"/>
      <c r="F12" s="5"/>
      <c r="G12" s="5"/>
      <c r="H12" s="30">
        <f aca="true" t="shared" si="0" ref="H12:H20">C31</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
      <c r="B13" s="16"/>
      <c r="C13" s="22"/>
      <c r="D13" s="23"/>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5" thickBot="1">
      <c r="A14" s="32"/>
      <c r="B14" s="33"/>
      <c r="C14" s="34"/>
      <c r="D14" s="35"/>
      <c r="E14" s="36"/>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c r="C15"/>
      <c r="D15"/>
      <c r="E15"/>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c r="B16"/>
      <c r="C16"/>
      <c r="D16"/>
      <c r="E16"/>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c r="B17" s="119" t="s">
        <v>90</v>
      </c>
      <c r="C17" s="125">
        <f>'AIC Maseru'!C17</f>
        <v>0.12</v>
      </c>
      <c r="D17"/>
      <c r="E17"/>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4.25">
      <c r="A18"/>
      <c r="B18" s="119" t="s">
        <v>91</v>
      </c>
      <c r="C18" s="125">
        <f>'AIC Maseru'!C18</f>
        <v>0.1</v>
      </c>
      <c r="D18"/>
      <c r="E18"/>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1" ht="15.75">
      <c r="A19"/>
      <c r="B19" s="37" t="s">
        <v>40</v>
      </c>
      <c r="C19" s="126">
        <f>'AIC Maseru'!C19</f>
        <v>1000</v>
      </c>
      <c r="D19"/>
      <c r="E19"/>
      <c r="F19" s="5"/>
      <c r="G19" s="5"/>
      <c r="H19" s="30">
        <f t="shared" si="0"/>
        <v>8</v>
      </c>
      <c r="I19" s="31" t="s">
        <v>19</v>
      </c>
      <c r="J19" s="21"/>
      <c r="K19" s="21"/>
      <c r="L19" s="21"/>
      <c r="M19" s="19"/>
      <c r="N19" s="5"/>
      <c r="O19" s="5"/>
      <c r="P19" s="5"/>
      <c r="Q19" s="5"/>
      <c r="R19" s="5"/>
      <c r="S19" s="5"/>
      <c r="T19" s="5"/>
      <c r="U19" s="5"/>
      <c r="V19" s="5"/>
      <c r="W19" s="5"/>
      <c r="Y19" s="38" t="s">
        <v>41</v>
      </c>
      <c r="Z19" s="38" t="s">
        <v>92</v>
      </c>
      <c r="AA19" s="39">
        <f>C19</f>
        <v>1000</v>
      </c>
      <c r="AB19" s="38"/>
      <c r="AD19" s="1"/>
      <c r="AE19" s="1"/>
    </row>
    <row r="20" spans="1:34" ht="14.25">
      <c r="A20"/>
      <c r="B20" s="37" t="s">
        <v>40</v>
      </c>
      <c r="C20" s="126">
        <f>'AIC Maseru'!C20</f>
        <v>365</v>
      </c>
      <c r="D20"/>
      <c r="E20"/>
      <c r="F20" s="5"/>
      <c r="G20" s="5"/>
      <c r="H20" s="30">
        <f t="shared" si="0"/>
        <v>9</v>
      </c>
      <c r="I20" s="31" t="s">
        <v>20</v>
      </c>
      <c r="J20" s="21"/>
      <c r="K20" s="21"/>
      <c r="L20" s="206">
        <f>E26</f>
        <v>2007</v>
      </c>
      <c r="M20" s="207">
        <f>F26</f>
        <v>2008</v>
      </c>
      <c r="N20" s="5"/>
      <c r="O20" s="5"/>
      <c r="P20" s="5"/>
      <c r="Q20" s="5"/>
      <c r="R20" s="5"/>
      <c r="S20" s="5"/>
      <c r="T20" s="5"/>
      <c r="U20" s="5"/>
      <c r="V20" s="5"/>
      <c r="W20" s="5"/>
      <c r="X20" s="5"/>
      <c r="Y20" s="5"/>
      <c r="Z20" s="5"/>
      <c r="AA20" s="5"/>
      <c r="AB20" s="5"/>
      <c r="AC20" s="5"/>
      <c r="AD20" s="5"/>
      <c r="AE20" s="5"/>
      <c r="AF20" s="5"/>
      <c r="AG20" s="5"/>
      <c r="AH20" s="5"/>
    </row>
    <row r="21" spans="1:34" ht="15" thickBot="1">
      <c r="A21"/>
      <c r="B21"/>
      <c r="C21"/>
      <c r="D21"/>
      <c r="E21"/>
      <c r="F21" s="5"/>
      <c r="G21" s="5"/>
      <c r="H21" s="40"/>
      <c r="I21" s="41"/>
      <c r="J21" s="42"/>
      <c r="K21" s="42"/>
      <c r="L21" s="208">
        <v>0.5</v>
      </c>
      <c r="M21" s="209">
        <v>0.5</v>
      </c>
      <c r="N21" s="5"/>
      <c r="O21" s="5"/>
      <c r="P21" s="5"/>
      <c r="Q21" s="5"/>
      <c r="R21" s="5"/>
      <c r="S21" s="5"/>
      <c r="T21" s="5"/>
      <c r="U21" s="5"/>
      <c r="V21" s="5"/>
      <c r="W21" s="5"/>
      <c r="X21" s="5"/>
      <c r="Y21" s="5"/>
      <c r="Z21" s="5"/>
      <c r="AA21" s="5"/>
      <c r="AB21" s="5"/>
      <c r="AC21" s="5"/>
      <c r="AD21" s="5"/>
      <c r="AE21" s="5"/>
      <c r="AF21" s="5"/>
      <c r="AG21" s="5"/>
      <c r="AH21" s="5"/>
    </row>
    <row r="22" spans="1:34"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210"/>
      <c r="AJ23" s="210"/>
      <c r="AK23" s="210"/>
      <c r="AL23" s="210"/>
      <c r="AM23" s="210"/>
    </row>
    <row r="24" spans="1:39" ht="14.25">
      <c r="A24" s="12"/>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c r="AI24" s="210"/>
      <c r="AJ24" s="210"/>
      <c r="AK24" s="210"/>
      <c r="AL24" s="210"/>
      <c r="AM24" s="210"/>
    </row>
    <row r="25" spans="1:39"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c r="AI25" s="210"/>
      <c r="AJ25" s="210"/>
      <c r="AK25" s="210"/>
      <c r="AL25" s="210"/>
      <c r="AM25" s="210"/>
    </row>
    <row r="26" spans="1:49"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39" ht="14.25">
      <c r="A27" s="15" t="s">
        <v>83</v>
      </c>
      <c r="B27" s="16"/>
      <c r="C27" s="29" t="s">
        <v>85</v>
      </c>
      <c r="D27" s="16"/>
      <c r="E27" s="92">
        <v>0</v>
      </c>
      <c r="F27" s="92">
        <v>0</v>
      </c>
      <c r="G27" s="92">
        <v>0</v>
      </c>
      <c r="H27" s="92">
        <v>0</v>
      </c>
      <c r="I27" s="92">
        <v>221.38338013013606</v>
      </c>
      <c r="J27" s="92">
        <v>228.54770575279767</v>
      </c>
      <c r="K27" s="92">
        <v>235.83317954989948</v>
      </c>
      <c r="L27" s="92">
        <v>243.24150805236803</v>
      </c>
      <c r="M27" s="92">
        <v>250.774419806931</v>
      </c>
      <c r="N27" s="92">
        <v>258.68954056226085</v>
      </c>
      <c r="O27" s="92">
        <v>266.7484502694114</v>
      </c>
      <c r="P27" s="92">
        <v>274.95335455571126</v>
      </c>
      <c r="Q27" s="92">
        <v>283.306490173827</v>
      </c>
      <c r="R27" s="92">
        <v>291.8101254196402</v>
      </c>
      <c r="S27" s="92">
        <v>300.7637579448237</v>
      </c>
      <c r="T27" s="92">
        <v>309.8902569925512</v>
      </c>
      <c r="U27" s="92">
        <v>319.1924820362802</v>
      </c>
      <c r="V27" s="92">
        <v>328.6733362840517</v>
      </c>
      <c r="W27" s="92">
        <v>338.3357673163565</v>
      </c>
      <c r="X27" s="92">
        <v>348.5268218513248</v>
      </c>
      <c r="Y27" s="92">
        <v>358.925665059526</v>
      </c>
      <c r="Z27" s="92">
        <v>369.5359771582475</v>
      </c>
      <c r="AA27" s="92">
        <v>380.36149893414057</v>
      </c>
      <c r="AB27" s="93">
        <v>391.40603269606737</v>
      </c>
      <c r="AC27" s="92">
        <v>403.0709491094562</v>
      </c>
      <c r="AD27" s="92">
        <v>414.98576760001134</v>
      </c>
      <c r="AE27" s="92">
        <v>427.15519910227664</v>
      </c>
      <c r="AF27" s="92">
        <v>439.58403747615574</v>
      </c>
      <c r="AG27" s="92">
        <v>452.2771609054795</v>
      </c>
      <c r="AH27" s="93">
        <v>465.2395333194789</v>
      </c>
      <c r="AI27" s="210"/>
      <c r="AJ27" s="210"/>
      <c r="AK27" s="210"/>
      <c r="AL27" s="210"/>
      <c r="AM27" s="210"/>
    </row>
    <row r="28" spans="1:39" ht="14.25">
      <c r="A28" s="15"/>
      <c r="B28" s="16" t="s">
        <v>84</v>
      </c>
      <c r="C28" s="53">
        <f>C9</f>
        <v>0.05</v>
      </c>
      <c r="D28" s="54">
        <f>NPV(C28,E27:AH27)</f>
        <v>3611.2870524118066</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c r="AI28" s="210"/>
      <c r="AJ28" s="210"/>
      <c r="AK28" s="210"/>
      <c r="AL28" s="210"/>
      <c r="AM28" s="210"/>
    </row>
    <row r="29" spans="1:39" ht="14.25">
      <c r="A29" s="15"/>
      <c r="B29" s="16"/>
      <c r="C29" s="29"/>
      <c r="D29" s="16"/>
      <c r="E29" s="21"/>
      <c r="F29" s="21"/>
      <c r="G29" s="21" t="s">
        <v>87</v>
      </c>
      <c r="H29" s="55"/>
      <c r="I29" s="55"/>
      <c r="J29" s="55"/>
      <c r="K29" s="55"/>
      <c r="L29" s="55"/>
      <c r="M29" s="55"/>
      <c r="N29" s="55"/>
      <c r="O29" s="55"/>
      <c r="P29" s="55"/>
      <c r="Q29" s="55"/>
      <c r="R29" s="55"/>
      <c r="S29" s="55"/>
      <c r="T29" s="55"/>
      <c r="U29" s="55"/>
      <c r="V29" s="55"/>
      <c r="W29" s="55"/>
      <c r="X29" s="55"/>
      <c r="Y29" s="55"/>
      <c r="Z29" s="55"/>
      <c r="AA29" s="55"/>
      <c r="AB29" s="56"/>
      <c r="AC29" s="55"/>
      <c r="AD29" s="55"/>
      <c r="AE29" s="55"/>
      <c r="AF29" s="55"/>
      <c r="AG29" s="55"/>
      <c r="AH29" s="56"/>
      <c r="AI29" s="210"/>
      <c r="AJ29" s="210"/>
      <c r="AK29" s="210"/>
      <c r="AL29" s="210"/>
      <c r="AM29" s="210"/>
    </row>
    <row r="30" spans="1:39" ht="14.25">
      <c r="A30" s="48"/>
      <c r="B30" s="16"/>
      <c r="C30" s="29" t="s">
        <v>86</v>
      </c>
      <c r="D30" s="29" t="s">
        <v>43</v>
      </c>
      <c r="E30" s="203">
        <f>'AIC Maseru'!E30</f>
        <v>0</v>
      </c>
      <c r="F30" s="203">
        <f>'AIC Maseru'!F30</f>
        <v>0.1</v>
      </c>
      <c r="G30" s="203">
        <f>'AIC Maseru'!G30</f>
        <v>0.4</v>
      </c>
      <c r="H30" s="203">
        <f>'AIC Maseru'!H30</f>
        <v>0.5</v>
      </c>
      <c r="I30" s="203">
        <f>'AIC Maseru'!I30</f>
        <v>0</v>
      </c>
      <c r="J30" s="203">
        <f>'AIC Maseru'!J30</f>
        <v>0</v>
      </c>
      <c r="K30" s="21"/>
      <c r="L30" s="21"/>
      <c r="M30" s="21"/>
      <c r="N30" s="21"/>
      <c r="O30" s="21"/>
      <c r="P30" s="21"/>
      <c r="Q30" s="21"/>
      <c r="R30" s="21"/>
      <c r="S30" s="21"/>
      <c r="T30" s="21"/>
      <c r="U30" s="21"/>
      <c r="V30" s="21"/>
      <c r="W30" s="21"/>
      <c r="X30" s="21"/>
      <c r="Y30" s="21"/>
      <c r="Z30" s="21"/>
      <c r="AA30" s="21"/>
      <c r="AB30" s="19"/>
      <c r="AC30" s="21"/>
      <c r="AD30" s="21"/>
      <c r="AE30" s="21"/>
      <c r="AF30" s="21"/>
      <c r="AG30" s="21"/>
      <c r="AH30" s="19"/>
      <c r="AI30" s="210"/>
      <c r="AJ30" s="210"/>
      <c r="AK30" s="210"/>
      <c r="AL30" s="210"/>
      <c r="AM30" s="210"/>
    </row>
    <row r="31" spans="1:39" ht="14.25">
      <c r="A31" s="15" t="s">
        <v>44</v>
      </c>
      <c r="B31" s="57" t="s">
        <v>78</v>
      </c>
      <c r="C31" s="58">
        <v>1</v>
      </c>
      <c r="D31" s="144">
        <f aca="true" t="shared" si="2" ref="D31:D39">SUM(E31:AG31)</f>
        <v>14510.772427602893</v>
      </c>
      <c r="E31" s="92">
        <v>0</v>
      </c>
      <c r="F31" s="92">
        <v>1451.0772427602892</v>
      </c>
      <c r="G31" s="92">
        <v>5804.308971041157</v>
      </c>
      <c r="H31" s="92">
        <v>7255.3862138014465</v>
      </c>
      <c r="I31" s="92">
        <v>0</v>
      </c>
      <c r="J31" s="92">
        <v>0</v>
      </c>
      <c r="K31" s="92"/>
      <c r="L31" s="92"/>
      <c r="M31" s="92"/>
      <c r="N31" s="92"/>
      <c r="O31" s="92"/>
      <c r="P31" s="92"/>
      <c r="Q31" s="92"/>
      <c r="R31" s="92"/>
      <c r="S31" s="92"/>
      <c r="T31" s="92"/>
      <c r="U31" s="92"/>
      <c r="V31" s="92"/>
      <c r="W31" s="92"/>
      <c r="X31" s="92"/>
      <c r="Y31" s="92"/>
      <c r="Z31" s="92"/>
      <c r="AA31" s="92"/>
      <c r="AB31" s="93"/>
      <c r="AC31" s="92"/>
      <c r="AD31" s="92"/>
      <c r="AE31" s="92"/>
      <c r="AF31" s="92"/>
      <c r="AG31" s="92"/>
      <c r="AH31" s="93"/>
      <c r="AI31" s="210"/>
      <c r="AJ31" s="210"/>
      <c r="AK31" s="210"/>
      <c r="AL31" s="210"/>
      <c r="AM31" s="210"/>
    </row>
    <row r="32" spans="1:39" ht="14.25">
      <c r="A32" s="48"/>
      <c r="B32" s="16"/>
      <c r="C32" s="58">
        <f aca="true" t="shared" si="3" ref="C32:C39">C31+1</f>
        <v>2</v>
      </c>
      <c r="D32" s="144">
        <f t="shared" si="2"/>
        <v>0</v>
      </c>
      <c r="E32" s="332">
        <v>0</v>
      </c>
      <c r="F32" s="332">
        <v>0</v>
      </c>
      <c r="G32" s="332">
        <v>0</v>
      </c>
      <c r="H32" s="332">
        <v>0</v>
      </c>
      <c r="I32" s="332">
        <v>0</v>
      </c>
      <c r="J32" s="332">
        <v>0</v>
      </c>
      <c r="K32" s="92"/>
      <c r="L32" s="92"/>
      <c r="M32" s="92"/>
      <c r="N32" s="92"/>
      <c r="O32" s="92"/>
      <c r="P32" s="92"/>
      <c r="Q32" s="92"/>
      <c r="R32" s="92"/>
      <c r="S32" s="92"/>
      <c r="T32" s="92"/>
      <c r="U32" s="92"/>
      <c r="V32" s="92"/>
      <c r="W32" s="92"/>
      <c r="X32" s="92"/>
      <c r="Y32" s="92"/>
      <c r="Z32" s="92"/>
      <c r="AA32" s="92"/>
      <c r="AB32" s="93"/>
      <c r="AC32" s="92"/>
      <c r="AD32" s="92"/>
      <c r="AE32" s="92"/>
      <c r="AF32" s="92"/>
      <c r="AG32" s="92"/>
      <c r="AH32" s="93"/>
      <c r="AI32" s="210"/>
      <c r="AJ32" s="210"/>
      <c r="AK32" s="210"/>
      <c r="AL32" s="210"/>
      <c r="AM32" s="210"/>
    </row>
    <row r="33" spans="1:39" ht="14.25">
      <c r="A33" s="48"/>
      <c r="B33" s="16"/>
      <c r="C33" s="58">
        <f t="shared" si="3"/>
        <v>3</v>
      </c>
      <c r="D33" s="144">
        <f t="shared" si="2"/>
        <v>538.9645082684331</v>
      </c>
      <c r="E33" s="92">
        <v>0</v>
      </c>
      <c r="F33" s="92">
        <v>53.896450826843314</v>
      </c>
      <c r="G33" s="92">
        <v>215.58580330737325</v>
      </c>
      <c r="H33" s="92">
        <v>269.48225413421653</v>
      </c>
      <c r="I33" s="92">
        <v>0</v>
      </c>
      <c r="J33" s="92">
        <v>0</v>
      </c>
      <c r="K33" s="92"/>
      <c r="L33" s="92"/>
      <c r="M33" s="92"/>
      <c r="N33" s="92"/>
      <c r="O33" s="92"/>
      <c r="P33" s="92"/>
      <c r="Q33" s="92"/>
      <c r="R33" s="92"/>
      <c r="S33" s="92"/>
      <c r="T33" s="92"/>
      <c r="U33" s="92"/>
      <c r="V33" s="92"/>
      <c r="W33" s="92"/>
      <c r="X33" s="92"/>
      <c r="Y33" s="92"/>
      <c r="Z33" s="92"/>
      <c r="AA33" s="92"/>
      <c r="AB33" s="93"/>
      <c r="AC33" s="92"/>
      <c r="AD33" s="92"/>
      <c r="AE33" s="92"/>
      <c r="AF33" s="92"/>
      <c r="AG33" s="92"/>
      <c r="AH33" s="93"/>
      <c r="AI33" s="210"/>
      <c r="AJ33" s="210"/>
      <c r="AK33" s="210"/>
      <c r="AL33" s="210"/>
      <c r="AM33" s="210"/>
    </row>
    <row r="34" spans="1:39" ht="14.25">
      <c r="A34" s="48"/>
      <c r="B34" s="16"/>
      <c r="C34" s="58">
        <f t="shared" si="3"/>
        <v>4</v>
      </c>
      <c r="D34" s="144">
        <f t="shared" si="2"/>
        <v>5863.582051443305</v>
      </c>
      <c r="E34" s="92">
        <v>0</v>
      </c>
      <c r="F34" s="92">
        <v>195.45273504811016</v>
      </c>
      <c r="G34" s="92">
        <v>781.8109401924406</v>
      </c>
      <c r="H34" s="92">
        <v>977.2636752405507</v>
      </c>
      <c r="I34" s="92">
        <v>0</v>
      </c>
      <c r="J34" s="92">
        <v>0</v>
      </c>
      <c r="K34" s="92"/>
      <c r="L34" s="92"/>
      <c r="M34" s="92"/>
      <c r="N34" s="92"/>
      <c r="O34" s="92"/>
      <c r="P34" s="92"/>
      <c r="Q34" s="92">
        <f>SUM(E34:J34)</f>
        <v>1954.5273504811016</v>
      </c>
      <c r="R34" s="92"/>
      <c r="S34" s="92"/>
      <c r="T34" s="92"/>
      <c r="U34" s="92"/>
      <c r="V34" s="92"/>
      <c r="W34" s="92"/>
      <c r="X34" s="92"/>
      <c r="Y34" s="92"/>
      <c r="Z34" s="92"/>
      <c r="AA34" s="92">
        <f>SUM(E34:J34)</f>
        <v>1954.5273504811016</v>
      </c>
      <c r="AB34" s="93"/>
      <c r="AC34" s="92"/>
      <c r="AD34" s="92"/>
      <c r="AE34" s="92"/>
      <c r="AF34" s="92"/>
      <c r="AG34" s="92"/>
      <c r="AH34" s="93"/>
      <c r="AI34" s="210"/>
      <c r="AJ34" s="210"/>
      <c r="AK34" s="210"/>
      <c r="AL34" s="210"/>
      <c r="AM34" s="210"/>
    </row>
    <row r="35" spans="1:39" ht="14.25">
      <c r="A35" s="48"/>
      <c r="B35" s="16"/>
      <c r="C35" s="58">
        <f t="shared" si="3"/>
        <v>5</v>
      </c>
      <c r="D35" s="144">
        <f t="shared" si="2"/>
        <v>3830.056725680385</v>
      </c>
      <c r="E35" s="92">
        <v>0</v>
      </c>
      <c r="F35" s="92">
        <v>383.00567256803856</v>
      </c>
      <c r="G35" s="92">
        <v>1532.0226902721543</v>
      </c>
      <c r="H35" s="92">
        <v>1915.0283628401926</v>
      </c>
      <c r="I35" s="92">
        <v>0</v>
      </c>
      <c r="J35" s="92">
        <v>0</v>
      </c>
      <c r="K35" s="92"/>
      <c r="L35" s="92"/>
      <c r="M35" s="92"/>
      <c r="N35" s="92"/>
      <c r="O35" s="92"/>
      <c r="P35" s="92"/>
      <c r="Q35" s="92"/>
      <c r="R35" s="92"/>
      <c r="S35" s="92"/>
      <c r="T35" s="92"/>
      <c r="U35" s="92"/>
      <c r="V35" s="92"/>
      <c r="W35" s="92"/>
      <c r="X35" s="92"/>
      <c r="Y35" s="92"/>
      <c r="Z35" s="92"/>
      <c r="AA35" s="92"/>
      <c r="AB35" s="93"/>
      <c r="AC35" s="92"/>
      <c r="AD35" s="92"/>
      <c r="AE35" s="92"/>
      <c r="AF35" s="92"/>
      <c r="AG35" s="92"/>
      <c r="AH35" s="93"/>
      <c r="AI35" s="210"/>
      <c r="AJ35" s="210"/>
      <c r="AK35" s="210"/>
      <c r="AL35" s="210"/>
      <c r="AM35" s="210"/>
    </row>
    <row r="36" spans="1:39" ht="14.25">
      <c r="A36" s="48"/>
      <c r="B36" s="16"/>
      <c r="C36" s="58">
        <f t="shared" si="3"/>
        <v>6</v>
      </c>
      <c r="D36" s="144">
        <f t="shared" si="2"/>
        <v>626.9408599942874</v>
      </c>
      <c r="E36" s="92">
        <v>0</v>
      </c>
      <c r="F36" s="92">
        <v>20.898028666476243</v>
      </c>
      <c r="G36" s="92">
        <v>83.59211466590497</v>
      </c>
      <c r="H36" s="92">
        <v>104.49014333238121</v>
      </c>
      <c r="I36" s="92">
        <v>0</v>
      </c>
      <c r="J36" s="92">
        <v>0</v>
      </c>
      <c r="K36" s="92"/>
      <c r="L36" s="92"/>
      <c r="M36" s="92"/>
      <c r="N36" s="92"/>
      <c r="O36" s="92"/>
      <c r="P36" s="92"/>
      <c r="Q36" s="92">
        <f>SUM(E36:J36)</f>
        <v>208.98028666476245</v>
      </c>
      <c r="R36" s="92"/>
      <c r="S36" s="92"/>
      <c r="T36" s="92"/>
      <c r="U36" s="92"/>
      <c r="V36" s="92"/>
      <c r="W36" s="92"/>
      <c r="X36" s="92"/>
      <c r="Y36" s="92"/>
      <c r="Z36" s="92"/>
      <c r="AA36" s="92">
        <f>SUM(E36:J36)</f>
        <v>208.98028666476245</v>
      </c>
      <c r="AB36" s="93"/>
      <c r="AC36" s="92"/>
      <c r="AD36" s="92"/>
      <c r="AE36" s="92"/>
      <c r="AF36" s="92"/>
      <c r="AG36" s="92"/>
      <c r="AH36" s="93"/>
      <c r="AI36" s="210"/>
      <c r="AJ36" s="210"/>
      <c r="AK36" s="210"/>
      <c r="AL36" s="210"/>
      <c r="AM36" s="210"/>
    </row>
    <row r="37" spans="1:39" ht="14.25">
      <c r="A37" s="48"/>
      <c r="B37" s="16"/>
      <c r="C37" s="58">
        <f t="shared" si="3"/>
        <v>7</v>
      </c>
      <c r="D37" s="144">
        <f t="shared" si="2"/>
        <v>802.9731822491856</v>
      </c>
      <c r="E37" s="92">
        <v>0</v>
      </c>
      <c r="F37" s="92">
        <v>80.29731822491856</v>
      </c>
      <c r="G37" s="92">
        <v>321.1892728996742</v>
      </c>
      <c r="H37" s="92">
        <v>401.4865911245928</v>
      </c>
      <c r="I37" s="92">
        <v>0</v>
      </c>
      <c r="J37" s="92">
        <v>0</v>
      </c>
      <c r="K37" s="92"/>
      <c r="L37" s="92"/>
      <c r="M37" s="92"/>
      <c r="N37" s="92"/>
      <c r="O37" s="92"/>
      <c r="P37" s="92"/>
      <c r="Q37" s="92"/>
      <c r="R37" s="92"/>
      <c r="S37" s="92"/>
      <c r="T37" s="92"/>
      <c r="U37" s="92"/>
      <c r="V37" s="92"/>
      <c r="W37" s="92"/>
      <c r="X37" s="92"/>
      <c r="Y37" s="92"/>
      <c r="Z37" s="92"/>
      <c r="AA37" s="92"/>
      <c r="AB37" s="93"/>
      <c r="AC37" s="92"/>
      <c r="AD37" s="92"/>
      <c r="AE37" s="92"/>
      <c r="AF37" s="92"/>
      <c r="AG37" s="92"/>
      <c r="AH37" s="93"/>
      <c r="AI37" s="210"/>
      <c r="AJ37" s="210"/>
      <c r="AK37" s="210"/>
      <c r="AL37" s="210"/>
      <c r="AM37" s="210"/>
    </row>
    <row r="38" spans="1:39" ht="14.25">
      <c r="A38" s="48"/>
      <c r="B38" s="16"/>
      <c r="C38" s="58">
        <f t="shared" si="3"/>
        <v>8</v>
      </c>
      <c r="D38" s="144">
        <f t="shared" si="2"/>
        <v>4742.313861742603</v>
      </c>
      <c r="E38" s="92">
        <v>0</v>
      </c>
      <c r="F38" s="92">
        <v>158.07712872475344</v>
      </c>
      <c r="G38" s="92">
        <v>632.3085148990137</v>
      </c>
      <c r="H38" s="92">
        <v>790.3856436237671</v>
      </c>
      <c r="I38" s="92">
        <v>0</v>
      </c>
      <c r="J38" s="92">
        <v>0</v>
      </c>
      <c r="K38" s="92"/>
      <c r="L38" s="92"/>
      <c r="M38" s="92"/>
      <c r="N38" s="92"/>
      <c r="O38" s="92"/>
      <c r="P38" s="92"/>
      <c r="Q38" s="92">
        <f>SUM(E38:J38)</f>
        <v>1580.7712872475345</v>
      </c>
      <c r="R38" s="92"/>
      <c r="S38" s="92"/>
      <c r="T38" s="92"/>
      <c r="U38" s="92"/>
      <c r="V38" s="92"/>
      <c r="W38" s="92"/>
      <c r="X38" s="92"/>
      <c r="Y38" s="92"/>
      <c r="Z38" s="92"/>
      <c r="AA38" s="92">
        <f>SUM(E38:J38)</f>
        <v>1580.7712872475345</v>
      </c>
      <c r="AB38" s="93"/>
      <c r="AC38" s="92"/>
      <c r="AD38" s="92"/>
      <c r="AE38" s="92"/>
      <c r="AF38" s="92"/>
      <c r="AG38" s="92"/>
      <c r="AH38" s="93"/>
      <c r="AI38" s="210"/>
      <c r="AJ38" s="210"/>
      <c r="AK38" s="210"/>
      <c r="AL38" s="210"/>
      <c r="AM38" s="210"/>
    </row>
    <row r="39" spans="1:39" ht="14.25">
      <c r="A39" s="48"/>
      <c r="B39" s="16"/>
      <c r="C39" s="58">
        <f t="shared" si="3"/>
        <v>9</v>
      </c>
      <c r="D39" s="144">
        <f t="shared" si="2"/>
        <v>3622.9948611959762</v>
      </c>
      <c r="E39" s="92">
        <v>1811.4974305979881</v>
      </c>
      <c r="F39" s="92">
        <v>1811.4974305979881</v>
      </c>
      <c r="G39" s="92">
        <v>0</v>
      </c>
      <c r="H39" s="92">
        <v>0</v>
      </c>
      <c r="I39" s="92">
        <v>0</v>
      </c>
      <c r="J39" s="92">
        <v>0</v>
      </c>
      <c r="K39" s="92"/>
      <c r="L39" s="92"/>
      <c r="M39" s="92"/>
      <c r="N39" s="92"/>
      <c r="O39" s="92"/>
      <c r="P39" s="92"/>
      <c r="Q39" s="92"/>
      <c r="R39" s="92"/>
      <c r="S39" s="92"/>
      <c r="T39" s="92"/>
      <c r="U39" s="92"/>
      <c r="V39" s="92"/>
      <c r="W39" s="92"/>
      <c r="X39" s="92"/>
      <c r="Y39" s="92"/>
      <c r="Z39" s="92"/>
      <c r="AA39" s="92"/>
      <c r="AB39" s="93"/>
      <c r="AC39" s="92"/>
      <c r="AD39" s="92"/>
      <c r="AE39" s="92"/>
      <c r="AF39" s="92"/>
      <c r="AG39" s="92"/>
      <c r="AH39" s="93"/>
      <c r="AI39" s="210"/>
      <c r="AJ39" s="210"/>
      <c r="AK39" s="210"/>
      <c r="AL39" s="210"/>
      <c r="AM39" s="210"/>
    </row>
    <row r="40" spans="1:39" ht="14.25">
      <c r="A40" s="48"/>
      <c r="B40" s="16"/>
      <c r="C40" s="58"/>
      <c r="D40" s="144"/>
      <c r="E40" s="92"/>
      <c r="F40" s="92"/>
      <c r="G40" s="92"/>
      <c r="H40" s="92"/>
      <c r="I40" s="92"/>
      <c r="J40" s="92"/>
      <c r="K40" s="92"/>
      <c r="L40" s="92"/>
      <c r="M40" s="92"/>
      <c r="N40" s="92"/>
      <c r="O40" s="92"/>
      <c r="P40" s="92"/>
      <c r="Q40" s="92"/>
      <c r="R40" s="92"/>
      <c r="S40" s="92"/>
      <c r="T40" s="92"/>
      <c r="U40" s="92"/>
      <c r="V40" s="92"/>
      <c r="W40" s="92"/>
      <c r="X40" s="92"/>
      <c r="Y40" s="92"/>
      <c r="Z40" s="92"/>
      <c r="AA40" s="92"/>
      <c r="AB40" s="93"/>
      <c r="AC40" s="92"/>
      <c r="AD40" s="92"/>
      <c r="AE40" s="92"/>
      <c r="AF40" s="92"/>
      <c r="AG40" s="92"/>
      <c r="AH40" s="93"/>
      <c r="AI40" s="210"/>
      <c r="AJ40" s="210"/>
      <c r="AK40" s="210"/>
      <c r="AL40" s="210"/>
      <c r="AM40" s="210"/>
    </row>
    <row r="41" spans="1:39" ht="14.25">
      <c r="A41" s="48"/>
      <c r="B41" s="16"/>
      <c r="C41" s="29"/>
      <c r="D41" s="144">
        <f>SUM(D31:D39)</f>
        <v>34538.59847817707</v>
      </c>
      <c r="E41" s="92"/>
      <c r="F41" s="92"/>
      <c r="G41" s="92"/>
      <c r="H41" s="92"/>
      <c r="I41" s="92"/>
      <c r="J41" s="92"/>
      <c r="K41" s="92"/>
      <c r="L41" s="92"/>
      <c r="M41" s="92"/>
      <c r="N41" s="92"/>
      <c r="O41" s="92"/>
      <c r="P41" s="92"/>
      <c r="Q41" s="92"/>
      <c r="R41" s="92"/>
      <c r="S41" s="92"/>
      <c r="T41" s="92"/>
      <c r="U41" s="92"/>
      <c r="V41" s="92"/>
      <c r="W41" s="92"/>
      <c r="X41" s="92"/>
      <c r="Y41" s="92"/>
      <c r="Z41" s="92"/>
      <c r="AA41" s="92"/>
      <c r="AB41" s="93"/>
      <c r="AC41" s="92"/>
      <c r="AD41" s="92"/>
      <c r="AE41" s="92"/>
      <c r="AF41" s="92"/>
      <c r="AG41" s="92"/>
      <c r="AH41" s="93"/>
      <c r="AI41" s="210"/>
      <c r="AJ41" s="210"/>
      <c r="AK41" s="210"/>
      <c r="AL41" s="210"/>
      <c r="AM41" s="210"/>
    </row>
    <row r="42" spans="1:39" ht="14.25">
      <c r="A42" s="48"/>
      <c r="B42" s="57"/>
      <c r="C42" s="29"/>
      <c r="D42" s="145"/>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c r="AI42" s="210"/>
      <c r="AJ42" s="210"/>
      <c r="AK42" s="210"/>
      <c r="AL42" s="210"/>
      <c r="AM42" s="210"/>
    </row>
    <row r="43" spans="1:39" ht="14.25">
      <c r="A43" s="48"/>
      <c r="B43" s="16"/>
      <c r="C43" s="29"/>
      <c r="D43" s="145"/>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c r="AI43" s="210"/>
      <c r="AJ43" s="210"/>
      <c r="AK43" s="210"/>
      <c r="AL43" s="210"/>
      <c r="AM43" s="210"/>
    </row>
    <row r="44" spans="1:39" ht="14.25">
      <c r="A44" s="48"/>
      <c r="B44" s="57" t="s">
        <v>79</v>
      </c>
      <c r="C44" s="29"/>
      <c r="D44" s="145"/>
      <c r="E44" s="92">
        <f aca="true" t="shared" si="4" ref="E44:AH44">SUM(E45:E52)</f>
        <v>0</v>
      </c>
      <c r="F44" s="92">
        <f t="shared" si="4"/>
        <v>0</v>
      </c>
      <c r="G44" s="92">
        <f t="shared" si="4"/>
        <v>0</v>
      </c>
      <c r="H44" s="92">
        <f t="shared" si="4"/>
        <v>0</v>
      </c>
      <c r="I44" s="92">
        <f t="shared" si="4"/>
        <v>287.6768093189589</v>
      </c>
      <c r="J44" s="92">
        <f t="shared" si="4"/>
        <v>279.66756737681794</v>
      </c>
      <c r="K44" s="92">
        <f t="shared" si="4"/>
        <v>273.6623636836313</v>
      </c>
      <c r="L44" s="92">
        <f t="shared" si="4"/>
        <v>269.2054190306776</v>
      </c>
      <c r="M44" s="92">
        <f t="shared" si="4"/>
        <v>265.9829239008883</v>
      </c>
      <c r="N44" s="92">
        <f t="shared" si="4"/>
        <v>264.4771874875935</v>
      </c>
      <c r="O44" s="92">
        <f t="shared" si="4"/>
        <v>263.72266176854737</v>
      </c>
      <c r="P44" s="92">
        <f t="shared" si="4"/>
        <v>263.6262946605739</v>
      </c>
      <c r="Q44" s="92">
        <f t="shared" si="4"/>
        <v>264.11954385724704</v>
      </c>
      <c r="R44" s="92">
        <f t="shared" si="4"/>
        <v>265.1522808127641</v>
      </c>
      <c r="S44" s="92">
        <f t="shared" si="4"/>
        <v>267.19830774895917</v>
      </c>
      <c r="T44" s="92">
        <f t="shared" si="4"/>
        <v>269.6767496789386</v>
      </c>
      <c r="U44" s="92">
        <f t="shared" si="4"/>
        <v>272.5777480581789</v>
      </c>
      <c r="V44" s="92">
        <f t="shared" si="4"/>
        <v>275.8972575404022</v>
      </c>
      <c r="W44" s="92">
        <f t="shared" si="4"/>
        <v>279.63627540519224</v>
      </c>
      <c r="X44" s="92">
        <f t="shared" si="4"/>
        <v>284.0244149024753</v>
      </c>
      <c r="Y44" s="92">
        <f t="shared" si="4"/>
        <v>289.276540099571</v>
      </c>
      <c r="Z44" s="92">
        <f t="shared" si="4"/>
        <v>294.8662474012939</v>
      </c>
      <c r="AA44" s="92">
        <f t="shared" si="4"/>
        <v>302.7271535338509</v>
      </c>
      <c r="AB44" s="93">
        <f t="shared" si="4"/>
        <v>310.3032583056424</v>
      </c>
      <c r="AC44" s="92">
        <f t="shared" si="4"/>
        <v>318.42420996164276</v>
      </c>
      <c r="AD44" s="92">
        <f t="shared" si="4"/>
        <v>326.8487743903007</v>
      </c>
      <c r="AE44" s="92">
        <f t="shared" si="4"/>
        <v>335.5919961352329</v>
      </c>
      <c r="AF44" s="92">
        <f t="shared" si="4"/>
        <v>344.66979422219214</v>
      </c>
      <c r="AG44" s="92">
        <f t="shared" si="4"/>
        <v>354.0990142122545</v>
      </c>
      <c r="AH44" s="93">
        <f t="shared" si="4"/>
        <v>360.1281531457729</v>
      </c>
      <c r="AI44" s="210"/>
      <c r="AJ44" s="210"/>
      <c r="AK44" s="210"/>
      <c r="AL44" s="210"/>
      <c r="AM44" s="210"/>
    </row>
    <row r="45" spans="1:39" ht="14.25">
      <c r="A45" s="48"/>
      <c r="B45" s="16" t="s">
        <v>21</v>
      </c>
      <c r="C45" s="29" t="s">
        <v>80</v>
      </c>
      <c r="D45" s="145"/>
      <c r="E45" s="142">
        <v>0</v>
      </c>
      <c r="F45" s="142">
        <v>0</v>
      </c>
      <c r="G45" s="142">
        <v>0</v>
      </c>
      <c r="H45" s="142">
        <v>0</v>
      </c>
      <c r="I45" s="142">
        <v>40.11835943407109</v>
      </c>
      <c r="J45" s="142">
        <v>41.96280399389439</v>
      </c>
      <c r="K45" s="142">
        <v>43.911568431375194</v>
      </c>
      <c r="L45" s="92">
        <v>45.9734784719851</v>
      </c>
      <c r="M45" s="92">
        <v>48.15821787834151</v>
      </c>
      <c r="N45" s="92">
        <v>50.51112213432676</v>
      </c>
      <c r="O45" s="92">
        <v>53.00707838241183</v>
      </c>
      <c r="P45" s="92">
        <v>55.657790140496516</v>
      </c>
      <c r="Q45" s="92">
        <v>58.47600402674645</v>
      </c>
      <c r="R45" s="92">
        <v>61.47560712719271</v>
      </c>
      <c r="S45" s="92">
        <v>64.70095868847528</v>
      </c>
      <c r="T45" s="92">
        <v>68.13455666251716</v>
      </c>
      <c r="U45" s="92">
        <v>71.79281259775931</v>
      </c>
      <c r="V45" s="92">
        <v>75.69349593642377</v>
      </c>
      <c r="W45" s="92">
        <v>79.85585015275473</v>
      </c>
      <c r="X45" s="92">
        <v>84.42021320761225</v>
      </c>
      <c r="Y45" s="92">
        <v>89.02443977687378</v>
      </c>
      <c r="Z45" s="92">
        <v>93.93535731933157</v>
      </c>
      <c r="AA45" s="92">
        <v>99.14558366118584</v>
      </c>
      <c r="AB45" s="93">
        <v>103.37306963284034</v>
      </c>
      <c r="AC45" s="92">
        <v>107.95730717796059</v>
      </c>
      <c r="AD45" s="92">
        <v>112.76938908288989</v>
      </c>
      <c r="AE45" s="92">
        <v>117.82293157165077</v>
      </c>
      <c r="AF45" s="92">
        <v>123.13240020806262</v>
      </c>
      <c r="AG45" s="92">
        <v>128.71316152489285</v>
      </c>
      <c r="AH45" s="93">
        <v>130.81220753683183</v>
      </c>
      <c r="AI45" s="210"/>
      <c r="AJ45" s="210"/>
      <c r="AK45" s="210"/>
      <c r="AL45" s="210"/>
      <c r="AM45" s="210"/>
    </row>
    <row r="46" spans="1:39" ht="14.25">
      <c r="A46" s="48"/>
      <c r="B46" s="16" t="s">
        <v>22</v>
      </c>
      <c r="C46" s="29" t="s">
        <v>80</v>
      </c>
      <c r="D46" s="145"/>
      <c r="E46" s="142">
        <v>0</v>
      </c>
      <c r="F46" s="142">
        <v>0</v>
      </c>
      <c r="G46" s="142">
        <v>0</v>
      </c>
      <c r="H46" s="142">
        <v>0</v>
      </c>
      <c r="I46" s="142">
        <v>88.43155577095287</v>
      </c>
      <c r="J46" s="142">
        <v>84.57081852560654</v>
      </c>
      <c r="K46" s="142">
        <v>81.5703184235303</v>
      </c>
      <c r="L46" s="92">
        <v>79.22208907891446</v>
      </c>
      <c r="M46" s="92">
        <v>77.38137017097688</v>
      </c>
      <c r="N46" s="92">
        <v>76.26376065353375</v>
      </c>
      <c r="O46" s="92">
        <v>75.4296413671892</v>
      </c>
      <c r="P46" s="92">
        <v>74.83226211377672</v>
      </c>
      <c r="Q46" s="92">
        <v>74.4353858968817</v>
      </c>
      <c r="R46" s="92">
        <v>74.21051491748194</v>
      </c>
      <c r="S46" s="92">
        <v>74.37310569984182</v>
      </c>
      <c r="T46" s="92">
        <v>74.64943976508714</v>
      </c>
      <c r="U46" s="92">
        <v>75.02797127520375</v>
      </c>
      <c r="V46" s="92">
        <v>75.4991533117809</v>
      </c>
      <c r="W46" s="92">
        <v>76.0550407646685</v>
      </c>
      <c r="X46" s="92">
        <v>76.76239658146808</v>
      </c>
      <c r="Y46" s="92">
        <v>77.85491124598941</v>
      </c>
      <c r="Z46" s="92">
        <v>78.97757794961561</v>
      </c>
      <c r="AA46" s="92">
        <v>81.0000649957889</v>
      </c>
      <c r="AB46" s="93">
        <v>83.35205896750044</v>
      </c>
      <c r="AC46" s="92">
        <v>85.83616682358641</v>
      </c>
      <c r="AD46" s="92">
        <v>88.37349269608515</v>
      </c>
      <c r="AE46" s="92">
        <v>90.96503980431645</v>
      </c>
      <c r="AF46" s="92">
        <v>93.61182902700975</v>
      </c>
      <c r="AG46" s="92">
        <v>96.31489920013686</v>
      </c>
      <c r="AH46" s="93">
        <v>99.07530741962222</v>
      </c>
      <c r="AI46" s="210"/>
      <c r="AJ46" s="210"/>
      <c r="AK46" s="210"/>
      <c r="AL46" s="210"/>
      <c r="AM46" s="210"/>
    </row>
    <row r="47" spans="1:39" ht="14.25">
      <c r="A47" s="48"/>
      <c r="B47" s="16" t="s">
        <v>23</v>
      </c>
      <c r="C47" s="29" t="s">
        <v>80</v>
      </c>
      <c r="D47" s="145"/>
      <c r="E47" s="142">
        <v>0</v>
      </c>
      <c r="F47" s="142">
        <v>0</v>
      </c>
      <c r="G47" s="142">
        <v>0</v>
      </c>
      <c r="H47" s="142">
        <v>0</v>
      </c>
      <c r="I47" s="142">
        <v>159.12689411393492</v>
      </c>
      <c r="J47" s="142">
        <v>153.133944857317</v>
      </c>
      <c r="K47" s="142">
        <v>148.18047682872583</v>
      </c>
      <c r="L47" s="92">
        <v>144.00985147977804</v>
      </c>
      <c r="M47" s="92">
        <v>140.44333585156988</v>
      </c>
      <c r="N47" s="92">
        <v>137.70230469973293</v>
      </c>
      <c r="O47" s="92">
        <v>135.28594201894632</v>
      </c>
      <c r="P47" s="92">
        <v>133.13624240630062</v>
      </c>
      <c r="Q47" s="92">
        <v>131.2081539336189</v>
      </c>
      <c r="R47" s="92">
        <v>129.46615876808946</v>
      </c>
      <c r="S47" s="92">
        <v>128.12424336064208</v>
      </c>
      <c r="T47" s="92">
        <v>126.89275325133434</v>
      </c>
      <c r="U47" s="92">
        <v>125.75696418521581</v>
      </c>
      <c r="V47" s="92">
        <v>124.70460829219756</v>
      </c>
      <c r="W47" s="92">
        <v>123.72538448776903</v>
      </c>
      <c r="X47" s="92">
        <v>122.84180511339497</v>
      </c>
      <c r="Y47" s="92">
        <v>122.39718907670779</v>
      </c>
      <c r="Z47" s="92">
        <v>121.95331213234671</v>
      </c>
      <c r="AA47" s="92">
        <v>122.58150487687617</v>
      </c>
      <c r="AB47" s="93">
        <v>123.57812970530158</v>
      </c>
      <c r="AC47" s="92">
        <v>124.63073596009578</v>
      </c>
      <c r="AD47" s="92">
        <v>125.7058926113257</v>
      </c>
      <c r="AE47" s="92">
        <v>126.80402475926564</v>
      </c>
      <c r="AF47" s="92">
        <v>127.92556498711977</v>
      </c>
      <c r="AG47" s="92">
        <v>129.07095348722473</v>
      </c>
      <c r="AH47" s="93">
        <v>130.24063818931887</v>
      </c>
      <c r="AI47" s="210"/>
      <c r="AJ47" s="210"/>
      <c r="AK47" s="210"/>
      <c r="AL47" s="210"/>
      <c r="AM47" s="210"/>
    </row>
    <row r="48" spans="1:39" ht="14.25">
      <c r="A48" s="48"/>
      <c r="B48" s="16" t="s">
        <v>24</v>
      </c>
      <c r="C48" s="29" t="s">
        <v>80</v>
      </c>
      <c r="D48" s="145"/>
      <c r="E48" s="142"/>
      <c r="F48" s="142"/>
      <c r="G48" s="142"/>
      <c r="H48" s="142"/>
      <c r="I48" s="142"/>
      <c r="J48" s="142"/>
      <c r="K48" s="142"/>
      <c r="L48" s="92"/>
      <c r="M48" s="92"/>
      <c r="N48" s="92"/>
      <c r="O48" s="92"/>
      <c r="P48" s="92"/>
      <c r="Q48" s="92"/>
      <c r="R48" s="92"/>
      <c r="S48" s="92"/>
      <c r="T48" s="92"/>
      <c r="U48" s="92"/>
      <c r="V48" s="92"/>
      <c r="W48" s="92"/>
      <c r="X48" s="92"/>
      <c r="Y48" s="92"/>
      <c r="Z48" s="92"/>
      <c r="AA48" s="92"/>
      <c r="AB48" s="93"/>
      <c r="AC48" s="92"/>
      <c r="AD48" s="92"/>
      <c r="AE48" s="92"/>
      <c r="AF48" s="92"/>
      <c r="AG48" s="92"/>
      <c r="AH48" s="93"/>
      <c r="AI48" s="210"/>
      <c r="AJ48" s="210"/>
      <c r="AK48" s="210"/>
      <c r="AL48" s="210"/>
      <c r="AM48" s="210"/>
    </row>
    <row r="49" spans="1:39" ht="14.25">
      <c r="A49" s="48"/>
      <c r="B49" s="16" t="s">
        <v>25</v>
      </c>
      <c r="C49" s="29" t="s">
        <v>80</v>
      </c>
      <c r="D49" s="145"/>
      <c r="E49" s="142"/>
      <c r="F49" s="142"/>
      <c r="G49" s="142"/>
      <c r="H49" s="142"/>
      <c r="I49" s="142"/>
      <c r="J49" s="142"/>
      <c r="K49" s="142"/>
      <c r="L49" s="92"/>
      <c r="M49" s="92"/>
      <c r="N49" s="92"/>
      <c r="O49" s="92"/>
      <c r="P49" s="92"/>
      <c r="Q49" s="92"/>
      <c r="R49" s="92"/>
      <c r="S49" s="92"/>
      <c r="T49" s="92"/>
      <c r="U49" s="92"/>
      <c r="V49" s="92"/>
      <c r="W49" s="92"/>
      <c r="X49" s="92"/>
      <c r="Y49" s="92"/>
      <c r="Z49" s="92"/>
      <c r="AA49" s="92"/>
      <c r="AB49" s="93"/>
      <c r="AC49" s="92"/>
      <c r="AD49" s="92"/>
      <c r="AE49" s="92"/>
      <c r="AF49" s="92"/>
      <c r="AG49" s="92"/>
      <c r="AH49" s="93"/>
      <c r="AI49" s="210"/>
      <c r="AJ49" s="210"/>
      <c r="AK49" s="210"/>
      <c r="AL49" s="210"/>
      <c r="AM49" s="210"/>
    </row>
    <row r="50" spans="1:39" ht="14.25">
      <c r="A50" s="48"/>
      <c r="B50" s="16" t="s">
        <v>132</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c r="AI50" s="210"/>
      <c r="AJ50" s="210"/>
      <c r="AK50" s="210"/>
      <c r="AL50" s="210"/>
      <c r="AM50" s="210"/>
    </row>
    <row r="51" spans="1:39" ht="14.25">
      <c r="A51" s="48"/>
      <c r="B51" s="16" t="str">
        <f>B50</f>
        <v>Others</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c r="AI51" s="210"/>
      <c r="AJ51" s="210"/>
      <c r="AK51" s="210"/>
      <c r="AL51" s="210"/>
      <c r="AM51" s="210"/>
    </row>
    <row r="52" spans="1:39" ht="14.25">
      <c r="A52" s="48"/>
      <c r="B52" s="16" t="str">
        <f>B51</f>
        <v>Others</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c r="AI52" s="210"/>
      <c r="AJ52" s="210"/>
      <c r="AK52" s="210"/>
      <c r="AL52" s="210"/>
      <c r="AM52" s="210"/>
    </row>
    <row r="53" spans="1:39" ht="14.25">
      <c r="A53" s="48"/>
      <c r="B53" s="16"/>
      <c r="C53" s="29"/>
      <c r="D53" s="145"/>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c r="AI53" s="210"/>
      <c r="AJ53" s="210"/>
      <c r="AK53" s="210"/>
      <c r="AL53" s="210"/>
      <c r="AM53" s="210"/>
    </row>
    <row r="54" spans="1:39" ht="14.25">
      <c r="A54" s="48"/>
      <c r="B54" s="16" t="s">
        <v>45</v>
      </c>
      <c r="C54" s="53">
        <f>C9</f>
        <v>0.05</v>
      </c>
      <c r="D54" s="147">
        <f>NPV(C54,E54:AH54)</f>
        <v>29784.987297723248</v>
      </c>
      <c r="E54" s="92">
        <f aca="true" t="shared" si="5" ref="E54:AH54">E44+SUM(E31:E39)</f>
        <v>1811.4974305979881</v>
      </c>
      <c r="F54" s="92">
        <f t="shared" si="5"/>
        <v>4154.202007417418</v>
      </c>
      <c r="G54" s="92">
        <f t="shared" si="5"/>
        <v>9370.81830727772</v>
      </c>
      <c r="H54" s="92">
        <f t="shared" si="5"/>
        <v>11713.522884097147</v>
      </c>
      <c r="I54" s="92">
        <f t="shared" si="5"/>
        <v>287.6768093189589</v>
      </c>
      <c r="J54" s="92">
        <f t="shared" si="5"/>
        <v>279.66756737681794</v>
      </c>
      <c r="K54" s="92">
        <f t="shared" si="5"/>
        <v>273.6623636836313</v>
      </c>
      <c r="L54" s="92">
        <f t="shared" si="5"/>
        <v>269.2054190306776</v>
      </c>
      <c r="M54" s="92">
        <f t="shared" si="5"/>
        <v>265.9829239008883</v>
      </c>
      <c r="N54" s="92">
        <f t="shared" si="5"/>
        <v>264.4771874875935</v>
      </c>
      <c r="O54" s="92">
        <f t="shared" si="5"/>
        <v>263.72266176854737</v>
      </c>
      <c r="P54" s="92">
        <f t="shared" si="5"/>
        <v>263.6262946605739</v>
      </c>
      <c r="Q54" s="92">
        <f t="shared" si="5"/>
        <v>4008.3984682506457</v>
      </c>
      <c r="R54" s="92">
        <f t="shared" si="5"/>
        <v>265.1522808127641</v>
      </c>
      <c r="S54" s="92">
        <f t="shared" si="5"/>
        <v>267.19830774895917</v>
      </c>
      <c r="T54" s="92">
        <f t="shared" si="5"/>
        <v>269.6767496789386</v>
      </c>
      <c r="U54" s="92">
        <f t="shared" si="5"/>
        <v>272.5777480581789</v>
      </c>
      <c r="V54" s="92">
        <f t="shared" si="5"/>
        <v>275.8972575404022</v>
      </c>
      <c r="W54" s="92">
        <f t="shared" si="5"/>
        <v>279.63627540519224</v>
      </c>
      <c r="X54" s="92">
        <f t="shared" si="5"/>
        <v>284.0244149024753</v>
      </c>
      <c r="Y54" s="92">
        <f t="shared" si="5"/>
        <v>289.276540099571</v>
      </c>
      <c r="Z54" s="92">
        <f t="shared" si="5"/>
        <v>294.8662474012939</v>
      </c>
      <c r="AA54" s="92">
        <f t="shared" si="5"/>
        <v>4047.0060779272494</v>
      </c>
      <c r="AB54" s="93">
        <f t="shared" si="5"/>
        <v>310.3032583056424</v>
      </c>
      <c r="AC54" s="92">
        <f t="shared" si="5"/>
        <v>318.42420996164276</v>
      </c>
      <c r="AD54" s="92">
        <f t="shared" si="5"/>
        <v>326.8487743903007</v>
      </c>
      <c r="AE54" s="92">
        <f t="shared" si="5"/>
        <v>335.5919961352329</v>
      </c>
      <c r="AF54" s="92">
        <f t="shared" si="5"/>
        <v>344.66979422219214</v>
      </c>
      <c r="AG54" s="92">
        <f t="shared" si="5"/>
        <v>354.0990142122545</v>
      </c>
      <c r="AH54" s="93">
        <f t="shared" si="5"/>
        <v>360.1281531457729</v>
      </c>
      <c r="AI54" s="210"/>
      <c r="AJ54" s="210"/>
      <c r="AK54" s="210"/>
      <c r="AL54" s="210"/>
      <c r="AM54" s="210"/>
    </row>
    <row r="55" spans="1:39" ht="14.25">
      <c r="A55" s="48"/>
      <c r="B55" s="16" t="s">
        <v>82</v>
      </c>
      <c r="C55" s="53"/>
      <c r="D55" s="60"/>
      <c r="E55" s="123">
        <f aca="true" t="shared" si="6" ref="E55:AH55">IF(E44=0,0,E44/E27)</f>
        <v>0</v>
      </c>
      <c r="F55" s="123">
        <f t="shared" si="6"/>
        <v>0</v>
      </c>
      <c r="G55" s="123">
        <f t="shared" si="6"/>
        <v>0</v>
      </c>
      <c r="H55" s="123">
        <f t="shared" si="6"/>
        <v>0</v>
      </c>
      <c r="I55" s="123">
        <f t="shared" si="6"/>
        <v>1.2994507950409533</v>
      </c>
      <c r="J55" s="123">
        <f t="shared" si="6"/>
        <v>1.2236726089883074</v>
      </c>
      <c r="K55" s="123">
        <f t="shared" si="6"/>
        <v>1.1604065390880576</v>
      </c>
      <c r="L55" s="123">
        <f t="shared" si="6"/>
        <v>1.1067412843564501</v>
      </c>
      <c r="M55" s="123">
        <f t="shared" si="6"/>
        <v>1.0606461540442051</v>
      </c>
      <c r="N55" s="123">
        <f t="shared" si="6"/>
        <v>1.0223729452406665</v>
      </c>
      <c r="O55" s="123">
        <f t="shared" si="6"/>
        <v>0.9886567719594694</v>
      </c>
      <c r="P55" s="123">
        <f t="shared" si="6"/>
        <v>0.9588037035829571</v>
      </c>
      <c r="Q55" s="123">
        <f t="shared" si="6"/>
        <v>0.9322749496320839</v>
      </c>
      <c r="R55" s="123">
        <f t="shared" si="6"/>
        <v>0.9086466085830965</v>
      </c>
      <c r="S55" s="123">
        <f t="shared" si="6"/>
        <v>0.8883992857875441</v>
      </c>
      <c r="T55" s="123">
        <f t="shared" si="6"/>
        <v>0.8702330699135882</v>
      </c>
      <c r="U55" s="123">
        <f t="shared" si="6"/>
        <v>0.8539604263837174</v>
      </c>
      <c r="V55" s="123">
        <f t="shared" si="6"/>
        <v>0.8394269540074939</v>
      </c>
      <c r="W55" s="123">
        <f t="shared" si="6"/>
        <v>0.8265052129227648</v>
      </c>
      <c r="X55" s="123">
        <f t="shared" si="6"/>
        <v>0.8149284275849362</v>
      </c>
      <c r="Y55" s="123">
        <f t="shared" si="6"/>
        <v>0.8059511153976574</v>
      </c>
      <c r="Z55" s="123">
        <f t="shared" si="6"/>
        <v>0.7979365085609038</v>
      </c>
      <c r="AA55" s="123">
        <f t="shared" si="6"/>
        <v>0.7958932604434499</v>
      </c>
      <c r="AB55" s="124">
        <f t="shared" si="6"/>
        <v>0.7927911998908752</v>
      </c>
      <c r="AC55" s="123">
        <f t="shared" si="6"/>
        <v>0.7899954354566319</v>
      </c>
      <c r="AD55" s="123">
        <f t="shared" si="6"/>
        <v>0.787614419358443</v>
      </c>
      <c r="AE55" s="123">
        <f t="shared" si="6"/>
        <v>0.785644180008868</v>
      </c>
      <c r="AF55" s="123">
        <f t="shared" si="6"/>
        <v>0.7840816882275622</v>
      </c>
      <c r="AG55" s="123">
        <f t="shared" si="6"/>
        <v>0.7829248187180889</v>
      </c>
      <c r="AH55" s="124">
        <f t="shared" si="6"/>
        <v>0.7740704032098531</v>
      </c>
      <c r="AI55" s="210"/>
      <c r="AJ55" s="210"/>
      <c r="AK55" s="210"/>
      <c r="AL55" s="210"/>
      <c r="AM55" s="210"/>
    </row>
    <row r="56" spans="1:39" ht="14.25">
      <c r="A56" s="48"/>
      <c r="B56" s="16" t="s">
        <v>46</v>
      </c>
      <c r="C56" s="29" t="s">
        <v>93</v>
      </c>
      <c r="D56" s="61">
        <f>D54/D28</f>
        <v>8.247748480096943</v>
      </c>
      <c r="E56" s="21"/>
      <c r="F56" s="21"/>
      <c r="G56" s="21"/>
      <c r="H56" s="21"/>
      <c r="I56" s="21"/>
      <c r="J56" s="21"/>
      <c r="K56" s="21"/>
      <c r="L56" s="21"/>
      <c r="M56" s="21"/>
      <c r="N56" s="21"/>
      <c r="O56" s="21"/>
      <c r="P56" s="21"/>
      <c r="Q56" s="21"/>
      <c r="R56" s="21"/>
      <c r="S56" s="21"/>
      <c r="T56" s="21"/>
      <c r="U56" s="21"/>
      <c r="V56" s="21"/>
      <c r="W56" s="21"/>
      <c r="X56" s="21"/>
      <c r="Y56" s="21"/>
      <c r="Z56" s="21"/>
      <c r="AA56" s="21"/>
      <c r="AB56" s="19"/>
      <c r="AC56" s="21"/>
      <c r="AD56" s="21"/>
      <c r="AE56" s="21"/>
      <c r="AF56" s="21"/>
      <c r="AG56" s="21"/>
      <c r="AH56" s="19"/>
      <c r="AI56" s="210"/>
      <c r="AJ56" s="210"/>
      <c r="AK56" s="210"/>
      <c r="AL56" s="210"/>
      <c r="AM56" s="210"/>
    </row>
    <row r="57" spans="1:39" ht="15" thickBot="1">
      <c r="A57" s="62"/>
      <c r="B57" s="33"/>
      <c r="C57" s="63"/>
      <c r="D57" s="64"/>
      <c r="E57" s="65"/>
      <c r="F57" s="42"/>
      <c r="G57" s="42"/>
      <c r="H57" s="42"/>
      <c r="I57" s="42"/>
      <c r="J57" s="42"/>
      <c r="K57" s="42"/>
      <c r="L57" s="42"/>
      <c r="M57" s="42"/>
      <c r="N57" s="42"/>
      <c r="O57" s="42"/>
      <c r="P57" s="42"/>
      <c r="Q57" s="42"/>
      <c r="R57" s="42"/>
      <c r="S57" s="42"/>
      <c r="T57" s="42"/>
      <c r="U57" s="42"/>
      <c r="V57" s="42"/>
      <c r="W57" s="42"/>
      <c r="X57" s="42"/>
      <c r="Y57" s="42"/>
      <c r="Z57" s="42"/>
      <c r="AA57" s="42"/>
      <c r="AB57" s="36"/>
      <c r="AC57" s="42"/>
      <c r="AD57" s="42"/>
      <c r="AE57" s="42"/>
      <c r="AF57" s="42"/>
      <c r="AG57" s="42"/>
      <c r="AH57" s="36"/>
      <c r="AI57" s="210"/>
      <c r="AJ57" s="210"/>
      <c r="AK57" s="210"/>
      <c r="AL57" s="210"/>
      <c r="AM57" s="210"/>
    </row>
    <row r="58" spans="1:39" ht="14.25">
      <c r="A58" s="21"/>
      <c r="B58" s="21"/>
      <c r="C58" s="66"/>
      <c r="D58" s="67"/>
      <c r="E58" s="55"/>
      <c r="F58" s="21"/>
      <c r="G58" s="21"/>
      <c r="H58" s="21"/>
      <c r="I58" s="21"/>
      <c r="J58" s="21"/>
      <c r="K58" s="21"/>
      <c r="L58" s="21"/>
      <c r="M58" s="21"/>
      <c r="N58" s="21"/>
      <c r="O58" s="21"/>
      <c r="P58" s="21"/>
      <c r="Q58" s="21"/>
      <c r="R58" s="21"/>
      <c r="S58" s="21"/>
      <c r="T58" s="21"/>
      <c r="U58" s="21"/>
      <c r="V58" s="21"/>
      <c r="W58" s="21"/>
      <c r="X58" s="21"/>
      <c r="Y58" s="21"/>
      <c r="Z58" s="21"/>
      <c r="AA58" s="21"/>
      <c r="AB58" s="21"/>
      <c r="AC58" s="5"/>
      <c r="AD58" s="5"/>
      <c r="AE58" s="5"/>
      <c r="AF58" s="5"/>
      <c r="AG58" s="5"/>
      <c r="AH58" s="5"/>
      <c r="AI58" s="210"/>
      <c r="AJ58" s="210"/>
      <c r="AK58" s="210"/>
      <c r="AL58" s="210"/>
      <c r="AM58" s="210"/>
    </row>
    <row r="59" spans="1:39"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210"/>
      <c r="AJ59" s="210"/>
      <c r="AK59" s="210"/>
      <c r="AL59" s="210"/>
      <c r="AM59" s="210"/>
    </row>
    <row r="60" spans="1:39"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210"/>
      <c r="AJ60" s="210"/>
      <c r="AK60" s="210"/>
      <c r="AL60" s="210"/>
      <c r="AM60" s="210"/>
    </row>
    <row r="61" spans="1:39"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210"/>
      <c r="AJ61" s="210"/>
      <c r="AK61" s="210"/>
      <c r="AL61" s="210"/>
      <c r="AM61" s="210"/>
    </row>
    <row r="62" spans="1:39"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210"/>
      <c r="AJ62" s="210"/>
      <c r="AK62" s="210"/>
      <c r="AL62" s="210"/>
      <c r="AM62" s="210"/>
    </row>
    <row r="63" spans="1:39"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210"/>
      <c r="AJ63" s="210"/>
      <c r="AK63" s="210"/>
      <c r="AL63" s="210"/>
      <c r="AM63" s="210"/>
    </row>
    <row r="64" spans="1:39"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210"/>
      <c r="AJ64" s="210"/>
      <c r="AK64" s="210"/>
      <c r="AL64" s="210"/>
      <c r="AM64" s="210"/>
    </row>
    <row r="65" spans="1:39"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210"/>
      <c r="AJ65" s="210"/>
      <c r="AK65" s="210"/>
      <c r="AL65" s="210"/>
      <c r="AM65" s="210"/>
    </row>
    <row r="66" spans="1:39"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210"/>
      <c r="AJ66" s="210"/>
      <c r="AK66" s="210"/>
      <c r="AL66" s="210"/>
      <c r="AM66" s="210"/>
    </row>
    <row r="67" spans="1:39"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210"/>
      <c r="AJ67" s="210"/>
      <c r="AK67" s="210"/>
      <c r="AL67" s="210"/>
      <c r="AM67" s="210"/>
    </row>
    <row r="68" spans="1:39"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210"/>
      <c r="AJ68" s="210"/>
      <c r="AK68" s="210"/>
      <c r="AL68" s="210"/>
      <c r="AM68" s="210"/>
    </row>
    <row r="69" spans="1:39"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210"/>
      <c r="AJ69" s="210"/>
      <c r="AK69" s="210"/>
      <c r="AL69" s="210"/>
      <c r="AM69" s="210"/>
    </row>
    <row r="70" spans="1:39"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210"/>
      <c r="AJ70" s="210"/>
      <c r="AK70" s="210"/>
      <c r="AL70" s="210"/>
      <c r="AM70" s="210"/>
    </row>
    <row r="71" spans="1:39"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210"/>
      <c r="AJ71" s="210"/>
      <c r="AK71" s="210"/>
      <c r="AL71" s="210"/>
      <c r="AM71" s="210"/>
    </row>
    <row r="72" spans="1:39"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210"/>
      <c r="AJ72" s="210"/>
      <c r="AK72" s="210"/>
      <c r="AL72" s="210"/>
      <c r="AM72" s="210"/>
    </row>
    <row r="73" spans="1:39"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210"/>
      <c r="AJ73" s="210"/>
      <c r="AK73" s="210"/>
      <c r="AL73" s="210"/>
      <c r="AM73" s="210"/>
    </row>
    <row r="74" spans="1:39"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210"/>
      <c r="AJ74" s="210"/>
      <c r="AK74" s="210"/>
      <c r="AL74" s="210"/>
      <c r="AM74" s="210"/>
    </row>
    <row r="75" spans="1:39"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210"/>
      <c r="AJ75" s="210"/>
      <c r="AK75" s="210"/>
      <c r="AL75" s="210"/>
      <c r="AM75" s="210"/>
    </row>
    <row r="76" spans="1:39"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210"/>
      <c r="AJ76" s="210"/>
      <c r="AK76" s="210"/>
      <c r="AL76" s="210"/>
      <c r="AM76" s="210"/>
    </row>
    <row r="77" spans="1:39"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210"/>
      <c r="AJ77" s="210"/>
      <c r="AK77" s="210"/>
      <c r="AL77" s="210"/>
      <c r="AM77" s="210"/>
    </row>
    <row r="78" spans="1:39"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210"/>
      <c r="AJ78" s="210"/>
      <c r="AK78" s="210"/>
      <c r="AL78" s="210"/>
      <c r="AM78" s="210"/>
    </row>
    <row r="79" spans="1:39"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210"/>
      <c r="AJ79" s="210"/>
      <c r="AK79" s="210"/>
      <c r="AL79" s="210"/>
      <c r="AM79" s="210"/>
    </row>
    <row r="80" spans="1:39"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210"/>
      <c r="AJ80" s="210"/>
      <c r="AK80" s="210"/>
      <c r="AL80" s="210"/>
      <c r="AM80" s="210"/>
    </row>
    <row r="81" spans="1:39"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210"/>
      <c r="AJ81" s="210"/>
      <c r="AK81" s="210"/>
      <c r="AL81" s="210"/>
      <c r="AM81" s="210"/>
    </row>
    <row r="82" spans="1:39"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210"/>
      <c r="AJ82" s="210"/>
      <c r="AK82" s="210"/>
      <c r="AL82" s="210"/>
      <c r="AM82" s="210"/>
    </row>
    <row r="83" spans="1:39"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210"/>
      <c r="AJ83" s="210"/>
      <c r="AK83" s="210"/>
      <c r="AL83" s="210"/>
      <c r="AM83" s="210"/>
    </row>
    <row r="84" spans="1:39"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210"/>
      <c r="AJ84" s="210"/>
      <c r="AK84" s="210"/>
      <c r="AL84" s="210"/>
      <c r="AM84" s="210"/>
    </row>
    <row r="85" spans="1:39"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210"/>
      <c r="AJ85" s="210"/>
      <c r="AK85" s="210"/>
      <c r="AL85" s="210"/>
      <c r="AM85" s="210"/>
    </row>
    <row r="86" spans="1:39"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210"/>
      <c r="AJ86" s="210"/>
      <c r="AK86" s="210"/>
      <c r="AL86" s="210"/>
      <c r="AM86" s="210"/>
    </row>
    <row r="87" spans="1:39"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210"/>
      <c r="AJ87" s="210"/>
      <c r="AK87" s="210"/>
      <c r="AL87" s="210"/>
      <c r="AM87" s="210"/>
    </row>
    <row r="88" spans="1:39"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210"/>
      <c r="AJ88" s="210"/>
      <c r="AK88" s="210"/>
      <c r="AL88" s="210"/>
      <c r="AM88" s="210"/>
    </row>
    <row r="89" spans="1:39"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210"/>
      <c r="AJ89" s="210"/>
      <c r="AK89" s="210"/>
      <c r="AL89" s="210"/>
      <c r="AM89" s="210"/>
    </row>
    <row r="90" spans="1:39"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210"/>
      <c r="AJ90" s="210"/>
      <c r="AK90" s="210"/>
      <c r="AL90" s="210"/>
      <c r="AM90" s="210"/>
    </row>
    <row r="91" spans="1:39"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210"/>
      <c r="AJ91" s="210"/>
      <c r="AK91" s="210"/>
      <c r="AL91" s="210"/>
      <c r="AM91" s="210"/>
    </row>
    <row r="92" spans="1:39"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210"/>
      <c r="AJ92" s="210"/>
      <c r="AK92" s="210"/>
      <c r="AL92" s="210"/>
      <c r="AM92" s="210"/>
    </row>
    <row r="93" spans="1:39"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210"/>
      <c r="AJ93" s="210"/>
      <c r="AK93" s="210"/>
      <c r="AL93" s="210"/>
      <c r="AM93" s="210"/>
    </row>
    <row r="94" spans="1:39"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210"/>
      <c r="AJ94" s="210"/>
      <c r="AK94" s="210"/>
      <c r="AL94" s="210"/>
      <c r="AM94" s="210"/>
    </row>
    <row r="95" spans="1:39"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210"/>
      <c r="AJ95" s="210"/>
      <c r="AK95" s="210"/>
      <c r="AL95" s="210"/>
      <c r="AM95" s="210"/>
    </row>
    <row r="96" spans="1:39"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210"/>
      <c r="AJ96" s="210"/>
      <c r="AK96" s="210"/>
      <c r="AL96" s="210"/>
      <c r="AM96" s="210"/>
    </row>
    <row r="97" spans="1:39"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210"/>
      <c r="AJ97" s="210"/>
      <c r="AK97" s="210"/>
      <c r="AL97" s="210"/>
      <c r="AM97" s="210"/>
    </row>
    <row r="98" spans="1:39"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210"/>
      <c r="AJ98" s="210"/>
      <c r="AK98" s="210"/>
      <c r="AL98" s="210"/>
      <c r="AM98" s="210"/>
    </row>
    <row r="99" spans="1:39"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210"/>
      <c r="AJ99" s="210"/>
      <c r="AK99" s="210"/>
      <c r="AL99" s="210"/>
      <c r="AM99" s="210"/>
    </row>
    <row r="100" spans="1:39"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210"/>
      <c r="AJ100" s="210"/>
      <c r="AK100" s="210"/>
      <c r="AL100" s="210"/>
      <c r="AM100" s="210"/>
    </row>
    <row r="101" spans="1:39"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210"/>
      <c r="AJ101" s="210"/>
      <c r="AK101" s="210"/>
      <c r="AL101" s="210"/>
      <c r="AM101" s="210"/>
    </row>
    <row r="102" spans="1:39"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210"/>
      <c r="AJ102" s="210"/>
      <c r="AK102" s="210"/>
      <c r="AL102" s="210"/>
      <c r="AM102" s="210"/>
    </row>
    <row r="103" spans="1:39"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210"/>
      <c r="AJ103" s="210"/>
      <c r="AK103" s="210"/>
      <c r="AL103" s="210"/>
      <c r="AM103" s="210"/>
    </row>
    <row r="104" spans="1:39"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210"/>
      <c r="AJ104" s="210"/>
      <c r="AK104" s="210"/>
      <c r="AL104" s="210"/>
      <c r="AM104" s="210"/>
    </row>
    <row r="105" spans="1:39"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210"/>
      <c r="AJ105" s="210"/>
      <c r="AK105" s="210"/>
      <c r="AL105" s="210"/>
      <c r="AM105" s="210"/>
    </row>
    <row r="106" spans="1:39"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210"/>
      <c r="AJ106" s="210"/>
      <c r="AK106" s="210"/>
      <c r="AL106" s="210"/>
      <c r="AM106" s="210"/>
    </row>
    <row r="107" spans="1:39"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210"/>
      <c r="AJ107" s="210"/>
      <c r="AK107" s="210"/>
      <c r="AL107" s="210"/>
      <c r="AM107" s="210"/>
    </row>
    <row r="108" spans="1:39"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210"/>
      <c r="AJ108" s="210"/>
      <c r="AK108" s="210"/>
      <c r="AL108" s="210"/>
      <c r="AM108" s="210"/>
    </row>
    <row r="109" spans="1:39"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210"/>
      <c r="AJ109" s="210"/>
      <c r="AK109" s="210"/>
      <c r="AL109" s="210"/>
      <c r="AM109" s="210"/>
    </row>
    <row r="110" spans="1:39"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210"/>
      <c r="AJ110" s="210"/>
      <c r="AK110" s="210"/>
      <c r="AL110" s="210"/>
      <c r="AM110" s="210"/>
    </row>
    <row r="111" spans="1:39"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210"/>
      <c r="AJ111" s="210"/>
      <c r="AK111" s="210"/>
      <c r="AL111" s="210"/>
      <c r="AM111" s="210"/>
    </row>
    <row r="112" spans="1:39"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210"/>
      <c r="AJ112" s="210"/>
      <c r="AK112" s="210"/>
      <c r="AL112" s="210"/>
      <c r="AM112" s="210"/>
    </row>
    <row r="113" spans="1:39"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210"/>
      <c r="AJ113" s="210"/>
      <c r="AK113" s="210"/>
      <c r="AL113" s="210"/>
      <c r="AM113" s="210"/>
    </row>
    <row r="114" spans="1:39"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210"/>
      <c r="AJ114" s="210"/>
      <c r="AK114" s="210"/>
      <c r="AL114" s="210"/>
      <c r="AM114" s="210"/>
    </row>
    <row r="115" spans="1:39"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210"/>
      <c r="AJ115" s="210"/>
      <c r="AK115" s="210"/>
      <c r="AL115" s="210"/>
      <c r="AM115" s="210"/>
    </row>
    <row r="116" spans="1:39"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210"/>
      <c r="AJ116" s="210"/>
      <c r="AK116" s="210"/>
      <c r="AL116" s="210"/>
      <c r="AM116" s="210"/>
    </row>
    <row r="117" spans="1:39"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210"/>
      <c r="AJ117" s="210"/>
      <c r="AK117" s="210"/>
      <c r="AL117" s="210"/>
      <c r="AM117" s="210"/>
    </row>
    <row r="118" spans="1:39"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210"/>
      <c r="AJ118" s="210"/>
      <c r="AK118" s="210"/>
      <c r="AL118" s="210"/>
      <c r="AM118" s="210"/>
    </row>
    <row r="119" spans="1:39"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210"/>
      <c r="AJ119" s="210"/>
      <c r="AK119" s="210"/>
      <c r="AL119" s="210"/>
      <c r="AM119" s="210"/>
    </row>
    <row r="120" spans="1:39"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210"/>
      <c r="AJ120" s="210"/>
      <c r="AK120" s="210"/>
      <c r="AL120" s="210"/>
      <c r="AM120" s="210"/>
    </row>
    <row r="121" spans="1:39"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210"/>
      <c r="AJ121" s="210"/>
      <c r="AK121" s="210"/>
      <c r="AL121" s="210"/>
      <c r="AM121" s="210"/>
    </row>
    <row r="122" spans="1:39"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210"/>
      <c r="AJ122" s="210"/>
      <c r="AK122" s="210"/>
      <c r="AL122" s="210"/>
      <c r="AM122" s="210"/>
    </row>
    <row r="123" spans="1:39"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210"/>
      <c r="AJ123" s="210"/>
      <c r="AK123" s="210"/>
      <c r="AL123" s="210"/>
      <c r="AM123" s="210"/>
    </row>
    <row r="124" spans="1:39"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210"/>
      <c r="AJ124" s="210"/>
      <c r="AK124" s="210"/>
      <c r="AL124" s="210"/>
      <c r="AM124" s="210"/>
    </row>
    <row r="125" spans="1:39"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210"/>
      <c r="AJ125" s="210"/>
      <c r="AK125" s="210"/>
      <c r="AL125" s="210"/>
      <c r="AM125" s="210"/>
    </row>
    <row r="126" spans="1:39"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210"/>
      <c r="AJ126" s="210"/>
      <c r="AK126" s="210"/>
      <c r="AL126" s="210"/>
      <c r="AM126" s="210"/>
    </row>
    <row r="127" spans="1:39"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210"/>
      <c r="AJ127" s="210"/>
      <c r="AK127" s="210"/>
      <c r="AL127" s="210"/>
      <c r="AM127" s="210"/>
    </row>
    <row r="128" spans="1:39"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210"/>
      <c r="AJ128" s="210"/>
      <c r="AK128" s="210"/>
      <c r="AL128" s="210"/>
      <c r="AM128" s="210"/>
    </row>
    <row r="129" spans="1:39"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210"/>
      <c r="AJ129" s="210"/>
      <c r="AK129" s="210"/>
      <c r="AL129" s="210"/>
      <c r="AM129" s="210"/>
    </row>
    <row r="130" spans="1:39"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210"/>
      <c r="AJ130" s="210"/>
      <c r="AK130" s="210"/>
      <c r="AL130" s="210"/>
      <c r="AM130" s="210"/>
    </row>
    <row r="131" spans="1:39"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210"/>
      <c r="AJ131" s="210"/>
      <c r="AK131" s="210"/>
      <c r="AL131" s="210"/>
      <c r="AM131" s="210"/>
    </row>
    <row r="132" spans="1:39"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210"/>
      <c r="AJ132" s="210"/>
      <c r="AK132" s="210"/>
      <c r="AL132" s="210"/>
      <c r="AM132" s="210"/>
    </row>
    <row r="133" spans="1:39"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10"/>
      <c r="AJ133" s="210"/>
      <c r="AK133" s="210"/>
      <c r="AL133" s="210"/>
      <c r="AM133" s="210"/>
    </row>
    <row r="134" spans="1:39"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210"/>
      <c r="AJ134" s="210"/>
      <c r="AK134" s="210"/>
      <c r="AL134" s="210"/>
      <c r="AM134" s="210"/>
    </row>
    <row r="135" spans="1:39"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210"/>
      <c r="AJ135" s="210"/>
      <c r="AK135" s="210"/>
      <c r="AL135" s="210"/>
      <c r="AM135" s="210"/>
    </row>
    <row r="136" spans="1:39"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210"/>
      <c r="AJ136" s="210"/>
      <c r="AK136" s="210"/>
      <c r="AL136" s="210"/>
      <c r="AM136" s="210"/>
    </row>
    <row r="137" spans="1:39"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210"/>
      <c r="AJ137" s="210"/>
      <c r="AK137" s="210"/>
      <c r="AL137" s="210"/>
      <c r="AM137" s="210"/>
    </row>
    <row r="138" spans="1:39"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210"/>
      <c r="AJ138" s="210"/>
      <c r="AK138" s="210"/>
      <c r="AL138" s="210"/>
      <c r="AM138" s="210"/>
    </row>
    <row r="139" spans="1:39"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210"/>
      <c r="AJ139" s="210"/>
      <c r="AK139" s="210"/>
      <c r="AL139" s="210"/>
      <c r="AM139" s="210"/>
    </row>
    <row r="140" spans="1:39"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210"/>
      <c r="AJ140" s="210"/>
      <c r="AK140" s="210"/>
      <c r="AL140" s="210"/>
      <c r="AM140" s="210"/>
    </row>
    <row r="141" spans="1:39"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210"/>
      <c r="AJ141" s="210"/>
      <c r="AK141" s="210"/>
      <c r="AL141" s="210"/>
      <c r="AM141" s="210"/>
    </row>
    <row r="142" spans="1:39"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210"/>
      <c r="AJ142" s="210"/>
      <c r="AK142" s="210"/>
      <c r="AL142" s="210"/>
      <c r="AM142" s="210"/>
    </row>
    <row r="143" spans="1:39"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210"/>
      <c r="AJ143" s="210"/>
      <c r="AK143" s="210"/>
      <c r="AL143" s="210"/>
      <c r="AM143" s="210"/>
    </row>
    <row r="144" spans="1:39"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210"/>
      <c r="AJ144" s="210"/>
      <c r="AK144" s="210"/>
      <c r="AL144" s="210"/>
      <c r="AM144" s="210"/>
    </row>
    <row r="145" spans="1:39"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210"/>
      <c r="AJ145" s="210"/>
      <c r="AK145" s="210"/>
      <c r="AL145" s="210"/>
      <c r="AM145" s="210"/>
    </row>
    <row r="146" spans="1:39"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210"/>
      <c r="AJ146" s="210"/>
      <c r="AK146" s="210"/>
      <c r="AL146" s="210"/>
      <c r="AM146" s="210"/>
    </row>
    <row r="147" spans="1:39"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210"/>
      <c r="AJ147" s="210"/>
      <c r="AK147" s="210"/>
      <c r="AL147" s="210"/>
      <c r="AM147" s="210"/>
    </row>
    <row r="148" spans="1:39"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210"/>
      <c r="AJ148" s="210"/>
      <c r="AK148" s="210"/>
      <c r="AL148" s="210"/>
      <c r="AM148" s="210"/>
    </row>
    <row r="149" spans="1:39"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210"/>
      <c r="AJ149" s="210"/>
      <c r="AK149" s="210"/>
      <c r="AL149" s="210"/>
      <c r="AM149" s="210"/>
    </row>
    <row r="150" spans="1:39"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210"/>
      <c r="AJ150" s="210"/>
      <c r="AK150" s="210"/>
      <c r="AL150" s="210"/>
      <c r="AM150" s="210"/>
    </row>
    <row r="151" spans="1:39"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210"/>
      <c r="AJ151" s="210"/>
      <c r="AK151" s="210"/>
      <c r="AL151" s="210"/>
      <c r="AM151" s="210"/>
    </row>
    <row r="152" spans="1:39"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210"/>
      <c r="AJ152" s="210"/>
      <c r="AK152" s="210"/>
      <c r="AL152" s="210"/>
      <c r="AM152" s="210"/>
    </row>
    <row r="153" spans="1:39"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210"/>
      <c r="AJ153" s="210"/>
      <c r="AK153" s="210"/>
      <c r="AL153" s="210"/>
      <c r="AM153" s="210"/>
    </row>
    <row r="154" spans="1:39"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210"/>
      <c r="AJ154" s="210"/>
      <c r="AK154" s="210"/>
      <c r="AL154" s="210"/>
      <c r="AM154" s="210"/>
    </row>
    <row r="155" spans="1:39"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210"/>
      <c r="AJ155" s="210"/>
      <c r="AK155" s="210"/>
      <c r="AL155" s="210"/>
      <c r="AM155" s="210"/>
    </row>
    <row r="156" spans="1:39"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210"/>
      <c r="AJ156" s="210"/>
      <c r="AK156" s="210"/>
      <c r="AL156" s="210"/>
      <c r="AM156" s="210"/>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4"/>
  <headerFooter alignWithMargins="0">
    <oddHeader>&amp;LUpdated Feasibility Study for Metolong Dam - Financial and Economic Analysis&amp;RDecember 2006</oddHeader>
    <oddFooter>&amp;L&amp;F, &amp;A&amp;C&amp;P of &amp;N&amp;R&amp;D</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8"/>
  <dimension ref="A1:IV139"/>
  <sheetViews>
    <sheetView zoomScale="75" zoomScaleNormal="75" workbookViewId="0" topLeftCell="A1">
      <selection activeCell="D21" sqref="D21"/>
    </sheetView>
  </sheetViews>
  <sheetFormatPr defaultColWidth="9.140625" defaultRowHeight="12.75"/>
  <cols>
    <col min="1" max="1" width="19.57421875" style="2" customWidth="1"/>
    <col min="2" max="2" width="26.00390625" style="2" customWidth="1"/>
    <col min="3" max="4" width="12.140625" style="3" customWidth="1"/>
    <col min="5" max="5" width="12.140625" style="2" customWidth="1"/>
    <col min="6" max="25" width="10.7109375" style="2" customWidth="1"/>
    <col min="26" max="34" width="10.7109375" style="2" hidden="1" customWidth="1"/>
    <col min="35" max="35" width="10.7109375" style="2" customWidth="1"/>
    <col min="36" max="36" width="2.00390625" style="2" customWidth="1"/>
    <col min="37" max="16384" width="9.140625" style="2" customWidth="1"/>
  </cols>
  <sheetData>
    <row r="1" s="311" customFormat="1" ht="12.75">
      <c r="G1" s="312" t="s">
        <v>209</v>
      </c>
    </row>
    <row r="2" spans="1:4" s="311" customFormat="1" ht="39" customHeight="1">
      <c r="A2" s="371" t="s">
        <v>4</v>
      </c>
      <c r="B2" s="371"/>
      <c r="C2" s="371"/>
      <c r="D2" s="371"/>
    </row>
    <row r="3" ht="12.75">
      <c r="A3" s="165" t="s">
        <v>11</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ht="14.25">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ht="15.75">
      <c r="A8" s="1"/>
    </row>
    <row r="9" ht="15.75">
      <c r="A9" s="1"/>
    </row>
    <row r="10" spans="1:23" ht="15.75">
      <c r="A10" s="1"/>
      <c r="U10" s="38" t="s">
        <v>41</v>
      </c>
      <c r="V10" s="38" t="s">
        <v>92</v>
      </c>
      <c r="W10" s="39">
        <f>'AIC Consolidated'!AA19</f>
        <v>1000</v>
      </c>
    </row>
    <row r="11" spans="1:35" ht="15" thickBot="1">
      <c r="A11" s="5"/>
      <c r="B11" s="5"/>
      <c r="C11" s="6"/>
      <c r="D11" s="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14.25">
      <c r="A12" s="43" t="s">
        <v>98</v>
      </c>
      <c r="B12" s="13"/>
      <c r="C12" s="44"/>
      <c r="D12" s="133">
        <f>E12-1</f>
        <v>2006</v>
      </c>
      <c r="E12" s="133">
        <f>F12-1</f>
        <v>2007</v>
      </c>
      <c r="F12" s="133">
        <f>'AIC Consolidated'!F26</f>
        <v>2008</v>
      </c>
      <c r="G12" s="133">
        <f>F12+1</f>
        <v>2009</v>
      </c>
      <c r="H12" s="133">
        <f aca="true" t="shared" si="0" ref="H12:AI12">G12+1</f>
        <v>2010</v>
      </c>
      <c r="I12" s="133">
        <f t="shared" si="0"/>
        <v>2011</v>
      </c>
      <c r="J12" s="133">
        <f t="shared" si="0"/>
        <v>2012</v>
      </c>
      <c r="K12" s="133">
        <f t="shared" si="0"/>
        <v>2013</v>
      </c>
      <c r="L12" s="133">
        <f t="shared" si="0"/>
        <v>2014</v>
      </c>
      <c r="M12" s="133">
        <f t="shared" si="0"/>
        <v>2015</v>
      </c>
      <c r="N12" s="133">
        <f t="shared" si="0"/>
        <v>2016</v>
      </c>
      <c r="O12" s="133">
        <f t="shared" si="0"/>
        <v>2017</v>
      </c>
      <c r="P12" s="133">
        <f t="shared" si="0"/>
        <v>2018</v>
      </c>
      <c r="Q12" s="133">
        <f t="shared" si="0"/>
        <v>2019</v>
      </c>
      <c r="R12" s="133">
        <f t="shared" si="0"/>
        <v>2020</v>
      </c>
      <c r="S12" s="133">
        <f t="shared" si="0"/>
        <v>2021</v>
      </c>
      <c r="T12" s="133">
        <f t="shared" si="0"/>
        <v>2022</v>
      </c>
      <c r="U12" s="133">
        <f t="shared" si="0"/>
        <v>2023</v>
      </c>
      <c r="V12" s="133">
        <f t="shared" si="0"/>
        <v>2024</v>
      </c>
      <c r="W12" s="133">
        <f t="shared" si="0"/>
        <v>2025</v>
      </c>
      <c r="X12" s="133">
        <f t="shared" si="0"/>
        <v>2026</v>
      </c>
      <c r="Y12" s="133">
        <f t="shared" si="0"/>
        <v>2027</v>
      </c>
      <c r="Z12" s="133">
        <f t="shared" si="0"/>
        <v>2028</v>
      </c>
      <c r="AA12" s="133">
        <f t="shared" si="0"/>
        <v>2029</v>
      </c>
      <c r="AB12" s="133">
        <f t="shared" si="0"/>
        <v>2030</v>
      </c>
      <c r="AC12" s="133">
        <f t="shared" si="0"/>
        <v>2031</v>
      </c>
      <c r="AD12" s="133">
        <f t="shared" si="0"/>
        <v>2032</v>
      </c>
      <c r="AE12" s="133">
        <f t="shared" si="0"/>
        <v>2033</v>
      </c>
      <c r="AF12" s="133">
        <f t="shared" si="0"/>
        <v>2034</v>
      </c>
      <c r="AG12" s="133">
        <f t="shared" si="0"/>
        <v>2035</v>
      </c>
      <c r="AH12" s="133">
        <f t="shared" si="0"/>
        <v>2036</v>
      </c>
      <c r="AI12" s="133">
        <f t="shared" si="0"/>
        <v>2037</v>
      </c>
    </row>
    <row r="13" spans="1:35" ht="14.25">
      <c r="A13" s="4"/>
      <c r="B13" s="5"/>
      <c r="C13" s="6"/>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ht="14.25">
      <c r="A14" s="5" t="s">
        <v>95</v>
      </c>
      <c r="B14" s="5"/>
      <c r="C14" s="6" t="s">
        <v>100</v>
      </c>
      <c r="D14" s="129"/>
      <c r="E14" s="129">
        <v>27815.24834235015</v>
      </c>
      <c r="F14" s="129">
        <v>25257.518320855947</v>
      </c>
      <c r="G14" s="129">
        <v>33719.5844636334</v>
      </c>
      <c r="H14" s="129">
        <v>25532.985019647815</v>
      </c>
      <c r="I14" s="129">
        <v>18331.719600808116</v>
      </c>
      <c r="J14" s="129">
        <v>14207.15293414145</v>
      </c>
      <c r="K14" s="129">
        <v>18697.786267474785</v>
      </c>
      <c r="L14" s="129">
        <v>20192.886267474783</v>
      </c>
      <c r="M14" s="129">
        <v>14802.952934141449</v>
      </c>
      <c r="N14" s="129">
        <v>15473.319600808118</v>
      </c>
      <c r="O14" s="129">
        <v>16174.519600808117</v>
      </c>
      <c r="P14" s="129">
        <v>9091.15293414145</v>
      </c>
      <c r="Q14" s="129">
        <v>7202.286267474784</v>
      </c>
      <c r="R14" s="129">
        <v>7202.286267474784</v>
      </c>
      <c r="S14" s="129">
        <v>7202.286267474784</v>
      </c>
      <c r="T14" s="129">
        <v>7202.286267474784</v>
      </c>
      <c r="U14" s="129">
        <v>7202.286267474784</v>
      </c>
      <c r="V14" s="129">
        <v>7202.286267474784</v>
      </c>
      <c r="W14" s="129">
        <v>7202.286267474784</v>
      </c>
      <c r="X14" s="129">
        <v>7202.286267474784</v>
      </c>
      <c r="Y14" s="129">
        <v>7202.286267474784</v>
      </c>
      <c r="Z14" s="129"/>
      <c r="AA14" s="129"/>
      <c r="AB14" s="129"/>
      <c r="AC14" s="129"/>
      <c r="AD14" s="129"/>
      <c r="AE14" s="129"/>
      <c r="AF14" s="129"/>
      <c r="AG14" s="129"/>
      <c r="AH14" s="129"/>
      <c r="AI14" s="129"/>
    </row>
    <row r="15" spans="1:35" ht="14.25">
      <c r="A15" s="5" t="s">
        <v>96</v>
      </c>
      <c r="B15" s="5"/>
      <c r="C15" s="6" t="s">
        <v>100</v>
      </c>
      <c r="D15" s="129"/>
      <c r="E15" s="129">
        <v>680</v>
      </c>
      <c r="F15" s="129">
        <v>1164.359</v>
      </c>
      <c r="G15" s="129">
        <v>1022.9410499999999</v>
      </c>
      <c r="H15" s="129">
        <v>856.2738999999999</v>
      </c>
      <c r="I15" s="129">
        <v>952.0279499999999</v>
      </c>
      <c r="J15" s="129">
        <v>1199.1664</v>
      </c>
      <c r="K15" s="129">
        <v>1384.22485</v>
      </c>
      <c r="L15" s="129">
        <v>1725.4180999999999</v>
      </c>
      <c r="M15" s="129">
        <v>1925.46335</v>
      </c>
      <c r="N15" s="129">
        <v>2155.979</v>
      </c>
      <c r="O15" s="129">
        <v>2261.3924</v>
      </c>
      <c r="P15" s="129">
        <v>2427.995</v>
      </c>
      <c r="Q15" s="129">
        <v>2463.9392</v>
      </c>
      <c r="R15" s="129">
        <v>2644.8572</v>
      </c>
      <c r="S15" s="129">
        <v>2725.0903999999996</v>
      </c>
      <c r="T15" s="129">
        <v>2809.0496</v>
      </c>
      <c r="U15" s="129">
        <v>2896.7347999999997</v>
      </c>
      <c r="V15" s="129">
        <v>2988.3115999999995</v>
      </c>
      <c r="W15" s="129">
        <v>3084.1112</v>
      </c>
      <c r="X15" s="129">
        <v>3184.1335999999997</v>
      </c>
      <c r="Y15" s="129">
        <v>3288.71</v>
      </c>
      <c r="Z15" s="129">
        <f aca="true" t="shared" si="1" ref="Z15:AI16">Y15</f>
        <v>3288.71</v>
      </c>
      <c r="AA15" s="129">
        <f t="shared" si="1"/>
        <v>3288.71</v>
      </c>
      <c r="AB15" s="129">
        <f t="shared" si="1"/>
        <v>3288.71</v>
      </c>
      <c r="AC15" s="129">
        <f t="shared" si="1"/>
        <v>3288.71</v>
      </c>
      <c r="AD15" s="129">
        <f t="shared" si="1"/>
        <v>3288.71</v>
      </c>
      <c r="AE15" s="129">
        <f t="shared" si="1"/>
        <v>3288.71</v>
      </c>
      <c r="AF15" s="129">
        <f t="shared" si="1"/>
        <v>3288.71</v>
      </c>
      <c r="AG15" s="129">
        <f t="shared" si="1"/>
        <v>3288.71</v>
      </c>
      <c r="AH15" s="129">
        <f t="shared" si="1"/>
        <v>3288.71</v>
      </c>
      <c r="AI15" s="129">
        <f t="shared" si="1"/>
        <v>3288.71</v>
      </c>
    </row>
    <row r="16" spans="1:35" ht="14.25">
      <c r="A16" s="5" t="s">
        <v>97</v>
      </c>
      <c r="B16" s="5"/>
      <c r="C16" s="6" t="s">
        <v>100</v>
      </c>
      <c r="D16" s="129"/>
      <c r="E16" s="129">
        <v>-680</v>
      </c>
      <c r="F16" s="129">
        <v>990.6410000000001</v>
      </c>
      <c r="G16" s="129">
        <v>2293.05895</v>
      </c>
      <c r="H16" s="129">
        <v>3931.7261</v>
      </c>
      <c r="I16" s="129">
        <v>4986.97205</v>
      </c>
      <c r="J16" s="129">
        <v>7513.8336</v>
      </c>
      <c r="K16" s="129">
        <v>8427.77515</v>
      </c>
      <c r="L16" s="129">
        <v>11276.581900000001</v>
      </c>
      <c r="M16" s="129">
        <v>12356.53665</v>
      </c>
      <c r="N16" s="129">
        <v>13774.021</v>
      </c>
      <c r="O16" s="129">
        <v>14846.6076</v>
      </c>
      <c r="P16" s="129">
        <v>16597.005</v>
      </c>
      <c r="Q16" s="129">
        <v>16900.0608</v>
      </c>
      <c r="R16" s="129">
        <v>18904.1428</v>
      </c>
      <c r="S16" s="129">
        <v>19792.9096</v>
      </c>
      <c r="T16" s="129">
        <v>20722.9504</v>
      </c>
      <c r="U16" s="129">
        <v>21694.2652</v>
      </c>
      <c r="V16" s="129">
        <v>22708.6884</v>
      </c>
      <c r="W16" s="129">
        <v>23769.8888</v>
      </c>
      <c r="X16" s="129">
        <v>24877.8664</v>
      </c>
      <c r="Y16" s="129">
        <v>26036.29</v>
      </c>
      <c r="Z16" s="129">
        <f>Y16</f>
        <v>26036.29</v>
      </c>
      <c r="AA16" s="129">
        <f t="shared" si="1"/>
        <v>26036.29</v>
      </c>
      <c r="AB16" s="129">
        <f t="shared" si="1"/>
        <v>26036.29</v>
      </c>
      <c r="AC16" s="129">
        <f t="shared" si="1"/>
        <v>26036.29</v>
      </c>
      <c r="AD16" s="129">
        <f t="shared" si="1"/>
        <v>26036.29</v>
      </c>
      <c r="AE16" s="129">
        <f t="shared" si="1"/>
        <v>26036.29</v>
      </c>
      <c r="AF16" s="129">
        <f t="shared" si="1"/>
        <v>26036.29</v>
      </c>
      <c r="AG16" s="129">
        <f t="shared" si="1"/>
        <v>26036.29</v>
      </c>
      <c r="AH16" s="129">
        <f t="shared" si="1"/>
        <v>26036.29</v>
      </c>
      <c r="AI16" s="129">
        <f>AH16</f>
        <v>26036.29</v>
      </c>
    </row>
    <row r="17" spans="1:35" ht="14.25">
      <c r="A17" s="5"/>
      <c r="B17" s="5"/>
      <c r="C17" s="6"/>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row>
    <row r="18" spans="1:35" ht="14.25">
      <c r="A18" s="5" t="s">
        <v>122</v>
      </c>
      <c r="B18" s="5"/>
      <c r="C18" s="6" t="s">
        <v>100</v>
      </c>
      <c r="D18" s="129"/>
      <c r="E18" s="129">
        <f aca="true" t="shared" si="2" ref="E18:AI18">-SUM(E14:E15)+E16</f>
        <v>-29175.24834235015</v>
      </c>
      <c r="F18" s="129">
        <f t="shared" si="2"/>
        <v>-25431.236320855947</v>
      </c>
      <c r="G18" s="129">
        <f t="shared" si="2"/>
        <v>-32449.466563633403</v>
      </c>
      <c r="H18" s="129">
        <f t="shared" si="2"/>
        <v>-22457.532819647815</v>
      </c>
      <c r="I18" s="129">
        <f t="shared" si="2"/>
        <v>-14296.775500808115</v>
      </c>
      <c r="J18" s="129">
        <f t="shared" si="2"/>
        <v>-7892.48573414145</v>
      </c>
      <c r="K18" s="129">
        <f t="shared" si="2"/>
        <v>-11654.235967474784</v>
      </c>
      <c r="L18" s="129">
        <f t="shared" si="2"/>
        <v>-10641.722467474781</v>
      </c>
      <c r="M18" s="129">
        <f t="shared" si="2"/>
        <v>-4371.879634141451</v>
      </c>
      <c r="N18" s="129">
        <f t="shared" si="2"/>
        <v>-3855.2776008081164</v>
      </c>
      <c r="O18" s="129">
        <f t="shared" si="2"/>
        <v>-3589.304400808116</v>
      </c>
      <c r="P18" s="129">
        <f t="shared" si="2"/>
        <v>5077.857065858552</v>
      </c>
      <c r="Q18" s="129">
        <f t="shared" si="2"/>
        <v>7233.835332525216</v>
      </c>
      <c r="R18" s="129">
        <f t="shared" si="2"/>
        <v>9056.999332525218</v>
      </c>
      <c r="S18" s="129">
        <f t="shared" si="2"/>
        <v>9865.532932525215</v>
      </c>
      <c r="T18" s="129">
        <f t="shared" si="2"/>
        <v>10711.614532525218</v>
      </c>
      <c r="U18" s="129">
        <f t="shared" si="2"/>
        <v>11595.244132525218</v>
      </c>
      <c r="V18" s="129">
        <f t="shared" si="2"/>
        <v>12518.090532525215</v>
      </c>
      <c r="W18" s="129">
        <f t="shared" si="2"/>
        <v>13483.491332525216</v>
      </c>
      <c r="X18" s="129">
        <f t="shared" si="2"/>
        <v>14491.446532525215</v>
      </c>
      <c r="Y18" s="129">
        <f t="shared" si="2"/>
        <v>15545.293732525217</v>
      </c>
      <c r="Z18" s="129">
        <f t="shared" si="2"/>
        <v>22747.58</v>
      </c>
      <c r="AA18" s="129">
        <f t="shared" si="2"/>
        <v>22747.58</v>
      </c>
      <c r="AB18" s="129">
        <f t="shared" si="2"/>
        <v>22747.58</v>
      </c>
      <c r="AC18" s="129">
        <f t="shared" si="2"/>
        <v>22747.58</v>
      </c>
      <c r="AD18" s="129">
        <f t="shared" si="2"/>
        <v>22747.58</v>
      </c>
      <c r="AE18" s="129">
        <f t="shared" si="2"/>
        <v>22747.58</v>
      </c>
      <c r="AF18" s="129">
        <f t="shared" si="2"/>
        <v>22747.58</v>
      </c>
      <c r="AG18" s="129">
        <f t="shared" si="2"/>
        <v>22747.58</v>
      </c>
      <c r="AH18" s="129">
        <f t="shared" si="2"/>
        <v>22747.58</v>
      </c>
      <c r="AI18" s="129">
        <f t="shared" si="2"/>
        <v>22747.58</v>
      </c>
    </row>
    <row r="19" spans="1:35" ht="14.25">
      <c r="A19" s="5"/>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14.25">
      <c r="A20" s="134" t="s">
        <v>94</v>
      </c>
      <c r="B20" s="26"/>
      <c r="C20" s="104"/>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1:35" ht="14.25">
      <c r="A21" s="5"/>
      <c r="B21" s="5"/>
      <c r="C21" s="6"/>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ht="14.25">
      <c r="A22" s="5" t="s">
        <v>95</v>
      </c>
      <c r="B22" s="5"/>
      <c r="C22" s="6" t="s">
        <v>100</v>
      </c>
      <c r="D22" s="129"/>
      <c r="E22" s="129"/>
      <c r="F22" s="129"/>
      <c r="G22" s="129">
        <v>200</v>
      </c>
      <c r="H22" s="129"/>
      <c r="I22" s="129"/>
      <c r="J22" s="129">
        <v>15000</v>
      </c>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row>
    <row r="23" spans="1:35" ht="14.25">
      <c r="A23" s="5" t="s">
        <v>96</v>
      </c>
      <c r="B23" s="154">
        <v>0.02</v>
      </c>
      <c r="C23" s="6" t="s">
        <v>100</v>
      </c>
      <c r="D23" s="129"/>
      <c r="E23" s="129"/>
      <c r="F23" s="129"/>
      <c r="G23" s="129"/>
      <c r="H23" s="129">
        <f>G22*B23</f>
        <v>4</v>
      </c>
      <c r="I23" s="129">
        <f>H23</f>
        <v>4</v>
      </c>
      <c r="J23" s="129">
        <f>I23</f>
        <v>4</v>
      </c>
      <c r="K23" s="129">
        <v>71.30174452362067</v>
      </c>
      <c r="L23" s="129">
        <v>76.29714511307834</v>
      </c>
      <c r="M23" s="129">
        <v>81.48390134822698</v>
      </c>
      <c r="N23" s="129">
        <v>86.89174874223608</v>
      </c>
      <c r="O23" s="129">
        <v>92.13867921809842</v>
      </c>
      <c r="P23" s="129">
        <v>97.61722661106977</v>
      </c>
      <c r="Q23" s="129">
        <v>103.35213526408181</v>
      </c>
      <c r="R23" s="129">
        <v>109.36980705714942</v>
      </c>
      <c r="S23" s="129">
        <v>115.69874235930907</v>
      </c>
      <c r="T23" s="129">
        <v>121.81106540836885</v>
      </c>
      <c r="U23" s="129">
        <v>128.22929106496522</v>
      </c>
      <c r="V23" s="129">
        <v>134.9807928352636</v>
      </c>
      <c r="W23" s="129">
        <v>142.09545699301077</v>
      </c>
      <c r="X23" s="129">
        <v>149.60598924109595</v>
      </c>
      <c r="Y23" s="129">
        <v>157.5477139288027</v>
      </c>
      <c r="Z23" s="129">
        <v>163.8864202926141</v>
      </c>
      <c r="AA23" s="129">
        <v>164.22313844364282</v>
      </c>
      <c r="AB23" s="129">
        <v>163.78284597348548</v>
      </c>
      <c r="AC23" s="129">
        <v>163.33364118697241</v>
      </c>
      <c r="AD23" s="129">
        <v>162.85923724560604</v>
      </c>
      <c r="AE23" s="129">
        <v>162.3746659024871</v>
      </c>
      <c r="AF23" s="129">
        <v>161.8797363888241</v>
      </c>
      <c r="AG23" s="129">
        <v>161.37425452839292</v>
      </c>
      <c r="AH23" s="129">
        <v>160.85802268290416</v>
      </c>
      <c r="AI23" s="129">
        <v>160.3308396962658</v>
      </c>
    </row>
    <row r="24" spans="1:35" ht="14.25">
      <c r="A24" s="5"/>
      <c r="B24" s="5"/>
      <c r="C24" s="6"/>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4.25">
      <c r="A25" s="5" t="s">
        <v>110</v>
      </c>
      <c r="B25" s="5"/>
      <c r="C25" s="6" t="s">
        <v>100</v>
      </c>
      <c r="D25" s="129">
        <f>SUM(D22:D23)</f>
        <v>0</v>
      </c>
      <c r="E25" s="129">
        <f>SUM(E22:E23)</f>
        <v>0</v>
      </c>
      <c r="F25" s="129">
        <f>SUM(F22:F23)</f>
        <v>0</v>
      </c>
      <c r="G25" s="129">
        <f aca="true" t="shared" si="3" ref="G25:AI25">SUM(G22:G23)</f>
        <v>200</v>
      </c>
      <c r="H25" s="129">
        <f t="shared" si="3"/>
        <v>4</v>
      </c>
      <c r="I25" s="129">
        <f t="shared" si="3"/>
        <v>4</v>
      </c>
      <c r="J25" s="129">
        <f t="shared" si="3"/>
        <v>15004</v>
      </c>
      <c r="K25" s="129">
        <f t="shared" si="3"/>
        <v>71.30174452362067</v>
      </c>
      <c r="L25" s="129">
        <f t="shared" si="3"/>
        <v>76.29714511307834</v>
      </c>
      <c r="M25" s="129">
        <f t="shared" si="3"/>
        <v>81.48390134822698</v>
      </c>
      <c r="N25" s="129">
        <f t="shared" si="3"/>
        <v>86.89174874223608</v>
      </c>
      <c r="O25" s="129">
        <f t="shared" si="3"/>
        <v>92.13867921809842</v>
      </c>
      <c r="P25" s="129">
        <f t="shared" si="3"/>
        <v>97.61722661106977</v>
      </c>
      <c r="Q25" s="129">
        <f t="shared" si="3"/>
        <v>103.35213526408181</v>
      </c>
      <c r="R25" s="129">
        <f t="shared" si="3"/>
        <v>109.36980705714942</v>
      </c>
      <c r="S25" s="129">
        <f t="shared" si="3"/>
        <v>115.69874235930907</v>
      </c>
      <c r="T25" s="129">
        <f t="shared" si="3"/>
        <v>121.81106540836885</v>
      </c>
      <c r="U25" s="129">
        <f t="shared" si="3"/>
        <v>128.22929106496522</v>
      </c>
      <c r="V25" s="129">
        <f t="shared" si="3"/>
        <v>134.9807928352636</v>
      </c>
      <c r="W25" s="129">
        <f t="shared" si="3"/>
        <v>142.09545699301077</v>
      </c>
      <c r="X25" s="129">
        <f t="shared" si="3"/>
        <v>149.60598924109595</v>
      </c>
      <c r="Y25" s="129">
        <f t="shared" si="3"/>
        <v>157.5477139288027</v>
      </c>
      <c r="Z25" s="129">
        <f t="shared" si="3"/>
        <v>163.8864202926141</v>
      </c>
      <c r="AA25" s="129">
        <f t="shared" si="3"/>
        <v>164.22313844364282</v>
      </c>
      <c r="AB25" s="129">
        <f t="shared" si="3"/>
        <v>163.78284597348548</v>
      </c>
      <c r="AC25" s="129">
        <f t="shared" si="3"/>
        <v>163.33364118697241</v>
      </c>
      <c r="AD25" s="129">
        <f t="shared" si="3"/>
        <v>162.85923724560604</v>
      </c>
      <c r="AE25" s="129">
        <f t="shared" si="3"/>
        <v>162.3746659024871</v>
      </c>
      <c r="AF25" s="129">
        <f t="shared" si="3"/>
        <v>161.8797363888241</v>
      </c>
      <c r="AG25" s="129">
        <f t="shared" si="3"/>
        <v>161.37425452839292</v>
      </c>
      <c r="AH25" s="129">
        <f t="shared" si="3"/>
        <v>160.85802268290416</v>
      </c>
      <c r="AI25" s="129">
        <f t="shared" si="3"/>
        <v>160.3308396962658</v>
      </c>
    </row>
    <row r="26" spans="1:35" ht="14.25">
      <c r="A26" s="46"/>
      <c r="B26" s="46"/>
      <c r="C26" s="47"/>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row>
    <row r="27" spans="1:35" ht="14.25">
      <c r="A27" s="4" t="s">
        <v>137</v>
      </c>
      <c r="B27" s="5"/>
      <c r="C27" s="6"/>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8" spans="1:35" ht="14.25">
      <c r="A28" s="5"/>
      <c r="B28" s="5"/>
      <c r="C28" s="6"/>
      <c r="D28" s="161"/>
      <c r="E28" s="161">
        <f>'AIC Consolidated'!E30</f>
        <v>0</v>
      </c>
      <c r="F28" s="161">
        <f>'AIC Consolidated'!F30</f>
        <v>0.1</v>
      </c>
      <c r="G28" s="161">
        <f>'AIC Consolidated'!G30</f>
        <v>0.4</v>
      </c>
      <c r="H28" s="161">
        <f>'AIC Consolidated'!H30</f>
        <v>0.5</v>
      </c>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1:35" ht="14.25">
      <c r="A29" s="5" t="s">
        <v>138</v>
      </c>
      <c r="B29" s="5"/>
      <c r="C29" s="129">
        <f>(339500*7.76)/W10</f>
        <v>2634.52</v>
      </c>
      <c r="D29" s="129"/>
      <c r="E29" s="129">
        <f>$C29*E$28</f>
        <v>0</v>
      </c>
      <c r="F29" s="129">
        <f aca="true" t="shared" si="4" ref="F29:G31">$C29*F$28</f>
        <v>263.452</v>
      </c>
      <c r="G29" s="129">
        <f t="shared" si="4"/>
        <v>1053.808</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row>
    <row r="30" spans="1:35" ht="14.25">
      <c r="A30" s="5" t="s">
        <v>139</v>
      </c>
      <c r="B30" s="5"/>
      <c r="C30" s="129">
        <f>SUM(E30:I30)</f>
        <v>9148.5</v>
      </c>
      <c r="D30" s="129"/>
      <c r="E30" s="129">
        <v>645</v>
      </c>
      <c r="F30" s="129">
        <v>1625.25</v>
      </c>
      <c r="G30" s="129">
        <v>1881</v>
      </c>
      <c r="H30" s="129">
        <v>2944.5</v>
      </c>
      <c r="I30" s="129">
        <v>2052.75</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1:35" ht="14.25">
      <c r="A31" s="5" t="s">
        <v>140</v>
      </c>
      <c r="B31" s="5"/>
      <c r="C31" s="129">
        <f>(1965000/7.76)/W10</f>
        <v>253.22164948453607</v>
      </c>
      <c r="D31" s="129"/>
      <c r="E31" s="129">
        <f>$C31*E$28</f>
        <v>0</v>
      </c>
      <c r="F31" s="129">
        <f t="shared" si="4"/>
        <v>25.322164948453608</v>
      </c>
      <c r="G31" s="129">
        <f t="shared" si="4"/>
        <v>101.28865979381443</v>
      </c>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row>
    <row r="32" spans="1:35" ht="14.25">
      <c r="A32" s="5" t="s">
        <v>145</v>
      </c>
      <c r="B32" s="5"/>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row>
    <row r="33" spans="1:35" ht="14.25">
      <c r="A33" s="5" t="s">
        <v>141</v>
      </c>
      <c r="B33" s="5"/>
      <c r="C33" s="129">
        <v>29086.197</v>
      </c>
      <c r="D33" s="129"/>
      <c r="E33" s="129">
        <f>$C33*E$28</f>
        <v>0</v>
      </c>
      <c r="F33" s="129">
        <f>$C33*F$28</f>
        <v>2908.6197</v>
      </c>
      <c r="G33" s="129">
        <f>$C33*G$28</f>
        <v>11634.4788</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row>
    <row r="34" spans="1:35" ht="14.25">
      <c r="A34" s="5" t="s">
        <v>142</v>
      </c>
      <c r="B34" s="5"/>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row>
    <row r="35" spans="1:35" ht="14.25">
      <c r="A35" s="5" t="s">
        <v>177</v>
      </c>
      <c r="B35" s="5"/>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row>
    <row r="36" spans="1:35" ht="14.25">
      <c r="A36" s="5" t="s">
        <v>143</v>
      </c>
      <c r="B36" s="5"/>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row>
    <row r="37" spans="1:35" ht="14.25">
      <c r="A37" s="5" t="s">
        <v>144</v>
      </c>
      <c r="B37" s="5"/>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row>
    <row r="38" spans="1:35" ht="14.25">
      <c r="A38" s="5"/>
      <c r="B38" s="5"/>
      <c r="C38" s="6"/>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14.25">
      <c r="A39" s="134" t="s">
        <v>101</v>
      </c>
      <c r="B39" s="26"/>
      <c r="C39" s="104"/>
      <c r="D39" s="135"/>
      <c r="E39" s="135">
        <f>E12</f>
        <v>2007</v>
      </c>
      <c r="F39" s="135">
        <f aca="true" t="shared" si="5" ref="F39:AI39">F12</f>
        <v>2008</v>
      </c>
      <c r="G39" s="135">
        <f t="shared" si="5"/>
        <v>2009</v>
      </c>
      <c r="H39" s="135">
        <f t="shared" si="5"/>
        <v>2010</v>
      </c>
      <c r="I39" s="135">
        <f t="shared" si="5"/>
        <v>2011</v>
      </c>
      <c r="J39" s="135">
        <f t="shared" si="5"/>
        <v>2012</v>
      </c>
      <c r="K39" s="135">
        <f t="shared" si="5"/>
        <v>2013</v>
      </c>
      <c r="L39" s="135">
        <f t="shared" si="5"/>
        <v>2014</v>
      </c>
      <c r="M39" s="135">
        <f t="shared" si="5"/>
        <v>2015</v>
      </c>
      <c r="N39" s="135">
        <f t="shared" si="5"/>
        <v>2016</v>
      </c>
      <c r="O39" s="135">
        <f t="shared" si="5"/>
        <v>2017</v>
      </c>
      <c r="P39" s="135">
        <f t="shared" si="5"/>
        <v>2018</v>
      </c>
      <c r="Q39" s="135">
        <f t="shared" si="5"/>
        <v>2019</v>
      </c>
      <c r="R39" s="135">
        <f t="shared" si="5"/>
        <v>2020</v>
      </c>
      <c r="S39" s="135">
        <f t="shared" si="5"/>
        <v>2021</v>
      </c>
      <c r="T39" s="135">
        <f t="shared" si="5"/>
        <v>2022</v>
      </c>
      <c r="U39" s="135">
        <f t="shared" si="5"/>
        <v>2023</v>
      </c>
      <c r="V39" s="135">
        <f t="shared" si="5"/>
        <v>2024</v>
      </c>
      <c r="W39" s="135">
        <f t="shared" si="5"/>
        <v>2025</v>
      </c>
      <c r="X39" s="135">
        <f t="shared" si="5"/>
        <v>2026</v>
      </c>
      <c r="Y39" s="135">
        <f t="shared" si="5"/>
        <v>2027</v>
      </c>
      <c r="Z39" s="135">
        <f t="shared" si="5"/>
        <v>2028</v>
      </c>
      <c r="AA39" s="135">
        <f t="shared" si="5"/>
        <v>2029</v>
      </c>
      <c r="AB39" s="135">
        <f t="shared" si="5"/>
        <v>2030</v>
      </c>
      <c r="AC39" s="135">
        <f t="shared" si="5"/>
        <v>2031</v>
      </c>
      <c r="AD39" s="135">
        <f t="shared" si="5"/>
        <v>2032</v>
      </c>
      <c r="AE39" s="135">
        <f t="shared" si="5"/>
        <v>2033</v>
      </c>
      <c r="AF39" s="135">
        <f t="shared" si="5"/>
        <v>2034</v>
      </c>
      <c r="AG39" s="135">
        <f t="shared" si="5"/>
        <v>2035</v>
      </c>
      <c r="AH39" s="135">
        <f t="shared" si="5"/>
        <v>2036</v>
      </c>
      <c r="AI39" s="135">
        <f t="shared" si="5"/>
        <v>2037</v>
      </c>
    </row>
    <row r="40" spans="1:35" ht="14.25">
      <c r="A40" s="5"/>
      <c r="B40" s="5"/>
      <c r="C40" s="6"/>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5" ht="14.25">
      <c r="A41" s="5" t="s">
        <v>99</v>
      </c>
      <c r="B41" s="5"/>
      <c r="C41" s="6"/>
      <c r="D41" s="155">
        <v>28000</v>
      </c>
      <c r="E41" s="155">
        <v>28000</v>
      </c>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row>
    <row r="42" spans="1:35" ht="14.25">
      <c r="A42" s="5" t="s">
        <v>105</v>
      </c>
      <c r="B42" s="5"/>
      <c r="C42" s="6"/>
      <c r="D42" s="5"/>
      <c r="E42" s="129">
        <f>D41</f>
        <v>28000</v>
      </c>
      <c r="F42" s="129">
        <f>E42</f>
        <v>28000</v>
      </c>
      <c r="G42" s="129">
        <f>F42</f>
        <v>28000</v>
      </c>
      <c r="H42" s="129">
        <f aca="true" t="shared" si="6" ref="H42:AI42">G42</f>
        <v>28000</v>
      </c>
      <c r="I42" s="129">
        <f t="shared" si="6"/>
        <v>28000</v>
      </c>
      <c r="J42" s="129">
        <f t="shared" si="6"/>
        <v>28000</v>
      </c>
      <c r="K42" s="129">
        <f t="shared" si="6"/>
        <v>28000</v>
      </c>
      <c r="L42" s="129">
        <f t="shared" si="6"/>
        <v>28000</v>
      </c>
      <c r="M42" s="129">
        <f t="shared" si="6"/>
        <v>28000</v>
      </c>
      <c r="N42" s="129">
        <f t="shared" si="6"/>
        <v>28000</v>
      </c>
      <c r="O42" s="129">
        <f t="shared" si="6"/>
        <v>28000</v>
      </c>
      <c r="P42" s="129">
        <f t="shared" si="6"/>
        <v>28000</v>
      </c>
      <c r="Q42" s="129">
        <f t="shared" si="6"/>
        <v>28000</v>
      </c>
      <c r="R42" s="129">
        <f t="shared" si="6"/>
        <v>28000</v>
      </c>
      <c r="S42" s="129">
        <f t="shared" si="6"/>
        <v>28000</v>
      </c>
      <c r="T42" s="129">
        <f t="shared" si="6"/>
        <v>28000</v>
      </c>
      <c r="U42" s="129">
        <f t="shared" si="6"/>
        <v>28000</v>
      </c>
      <c r="V42" s="129">
        <f t="shared" si="6"/>
        <v>28000</v>
      </c>
      <c r="W42" s="129">
        <f t="shared" si="6"/>
        <v>28000</v>
      </c>
      <c r="X42" s="129">
        <f t="shared" si="6"/>
        <v>28000</v>
      </c>
      <c r="Y42" s="129">
        <f t="shared" si="6"/>
        <v>28000</v>
      </c>
      <c r="Z42" s="129">
        <f t="shared" si="6"/>
        <v>28000</v>
      </c>
      <c r="AA42" s="129">
        <f t="shared" si="6"/>
        <v>28000</v>
      </c>
      <c r="AB42" s="129">
        <f t="shared" si="6"/>
        <v>28000</v>
      </c>
      <c r="AC42" s="129">
        <f t="shared" si="6"/>
        <v>28000</v>
      </c>
      <c r="AD42" s="129">
        <f t="shared" si="6"/>
        <v>28000</v>
      </c>
      <c r="AE42" s="129">
        <f t="shared" si="6"/>
        <v>28000</v>
      </c>
      <c r="AF42" s="129">
        <f t="shared" si="6"/>
        <v>28000</v>
      </c>
      <c r="AG42" s="129">
        <f t="shared" si="6"/>
        <v>28000</v>
      </c>
      <c r="AH42" s="129">
        <f t="shared" si="6"/>
        <v>28000</v>
      </c>
      <c r="AI42" s="129">
        <f t="shared" si="6"/>
        <v>28000</v>
      </c>
    </row>
    <row r="43" spans="1:35" ht="14.25">
      <c r="A43" s="5" t="s">
        <v>104</v>
      </c>
      <c r="B43" s="5"/>
      <c r="C43" s="6"/>
      <c r="D43" s="5">
        <f>9/12</f>
        <v>0.75</v>
      </c>
      <c r="E43" s="129">
        <f>E42*D43</f>
        <v>21000</v>
      </c>
      <c r="F43" s="129">
        <v>0</v>
      </c>
      <c r="G43" s="129">
        <v>0</v>
      </c>
      <c r="H43" s="129">
        <v>0</v>
      </c>
      <c r="I43" s="129">
        <v>0</v>
      </c>
      <c r="J43" s="129">
        <v>0</v>
      </c>
      <c r="K43" s="129">
        <v>0</v>
      </c>
      <c r="L43" s="129">
        <v>0</v>
      </c>
      <c r="M43" s="129">
        <v>0</v>
      </c>
      <c r="N43" s="129">
        <v>0</v>
      </c>
      <c r="O43" s="129">
        <v>0</v>
      </c>
      <c r="P43" s="129">
        <v>0</v>
      </c>
      <c r="Q43" s="129">
        <v>0</v>
      </c>
      <c r="R43" s="129">
        <v>0</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row>
    <row r="44" spans="1:35" ht="14.25">
      <c r="A44" s="5" t="s">
        <v>115</v>
      </c>
      <c r="B44" s="5"/>
      <c r="C44" s="151">
        <f>700*12</f>
        <v>8400</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ht="14.25">
      <c r="A45" s="5" t="s">
        <v>108</v>
      </c>
      <c r="B45" s="5"/>
      <c r="C45" s="6" t="s">
        <v>100</v>
      </c>
      <c r="D45" s="129">
        <f>C44*E41/'AIC Consolidated'!C19</f>
        <v>235200</v>
      </c>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row>
    <row r="46" spans="1:35" ht="14.25">
      <c r="A46" s="5" t="s">
        <v>109</v>
      </c>
      <c r="B46" s="5"/>
      <c r="C46" s="6" t="s">
        <v>100</v>
      </c>
      <c r="D46" s="129">
        <f>D45*(1/5)</f>
        <v>47040</v>
      </c>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row>
    <row r="47" spans="1:35" ht="14.25">
      <c r="A47" s="5" t="s">
        <v>106</v>
      </c>
      <c r="B47" s="5"/>
      <c r="C47" s="6" t="s">
        <v>100</v>
      </c>
      <c r="D47" s="129"/>
      <c r="E47" s="129">
        <f>($C$44*E42/'AIC Consolidated'!$C$19)*(1+1/5)</f>
        <v>282240</v>
      </c>
      <c r="F47" s="129">
        <f>($C$44*F42/'AIC Consolidated'!$C$19)*(1+1/5)</f>
        <v>282240</v>
      </c>
      <c r="G47" s="129">
        <f>($C$44*G42/'AIC Consolidated'!$C$19)*(1+1/5)</f>
        <v>282240</v>
      </c>
      <c r="H47" s="129">
        <f>($C$44*H42/'AIC Consolidated'!$C$19)*(1+1/5)</f>
        <v>282240</v>
      </c>
      <c r="I47" s="129">
        <f>($C$44*I42/'AIC Consolidated'!$C$19)*(1+1/5)</f>
        <v>282240</v>
      </c>
      <c r="J47" s="129">
        <f>($C$44*J42/'AIC Consolidated'!$C$19)*(1+1/5)</f>
        <v>282240</v>
      </c>
      <c r="K47" s="129">
        <f>($C$44*K42/'AIC Consolidated'!$C$19)*(1+1/5)</f>
        <v>282240</v>
      </c>
      <c r="L47" s="129">
        <f>($C$44*L42/'AIC Consolidated'!$C$19)*(1+1/5)</f>
        <v>282240</v>
      </c>
      <c r="M47" s="129">
        <f>($C$44*M42/'AIC Consolidated'!$C$19)*(1+1/5)</f>
        <v>282240</v>
      </c>
      <c r="N47" s="129">
        <f>($C$44*N42/'AIC Consolidated'!$C$19)*(1+1/5)</f>
        <v>282240</v>
      </c>
      <c r="O47" s="129">
        <f>($C$44*O42/'AIC Consolidated'!$C$19)*(1+1/5)</f>
        <v>282240</v>
      </c>
      <c r="P47" s="129">
        <f>($C$44*P42/'AIC Consolidated'!$C$19)*(1+1/5)</f>
        <v>282240</v>
      </c>
      <c r="Q47" s="129">
        <f>($C$44*Q42/'AIC Consolidated'!$C$19)*(1+1/5)</f>
        <v>282240</v>
      </c>
      <c r="R47" s="129">
        <f>($C$44*R42/'AIC Consolidated'!$C$19)*(1+1/5)</f>
        <v>282240</v>
      </c>
      <c r="S47" s="129">
        <f>($C$44*S42/'AIC Consolidated'!$C$19)*(1+1/5)</f>
        <v>282240</v>
      </c>
      <c r="T47" s="129">
        <f>($C$44*T42/'AIC Consolidated'!$C$19)*(1+1/5)</f>
        <v>282240</v>
      </c>
      <c r="U47" s="129">
        <f>($C$44*U42/'AIC Consolidated'!$C$19)*(1+1/5)</f>
        <v>282240</v>
      </c>
      <c r="V47" s="129">
        <f>($C$44*V42/'AIC Consolidated'!$C$19)*(1+1/5)</f>
        <v>282240</v>
      </c>
      <c r="W47" s="129">
        <f>($C$44*W42/'AIC Consolidated'!$C$19)*(1+1/5)</f>
        <v>282240</v>
      </c>
      <c r="X47" s="129">
        <f>($C$44*X42/'AIC Consolidated'!$C$19)*(1+1/5)</f>
        <v>282240</v>
      </c>
      <c r="Y47" s="129">
        <f>($C$44*Y42/'AIC Consolidated'!$C$19)*(1+1/5)</f>
        <v>282240</v>
      </c>
      <c r="Z47" s="129">
        <f>($C$44*Z42/'AIC Consolidated'!$C$19)*(1+1/5)</f>
        <v>282240</v>
      </c>
      <c r="AA47" s="129">
        <f>($C$44*AA42/'AIC Consolidated'!$C$19)*(1+1/5)</f>
        <v>282240</v>
      </c>
      <c r="AB47" s="129">
        <f>($C$44*AB42/'AIC Consolidated'!$C$19)*(1+1/5)</f>
        <v>282240</v>
      </c>
      <c r="AC47" s="129">
        <f>($C$44*AC42/'AIC Consolidated'!$C$19)*(1+1/5)</f>
        <v>282240</v>
      </c>
      <c r="AD47" s="129">
        <f>($C$44*AD42/'AIC Consolidated'!$C$19)*(1+1/5)</f>
        <v>282240</v>
      </c>
      <c r="AE47" s="129">
        <f>($C$44*AE42/'AIC Consolidated'!$C$19)*(1+1/5)</f>
        <v>282240</v>
      </c>
      <c r="AF47" s="129">
        <f>($C$44*AF42/'AIC Consolidated'!$C$19)*(1+1/5)</f>
        <v>282240</v>
      </c>
      <c r="AG47" s="129">
        <f>($C$44*AG42/'AIC Consolidated'!$C$19)*(1+1/5)</f>
        <v>282240</v>
      </c>
      <c r="AH47" s="129">
        <f>($C$44*AH42/'AIC Consolidated'!$C$19)*(1+1/5)</f>
        <v>282240</v>
      </c>
      <c r="AI47" s="129">
        <f>($C$44*AI42/'AIC Consolidated'!$C$19)*(1+1/5)</f>
        <v>282240</v>
      </c>
    </row>
    <row r="48" spans="1:35" ht="14.25">
      <c r="A48" s="5" t="s">
        <v>103</v>
      </c>
      <c r="B48" s="5"/>
      <c r="C48" s="6" t="s">
        <v>100</v>
      </c>
      <c r="D48" s="129"/>
      <c r="E48" s="129">
        <f>($C$44*E43/'AIC Consolidated'!$C$19)*(1+1/5)</f>
        <v>211680</v>
      </c>
      <c r="F48" s="129">
        <f>($C$44*F43/'AIC Consolidated'!$C$19)*(1+1/5)</f>
        <v>0</v>
      </c>
      <c r="G48" s="129">
        <f>($C$44*G43/'AIC Consolidated'!$C$19)*(1+1/5)</f>
        <v>0</v>
      </c>
      <c r="H48" s="129">
        <f>($C$44*H43/'AIC Consolidated'!$C$19)*(1+1/5)</f>
        <v>0</v>
      </c>
      <c r="I48" s="129">
        <f>($C$44*I43/'AIC Consolidated'!$C$19)*(1+1/5)</f>
        <v>0</v>
      </c>
      <c r="J48" s="129">
        <f>($C$44*J43/'AIC Consolidated'!$C$19)*(1+1/5)</f>
        <v>0</v>
      </c>
      <c r="K48" s="129">
        <f>($C$44*K43/'AIC Consolidated'!$C$19)*(1+1/5)</f>
        <v>0</v>
      </c>
      <c r="L48" s="129">
        <f>($C$44*L43/'AIC Consolidated'!$C$19)*(1+1/5)</f>
        <v>0</v>
      </c>
      <c r="M48" s="129">
        <f>($C$44*M43/'AIC Consolidated'!$C$19)*(1+1/5)</f>
        <v>0</v>
      </c>
      <c r="N48" s="129">
        <f>($C$44*N43/'AIC Consolidated'!$C$19)*(1+1/5)</f>
        <v>0</v>
      </c>
      <c r="O48" s="129">
        <f>($C$44*O43/'AIC Consolidated'!$C$19)*(1+1/5)</f>
        <v>0</v>
      </c>
      <c r="P48" s="129">
        <f>($C$44*P43/'AIC Consolidated'!$C$19)*(1+1/5)</f>
        <v>0</v>
      </c>
      <c r="Q48" s="129">
        <f>($C$44*Q43/'AIC Consolidated'!$C$19)*(1+1/5)</f>
        <v>0</v>
      </c>
      <c r="R48" s="129">
        <f>($C$44*R43/'AIC Consolidated'!$C$19)*(1+1/5)</f>
        <v>0</v>
      </c>
      <c r="S48" s="129">
        <f>($C$44*S43/'AIC Consolidated'!$C$19)*(1+1/5)</f>
        <v>0</v>
      </c>
      <c r="T48" s="129">
        <f>($C$44*T43/'AIC Consolidated'!$C$19)*(1+1/5)</f>
        <v>0</v>
      </c>
      <c r="U48" s="129">
        <f>($C$44*U43/'AIC Consolidated'!$C$19)*(1+1/5)</f>
        <v>0</v>
      </c>
      <c r="V48" s="129">
        <f>($C$44*V43/'AIC Consolidated'!$C$19)*(1+1/5)</f>
        <v>0</v>
      </c>
      <c r="W48" s="129">
        <f>($C$44*W43/'AIC Consolidated'!$C$19)*(1+1/5)</f>
        <v>0</v>
      </c>
      <c r="X48" s="129">
        <f>($C$44*X43/'AIC Consolidated'!$C$19)*(1+1/5)</f>
        <v>0</v>
      </c>
      <c r="Y48" s="129">
        <f>($C$44*Y43/'AIC Consolidated'!$C$19)*(1+1/5)</f>
        <v>0</v>
      </c>
      <c r="Z48" s="129">
        <f>($C$44*Z43/'AIC Consolidated'!$C$19)*(1+1/5)</f>
        <v>0</v>
      </c>
      <c r="AA48" s="129">
        <f>($C$44*AA43/'AIC Consolidated'!$C$19)*(1+1/5)</f>
        <v>0</v>
      </c>
      <c r="AB48" s="129">
        <f>($C$44*AB43/'AIC Consolidated'!$C$19)*(1+1/5)</f>
        <v>0</v>
      </c>
      <c r="AC48" s="129">
        <f>($C$44*AC43/'AIC Consolidated'!$C$19)*(1+1/5)</f>
        <v>0</v>
      </c>
      <c r="AD48" s="129">
        <f>($C$44*AD43/'AIC Consolidated'!$C$19)*(1+1/5)</f>
        <v>0</v>
      </c>
      <c r="AE48" s="129">
        <f>($C$44*AE43/'AIC Consolidated'!$C$19)*(1+1/5)</f>
        <v>0</v>
      </c>
      <c r="AF48" s="129">
        <f>($C$44*AF43/'AIC Consolidated'!$C$19)*(1+1/5)</f>
        <v>0</v>
      </c>
      <c r="AG48" s="129">
        <f>($C$44*AG43/'AIC Consolidated'!$C$19)*(1+1/5)</f>
        <v>0</v>
      </c>
      <c r="AH48" s="129">
        <f>($C$44*AH43/'AIC Consolidated'!$C$19)*(1+1/5)</f>
        <v>0</v>
      </c>
      <c r="AI48" s="129">
        <f>($C$44*AI43/'AIC Consolidated'!$C$19)*(1+1/5)</f>
        <v>0</v>
      </c>
    </row>
    <row r="49" spans="1:35" ht="14.25">
      <c r="A49" s="5" t="s">
        <v>107</v>
      </c>
      <c r="B49" s="5"/>
      <c r="C49" s="6" t="s">
        <v>100</v>
      </c>
      <c r="D49" s="5"/>
      <c r="E49" s="129">
        <f>-E47+E48</f>
        <v>-70560</v>
      </c>
      <c r="F49" s="129">
        <f aca="true" t="shared" si="7" ref="F49:AI49">-F47+F48</f>
        <v>-282240</v>
      </c>
      <c r="G49" s="129">
        <f t="shared" si="7"/>
        <v>-282240</v>
      </c>
      <c r="H49" s="129">
        <f t="shared" si="7"/>
        <v>-282240</v>
      </c>
      <c r="I49" s="129">
        <f t="shared" si="7"/>
        <v>-282240</v>
      </c>
      <c r="J49" s="129">
        <f t="shared" si="7"/>
        <v>-282240</v>
      </c>
      <c r="K49" s="129">
        <f t="shared" si="7"/>
        <v>-282240</v>
      </c>
      <c r="L49" s="129">
        <f t="shared" si="7"/>
        <v>-282240</v>
      </c>
      <c r="M49" s="129">
        <f t="shared" si="7"/>
        <v>-282240</v>
      </c>
      <c r="N49" s="129">
        <f t="shared" si="7"/>
        <v>-282240</v>
      </c>
      <c r="O49" s="129">
        <f t="shared" si="7"/>
        <v>-282240</v>
      </c>
      <c r="P49" s="129">
        <f t="shared" si="7"/>
        <v>-282240</v>
      </c>
      <c r="Q49" s="129">
        <f t="shared" si="7"/>
        <v>-282240</v>
      </c>
      <c r="R49" s="129">
        <f t="shared" si="7"/>
        <v>-282240</v>
      </c>
      <c r="S49" s="129">
        <f t="shared" si="7"/>
        <v>-282240</v>
      </c>
      <c r="T49" s="129">
        <f t="shared" si="7"/>
        <v>-282240</v>
      </c>
      <c r="U49" s="129">
        <f t="shared" si="7"/>
        <v>-282240</v>
      </c>
      <c r="V49" s="129">
        <f t="shared" si="7"/>
        <v>-282240</v>
      </c>
      <c r="W49" s="129">
        <f t="shared" si="7"/>
        <v>-282240</v>
      </c>
      <c r="X49" s="129">
        <f t="shared" si="7"/>
        <v>-282240</v>
      </c>
      <c r="Y49" s="129">
        <f t="shared" si="7"/>
        <v>-282240</v>
      </c>
      <c r="Z49" s="129">
        <f t="shared" si="7"/>
        <v>-282240</v>
      </c>
      <c r="AA49" s="129">
        <f t="shared" si="7"/>
        <v>-282240</v>
      </c>
      <c r="AB49" s="129">
        <f t="shared" si="7"/>
        <v>-282240</v>
      </c>
      <c r="AC49" s="129">
        <f t="shared" si="7"/>
        <v>-282240</v>
      </c>
      <c r="AD49" s="129">
        <f t="shared" si="7"/>
        <v>-282240</v>
      </c>
      <c r="AE49" s="129">
        <f t="shared" si="7"/>
        <v>-282240</v>
      </c>
      <c r="AF49" s="129">
        <f t="shared" si="7"/>
        <v>-282240</v>
      </c>
      <c r="AG49" s="129">
        <f t="shared" si="7"/>
        <v>-282240</v>
      </c>
      <c r="AH49" s="129">
        <f t="shared" si="7"/>
        <v>-282240</v>
      </c>
      <c r="AI49" s="129">
        <f t="shared" si="7"/>
        <v>-282240</v>
      </c>
    </row>
    <row r="50" spans="1:35" ht="14.25">
      <c r="A50" s="5" t="s">
        <v>133</v>
      </c>
      <c r="B50" s="5"/>
      <c r="C50" s="152">
        <v>0.2</v>
      </c>
      <c r="D50" s="5"/>
      <c r="E50" s="129">
        <f aca="true" t="shared" si="8" ref="E50:AI50">$C50*(E47-E48)</f>
        <v>14112</v>
      </c>
      <c r="F50" s="129">
        <f t="shared" si="8"/>
        <v>56448</v>
      </c>
      <c r="G50" s="129">
        <f t="shared" si="8"/>
        <v>56448</v>
      </c>
      <c r="H50" s="129">
        <f t="shared" si="8"/>
        <v>56448</v>
      </c>
      <c r="I50" s="129">
        <f t="shared" si="8"/>
        <v>56448</v>
      </c>
      <c r="J50" s="129">
        <f t="shared" si="8"/>
        <v>56448</v>
      </c>
      <c r="K50" s="129">
        <f t="shared" si="8"/>
        <v>56448</v>
      </c>
      <c r="L50" s="129">
        <f t="shared" si="8"/>
        <v>56448</v>
      </c>
      <c r="M50" s="129">
        <f t="shared" si="8"/>
        <v>56448</v>
      </c>
      <c r="N50" s="129">
        <f t="shared" si="8"/>
        <v>56448</v>
      </c>
      <c r="O50" s="129">
        <f t="shared" si="8"/>
        <v>56448</v>
      </c>
      <c r="P50" s="129">
        <f t="shared" si="8"/>
        <v>56448</v>
      </c>
      <c r="Q50" s="129">
        <f t="shared" si="8"/>
        <v>56448</v>
      </c>
      <c r="R50" s="129">
        <f t="shared" si="8"/>
        <v>56448</v>
      </c>
      <c r="S50" s="129">
        <f t="shared" si="8"/>
        <v>56448</v>
      </c>
      <c r="T50" s="129">
        <f t="shared" si="8"/>
        <v>56448</v>
      </c>
      <c r="U50" s="129">
        <f t="shared" si="8"/>
        <v>56448</v>
      </c>
      <c r="V50" s="129">
        <f t="shared" si="8"/>
        <v>56448</v>
      </c>
      <c r="W50" s="129">
        <f t="shared" si="8"/>
        <v>56448</v>
      </c>
      <c r="X50" s="129">
        <f t="shared" si="8"/>
        <v>56448</v>
      </c>
      <c r="Y50" s="129">
        <f t="shared" si="8"/>
        <v>56448</v>
      </c>
      <c r="Z50" s="129">
        <f t="shared" si="8"/>
        <v>56448</v>
      </c>
      <c r="AA50" s="129">
        <f t="shared" si="8"/>
        <v>56448</v>
      </c>
      <c r="AB50" s="129">
        <f t="shared" si="8"/>
        <v>56448</v>
      </c>
      <c r="AC50" s="129">
        <f t="shared" si="8"/>
        <v>56448</v>
      </c>
      <c r="AD50" s="129">
        <f t="shared" si="8"/>
        <v>56448</v>
      </c>
      <c r="AE50" s="129">
        <f t="shared" si="8"/>
        <v>56448</v>
      </c>
      <c r="AF50" s="129">
        <f t="shared" si="8"/>
        <v>56448</v>
      </c>
      <c r="AG50" s="129">
        <f t="shared" si="8"/>
        <v>56448</v>
      </c>
      <c r="AH50" s="129">
        <f t="shared" si="8"/>
        <v>56448</v>
      </c>
      <c r="AI50" s="129">
        <f t="shared" si="8"/>
        <v>56448</v>
      </c>
    </row>
    <row r="51" spans="1:35" ht="14.25">
      <c r="A51" s="5" t="s">
        <v>172</v>
      </c>
      <c r="B51" s="5"/>
      <c r="C51" s="199">
        <v>3</v>
      </c>
      <c r="D51" s="5"/>
      <c r="E51" s="5"/>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1:35" ht="14.25">
      <c r="A52" s="5"/>
      <c r="B52" s="5"/>
      <c r="C52" s="6"/>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14.25">
      <c r="A53" s="134" t="s">
        <v>102</v>
      </c>
      <c r="B53" s="26"/>
      <c r="C53" s="10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35" ht="14.25">
      <c r="A54" s="69" t="s">
        <v>175</v>
      </c>
      <c r="B54" s="21"/>
      <c r="C54" s="87"/>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5" ht="14.25">
      <c r="A55" s="5"/>
      <c r="B55" s="5"/>
      <c r="C55" s="157"/>
      <c r="D55" s="5">
        <v>369.2307692307692</v>
      </c>
      <c r="E55" s="5">
        <v>0</v>
      </c>
      <c r="F55" s="156">
        <v>0.06153846153846154</v>
      </c>
      <c r="G55" s="156">
        <v>0.12307692307692308</v>
      </c>
      <c r="H55" s="156">
        <v>0.18461538461538463</v>
      </c>
      <c r="I55" s="156">
        <v>0.26153846153846155</v>
      </c>
      <c r="J55" s="156">
        <v>0.3230769230769231</v>
      </c>
      <c r="K55" s="156">
        <v>0.4153846153846154</v>
      </c>
      <c r="L55" s="156">
        <v>0.5384615384615384</v>
      </c>
      <c r="M55" s="156">
        <v>0.5846153846153846</v>
      </c>
      <c r="N55" s="156">
        <v>0.6307692307692307</v>
      </c>
      <c r="O55" s="156">
        <v>0.676923076923077</v>
      </c>
      <c r="P55" s="156">
        <v>0.7230769230769231</v>
      </c>
      <c r="Q55" s="156">
        <v>0.7692307692307693</v>
      </c>
      <c r="R55" s="156">
        <v>0.8</v>
      </c>
      <c r="S55" s="156">
        <v>0.8307692307692308</v>
      </c>
      <c r="T55" s="156">
        <v>0.8461538461538461</v>
      </c>
      <c r="U55" s="156">
        <v>0.8923076923076924</v>
      </c>
      <c r="V55" s="156">
        <v>0.9076923076923077</v>
      </c>
      <c r="W55" s="156">
        <v>0.9230769230769231</v>
      </c>
      <c r="X55" s="156">
        <v>0.9384615384615385</v>
      </c>
      <c r="Y55" s="156">
        <v>1</v>
      </c>
      <c r="Z55" s="129"/>
      <c r="AA55" s="129"/>
      <c r="AB55" s="129"/>
      <c r="AC55" s="129"/>
      <c r="AD55" s="129"/>
      <c r="AE55" s="129"/>
      <c r="AF55" s="129"/>
      <c r="AG55" s="129"/>
      <c r="AH55" s="129"/>
      <c r="AI55" s="129"/>
    </row>
    <row r="56" spans="1:35" ht="14.25">
      <c r="A56" s="5" t="s">
        <v>114</v>
      </c>
      <c r="C56" s="151">
        <f>'ERR &amp; Sensitivity Analysis'!H13</f>
        <v>76000</v>
      </c>
      <c r="D56" s="2"/>
      <c r="F56" s="129">
        <f>F55*$C56</f>
        <v>4676.923076923077</v>
      </c>
      <c r="G56" s="129">
        <f>(G55-F55)*$C56</f>
        <v>4676.923076923077</v>
      </c>
      <c r="H56" s="129">
        <f aca="true" t="shared" si="9" ref="H56:Y56">(H55-G55)*$C56</f>
        <v>4676.923076923077</v>
      </c>
      <c r="I56" s="129">
        <f t="shared" si="9"/>
        <v>5846.153846153847</v>
      </c>
      <c r="J56" s="129">
        <f t="shared" si="9"/>
        <v>4676.923076923077</v>
      </c>
      <c r="K56" s="129">
        <f t="shared" si="9"/>
        <v>7015.384615384616</v>
      </c>
      <c r="L56" s="129">
        <f t="shared" si="9"/>
        <v>9353.84615384615</v>
      </c>
      <c r="M56" s="129">
        <f t="shared" si="9"/>
        <v>3507.692307692312</v>
      </c>
      <c r="N56" s="129">
        <f t="shared" si="9"/>
        <v>3507.6923076923035</v>
      </c>
      <c r="O56" s="129">
        <f t="shared" si="9"/>
        <v>3507.692307692312</v>
      </c>
      <c r="P56" s="129">
        <f t="shared" si="9"/>
        <v>3507.6923076923035</v>
      </c>
      <c r="Q56" s="129">
        <f t="shared" si="9"/>
        <v>3507.692307692312</v>
      </c>
      <c r="R56" s="129">
        <f t="shared" si="9"/>
        <v>2338.4615384615386</v>
      </c>
      <c r="S56" s="129">
        <f t="shared" si="9"/>
        <v>2338.4615384615386</v>
      </c>
      <c r="T56" s="129">
        <f t="shared" si="9"/>
        <v>1169.230769230765</v>
      </c>
      <c r="U56" s="129">
        <f t="shared" si="9"/>
        <v>3507.692307692312</v>
      </c>
      <c r="V56" s="129">
        <f t="shared" si="9"/>
        <v>1169.230769230765</v>
      </c>
      <c r="W56" s="129">
        <f t="shared" si="9"/>
        <v>1169.2307692307736</v>
      </c>
      <c r="X56" s="129">
        <f t="shared" si="9"/>
        <v>1169.230769230765</v>
      </c>
      <c r="Y56" s="129">
        <f t="shared" si="9"/>
        <v>4676.923076923077</v>
      </c>
      <c r="Z56" s="129"/>
      <c r="AA56" s="129"/>
      <c r="AB56" s="129"/>
      <c r="AC56" s="129"/>
      <c r="AD56" s="129"/>
      <c r="AE56" s="129"/>
      <c r="AF56" s="129"/>
      <c r="AG56" s="129"/>
      <c r="AH56" s="129"/>
      <c r="AI56" s="129"/>
    </row>
    <row r="57" spans="1:35" ht="14.25">
      <c r="A57" s="5" t="s">
        <v>113</v>
      </c>
      <c r="B57" s="129"/>
      <c r="C57" s="130"/>
      <c r="D57" s="2"/>
      <c r="F57" s="129">
        <f>C56*$F55</f>
        <v>4676.923076923077</v>
      </c>
      <c r="G57" s="129">
        <f>F57+G56</f>
        <v>9353.846153846154</v>
      </c>
      <c r="H57" s="129">
        <f aca="true" t="shared" si="10" ref="H57:AI57">G57+H56</f>
        <v>14030.76923076923</v>
      </c>
      <c r="I57" s="129">
        <f t="shared" si="10"/>
        <v>19876.923076923078</v>
      </c>
      <c r="J57" s="129">
        <f t="shared" si="10"/>
        <v>24553.846153846156</v>
      </c>
      <c r="K57" s="129">
        <f t="shared" si="10"/>
        <v>31569.230769230773</v>
      </c>
      <c r="L57" s="129">
        <f t="shared" si="10"/>
        <v>40923.07692307692</v>
      </c>
      <c r="M57" s="129">
        <f t="shared" si="10"/>
        <v>44430.769230769234</v>
      </c>
      <c r="N57" s="129">
        <f t="shared" si="10"/>
        <v>47938.46153846154</v>
      </c>
      <c r="O57" s="129">
        <f t="shared" si="10"/>
        <v>51446.15384615385</v>
      </c>
      <c r="P57" s="129">
        <f t="shared" si="10"/>
        <v>54953.846153846156</v>
      </c>
      <c r="Q57" s="129">
        <f t="shared" si="10"/>
        <v>58461.53846153847</v>
      </c>
      <c r="R57" s="129">
        <f t="shared" si="10"/>
        <v>60800.00000000001</v>
      </c>
      <c r="S57" s="129">
        <f t="shared" si="10"/>
        <v>63138.461538461546</v>
      </c>
      <c r="T57" s="129">
        <f t="shared" si="10"/>
        <v>64307.69230769231</v>
      </c>
      <c r="U57" s="129">
        <f t="shared" si="10"/>
        <v>67815.38461538462</v>
      </c>
      <c r="V57" s="129">
        <f t="shared" si="10"/>
        <v>68984.61538461539</v>
      </c>
      <c r="W57" s="129">
        <f t="shared" si="10"/>
        <v>70153.84615384617</v>
      </c>
      <c r="X57" s="129">
        <f t="shared" si="10"/>
        <v>71323.07692307694</v>
      </c>
      <c r="Y57" s="129">
        <f t="shared" si="10"/>
        <v>76000.00000000001</v>
      </c>
      <c r="Z57" s="129">
        <f t="shared" si="10"/>
        <v>76000.00000000001</v>
      </c>
      <c r="AA57" s="129">
        <f t="shared" si="10"/>
        <v>76000.00000000001</v>
      </c>
      <c r="AB57" s="129">
        <f t="shared" si="10"/>
        <v>76000.00000000001</v>
      </c>
      <c r="AC57" s="129">
        <f t="shared" si="10"/>
        <v>76000.00000000001</v>
      </c>
      <c r="AD57" s="129">
        <f t="shared" si="10"/>
        <v>76000.00000000001</v>
      </c>
      <c r="AE57" s="129">
        <f t="shared" si="10"/>
        <v>76000.00000000001</v>
      </c>
      <c r="AF57" s="129">
        <f t="shared" si="10"/>
        <v>76000.00000000001</v>
      </c>
      <c r="AG57" s="129">
        <f t="shared" si="10"/>
        <v>76000.00000000001</v>
      </c>
      <c r="AH57" s="129">
        <f t="shared" si="10"/>
        <v>76000.00000000001</v>
      </c>
      <c r="AI57" s="129">
        <f t="shared" si="10"/>
        <v>76000.00000000001</v>
      </c>
    </row>
    <row r="58" spans="1:35" ht="14.25">
      <c r="A58" s="5" t="s">
        <v>111</v>
      </c>
      <c r="B58" s="5"/>
      <c r="C58" s="153">
        <f>1000/250</f>
        <v>4</v>
      </c>
      <c r="D58" s="5"/>
      <c r="E58" s="5"/>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row>
    <row r="59" spans="1:35" ht="14.25">
      <c r="A59" s="5" t="s">
        <v>116</v>
      </c>
      <c r="B59" s="5"/>
      <c r="C59" s="6"/>
      <c r="D59" s="5"/>
      <c r="E59" s="5"/>
      <c r="F59" s="129">
        <f>F57/$C58</f>
        <v>1169.2307692307693</v>
      </c>
      <c r="G59" s="129">
        <f aca="true" t="shared" si="11" ref="G59:Y59">G57/$C58</f>
        <v>2338.4615384615386</v>
      </c>
      <c r="H59" s="129">
        <f t="shared" si="11"/>
        <v>3507.6923076923076</v>
      </c>
      <c r="I59" s="129">
        <f t="shared" si="11"/>
        <v>4969.2307692307695</v>
      </c>
      <c r="J59" s="129">
        <f t="shared" si="11"/>
        <v>6138.461538461539</v>
      </c>
      <c r="K59" s="129">
        <f t="shared" si="11"/>
        <v>7892.307692307693</v>
      </c>
      <c r="L59" s="129">
        <f t="shared" si="11"/>
        <v>10230.76923076923</v>
      </c>
      <c r="M59" s="129">
        <f t="shared" si="11"/>
        <v>11107.692307692309</v>
      </c>
      <c r="N59" s="129">
        <f t="shared" si="11"/>
        <v>11984.615384615385</v>
      </c>
      <c r="O59" s="129">
        <f t="shared" si="11"/>
        <v>12861.538461538463</v>
      </c>
      <c r="P59" s="129">
        <f t="shared" si="11"/>
        <v>13738.461538461539</v>
      </c>
      <c r="Q59" s="129">
        <f t="shared" si="11"/>
        <v>14615.384615384617</v>
      </c>
      <c r="R59" s="129">
        <f t="shared" si="11"/>
        <v>15200.000000000002</v>
      </c>
      <c r="S59" s="129">
        <f t="shared" si="11"/>
        <v>15784.615384615387</v>
      </c>
      <c r="T59" s="129">
        <f t="shared" si="11"/>
        <v>16076.923076923078</v>
      </c>
      <c r="U59" s="129">
        <f t="shared" si="11"/>
        <v>16953.846153846156</v>
      </c>
      <c r="V59" s="129">
        <f t="shared" si="11"/>
        <v>17246.153846153848</v>
      </c>
      <c r="W59" s="129">
        <f t="shared" si="11"/>
        <v>17538.461538461543</v>
      </c>
      <c r="X59" s="129">
        <f t="shared" si="11"/>
        <v>17830.769230769234</v>
      </c>
      <c r="Y59" s="129">
        <f t="shared" si="11"/>
        <v>19000.000000000004</v>
      </c>
      <c r="Z59" s="129">
        <f aca="true" t="shared" si="12" ref="Z59:AI59">Z57/$C58</f>
        <v>19000.000000000004</v>
      </c>
      <c r="AA59" s="129">
        <f t="shared" si="12"/>
        <v>19000.000000000004</v>
      </c>
      <c r="AB59" s="129">
        <f t="shared" si="12"/>
        <v>19000.000000000004</v>
      </c>
      <c r="AC59" s="129">
        <f t="shared" si="12"/>
        <v>19000.000000000004</v>
      </c>
      <c r="AD59" s="129">
        <f t="shared" si="12"/>
        <v>19000.000000000004</v>
      </c>
      <c r="AE59" s="129">
        <f t="shared" si="12"/>
        <v>19000.000000000004</v>
      </c>
      <c r="AF59" s="129">
        <f t="shared" si="12"/>
        <v>19000.000000000004</v>
      </c>
      <c r="AG59" s="129">
        <f t="shared" si="12"/>
        <v>19000.000000000004</v>
      </c>
      <c r="AH59" s="129">
        <f t="shared" si="12"/>
        <v>19000.000000000004</v>
      </c>
      <c r="AI59" s="129">
        <f t="shared" si="12"/>
        <v>19000.000000000004</v>
      </c>
    </row>
    <row r="60" spans="1:256" ht="14.25">
      <c r="A60" s="5" t="s">
        <v>117</v>
      </c>
      <c r="B60" s="5"/>
      <c r="C60" s="152">
        <v>0.2</v>
      </c>
      <c r="D60" s="5"/>
      <c r="E60" s="5"/>
      <c r="F60" s="129">
        <f>$C$60*F59</f>
        <v>233.84615384615387</v>
      </c>
      <c r="G60" s="129">
        <f aca="true" t="shared" si="13" ref="G60:AI60">$C$60*G59</f>
        <v>467.69230769230774</v>
      </c>
      <c r="H60" s="129">
        <f t="shared" si="13"/>
        <v>701.5384615384615</v>
      </c>
      <c r="I60" s="129">
        <f t="shared" si="13"/>
        <v>993.8461538461539</v>
      </c>
      <c r="J60" s="129">
        <f t="shared" si="13"/>
        <v>1227.6923076923078</v>
      </c>
      <c r="K60" s="129">
        <f t="shared" si="13"/>
        <v>1578.4615384615388</v>
      </c>
      <c r="L60" s="129">
        <f t="shared" si="13"/>
        <v>2046.1538461538462</v>
      </c>
      <c r="M60" s="129">
        <f t="shared" si="13"/>
        <v>2221.538461538462</v>
      </c>
      <c r="N60" s="129">
        <f t="shared" si="13"/>
        <v>2396.923076923077</v>
      </c>
      <c r="O60" s="129">
        <f t="shared" si="13"/>
        <v>2572.307692307693</v>
      </c>
      <c r="P60" s="129">
        <f t="shared" si="13"/>
        <v>2747.692307692308</v>
      </c>
      <c r="Q60" s="129">
        <f t="shared" si="13"/>
        <v>2923.076923076924</v>
      </c>
      <c r="R60" s="129">
        <f t="shared" si="13"/>
        <v>3040.0000000000005</v>
      </c>
      <c r="S60" s="129">
        <f t="shared" si="13"/>
        <v>3156.9230769230776</v>
      </c>
      <c r="T60" s="129">
        <f t="shared" si="13"/>
        <v>3215.3846153846157</v>
      </c>
      <c r="U60" s="129">
        <f t="shared" si="13"/>
        <v>3390.7692307692314</v>
      </c>
      <c r="V60" s="129">
        <f t="shared" si="13"/>
        <v>3449.2307692307695</v>
      </c>
      <c r="W60" s="129">
        <f t="shared" si="13"/>
        <v>3507.6923076923085</v>
      </c>
      <c r="X60" s="129">
        <f t="shared" si="13"/>
        <v>3566.153846153847</v>
      </c>
      <c r="Y60" s="129">
        <f t="shared" si="13"/>
        <v>3800.000000000001</v>
      </c>
      <c r="Z60" s="129">
        <f t="shared" si="13"/>
        <v>3800.000000000001</v>
      </c>
      <c r="AA60" s="129">
        <f t="shared" si="13"/>
        <v>3800.000000000001</v>
      </c>
      <c r="AB60" s="129">
        <f t="shared" si="13"/>
        <v>3800.000000000001</v>
      </c>
      <c r="AC60" s="129">
        <f t="shared" si="13"/>
        <v>3800.000000000001</v>
      </c>
      <c r="AD60" s="129">
        <f t="shared" si="13"/>
        <v>3800.000000000001</v>
      </c>
      <c r="AE60" s="129">
        <f t="shared" si="13"/>
        <v>3800.000000000001</v>
      </c>
      <c r="AF60" s="129">
        <f t="shared" si="13"/>
        <v>3800.000000000001</v>
      </c>
      <c r="AG60" s="129">
        <f t="shared" si="13"/>
        <v>3800.000000000001</v>
      </c>
      <c r="AH60" s="129">
        <f t="shared" si="13"/>
        <v>3800.000000000001</v>
      </c>
      <c r="AI60" s="129">
        <f t="shared" si="13"/>
        <v>3800.000000000001</v>
      </c>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row>
    <row r="61" spans="1:256" ht="14.25">
      <c r="A61" s="5" t="s">
        <v>118</v>
      </c>
      <c r="B61" s="5"/>
      <c r="C61" s="131"/>
      <c r="D61" s="5"/>
      <c r="E61" s="5"/>
      <c r="F61" s="129">
        <f>SUM(F59:F60)</f>
        <v>1403.076923076923</v>
      </c>
      <c r="G61" s="129">
        <f aca="true" t="shared" si="14" ref="G61:AI61">SUM(G59:G60)</f>
        <v>2806.153846153846</v>
      </c>
      <c r="H61" s="129">
        <f t="shared" si="14"/>
        <v>4209.2307692307695</v>
      </c>
      <c r="I61" s="129">
        <f t="shared" si="14"/>
        <v>5963.076923076924</v>
      </c>
      <c r="J61" s="129">
        <f t="shared" si="14"/>
        <v>7366.153846153847</v>
      </c>
      <c r="K61" s="129">
        <f t="shared" si="14"/>
        <v>9470.769230769232</v>
      </c>
      <c r="L61" s="129">
        <f t="shared" si="14"/>
        <v>12276.923076923076</v>
      </c>
      <c r="M61" s="129">
        <f t="shared" si="14"/>
        <v>13329.23076923077</v>
      </c>
      <c r="N61" s="129">
        <f t="shared" si="14"/>
        <v>14381.538461538461</v>
      </c>
      <c r="O61" s="129">
        <f t="shared" si="14"/>
        <v>15433.846153846156</v>
      </c>
      <c r="P61" s="129">
        <f t="shared" si="14"/>
        <v>16486.153846153848</v>
      </c>
      <c r="Q61" s="129">
        <f t="shared" si="14"/>
        <v>17538.46153846154</v>
      </c>
      <c r="R61" s="129">
        <f t="shared" si="14"/>
        <v>18240.000000000004</v>
      </c>
      <c r="S61" s="129">
        <f t="shared" si="14"/>
        <v>18941.538461538465</v>
      </c>
      <c r="T61" s="129">
        <f t="shared" si="14"/>
        <v>19292.307692307695</v>
      </c>
      <c r="U61" s="129">
        <f t="shared" si="14"/>
        <v>20344.615384615387</v>
      </c>
      <c r="V61" s="129">
        <f t="shared" si="14"/>
        <v>20695.384615384617</v>
      </c>
      <c r="W61" s="129">
        <f t="shared" si="14"/>
        <v>21046.15384615385</v>
      </c>
      <c r="X61" s="129">
        <f t="shared" si="14"/>
        <v>21396.92307692308</v>
      </c>
      <c r="Y61" s="129">
        <f t="shared" si="14"/>
        <v>22800.000000000004</v>
      </c>
      <c r="Z61" s="129">
        <f t="shared" si="14"/>
        <v>22800.000000000004</v>
      </c>
      <c r="AA61" s="129">
        <f t="shared" si="14"/>
        <v>22800.000000000004</v>
      </c>
      <c r="AB61" s="129">
        <f t="shared" si="14"/>
        <v>22800.000000000004</v>
      </c>
      <c r="AC61" s="129">
        <f t="shared" si="14"/>
        <v>22800.000000000004</v>
      </c>
      <c r="AD61" s="129">
        <f t="shared" si="14"/>
        <v>22800.000000000004</v>
      </c>
      <c r="AE61" s="129">
        <f t="shared" si="14"/>
        <v>22800.000000000004</v>
      </c>
      <c r="AF61" s="129">
        <f t="shared" si="14"/>
        <v>22800.000000000004</v>
      </c>
      <c r="AG61" s="129">
        <f t="shared" si="14"/>
        <v>22800.000000000004</v>
      </c>
      <c r="AH61" s="129">
        <f t="shared" si="14"/>
        <v>22800.000000000004</v>
      </c>
      <c r="AI61" s="129">
        <f t="shared" si="14"/>
        <v>22800.000000000004</v>
      </c>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row>
    <row r="62" spans="1:35" ht="14.25">
      <c r="A62" s="5" t="s">
        <v>112</v>
      </c>
      <c r="B62" s="5"/>
      <c r="C62" s="6" t="s">
        <v>100</v>
      </c>
      <c r="D62" s="5"/>
      <c r="E62" s="5"/>
      <c r="F62" s="129">
        <f>F61*$C$44/'AIC Consolidated'!$C$19</f>
        <v>11785.846153846154</v>
      </c>
      <c r="G62" s="129">
        <f>G61*$C$44/'AIC Consolidated'!$C$19</f>
        <v>23571.69230769231</v>
      </c>
      <c r="H62" s="129">
        <f>H61*$C$44/'AIC Consolidated'!$C$19</f>
        <v>35357.53846153846</v>
      </c>
      <c r="I62" s="129">
        <f>I61*$C$44/'AIC Consolidated'!$C$19</f>
        <v>50089.846153846156</v>
      </c>
      <c r="J62" s="129">
        <f>J61*$C$44/'AIC Consolidated'!$C$19</f>
        <v>61875.69230769231</v>
      </c>
      <c r="K62" s="129">
        <f>K61*$C$44/'AIC Consolidated'!$C$19</f>
        <v>79554.46153846155</v>
      </c>
      <c r="L62" s="129">
        <f>L61*$C$44/'AIC Consolidated'!$C$19</f>
        <v>103126.15384615384</v>
      </c>
      <c r="M62" s="129">
        <f>M61*$C$44/'AIC Consolidated'!$C$19</f>
        <v>111965.53846153847</v>
      </c>
      <c r="N62" s="129">
        <f>N61*$C$44/'AIC Consolidated'!$C$19</f>
        <v>120804.92307692308</v>
      </c>
      <c r="O62" s="129">
        <f>O61*$C$44/'AIC Consolidated'!$C$19</f>
        <v>129644.30769230772</v>
      </c>
      <c r="P62" s="129">
        <f>P61*$C$44/'AIC Consolidated'!$C$19</f>
        <v>138483.6923076923</v>
      </c>
      <c r="Q62" s="129">
        <f>Q61*$C$44/'AIC Consolidated'!$C$19</f>
        <v>147323.07692307694</v>
      </c>
      <c r="R62" s="129">
        <f>R61*$C$44/'AIC Consolidated'!$C$19</f>
        <v>153216.00000000003</v>
      </c>
      <c r="S62" s="129">
        <f>S61*$C$44/'AIC Consolidated'!$C$19</f>
        <v>159108.9230769231</v>
      </c>
      <c r="T62" s="129">
        <f>T61*$C$44/'AIC Consolidated'!$C$19</f>
        <v>162055.38461538462</v>
      </c>
      <c r="U62" s="129">
        <f>U61*$C$44/'AIC Consolidated'!$C$19</f>
        <v>170894.76923076925</v>
      </c>
      <c r="V62" s="129">
        <f>V61*$C$44/'AIC Consolidated'!$C$19</f>
        <v>173841.23076923078</v>
      </c>
      <c r="W62" s="129">
        <f>W61*$C$44/'AIC Consolidated'!$C$19</f>
        <v>176787.69230769234</v>
      </c>
      <c r="X62" s="129">
        <f>X61*$C$44/'AIC Consolidated'!$C$19</f>
        <v>179734.15384615387</v>
      </c>
      <c r="Y62" s="129">
        <f>Y61*$C$44/'AIC Consolidated'!$C$19</f>
        <v>191520.00000000003</v>
      </c>
      <c r="Z62" s="129">
        <f>Z61*$C$44/'AIC Consolidated'!$C$19</f>
        <v>191520.00000000003</v>
      </c>
      <c r="AA62" s="129">
        <f>AA61*$C$44/'AIC Consolidated'!$C$19</f>
        <v>191520.00000000003</v>
      </c>
      <c r="AB62" s="129">
        <f>AB61*$C$44/'AIC Consolidated'!$C$19</f>
        <v>191520.00000000003</v>
      </c>
      <c r="AC62" s="129">
        <f>AC61*$C$44/'AIC Consolidated'!$C$19</f>
        <v>191520.00000000003</v>
      </c>
      <c r="AD62" s="129">
        <f>AD61*$C$44/'AIC Consolidated'!$C$19</f>
        <v>191520.00000000003</v>
      </c>
      <c r="AE62" s="129">
        <f>AE61*$C$44/'AIC Consolidated'!$C$19</f>
        <v>191520.00000000003</v>
      </c>
      <c r="AF62" s="129">
        <f>AF61*$C$44/'AIC Consolidated'!$C$19</f>
        <v>191520.00000000003</v>
      </c>
      <c r="AG62" s="129">
        <f>AG61*$C$44/'AIC Consolidated'!$C$19</f>
        <v>191520.00000000003</v>
      </c>
      <c r="AH62" s="129">
        <f>AH61*$C$44/'AIC Consolidated'!$C$19</f>
        <v>191520.00000000003</v>
      </c>
      <c r="AI62" s="129">
        <f>AI61*$C$44/'AIC Consolidated'!$C$19</f>
        <v>191520.00000000003</v>
      </c>
    </row>
    <row r="63" spans="1:35" ht="14.25">
      <c r="A63" s="5" t="s">
        <v>120</v>
      </c>
      <c r="B63" s="5"/>
      <c r="C63" s="6" t="s">
        <v>100</v>
      </c>
      <c r="D63" s="5"/>
      <c r="E63" s="5"/>
      <c r="F63" s="129">
        <f>F62*(1/5)</f>
        <v>2357.169230769231</v>
      </c>
      <c r="G63" s="129">
        <f aca="true" t="shared" si="15" ref="G63:AI63">G62*(1/5)</f>
        <v>4714.338461538462</v>
      </c>
      <c r="H63" s="129">
        <f t="shared" si="15"/>
        <v>7071.507692307692</v>
      </c>
      <c r="I63" s="129">
        <f t="shared" si="15"/>
        <v>10017.969230769231</v>
      </c>
      <c r="J63" s="129">
        <f t="shared" si="15"/>
        <v>12375.138461538463</v>
      </c>
      <c r="K63" s="129">
        <f t="shared" si="15"/>
        <v>15910.89230769231</v>
      </c>
      <c r="L63" s="129">
        <f t="shared" si="15"/>
        <v>20625.23076923077</v>
      </c>
      <c r="M63" s="129">
        <f t="shared" si="15"/>
        <v>22393.107692307694</v>
      </c>
      <c r="N63" s="129">
        <f t="shared" si="15"/>
        <v>24160.984615384616</v>
      </c>
      <c r="O63" s="129">
        <f t="shared" si="15"/>
        <v>25928.861538461544</v>
      </c>
      <c r="P63" s="129">
        <f t="shared" si="15"/>
        <v>27696.738461538465</v>
      </c>
      <c r="Q63" s="129">
        <f t="shared" si="15"/>
        <v>29464.61538461539</v>
      </c>
      <c r="R63" s="129">
        <f t="shared" si="15"/>
        <v>30643.200000000008</v>
      </c>
      <c r="S63" s="129">
        <f t="shared" si="15"/>
        <v>31821.78461538462</v>
      </c>
      <c r="T63" s="129">
        <f t="shared" si="15"/>
        <v>32411.076923076926</v>
      </c>
      <c r="U63" s="129">
        <f t="shared" si="15"/>
        <v>34178.953846153854</v>
      </c>
      <c r="V63" s="129">
        <f t="shared" si="15"/>
        <v>34768.24615384616</v>
      </c>
      <c r="W63" s="129">
        <f t="shared" si="15"/>
        <v>35357.53846153847</v>
      </c>
      <c r="X63" s="129">
        <f t="shared" si="15"/>
        <v>35946.83076923078</v>
      </c>
      <c r="Y63" s="129">
        <f t="shared" si="15"/>
        <v>38304.00000000001</v>
      </c>
      <c r="Z63" s="129">
        <f t="shared" si="15"/>
        <v>38304.00000000001</v>
      </c>
      <c r="AA63" s="129">
        <f t="shared" si="15"/>
        <v>38304.00000000001</v>
      </c>
      <c r="AB63" s="129">
        <f t="shared" si="15"/>
        <v>38304.00000000001</v>
      </c>
      <c r="AC63" s="129">
        <f t="shared" si="15"/>
        <v>38304.00000000001</v>
      </c>
      <c r="AD63" s="129">
        <f t="shared" si="15"/>
        <v>38304.00000000001</v>
      </c>
      <c r="AE63" s="129">
        <f t="shared" si="15"/>
        <v>38304.00000000001</v>
      </c>
      <c r="AF63" s="129">
        <f t="shared" si="15"/>
        <v>38304.00000000001</v>
      </c>
      <c r="AG63" s="129">
        <f t="shared" si="15"/>
        <v>38304.00000000001</v>
      </c>
      <c r="AH63" s="129">
        <f t="shared" si="15"/>
        <v>38304.00000000001</v>
      </c>
      <c r="AI63" s="129">
        <f t="shared" si="15"/>
        <v>38304.00000000001</v>
      </c>
    </row>
    <row r="64" spans="1:35" ht="14.25">
      <c r="A64" s="5" t="s">
        <v>119</v>
      </c>
      <c r="B64" s="5"/>
      <c r="C64" s="6" t="s">
        <v>100</v>
      </c>
      <c r="D64" s="5"/>
      <c r="E64" s="5"/>
      <c r="F64" s="129">
        <f>SUM(F62:F63)</f>
        <v>14143.015384615384</v>
      </c>
      <c r="G64" s="129">
        <f aca="true" t="shared" si="16" ref="G64:AI64">SUM(G62:G63)</f>
        <v>28286.03076923077</v>
      </c>
      <c r="H64" s="129">
        <f t="shared" si="16"/>
        <v>42429.04615384615</v>
      </c>
      <c r="I64" s="129">
        <f t="shared" si="16"/>
        <v>60107.81538461539</v>
      </c>
      <c r="J64" s="129">
        <f t="shared" si="16"/>
        <v>74250.83076923077</v>
      </c>
      <c r="K64" s="129">
        <f t="shared" si="16"/>
        <v>95465.35384615386</v>
      </c>
      <c r="L64" s="129">
        <f t="shared" si="16"/>
        <v>123751.38461538461</v>
      </c>
      <c r="M64" s="129">
        <f t="shared" si="16"/>
        <v>134358.64615384617</v>
      </c>
      <c r="N64" s="129">
        <f t="shared" si="16"/>
        <v>144965.9076923077</v>
      </c>
      <c r="O64" s="129">
        <f t="shared" si="16"/>
        <v>155573.16923076927</v>
      </c>
      <c r="P64" s="129">
        <f t="shared" si="16"/>
        <v>166180.43076923076</v>
      </c>
      <c r="Q64" s="129">
        <f t="shared" si="16"/>
        <v>176787.6923076923</v>
      </c>
      <c r="R64" s="129">
        <f t="shared" si="16"/>
        <v>183859.20000000004</v>
      </c>
      <c r="S64" s="129">
        <f t="shared" si="16"/>
        <v>190930.7076923077</v>
      </c>
      <c r="T64" s="129">
        <f t="shared" si="16"/>
        <v>194466.46153846156</v>
      </c>
      <c r="U64" s="129">
        <f t="shared" si="16"/>
        <v>205073.7230769231</v>
      </c>
      <c r="V64" s="129">
        <f t="shared" si="16"/>
        <v>208609.47692307693</v>
      </c>
      <c r="W64" s="129">
        <f t="shared" si="16"/>
        <v>212145.2307692308</v>
      </c>
      <c r="X64" s="129">
        <f t="shared" si="16"/>
        <v>215680.98461538466</v>
      </c>
      <c r="Y64" s="129">
        <f t="shared" si="16"/>
        <v>229824.00000000003</v>
      </c>
      <c r="Z64" s="129">
        <f t="shared" si="16"/>
        <v>229824.00000000003</v>
      </c>
      <c r="AA64" s="129">
        <f t="shared" si="16"/>
        <v>229824.00000000003</v>
      </c>
      <c r="AB64" s="129">
        <f t="shared" si="16"/>
        <v>229824.00000000003</v>
      </c>
      <c r="AC64" s="129">
        <f t="shared" si="16"/>
        <v>229824.00000000003</v>
      </c>
      <c r="AD64" s="129">
        <f t="shared" si="16"/>
        <v>229824.00000000003</v>
      </c>
      <c r="AE64" s="129">
        <f t="shared" si="16"/>
        <v>229824.00000000003</v>
      </c>
      <c r="AF64" s="129">
        <f t="shared" si="16"/>
        <v>229824.00000000003</v>
      </c>
      <c r="AG64" s="129">
        <f t="shared" si="16"/>
        <v>229824.00000000003</v>
      </c>
      <c r="AH64" s="129">
        <f t="shared" si="16"/>
        <v>229824.00000000003</v>
      </c>
      <c r="AI64" s="129">
        <f t="shared" si="16"/>
        <v>229824.00000000003</v>
      </c>
    </row>
    <row r="65" spans="1:35" ht="14.25">
      <c r="A65" s="4" t="s">
        <v>176</v>
      </c>
      <c r="B65" s="5"/>
      <c r="C65" s="6"/>
      <c r="D65" s="5"/>
      <c r="E65" s="5"/>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row>
    <row r="66" spans="1:35" ht="14.25">
      <c r="A66" s="5" t="s">
        <v>174</v>
      </c>
      <c r="B66" s="5"/>
      <c r="C66" s="6" t="s">
        <v>100</v>
      </c>
      <c r="D66" s="200">
        <v>0.25</v>
      </c>
      <c r="E66" s="129">
        <f>-E49*$D66</f>
        <v>17640</v>
      </c>
      <c r="F66" s="129">
        <f>-F49*$D66</f>
        <v>70560</v>
      </c>
      <c r="G66" s="129">
        <f>-G49*$D66</f>
        <v>70560</v>
      </c>
      <c r="H66" s="129">
        <f>-H49*$D66</f>
        <v>70560</v>
      </c>
      <c r="I66" s="5"/>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row>
    <row r="67" spans="1:35" ht="15" thickBot="1">
      <c r="A67" s="42"/>
      <c r="B67" s="42"/>
      <c r="C67" s="136"/>
      <c r="D67" s="136"/>
      <c r="E67" s="42"/>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row>
    <row r="68" spans="1:35" ht="14.25">
      <c r="A68" s="5"/>
      <c r="B68" s="5"/>
      <c r="C68" s="6"/>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4.25">
      <c r="A69" s="5"/>
      <c r="B69" s="5"/>
      <c r="C69" s="6"/>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4.25">
      <c r="A70" s="5"/>
      <c r="B70" s="5"/>
      <c r="C70" s="6"/>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4.25">
      <c r="A71" s="5"/>
      <c r="B71" s="5"/>
      <c r="C71" s="6"/>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4.25">
      <c r="A72" s="5"/>
      <c r="B72" s="5"/>
      <c r="C72" s="6"/>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4.25">
      <c r="A73" s="5"/>
      <c r="B73" s="5"/>
      <c r="C73" s="6"/>
      <c r="D73" s="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14.25">
      <c r="A74" s="5"/>
      <c r="B74" s="5"/>
      <c r="C74" s="6"/>
      <c r="D74" s="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4.25">
      <c r="A75" s="5"/>
      <c r="B75" s="5"/>
      <c r="C75" s="6"/>
      <c r="D75" s="6"/>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4.25">
      <c r="A76" s="5"/>
      <c r="B76" s="5"/>
      <c r="C76" s="6"/>
      <c r="D76" s="6"/>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4.25">
      <c r="A77" s="5"/>
      <c r="B77" s="5"/>
      <c r="C77" s="6"/>
      <c r="D77" s="6"/>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14.25">
      <c r="A78" s="5"/>
      <c r="B78" s="5"/>
      <c r="C78" s="6"/>
      <c r="D78" s="6"/>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4.25">
      <c r="A79" s="5"/>
      <c r="B79" s="5"/>
      <c r="C79" s="6"/>
      <c r="D79" s="6"/>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4.25">
      <c r="A80" s="5"/>
      <c r="B80" s="5"/>
      <c r="C80" s="6"/>
      <c r="D80" s="6"/>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5" ht="14.25">
      <c r="A81" s="5"/>
      <c r="B81" s="5"/>
      <c r="C81" s="6"/>
      <c r="D81" s="6"/>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5" ht="14.25">
      <c r="A82" s="5"/>
      <c r="B82" s="5"/>
      <c r="C82" s="6"/>
      <c r="D82" s="6"/>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ht="14.25">
      <c r="A83" s="5"/>
      <c r="B83" s="5"/>
      <c r="C83" s="6"/>
      <c r="D83" s="6"/>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5" ht="14.25">
      <c r="A84" s="5"/>
      <c r="B84" s="5"/>
      <c r="C84" s="6"/>
      <c r="D84" s="6"/>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ht="14.25">
      <c r="A85" s="5"/>
      <c r="B85" s="5"/>
      <c r="C85" s="6"/>
      <c r="D85" s="6"/>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4.25">
      <c r="A86" s="5"/>
      <c r="B86" s="5"/>
      <c r="C86" s="6"/>
      <c r="D86" s="6"/>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5" ht="14.25">
      <c r="A87" s="5"/>
      <c r="B87" s="5"/>
      <c r="C87" s="6"/>
      <c r="D87" s="6"/>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5" ht="14.25">
      <c r="A88" s="5"/>
      <c r="B88" s="5"/>
      <c r="C88" s="6"/>
      <c r="D88" s="6"/>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5" ht="14.25">
      <c r="A89" s="5"/>
      <c r="B89" s="5"/>
      <c r="C89" s="6"/>
      <c r="D89" s="6"/>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5" ht="14.25">
      <c r="A90" s="5"/>
      <c r="B90" s="5"/>
      <c r="C90" s="6"/>
      <c r="D90" s="6"/>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1:35" ht="14.25">
      <c r="A91" s="5"/>
      <c r="B91" s="5"/>
      <c r="C91" s="6"/>
      <c r="D91" s="6"/>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35" ht="14.25">
      <c r="A92" s="5"/>
      <c r="B92" s="5"/>
      <c r="C92" s="6"/>
      <c r="D92" s="6"/>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1:35" ht="14.25">
      <c r="A93" s="5"/>
      <c r="B93" s="5"/>
      <c r="C93" s="6"/>
      <c r="D93" s="6"/>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35" ht="14.25">
      <c r="A94" s="5"/>
      <c r="B94" s="5"/>
      <c r="C94" s="6"/>
      <c r="D94" s="6"/>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1:35" ht="14.25">
      <c r="A95" s="5"/>
      <c r="B95" s="5"/>
      <c r="C95" s="6"/>
      <c r="D95" s="6"/>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1:35" ht="14.25">
      <c r="A96" s="5"/>
      <c r="B96" s="5"/>
      <c r="C96" s="6"/>
      <c r="D96" s="6"/>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1:35" ht="14.25">
      <c r="A97" s="5"/>
      <c r="B97" s="5"/>
      <c r="C97" s="6"/>
      <c r="D97" s="6"/>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1:35" ht="14.25">
      <c r="A98" s="5"/>
      <c r="B98" s="5"/>
      <c r="C98" s="6"/>
      <c r="D98" s="6"/>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1:35" ht="14.25">
      <c r="A99" s="5"/>
      <c r="B99" s="5"/>
      <c r="C99" s="6"/>
      <c r="D99" s="6"/>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1:35" ht="14.25">
      <c r="A100" s="5"/>
      <c r="B100" s="5"/>
      <c r="C100" s="6"/>
      <c r="D100" s="6"/>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1:35" ht="14.25">
      <c r="A101" s="5"/>
      <c r="B101" s="5"/>
      <c r="C101" s="6"/>
      <c r="D101" s="6"/>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1:35" ht="14.25">
      <c r="A102" s="5"/>
      <c r="B102" s="5"/>
      <c r="C102" s="6"/>
      <c r="D102" s="6"/>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35" ht="14.25">
      <c r="A103" s="5"/>
      <c r="B103" s="5"/>
      <c r="C103" s="6"/>
      <c r="D103" s="6"/>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35" ht="14.25">
      <c r="A104" s="5"/>
      <c r="B104" s="5"/>
      <c r="C104" s="6"/>
      <c r="D104" s="6"/>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35" ht="14.25">
      <c r="A105" s="5"/>
      <c r="B105" s="5"/>
      <c r="C105" s="6"/>
      <c r="D105" s="6"/>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35" ht="14.25">
      <c r="A106" s="5"/>
      <c r="B106" s="5"/>
      <c r="C106" s="6"/>
      <c r="D106" s="6"/>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1:35" ht="14.25">
      <c r="A107" s="5"/>
      <c r="B107" s="5"/>
      <c r="C107" s="6"/>
      <c r="D107" s="6"/>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ht="14.25">
      <c r="A108" s="5"/>
      <c r="B108" s="5"/>
      <c r="C108" s="6"/>
      <c r="D108" s="6"/>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1:35" ht="14.25">
      <c r="A109" s="5"/>
      <c r="B109" s="5"/>
      <c r="C109" s="6"/>
      <c r="D109" s="6"/>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5" ht="14.25">
      <c r="A110" s="5"/>
      <c r="B110" s="5"/>
      <c r="C110" s="6"/>
      <c r="D110" s="6"/>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5" ht="14.25">
      <c r="A111" s="5"/>
      <c r="B111" s="5"/>
      <c r="C111" s="6"/>
      <c r="D111" s="6"/>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1:35" ht="14.25">
      <c r="A112" s="5"/>
      <c r="B112" s="5"/>
      <c r="C112" s="6"/>
      <c r="D112" s="6"/>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ht="14.25">
      <c r="A113" s="5"/>
      <c r="B113" s="5"/>
      <c r="C113" s="6"/>
      <c r="D113" s="6"/>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14.25">
      <c r="A114" s="5"/>
      <c r="B114" s="5"/>
      <c r="C114" s="6"/>
      <c r="D114" s="6"/>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1:35" ht="14.25">
      <c r="A115" s="5"/>
      <c r="B115" s="5"/>
      <c r="C115" s="6"/>
      <c r="D115" s="6"/>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1:35" ht="14.25">
      <c r="A116" s="5"/>
      <c r="B116" s="5"/>
      <c r="C116" s="6"/>
      <c r="D116" s="6"/>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1:35" ht="14.25">
      <c r="A117" s="5"/>
      <c r="B117" s="5"/>
      <c r="C117" s="6"/>
      <c r="D117" s="6"/>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1:35" ht="14.25">
      <c r="A118" s="5"/>
      <c r="B118" s="5"/>
      <c r="C118" s="6"/>
      <c r="D118" s="6"/>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1:35" ht="14.25">
      <c r="A119" s="5"/>
      <c r="B119" s="5"/>
      <c r="C119" s="6"/>
      <c r="D119" s="6"/>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row>
    <row r="120" spans="1:35" ht="14.25">
      <c r="A120" s="5"/>
      <c r="B120" s="5"/>
      <c r="C120" s="6"/>
      <c r="D120" s="6"/>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row>
    <row r="121" spans="1:35" ht="14.25">
      <c r="A121" s="5"/>
      <c r="B121" s="5"/>
      <c r="C121" s="6"/>
      <c r="D121" s="6"/>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row>
    <row r="122" spans="1:35" ht="14.25">
      <c r="A122" s="5"/>
      <c r="B122" s="5"/>
      <c r="C122" s="6"/>
      <c r="D122" s="6"/>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row>
    <row r="123" spans="1:35" ht="14.25">
      <c r="A123" s="5"/>
      <c r="B123" s="5"/>
      <c r="C123" s="6"/>
      <c r="D123" s="6"/>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35" ht="14.25">
      <c r="A124" s="5"/>
      <c r="B124" s="5"/>
      <c r="C124" s="6"/>
      <c r="D124" s="6"/>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row>
    <row r="125" spans="1:35" ht="14.25">
      <c r="A125" s="5"/>
      <c r="B125" s="5"/>
      <c r="C125" s="6"/>
      <c r="D125" s="6"/>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row>
    <row r="126" spans="1:35" ht="14.25">
      <c r="A126" s="5"/>
      <c r="B126" s="5"/>
      <c r="C126" s="6"/>
      <c r="D126" s="6"/>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row>
    <row r="127" spans="1:35" ht="14.25">
      <c r="A127" s="5"/>
      <c r="B127" s="5"/>
      <c r="C127" s="6"/>
      <c r="D127" s="6"/>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row>
    <row r="128" spans="1:35" ht="14.25">
      <c r="A128" s="5"/>
      <c r="B128" s="5"/>
      <c r="C128" s="6"/>
      <c r="D128" s="6"/>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row>
    <row r="129" spans="1:35" ht="14.25">
      <c r="A129" s="5"/>
      <c r="B129" s="5"/>
      <c r="C129" s="6"/>
      <c r="D129" s="6"/>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row>
    <row r="130" spans="1:35" ht="14.25">
      <c r="A130" s="5"/>
      <c r="B130" s="5"/>
      <c r="C130" s="6"/>
      <c r="D130" s="6"/>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row>
    <row r="131" spans="1:35" ht="14.25">
      <c r="A131" s="5"/>
      <c r="B131" s="5"/>
      <c r="C131" s="6"/>
      <c r="D131" s="6"/>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row>
    <row r="132" spans="1:35" ht="14.25">
      <c r="A132" s="5"/>
      <c r="B132" s="5"/>
      <c r="C132" s="6"/>
      <c r="D132" s="6"/>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row>
    <row r="133" spans="1:35" ht="14.25">
      <c r="A133" s="5"/>
      <c r="B133" s="5"/>
      <c r="C133" s="6"/>
      <c r="D133" s="6"/>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row>
    <row r="134" spans="1:35" ht="14.25">
      <c r="A134" s="5"/>
      <c r="B134" s="5"/>
      <c r="C134" s="6"/>
      <c r="D134" s="6"/>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row>
    <row r="135" spans="1:35" ht="14.25">
      <c r="A135" s="5"/>
      <c r="B135" s="5"/>
      <c r="C135" s="6"/>
      <c r="D135" s="6"/>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row>
    <row r="136" spans="1:35" ht="14.25">
      <c r="A136" s="5"/>
      <c r="B136" s="5"/>
      <c r="C136" s="6"/>
      <c r="D136" s="6"/>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row>
    <row r="137" spans="1:35" ht="14.25">
      <c r="A137" s="5"/>
      <c r="B137" s="5"/>
      <c r="C137" s="6"/>
      <c r="D137" s="6"/>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row>
    <row r="138" spans="1:35" ht="14.25">
      <c r="A138" s="5"/>
      <c r="B138" s="5"/>
      <c r="C138" s="6"/>
      <c r="D138" s="6"/>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row>
    <row r="139" spans="1:35" ht="14.25">
      <c r="A139" s="5"/>
      <c r="B139" s="5"/>
      <c r="C139" s="6"/>
      <c r="D139" s="6"/>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9" scale="44" r:id="rId4"/>
  <headerFooter alignWithMargins="0">
    <oddHeader>&amp;LUpdated Feasibility Study for Metolong Dam - Financial and Economic Analysis&amp;RDecember 2006</oddHeader>
    <oddFooter>&amp;L&amp;F, &amp;A&amp;C&amp;P of &amp;N&amp;R&amp;D</oddFooter>
  </headerFooter>
  <colBreaks count="1" manualBreakCount="1">
    <brk id="35" min="7" max="66" man="1"/>
  </colBreaks>
  <drawing r:id="rId3"/>
  <legacyDrawing r:id="rId2"/>
</worksheet>
</file>

<file path=xl/worksheets/sheet13.xml><?xml version="1.0" encoding="utf-8"?>
<worksheet xmlns="http://schemas.openxmlformats.org/spreadsheetml/2006/main" xmlns:r="http://schemas.openxmlformats.org/officeDocument/2006/relationships">
  <sheetPr codeName="Sheet20" transitionEvaluation="1">
    <pageSetUpPr fitToPage="1"/>
  </sheetPr>
  <dimension ref="A1:K43"/>
  <sheetViews>
    <sheetView zoomScale="75" zoomScaleNormal="75" workbookViewId="0" topLeftCell="A1">
      <selection activeCell="A7" sqref="A7:IV10"/>
    </sheetView>
  </sheetViews>
  <sheetFormatPr defaultColWidth="9.7109375" defaultRowHeight="12.75"/>
  <cols>
    <col min="1" max="1" width="14.7109375" style="162" customWidth="1"/>
    <col min="2" max="2" width="25.28125" style="162" customWidth="1"/>
    <col min="3" max="9" width="12.7109375" style="162" customWidth="1"/>
    <col min="10" max="10" width="14.57421875" style="162" customWidth="1"/>
    <col min="11" max="33" width="7.7109375" style="162" customWidth="1"/>
    <col min="34" max="16384" width="9.7109375" style="162" customWidth="1"/>
  </cols>
  <sheetData>
    <row r="1" s="311" customFormat="1" ht="12.75">
      <c r="G1" s="312" t="s">
        <v>209</v>
      </c>
    </row>
    <row r="2" spans="1:4" s="311" customFormat="1" ht="39" customHeight="1">
      <c r="A2" s="371" t="s">
        <v>4</v>
      </c>
      <c r="B2" s="371"/>
      <c r="C2" s="371"/>
      <c r="D2" s="371"/>
    </row>
    <row r="3" ht="12.75">
      <c r="A3" s="165" t="s">
        <v>12</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3.5" thickBot="1">
      <c r="A6" s="165"/>
    </row>
    <row r="7" spans="1:9" ht="12.75">
      <c r="A7" s="166"/>
      <c r="B7" s="167" t="s">
        <v>146</v>
      </c>
      <c r="C7" s="168" t="s">
        <v>147</v>
      </c>
      <c r="D7" s="372" t="s">
        <v>148</v>
      </c>
      <c r="E7" s="372"/>
      <c r="F7" s="372"/>
      <c r="G7" s="372"/>
      <c r="H7" s="168" t="s">
        <v>149</v>
      </c>
      <c r="I7" s="169" t="s">
        <v>150</v>
      </c>
    </row>
    <row r="8" spans="1:9" ht="12.75">
      <c r="A8" s="170"/>
      <c r="B8" s="171"/>
      <c r="C8" s="172" t="s">
        <v>151</v>
      </c>
      <c r="D8" s="173" t="s">
        <v>152</v>
      </c>
      <c r="E8" s="173" t="s">
        <v>153</v>
      </c>
      <c r="F8" s="173" t="s">
        <v>154</v>
      </c>
      <c r="G8" s="173" t="s">
        <v>155</v>
      </c>
      <c r="H8" s="172" t="s">
        <v>156</v>
      </c>
      <c r="I8" s="174" t="s">
        <v>155</v>
      </c>
    </row>
    <row r="9" spans="1:9" ht="12.75">
      <c r="A9" s="170"/>
      <c r="B9" s="171"/>
      <c r="C9" s="172" t="s">
        <v>157</v>
      </c>
      <c r="D9" s="172" t="s">
        <v>158</v>
      </c>
      <c r="E9" s="172" t="s">
        <v>156</v>
      </c>
      <c r="F9" s="172" t="s">
        <v>153</v>
      </c>
      <c r="G9" s="172" t="s">
        <v>158</v>
      </c>
      <c r="H9" s="172"/>
      <c r="I9" s="174" t="s">
        <v>158</v>
      </c>
    </row>
    <row r="10" spans="1:9" ht="12.75">
      <c r="A10" s="170"/>
      <c r="B10" s="175"/>
      <c r="C10" s="176"/>
      <c r="D10" s="177"/>
      <c r="E10" s="177"/>
      <c r="F10" s="177"/>
      <c r="G10" s="177"/>
      <c r="H10" s="177"/>
      <c r="I10" s="178"/>
    </row>
    <row r="11" spans="1:9" ht="12.75">
      <c r="A11" s="170"/>
      <c r="B11" s="175" t="s">
        <v>160</v>
      </c>
      <c r="C11" s="179">
        <f>C37</f>
        <v>0.2067455848919725</v>
      </c>
      <c r="D11" s="180">
        <v>0.1367</v>
      </c>
      <c r="E11" s="181">
        <v>0</v>
      </c>
      <c r="F11" s="181">
        <f aca="true" t="shared" si="0" ref="F11:F17">D11*(1-E11)</f>
        <v>0.1367</v>
      </c>
      <c r="G11" s="181">
        <f aca="true" t="shared" si="1" ref="G11:G17">(1+F11)/(1+H11)-1</f>
        <v>0.08257142857142852</v>
      </c>
      <c r="H11" s="181">
        <v>0.05</v>
      </c>
      <c r="I11" s="182">
        <f aca="true" t="shared" si="2" ref="I11:I17">(C11*(G11))</f>
        <v>0.01707127829536572</v>
      </c>
    </row>
    <row r="12" spans="1:9" ht="12.75">
      <c r="A12" s="170"/>
      <c r="B12" s="175" t="s">
        <v>161</v>
      </c>
      <c r="C12" s="179">
        <f>D37</f>
        <v>0.051462610362616026</v>
      </c>
      <c r="D12" s="180">
        <v>0.02</v>
      </c>
      <c r="E12" s="181">
        <v>0.25</v>
      </c>
      <c r="F12" s="181">
        <f t="shared" si="0"/>
        <v>0.015</v>
      </c>
      <c r="G12" s="181">
        <f t="shared" si="1"/>
        <v>-0.03333333333333344</v>
      </c>
      <c r="H12" s="181">
        <v>0.05</v>
      </c>
      <c r="I12" s="182">
        <f t="shared" si="2"/>
        <v>-0.0017154203454205394</v>
      </c>
    </row>
    <row r="13" spans="1:9" ht="12.75">
      <c r="A13" s="170"/>
      <c r="B13" s="175" t="s">
        <v>162</v>
      </c>
      <c r="C13" s="179">
        <f>E37</f>
        <v>0.051107695808391106</v>
      </c>
      <c r="D13" s="180">
        <v>0.02</v>
      </c>
      <c r="E13" s="181">
        <v>0.25</v>
      </c>
      <c r="F13" s="181">
        <f t="shared" si="0"/>
        <v>0.015</v>
      </c>
      <c r="G13" s="181">
        <f t="shared" si="1"/>
        <v>-0.03333333333333344</v>
      </c>
      <c r="H13" s="181">
        <v>0.05</v>
      </c>
      <c r="I13" s="182">
        <f t="shared" si="2"/>
        <v>-0.0017035898602797087</v>
      </c>
    </row>
    <row r="14" spans="1:9" ht="12.75">
      <c r="A14" s="170"/>
      <c r="B14" s="175" t="s">
        <v>163</v>
      </c>
      <c r="C14" s="179">
        <f>F37</f>
        <v>0.030759261366161302</v>
      </c>
      <c r="D14" s="180">
        <v>0.025</v>
      </c>
      <c r="E14" s="181">
        <v>0.25</v>
      </c>
      <c r="F14" s="181">
        <f t="shared" si="0"/>
        <v>0.018750000000000003</v>
      </c>
      <c r="G14" s="181">
        <f t="shared" si="1"/>
        <v>-0.029761904761904767</v>
      </c>
      <c r="H14" s="181">
        <v>0.05</v>
      </c>
      <c r="I14" s="182">
        <f t="shared" si="2"/>
        <v>-0.0009154542073262294</v>
      </c>
    </row>
    <row r="15" spans="1:9" ht="12.75">
      <c r="A15" s="170"/>
      <c r="B15" s="175" t="s">
        <v>164</v>
      </c>
      <c r="C15" s="179">
        <f>G37</f>
        <v>0.06867596624252552</v>
      </c>
      <c r="D15" s="180">
        <v>0.02</v>
      </c>
      <c r="E15" s="181">
        <v>0.25</v>
      </c>
      <c r="F15" s="181">
        <f t="shared" si="0"/>
        <v>0.015</v>
      </c>
      <c r="G15" s="181">
        <f t="shared" si="1"/>
        <v>-0.03333333333333344</v>
      </c>
      <c r="H15" s="181">
        <v>0.05</v>
      </c>
      <c r="I15" s="182">
        <f t="shared" si="2"/>
        <v>-0.002289198874750858</v>
      </c>
    </row>
    <row r="16" spans="1:9" ht="12.75">
      <c r="A16" s="170"/>
      <c r="B16" s="175" t="s">
        <v>165</v>
      </c>
      <c r="C16" s="179">
        <f>H37</f>
        <v>0.569665126740144</v>
      </c>
      <c r="D16" s="180">
        <v>0</v>
      </c>
      <c r="E16" s="181">
        <v>0</v>
      </c>
      <c r="F16" s="181">
        <f t="shared" si="0"/>
        <v>0</v>
      </c>
      <c r="G16" s="181">
        <f t="shared" si="1"/>
        <v>-0.04761904761904767</v>
      </c>
      <c r="H16" s="181">
        <v>0.05</v>
      </c>
      <c r="I16" s="182">
        <f t="shared" si="2"/>
        <v>-0.027126910797149746</v>
      </c>
    </row>
    <row r="17" spans="1:9" ht="12.75">
      <c r="A17" s="170"/>
      <c r="B17" s="175" t="s">
        <v>166</v>
      </c>
      <c r="C17" s="179">
        <f>I37</f>
        <v>0.021583754588189487</v>
      </c>
      <c r="D17" s="180">
        <v>0.0621</v>
      </c>
      <c r="E17" s="181">
        <v>0</v>
      </c>
      <c r="F17" s="181">
        <f t="shared" si="0"/>
        <v>0.0621</v>
      </c>
      <c r="G17" s="181">
        <f t="shared" si="1"/>
        <v>0.011523809523809492</v>
      </c>
      <c r="H17" s="181">
        <v>0.05</v>
      </c>
      <c r="I17" s="182">
        <f t="shared" si="2"/>
        <v>0.00024872707668294484</v>
      </c>
    </row>
    <row r="18" spans="1:9" ht="12.75">
      <c r="A18" s="170"/>
      <c r="B18" s="171" t="s">
        <v>159</v>
      </c>
      <c r="C18" s="179">
        <f>SUM(C11:C17)</f>
        <v>1</v>
      </c>
      <c r="D18" s="181"/>
      <c r="E18" s="181"/>
      <c r="F18" s="181"/>
      <c r="G18" s="181"/>
      <c r="H18" s="181"/>
      <c r="I18" s="183">
        <f>SUM(I11:I17)</f>
        <v>-0.016430568712878416</v>
      </c>
    </row>
    <row r="19" spans="1:9" ht="13.5" thickBot="1">
      <c r="A19" s="184"/>
      <c r="B19" s="185"/>
      <c r="C19" s="186"/>
      <c r="D19" s="187"/>
      <c r="E19" s="187"/>
      <c r="F19" s="187"/>
      <c r="G19" s="187"/>
      <c r="H19" s="187"/>
      <c r="I19" s="188"/>
    </row>
    <row r="21" spans="1:10" ht="15.75">
      <c r="A21" s="163" t="s">
        <v>182</v>
      </c>
      <c r="H21" s="38" t="s">
        <v>41</v>
      </c>
      <c r="I21" s="38" t="s">
        <v>92</v>
      </c>
      <c r="J21" s="39">
        <f>'Add Costs and Benefits'!W10</f>
        <v>1000</v>
      </c>
    </row>
    <row r="22" ht="13.5" thickBot="1"/>
    <row r="23" spans="1:10" ht="12.75">
      <c r="A23" s="194"/>
      <c r="B23" s="195" t="s">
        <v>167</v>
      </c>
      <c r="C23" s="195" t="s">
        <v>160</v>
      </c>
      <c r="D23" s="195" t="s">
        <v>161</v>
      </c>
      <c r="E23" s="195" t="s">
        <v>162</v>
      </c>
      <c r="F23" s="195" t="s">
        <v>168</v>
      </c>
      <c r="G23" s="195" t="s">
        <v>169</v>
      </c>
      <c r="H23" s="195" t="s">
        <v>170</v>
      </c>
      <c r="I23" s="195" t="s">
        <v>166</v>
      </c>
      <c r="J23" s="195" t="s">
        <v>159</v>
      </c>
    </row>
    <row r="24" ht="12.75">
      <c r="K24" s="189" t="s">
        <v>181</v>
      </c>
    </row>
    <row r="25" spans="2:11" ht="12.75">
      <c r="B25" s="190" t="str">
        <f>'AIC Consolidated'!I12</f>
        <v>Pipelines</v>
      </c>
      <c r="C25" s="191"/>
      <c r="D25" s="191"/>
      <c r="E25" s="191"/>
      <c r="F25" s="191"/>
      <c r="G25" s="191"/>
      <c r="H25" s="191">
        <f>IF(K25=1,J25,('AIC Maseru'!D31+'AIC Mazenod'!D31))</f>
        <v>161768.1560366766</v>
      </c>
      <c r="I25" s="191">
        <f>J25-H25</f>
        <v>27488.68629240786</v>
      </c>
      <c r="J25" s="191">
        <f>'AIC Consolidated'!D31</f>
        <v>189256.84232908447</v>
      </c>
      <c r="K25" s="204">
        <v>0</v>
      </c>
    </row>
    <row r="26" spans="2:10" ht="12.75">
      <c r="B26" s="190" t="str">
        <f>'AIC Consolidated'!I13</f>
        <v>High South Reservoirs</v>
      </c>
      <c r="C26" s="191"/>
      <c r="D26" s="191"/>
      <c r="E26" s="191"/>
      <c r="F26" s="191"/>
      <c r="G26" s="191"/>
      <c r="H26" s="191">
        <f>J26</f>
        <v>102480</v>
      </c>
      <c r="J26" s="191">
        <f>'AIC Consolidated'!D32</f>
        <v>102480</v>
      </c>
    </row>
    <row r="27" spans="2:10" ht="12.75">
      <c r="B27" s="190" t="str">
        <f>'AIC Consolidated'!I14</f>
        <v>Pump stations - Civil Works</v>
      </c>
      <c r="C27" s="191"/>
      <c r="D27" s="191"/>
      <c r="E27" s="191"/>
      <c r="F27" s="191"/>
      <c r="G27" s="191"/>
      <c r="H27" s="191">
        <f>J27</f>
        <v>4733.6</v>
      </c>
      <c r="J27" s="191">
        <f>'AIC Consolidated'!D33</f>
        <v>4733.6</v>
      </c>
    </row>
    <row r="28" spans="2:10" ht="12.75">
      <c r="B28" s="190" t="str">
        <f>'AIC Consolidated'!I15</f>
        <v>Pump stations - M&amp;E Works</v>
      </c>
      <c r="C28" s="191"/>
      <c r="D28" s="191">
        <v>0</v>
      </c>
      <c r="E28" s="191">
        <v>0</v>
      </c>
      <c r="F28" s="191">
        <v>0</v>
      </c>
      <c r="G28" s="191">
        <v>0</v>
      </c>
      <c r="H28" s="191">
        <f>J28-SUM(D28:G28)</f>
        <v>136443.78551995274</v>
      </c>
      <c r="J28" s="191">
        <f>'AIC Consolidated'!D34</f>
        <v>136443.78551995274</v>
      </c>
    </row>
    <row r="29" spans="2:10" ht="12.75">
      <c r="B29" s="190" t="str">
        <f>'AIC Consolidated'!I16</f>
        <v>Dam - Civil Works</v>
      </c>
      <c r="C29" s="191"/>
      <c r="D29" s="191">
        <f>(D$40/$J$40)*$J29</f>
        <v>56322.45924479952</v>
      </c>
      <c r="E29" s="191">
        <f>(E40/$J40)*$J29</f>
        <v>55934.028491387115</v>
      </c>
      <c r="F29" s="191">
        <f>(F40/$J40)*$J29</f>
        <v>33663.99862907557</v>
      </c>
      <c r="G29" s="191">
        <f>(G40/$J40)*$J29</f>
        <v>75161.35078530142</v>
      </c>
      <c r="H29" s="191"/>
      <c r="J29" s="191">
        <f>'AIC Consolidated'!D35</f>
        <v>221081.8371505636</v>
      </c>
    </row>
    <row r="30" spans="2:10" ht="12.75">
      <c r="B30" s="190" t="str">
        <f>'AIC Consolidated'!I17</f>
        <v>Dam - M&amp;E Works</v>
      </c>
      <c r="C30" s="191"/>
      <c r="D30" s="191">
        <f>(D$40/$J$40)*$J30</f>
        <v>9219.4068038653</v>
      </c>
      <c r="E30" s="191">
        <f>(E$40/$J$40)*$J30</f>
        <v>9155.824687976576</v>
      </c>
      <c r="F30" s="191">
        <f>(F$40/$J$40)*$J30</f>
        <v>5510.450043689604</v>
      </c>
      <c r="G30" s="191">
        <f>(G$40/$J$40)*$J30</f>
        <v>12303.13942446852</v>
      </c>
      <c r="H30" s="191"/>
      <c r="J30" s="191">
        <f>'AIC Consolidated'!D36</f>
        <v>36188.82096</v>
      </c>
    </row>
    <row r="31" spans="2:10" ht="12.75">
      <c r="B31" s="190" t="str">
        <f>'AIC Consolidated'!I18</f>
        <v>WTW - Civil Works</v>
      </c>
      <c r="C31" s="191"/>
      <c r="D31" s="191"/>
      <c r="E31" s="191"/>
      <c r="F31" s="191"/>
      <c r="G31" s="191"/>
      <c r="H31" s="191">
        <f>J31</f>
        <v>46349.91046581653</v>
      </c>
      <c r="J31" s="191">
        <f>'AIC Consolidated'!D37</f>
        <v>46349.91046581653</v>
      </c>
    </row>
    <row r="32" spans="2:10" ht="12.75">
      <c r="B32" s="190" t="str">
        <f>'AIC Consolidated'!I19</f>
        <v>WTW - M&amp;E Works</v>
      </c>
      <c r="C32" s="191"/>
      <c r="D32" s="191"/>
      <c r="E32" s="191"/>
      <c r="F32" s="191"/>
      <c r="G32" s="191"/>
      <c r="H32" s="191">
        <f>J32</f>
        <v>273739.93023886345</v>
      </c>
      <c r="J32" s="191">
        <f>'AIC Consolidated'!D38</f>
        <v>273739.93023886345</v>
      </c>
    </row>
    <row r="33" spans="2:10" ht="12.75">
      <c r="B33" s="190" t="str">
        <f>'AIC Consolidated'!I20</f>
        <v>Advance Infrastructure, ESIA and PIU</v>
      </c>
      <c r="C33" s="191">
        <f>J33</f>
        <v>253297.10297474227</v>
      </c>
      <c r="D33" s="191"/>
      <c r="E33" s="191"/>
      <c r="F33" s="191"/>
      <c r="G33" s="191"/>
      <c r="H33" s="191"/>
      <c r="J33" s="191">
        <f>'AIC Consolidated'!D39-K34</f>
        <v>253297.10297474227</v>
      </c>
    </row>
    <row r="34" spans="2:11" ht="12.75">
      <c r="B34" s="190" t="s">
        <v>171</v>
      </c>
      <c r="C34" s="191">
        <f>J34</f>
        <v>10010.4</v>
      </c>
      <c r="D34" s="191"/>
      <c r="E34" s="191"/>
      <c r="F34" s="191"/>
      <c r="G34" s="191"/>
      <c r="H34" s="191"/>
      <c r="J34" s="191">
        <f>K34</f>
        <v>10010.4</v>
      </c>
      <c r="K34" s="191">
        <f>1290*7.76</f>
        <v>10010.4</v>
      </c>
    </row>
    <row r="35" ht="12.75">
      <c r="B35" s="190"/>
    </row>
    <row r="36" spans="1:10" ht="13.5" thickBot="1">
      <c r="A36" s="196"/>
      <c r="B36" s="197" t="s">
        <v>159</v>
      </c>
      <c r="C36" s="198">
        <f aca="true" t="shared" si="3" ref="C36:I36">SUM(C25:C34)</f>
        <v>263307.50297474227</v>
      </c>
      <c r="D36" s="198">
        <f t="shared" si="3"/>
        <v>65541.86604866482</v>
      </c>
      <c r="E36" s="198">
        <f t="shared" si="3"/>
        <v>65089.853179363694</v>
      </c>
      <c r="F36" s="198">
        <f t="shared" si="3"/>
        <v>39174.448672765175</v>
      </c>
      <c r="G36" s="198">
        <f t="shared" si="3"/>
        <v>87464.49020976994</v>
      </c>
      <c r="H36" s="198">
        <f t="shared" si="3"/>
        <v>725515.3822613093</v>
      </c>
      <c r="I36" s="198">
        <f t="shared" si="3"/>
        <v>27488.68629240786</v>
      </c>
      <c r="J36" s="196"/>
    </row>
    <row r="37" spans="3:9" ht="12.75">
      <c r="C37" s="192">
        <f>C36/$H38</f>
        <v>0.2067455848919725</v>
      </c>
      <c r="D37" s="192">
        <f aca="true" t="shared" si="4" ref="D37:I37">D36/$H38</f>
        <v>0.051462610362616026</v>
      </c>
      <c r="E37" s="192">
        <f t="shared" si="4"/>
        <v>0.051107695808391106</v>
      </c>
      <c r="F37" s="192">
        <f t="shared" si="4"/>
        <v>0.030759261366161302</v>
      </c>
      <c r="G37" s="192">
        <f t="shared" si="4"/>
        <v>0.06867596624252552</v>
      </c>
      <c r="H37" s="192">
        <f t="shared" si="4"/>
        <v>0.569665126740144</v>
      </c>
      <c r="I37" s="192">
        <f t="shared" si="4"/>
        <v>0.021583754588189487</v>
      </c>
    </row>
    <row r="38" spans="8:10" ht="12.75">
      <c r="H38" s="191">
        <f>SUM(C36:I36)</f>
        <v>1273582.229639023</v>
      </c>
      <c r="J38" s="191">
        <f>SUM(J25:J34)</f>
        <v>1273582.2296390228</v>
      </c>
    </row>
    <row r="40" spans="4:11" ht="12.75">
      <c r="D40" s="162">
        <f>8.7</f>
        <v>8.7</v>
      </c>
      <c r="E40" s="162">
        <f>6.8+1.84</f>
        <v>8.64</v>
      </c>
      <c r="F40" s="162">
        <v>5.2</v>
      </c>
      <c r="G40" s="162">
        <f>8.85+2.76</f>
        <v>11.61</v>
      </c>
      <c r="J40" s="162">
        <f>SUM(D40:G40)</f>
        <v>34.15</v>
      </c>
      <c r="K40" s="189" t="s">
        <v>173</v>
      </c>
    </row>
    <row r="41" spans="3:6" ht="12.75">
      <c r="C41" s="162">
        <v>2007</v>
      </c>
      <c r="D41" s="162">
        <f>C41+1</f>
        <v>2008</v>
      </c>
      <c r="E41" s="162">
        <f>D41+1</f>
        <v>2009</v>
      </c>
      <c r="F41" s="162">
        <f>E41+1</f>
        <v>2010</v>
      </c>
    </row>
    <row r="42" spans="2:6" ht="12.75">
      <c r="B42" s="189" t="s">
        <v>178</v>
      </c>
      <c r="C42" s="205">
        <v>0.2</v>
      </c>
      <c r="D42" s="205">
        <v>0.3</v>
      </c>
      <c r="E42" s="205">
        <v>0.3</v>
      </c>
      <c r="F42" s="205">
        <v>0.2</v>
      </c>
    </row>
    <row r="43" spans="2:6" ht="12.75">
      <c r="B43" s="189" t="s">
        <v>179</v>
      </c>
      <c r="C43" s="162">
        <f>C42*$C34</f>
        <v>2002.08</v>
      </c>
      <c r="D43" s="162">
        <f>D42*$C34</f>
        <v>3003.12</v>
      </c>
      <c r="E43" s="162">
        <f>E42*$C34</f>
        <v>3003.12</v>
      </c>
      <c r="F43" s="162">
        <f>F42*$C34</f>
        <v>2002.08</v>
      </c>
    </row>
  </sheetData>
  <mergeCells count="2">
    <mergeCell ref="D7:G7"/>
    <mergeCell ref="A2:D2"/>
  </mergeCells>
  <printOptions horizontalCentered="1"/>
  <pageMargins left="0.5511811023622047" right="0.5905511811023623" top="0.984251968503937" bottom="0.7480314960629921" header="0.5118110236220472" footer="0.5118110236220472"/>
  <pageSetup fitToHeight="1" fitToWidth="1" horizontalDpi="300" verticalDpi="300" orientation="landscape" paperSize="9" scale="96" r:id="rId4"/>
  <headerFooter alignWithMargins="0">
    <oddHeader>&amp;LEffective Provision and Expansion of Technical and Vocational Education and Training - Botswana&amp;RNovember 2004</oddHeader>
    <oddFooter>&amp;L&amp;F, &amp;A&amp;C&amp;P of &amp;N&amp;R&amp;D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B17"/>
  <sheetViews>
    <sheetView showGridLines="0" tabSelected="1" workbookViewId="0" topLeftCell="A1">
      <selection activeCell="D4" sqref="D4"/>
    </sheetView>
  </sheetViews>
  <sheetFormatPr defaultColWidth="9.140625" defaultRowHeight="12.75"/>
  <cols>
    <col min="1" max="1" width="5.7109375" style="250" customWidth="1"/>
    <col min="2" max="2" width="106.421875" style="250" customWidth="1"/>
    <col min="3" max="16384" width="9.140625" style="250" customWidth="1"/>
  </cols>
  <sheetData>
    <row r="1" ht="12.75">
      <c r="B1" s="249" t="s">
        <v>209</v>
      </c>
    </row>
    <row r="2" ht="34.5" customHeight="1">
      <c r="B2" s="251" t="s">
        <v>270</v>
      </c>
    </row>
    <row r="3" ht="16.5" customHeight="1">
      <c r="B3" s="346" t="s">
        <v>269</v>
      </c>
    </row>
    <row r="5" ht="31.5" customHeight="1">
      <c r="B5" s="252" t="s">
        <v>210</v>
      </c>
    </row>
    <row r="6" ht="3.75" customHeight="1"/>
    <row r="7" ht="12.75">
      <c r="B7" s="253" t="s">
        <v>34</v>
      </c>
    </row>
    <row r="8" ht="6.75" customHeight="1"/>
    <row r="9" ht="51">
      <c r="B9" s="309" t="s">
        <v>252</v>
      </c>
    </row>
    <row r="11" ht="24.75" customHeight="1">
      <c r="B11" s="253" t="s">
        <v>211</v>
      </c>
    </row>
    <row r="12" ht="6.75" customHeight="1"/>
    <row r="13" ht="141" customHeight="1">
      <c r="B13" s="310" t="s">
        <v>0</v>
      </c>
    </row>
    <row r="14" ht="78.75" customHeight="1">
      <c r="B14" s="309" t="s">
        <v>1</v>
      </c>
    </row>
    <row r="15" ht="96.75" customHeight="1">
      <c r="B15" s="310" t="s">
        <v>2</v>
      </c>
    </row>
    <row r="16" ht="87" customHeight="1">
      <c r="B16" s="254" t="s">
        <v>3</v>
      </c>
    </row>
    <row r="17" ht="12.75">
      <c r="B17" s="249" t="s">
        <v>209</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2:J18"/>
  <sheetViews>
    <sheetView showGridLines="0" zoomScale="90" zoomScaleNormal="90" workbookViewId="0" topLeftCell="A1">
      <selection activeCell="E14" sqref="E14"/>
    </sheetView>
  </sheetViews>
  <sheetFormatPr defaultColWidth="9.140625" defaultRowHeight="12.75"/>
  <cols>
    <col min="1" max="1" width="5.7109375" style="273" customWidth="1"/>
    <col min="2" max="2" width="12.7109375" style="273" customWidth="1"/>
    <col min="3" max="3" width="4.140625" style="273" customWidth="1"/>
    <col min="4" max="4" width="54.140625" style="273" customWidth="1"/>
    <col min="5" max="5" width="13.140625" style="273" customWidth="1"/>
    <col min="6" max="6" width="13.8515625" style="273" customWidth="1"/>
    <col min="7" max="7" width="14.421875" style="273" customWidth="1"/>
    <col min="8" max="8" width="13.28125" style="273" customWidth="1"/>
    <col min="9" max="9" width="5.7109375" style="273" customWidth="1"/>
    <col min="10" max="10" width="19.28125" style="273" customWidth="1"/>
    <col min="11" max="16384" width="9.140625" style="273" customWidth="1"/>
  </cols>
  <sheetData>
    <row r="1" ht="12.75"/>
    <row r="2" spans="2:8" ht="23.25">
      <c r="B2" s="274" t="s">
        <v>251</v>
      </c>
      <c r="D2" s="274"/>
      <c r="E2" s="275"/>
      <c r="F2" s="276"/>
      <c r="G2" s="276"/>
      <c r="H2" s="255"/>
    </row>
    <row r="3" spans="2:8" ht="12.75">
      <c r="B3" s="276"/>
      <c r="D3" s="276"/>
      <c r="E3" s="276"/>
      <c r="F3" s="276"/>
      <c r="G3" s="276"/>
      <c r="H3" s="255"/>
    </row>
    <row r="4" spans="2:8" ht="18">
      <c r="B4" s="277" t="s">
        <v>226</v>
      </c>
      <c r="D4" s="277"/>
      <c r="E4" s="276"/>
      <c r="F4" s="276"/>
      <c r="G4" s="276"/>
      <c r="H4" s="278" t="s">
        <v>209</v>
      </c>
    </row>
    <row r="5" spans="3:7" ht="12.75">
      <c r="C5" s="276"/>
      <c r="D5" s="276"/>
      <c r="E5" s="276"/>
      <c r="F5" s="276"/>
      <c r="G5" s="276"/>
    </row>
    <row r="6" spans="2:8" ht="37.5" customHeight="1">
      <c r="B6" s="357" t="s">
        <v>241</v>
      </c>
      <c r="C6" s="357"/>
      <c r="D6" s="357"/>
      <c r="E6" s="357"/>
      <c r="F6" s="357"/>
      <c r="G6" s="357"/>
      <c r="H6" s="357"/>
    </row>
    <row r="7" spans="3:7" ht="12.75">
      <c r="C7" s="276"/>
      <c r="D7" s="276"/>
      <c r="E7" s="276"/>
      <c r="F7" s="276"/>
      <c r="G7" s="276"/>
    </row>
    <row r="8" spans="2:8" ht="15.75">
      <c r="B8" s="367" t="s">
        <v>227</v>
      </c>
      <c r="C8" s="365" t="s">
        <v>228</v>
      </c>
      <c r="D8" s="366"/>
      <c r="E8" s="368" t="s">
        <v>229</v>
      </c>
      <c r="F8" s="368"/>
      <c r="G8" s="368"/>
      <c r="H8" s="368"/>
    </row>
    <row r="9" spans="2:10" ht="38.25">
      <c r="B9" s="368"/>
      <c r="C9" s="365"/>
      <c r="D9" s="366"/>
      <c r="E9" s="279" t="s">
        <v>230</v>
      </c>
      <c r="F9" s="280" t="s">
        <v>231</v>
      </c>
      <c r="G9" s="280" t="s">
        <v>232</v>
      </c>
      <c r="H9" s="280" t="s">
        <v>233</v>
      </c>
      <c r="J9" s="281" t="s">
        <v>234</v>
      </c>
    </row>
    <row r="10" spans="2:10" ht="33" customHeight="1">
      <c r="B10" s="282" t="s">
        <v>34</v>
      </c>
      <c r="C10" s="358" t="s">
        <v>235</v>
      </c>
      <c r="D10" s="359"/>
      <c r="E10" s="283">
        <v>1</v>
      </c>
      <c r="F10" s="284">
        <v>1</v>
      </c>
      <c r="G10" s="285" t="s">
        <v>236</v>
      </c>
      <c r="H10" s="286">
        <f>E10</f>
        <v>1</v>
      </c>
      <c r="J10" s="287" t="str">
        <f>IF(E10=F10,IF(E11=F11,"Y","N"),"N")</f>
        <v>Y</v>
      </c>
    </row>
    <row r="11" spans="2:10" ht="33" customHeight="1">
      <c r="B11" s="288" t="s">
        <v>34</v>
      </c>
      <c r="C11" s="360" t="s">
        <v>237</v>
      </c>
      <c r="D11" s="361"/>
      <c r="E11" s="289">
        <v>1</v>
      </c>
      <c r="F11" s="290">
        <v>1</v>
      </c>
      <c r="G11" s="291" t="s">
        <v>236</v>
      </c>
      <c r="H11" s="292">
        <f>E11</f>
        <v>1</v>
      </c>
      <c r="J11" s="293" t="str">
        <f>IF(E13=F13,IF(E14=F14,"Y","N"),"N")</f>
        <v>Y</v>
      </c>
    </row>
    <row r="12" spans="1:10" ht="15.75">
      <c r="A12" s="294"/>
      <c r="B12" s="295"/>
      <c r="C12" s="295"/>
      <c r="D12" s="295"/>
      <c r="E12" s="296"/>
      <c r="F12" s="297"/>
      <c r="G12" s="297"/>
      <c r="H12" s="297"/>
      <c r="I12" s="294"/>
      <c r="J12" s="298"/>
    </row>
    <row r="13" spans="2:10" ht="33" customHeight="1">
      <c r="B13" s="299" t="s">
        <v>238</v>
      </c>
      <c r="C13" s="362" t="s">
        <v>31</v>
      </c>
      <c r="D13" s="363"/>
      <c r="E13" s="316">
        <v>76000</v>
      </c>
      <c r="F13" s="317">
        <v>76000</v>
      </c>
      <c r="G13" s="318" t="s">
        <v>33</v>
      </c>
      <c r="H13" s="319">
        <f>IF($J$10="Y",E13,F13)</f>
        <v>76000</v>
      </c>
      <c r="J13" s="300" t="s">
        <v>239</v>
      </c>
    </row>
    <row r="14" spans="2:10" ht="24.75" customHeight="1">
      <c r="B14" s="304" t="s">
        <v>238</v>
      </c>
      <c r="C14" s="369" t="s">
        <v>30</v>
      </c>
      <c r="D14" s="370"/>
      <c r="E14" s="333">
        <v>1</v>
      </c>
      <c r="F14" s="334">
        <f>E14</f>
        <v>1</v>
      </c>
      <c r="G14" s="340" t="s">
        <v>32</v>
      </c>
      <c r="H14" s="335">
        <f>IF($J$10="Y",E14,F14)</f>
        <v>1</v>
      </c>
      <c r="J14" s="301" t="s">
        <v>242</v>
      </c>
    </row>
    <row r="15" spans="2:10" ht="42.75" customHeight="1">
      <c r="B15" s="364">
        <f>IF(J10="N",IF(J11="N","Reminder: Please reset all summary parameters to original values before changing specific parameters.  Specific parameters will only be used in ERR computation when all summary parameters are set to initial values",0),0)</f>
        <v>0</v>
      </c>
      <c r="C15" s="364"/>
      <c r="D15" s="364"/>
      <c r="E15" s="364"/>
      <c r="F15" s="364"/>
      <c r="G15" s="364"/>
      <c r="H15" s="364"/>
      <c r="J15" s="302" t="s">
        <v>243</v>
      </c>
    </row>
    <row r="16" spans="4:10" ht="20.25" customHeight="1">
      <c r="D16" s="305" t="s">
        <v>240</v>
      </c>
      <c r="E16" s="306">
        <f>'Cost &amp; Benefit Summary'!D64</f>
        <v>0.24080512041108068</v>
      </c>
      <c r="J16" s="303"/>
    </row>
    <row r="17" spans="5:10" ht="10.5" customHeight="1">
      <c r="E17" s="341"/>
      <c r="J17" s="303"/>
    </row>
    <row r="18" spans="4:5" ht="21.75" customHeight="1">
      <c r="D18" s="343" t="s">
        <v>271</v>
      </c>
      <c r="E18" s="342">
        <v>0.241</v>
      </c>
    </row>
    <row r="20" ht="33" customHeight="1"/>
  </sheetData>
  <mergeCells count="9">
    <mergeCell ref="B15:H15"/>
    <mergeCell ref="C8:D9"/>
    <mergeCell ref="B8:B9"/>
    <mergeCell ref="E8:H8"/>
    <mergeCell ref="C14:D14"/>
    <mergeCell ref="B6:H6"/>
    <mergeCell ref="C10:D10"/>
    <mergeCell ref="C11:D11"/>
    <mergeCell ref="C13:D13"/>
  </mergeCells>
  <conditionalFormatting sqref="B15">
    <cfRule type="cellIs" priority="1" dxfId="0" operator="equal" stopIfTrue="1">
      <formula>0</formula>
    </cfRule>
    <cfRule type="cellIs" priority="2" dxfId="1" operator="notEqual" stopIfTrue="1">
      <formula>0</formula>
    </cfRule>
  </conditionalFormatting>
  <hyperlinks>
    <hyperlink ref="J15" location="'User''s Guide'!A1" display="User's Guide"/>
    <hyperlink ref="J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13"/>
  <dimension ref="A1:BV316"/>
  <sheetViews>
    <sheetView zoomScale="75" zoomScaleNormal="75" workbookViewId="0" topLeftCell="A1">
      <selection activeCell="A5" sqref="A5"/>
    </sheetView>
  </sheetViews>
  <sheetFormatPr defaultColWidth="9.140625" defaultRowHeight="12.75"/>
  <cols>
    <col min="1" max="1" width="19.57421875" style="2" customWidth="1"/>
    <col min="2" max="2" width="30.57421875" style="2" customWidth="1"/>
    <col min="3" max="3" width="12.140625" style="3" customWidth="1"/>
    <col min="4" max="4" width="12.140625" style="2" customWidth="1"/>
    <col min="5" max="5" width="8.7109375" style="2" customWidth="1"/>
    <col min="6" max="6" width="9.421875" style="2" customWidth="1"/>
    <col min="7" max="7" width="9.8515625" style="2" customWidth="1"/>
    <col min="8" max="8" width="10.57421875" style="2" customWidth="1"/>
    <col min="9"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36" width="9.140625" style="2" customWidth="1"/>
    <col min="37" max="37" width="12.140625" style="2" bestFit="1" customWidth="1"/>
    <col min="38" max="16384" width="9.140625" style="2" customWidth="1"/>
  </cols>
  <sheetData>
    <row r="1" s="311" customFormat="1" ht="12.75">
      <c r="G1" s="312" t="s">
        <v>209</v>
      </c>
    </row>
    <row r="2" spans="1:4" s="311" customFormat="1" ht="39" customHeight="1">
      <c r="A2" s="371" t="s">
        <v>4</v>
      </c>
      <c r="B2" s="371"/>
      <c r="C2" s="371"/>
      <c r="D2" s="371"/>
    </row>
    <row r="3" ht="12.75">
      <c r="A3" s="165" t="s">
        <v>6</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thickBot="1">
      <c r="A8" s="12" t="s">
        <v>49</v>
      </c>
      <c r="B8" s="13"/>
      <c r="C8" s="70" t="s">
        <v>81</v>
      </c>
      <c r="D8" s="13"/>
      <c r="E8" s="14"/>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1" t="s">
        <v>50</v>
      </c>
      <c r="B9" s="72"/>
      <c r="C9" s="47"/>
      <c r="D9" s="46"/>
      <c r="E9" s="73"/>
      <c r="F9" s="5"/>
      <c r="G9" s="5"/>
      <c r="H9" s="12" t="s">
        <v>36</v>
      </c>
      <c r="I9" s="74"/>
      <c r="J9" s="13"/>
      <c r="K9" s="13"/>
      <c r="L9" s="13"/>
      <c r="M9" s="14"/>
      <c r="N9" s="5"/>
      <c r="O9" s="5"/>
      <c r="P9" s="5"/>
      <c r="Q9" s="5"/>
      <c r="R9" s="5"/>
      <c r="S9" s="5"/>
      <c r="T9" s="5"/>
      <c r="U9" s="5"/>
      <c r="V9" s="5"/>
      <c r="W9" s="5"/>
      <c r="X9" s="5"/>
      <c r="Y9" s="5"/>
      <c r="Z9" s="5"/>
      <c r="AA9" s="5"/>
      <c r="AB9" s="5"/>
      <c r="AC9" s="5"/>
      <c r="AD9" s="5"/>
      <c r="AE9" s="5"/>
      <c r="AF9" s="5"/>
      <c r="AG9" s="5"/>
      <c r="AH9" s="5"/>
    </row>
    <row r="10" spans="1:34" ht="14.25">
      <c r="A10" s="15" t="s">
        <v>51</v>
      </c>
      <c r="B10" s="75" t="s">
        <v>52</v>
      </c>
      <c r="C10" s="76" t="s">
        <v>53</v>
      </c>
      <c r="D10" s="77" t="s">
        <v>54</v>
      </c>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71"/>
      <c r="B11" s="78" t="s">
        <v>55</v>
      </c>
      <c r="C11" s="79" t="s">
        <v>55</v>
      </c>
      <c r="D11" s="80" t="s">
        <v>56</v>
      </c>
      <c r="E11" s="73"/>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81">
        <f>FIRR!C33</f>
        <v>1</v>
      </c>
      <c r="B12" s="201">
        <v>1</v>
      </c>
      <c r="C12" s="202">
        <v>1</v>
      </c>
      <c r="D12" s="55">
        <f aca="true" t="shared" si="0" ref="D12:D20">B12*C12</f>
        <v>1</v>
      </c>
      <c r="E12" s="19"/>
      <c r="F12" s="5"/>
      <c r="G12" s="5"/>
      <c r="H12" s="82">
        <f aca="true" t="shared" si="1" ref="H12:H20">A12</f>
        <v>1</v>
      </c>
      <c r="I12" s="31" t="str">
        <f>FIRR!I12</f>
        <v>Pipelines</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81">
        <f>FIRR!C34</f>
        <v>2</v>
      </c>
      <c r="B13" s="201">
        <v>1</v>
      </c>
      <c r="C13" s="202">
        <v>1</v>
      </c>
      <c r="D13" s="55">
        <f t="shared" si="0"/>
        <v>1</v>
      </c>
      <c r="E13" s="19"/>
      <c r="F13" s="5"/>
      <c r="G13" s="5"/>
      <c r="H13" s="82">
        <f t="shared" si="1"/>
        <v>2</v>
      </c>
      <c r="I13" s="31" t="str">
        <f>FIRR!I13</f>
        <v>High South Reservoirs</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s="81">
        <f>FIRR!C35</f>
        <v>3</v>
      </c>
      <c r="B14" s="201">
        <v>1</v>
      </c>
      <c r="C14" s="202">
        <v>1</v>
      </c>
      <c r="D14" s="55">
        <f t="shared" si="0"/>
        <v>1</v>
      </c>
      <c r="E14" s="19"/>
      <c r="F14" s="5"/>
      <c r="G14" s="5"/>
      <c r="H14" s="82">
        <f t="shared" si="1"/>
        <v>3</v>
      </c>
      <c r="I14" s="31" t="str">
        <f>FIRR!I14</f>
        <v>Pump stations - Civil Works</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s="81">
        <f>FIRR!C36</f>
        <v>4</v>
      </c>
      <c r="B15" s="201">
        <v>1</v>
      </c>
      <c r="C15" s="202">
        <v>1</v>
      </c>
      <c r="D15" s="55">
        <f t="shared" si="0"/>
        <v>1</v>
      </c>
      <c r="E15" s="19"/>
      <c r="F15" s="5"/>
      <c r="G15" s="5"/>
      <c r="H15" s="82">
        <f t="shared" si="1"/>
        <v>4</v>
      </c>
      <c r="I15" s="31" t="str">
        <f>FIRR!I15</f>
        <v>Pump stations - M&amp;E Works</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s="81">
        <f>FIRR!C37</f>
        <v>5</v>
      </c>
      <c r="B16" s="201">
        <v>1</v>
      </c>
      <c r="C16" s="202">
        <v>1</v>
      </c>
      <c r="D16" s="55">
        <f t="shared" si="0"/>
        <v>1</v>
      </c>
      <c r="E16" s="19"/>
      <c r="F16" s="5"/>
      <c r="G16" s="5"/>
      <c r="H16" s="82">
        <f t="shared" si="1"/>
        <v>5</v>
      </c>
      <c r="I16" s="31" t="str">
        <f>FIRR!I16</f>
        <v>Dam - Civil Works</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s="81">
        <f>FIRR!C38</f>
        <v>6</v>
      </c>
      <c r="B17" s="201">
        <v>1</v>
      </c>
      <c r="C17" s="202">
        <v>1</v>
      </c>
      <c r="D17" s="55">
        <f t="shared" si="0"/>
        <v>1</v>
      </c>
      <c r="E17" s="19"/>
      <c r="F17" s="5"/>
      <c r="G17" s="5"/>
      <c r="H17" s="82">
        <f t="shared" si="1"/>
        <v>6</v>
      </c>
      <c r="I17" s="31" t="str">
        <f>FIRR!I17</f>
        <v>Dam - M&amp;E Works</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4.25">
      <c r="A18" s="81">
        <f>FIRR!C39</f>
        <v>7</v>
      </c>
      <c r="B18" s="201">
        <v>1</v>
      </c>
      <c r="C18" s="202">
        <v>1</v>
      </c>
      <c r="D18" s="55">
        <f t="shared" si="0"/>
        <v>1</v>
      </c>
      <c r="E18" s="19"/>
      <c r="F18" s="5"/>
      <c r="G18" s="5"/>
      <c r="H18" s="82">
        <f t="shared" si="1"/>
        <v>7</v>
      </c>
      <c r="I18" s="31" t="str">
        <f>FIRR!I18</f>
        <v>WTW - Civil Works</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4" ht="14.25">
      <c r="A19" s="81">
        <f>FIRR!C40</f>
        <v>8</v>
      </c>
      <c r="B19" s="201">
        <v>1</v>
      </c>
      <c r="C19" s="202">
        <v>1</v>
      </c>
      <c r="D19" s="55">
        <f t="shared" si="0"/>
        <v>1</v>
      </c>
      <c r="E19" s="19"/>
      <c r="F19" s="5"/>
      <c r="G19" s="5"/>
      <c r="H19" s="82">
        <f t="shared" si="1"/>
        <v>8</v>
      </c>
      <c r="I19" s="31" t="str">
        <f>FIRR!I19</f>
        <v>WTW - M&amp;E Works</v>
      </c>
      <c r="J19" s="21"/>
      <c r="K19" s="21"/>
      <c r="L19" s="21"/>
      <c r="M19" s="19"/>
      <c r="N19" s="5"/>
      <c r="O19" s="5"/>
      <c r="P19" s="5"/>
      <c r="Q19" s="5"/>
      <c r="R19" s="5"/>
      <c r="S19" s="5"/>
      <c r="T19" s="5"/>
      <c r="U19" s="5"/>
      <c r="V19" s="5"/>
      <c r="W19" s="5"/>
      <c r="X19" s="5"/>
      <c r="Y19" s="5"/>
      <c r="Z19" s="5"/>
      <c r="AA19" s="5"/>
      <c r="AB19" s="5"/>
      <c r="AC19" s="5"/>
      <c r="AD19" s="5"/>
      <c r="AE19" s="5"/>
      <c r="AF19" s="5"/>
      <c r="AG19" s="5"/>
      <c r="AH19" s="5"/>
    </row>
    <row r="20" spans="1:34" ht="15.75">
      <c r="A20" s="81">
        <f>FIRR!C41</f>
        <v>9</v>
      </c>
      <c r="B20" s="201">
        <v>1</v>
      </c>
      <c r="C20" s="202">
        <v>1</v>
      </c>
      <c r="D20" s="55">
        <f t="shared" si="0"/>
        <v>1</v>
      </c>
      <c r="E20" s="19"/>
      <c r="F20" s="5"/>
      <c r="G20" s="4"/>
      <c r="H20" s="82">
        <f t="shared" si="1"/>
        <v>9</v>
      </c>
      <c r="I20" s="31" t="str">
        <f>FIRR!I20</f>
        <v>Advance Infrastructure, ESIA and PIU</v>
      </c>
      <c r="J20" s="21"/>
      <c r="K20" s="21"/>
      <c r="L20" s="21"/>
      <c r="M20" s="19"/>
      <c r="N20" s="5"/>
      <c r="O20" s="5"/>
      <c r="P20" s="5"/>
      <c r="Q20" s="5"/>
      <c r="R20" s="5"/>
      <c r="S20" s="5"/>
      <c r="T20" s="5"/>
      <c r="U20" s="5"/>
      <c r="V20" s="5"/>
      <c r="W20" s="5"/>
      <c r="X20" s="5"/>
      <c r="Y20" s="5"/>
      <c r="Z20" s="38" t="s">
        <v>41</v>
      </c>
      <c r="AA20" s="38" t="s">
        <v>92</v>
      </c>
      <c r="AB20" s="39">
        <f>'Add Costs and Benefits'!AB85</f>
        <v>0</v>
      </c>
      <c r="AD20" s="1"/>
      <c r="AE20" s="1"/>
      <c r="AH20" s="159">
        <f>FIRR!AH19</f>
        <v>1000</v>
      </c>
    </row>
    <row r="21" spans="1:34" ht="15" thickBot="1">
      <c r="A21" s="83"/>
      <c r="B21" s="84"/>
      <c r="C21" s="85"/>
      <c r="D21" s="65"/>
      <c r="E21" s="36"/>
      <c r="F21" s="5"/>
      <c r="G21" s="4"/>
      <c r="H21" s="86"/>
      <c r="I21" s="41"/>
      <c r="J21" s="42"/>
      <c r="K21" s="42"/>
      <c r="L21" s="42"/>
      <c r="M21" s="36"/>
      <c r="N21" s="5"/>
      <c r="O21" s="5"/>
      <c r="P21" s="5"/>
      <c r="Q21" s="5"/>
      <c r="R21" s="5"/>
      <c r="S21" s="5"/>
      <c r="T21" s="5"/>
      <c r="U21" s="5"/>
      <c r="V21" s="5"/>
      <c r="W21" s="5"/>
      <c r="X21" s="5"/>
      <c r="Y21" s="5"/>
      <c r="Z21" s="5"/>
      <c r="AA21" s="5"/>
      <c r="AB21" s="5"/>
      <c r="AC21" s="5"/>
      <c r="AD21" s="5"/>
      <c r="AE21" s="5"/>
      <c r="AF21" s="5"/>
      <c r="AG21" s="5"/>
      <c r="AH21" s="5"/>
    </row>
    <row r="22" spans="1:34" ht="15" thickBot="1">
      <c r="A22" s="21"/>
      <c r="B22" s="21"/>
      <c r="C22" s="87"/>
      <c r="D22" s="21"/>
      <c r="E22" s="21"/>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4.25">
      <c r="A23" s="12" t="s">
        <v>57</v>
      </c>
      <c r="B23" s="13"/>
      <c r="C23" s="44"/>
      <c r="D23" s="13"/>
      <c r="E23" s="13"/>
      <c r="F23" s="13"/>
      <c r="G23" s="13"/>
      <c r="H23" s="13"/>
      <c r="I23" s="13"/>
      <c r="J23" s="13"/>
      <c r="K23" s="13"/>
      <c r="L23" s="13"/>
      <c r="M23" s="13"/>
      <c r="N23" s="13"/>
      <c r="O23" s="13"/>
      <c r="P23" s="13"/>
      <c r="Q23" s="13"/>
      <c r="R23" s="13"/>
      <c r="S23" s="13"/>
      <c r="T23" s="13"/>
      <c r="U23" s="13"/>
      <c r="V23" s="13"/>
      <c r="W23" s="13"/>
      <c r="X23" s="13"/>
      <c r="Y23" s="13"/>
      <c r="Z23" s="13"/>
      <c r="AA23" s="13"/>
      <c r="AB23" s="14"/>
      <c r="AC23" s="13"/>
      <c r="AD23" s="13"/>
      <c r="AE23" s="13"/>
      <c r="AF23" s="13"/>
      <c r="AG23" s="13"/>
      <c r="AH23" s="14"/>
    </row>
    <row r="24" spans="1:34" ht="14.25">
      <c r="A24" s="45"/>
      <c r="B24" s="46"/>
      <c r="C24" s="47"/>
      <c r="D24" s="46"/>
      <c r="E24" s="21"/>
      <c r="F24" s="21"/>
      <c r="G24" s="21"/>
      <c r="H24" s="21"/>
      <c r="I24" s="21"/>
      <c r="J24" s="21"/>
      <c r="K24" s="21"/>
      <c r="L24" s="21"/>
      <c r="M24" s="21"/>
      <c r="N24" s="21"/>
      <c r="O24" s="21"/>
      <c r="P24" s="21"/>
      <c r="Q24" s="21"/>
      <c r="R24" s="21"/>
      <c r="S24" s="21"/>
      <c r="T24" s="21"/>
      <c r="U24" s="21"/>
      <c r="V24" s="21"/>
      <c r="W24" s="21"/>
      <c r="X24" s="21"/>
      <c r="Y24" s="21"/>
      <c r="Z24" s="21"/>
      <c r="AA24" s="88"/>
      <c r="AB24" s="89"/>
      <c r="AC24" s="21"/>
      <c r="AD24" s="21"/>
      <c r="AE24" s="21"/>
      <c r="AF24" s="21"/>
      <c r="AG24" s="21"/>
      <c r="AH24" s="19"/>
    </row>
    <row r="25" spans="1:74" ht="14.25">
      <c r="A25" s="15" t="s">
        <v>58</v>
      </c>
      <c r="B25" s="16"/>
      <c r="C25" s="29"/>
      <c r="D25" s="29" t="s">
        <v>131</v>
      </c>
      <c r="E25" s="90">
        <f>FIRR!E26</f>
        <v>2007</v>
      </c>
      <c r="F25" s="51">
        <f>FIRR!F26</f>
        <v>2008</v>
      </c>
      <c r="G25" s="51">
        <f>FIRR!G26</f>
        <v>2009</v>
      </c>
      <c r="H25" s="51">
        <f>FIRR!H26</f>
        <v>2010</v>
      </c>
      <c r="I25" s="51">
        <f>FIRR!I26</f>
        <v>2011</v>
      </c>
      <c r="J25" s="51">
        <f>FIRR!J26</f>
        <v>2012</v>
      </c>
      <c r="K25" s="51">
        <f>FIRR!K26</f>
        <v>2013</v>
      </c>
      <c r="L25" s="51">
        <f>FIRR!L26</f>
        <v>2014</v>
      </c>
      <c r="M25" s="51">
        <f>FIRR!M26</f>
        <v>2015</v>
      </c>
      <c r="N25" s="51">
        <f>FIRR!N26</f>
        <v>2016</v>
      </c>
      <c r="O25" s="51">
        <f>FIRR!O26</f>
        <v>2017</v>
      </c>
      <c r="P25" s="51">
        <f>FIRR!P26</f>
        <v>2018</v>
      </c>
      <c r="Q25" s="51">
        <f>FIRR!Q26</f>
        <v>2019</v>
      </c>
      <c r="R25" s="51">
        <f>FIRR!R26</f>
        <v>2020</v>
      </c>
      <c r="S25" s="51">
        <f>FIRR!S26</f>
        <v>2021</v>
      </c>
      <c r="T25" s="51">
        <f>FIRR!T26</f>
        <v>2022</v>
      </c>
      <c r="U25" s="51">
        <f>FIRR!U26</f>
        <v>2023</v>
      </c>
      <c r="V25" s="51">
        <f>FIRR!V26</f>
        <v>2024</v>
      </c>
      <c r="W25" s="51">
        <f>FIRR!W26</f>
        <v>2025</v>
      </c>
      <c r="X25" s="51">
        <f>FIRR!X26</f>
        <v>2026</v>
      </c>
      <c r="Y25" s="51">
        <f>FIRR!Y26</f>
        <v>2027</v>
      </c>
      <c r="Z25" s="51">
        <f>FIRR!Z26</f>
        <v>2028</v>
      </c>
      <c r="AA25" s="51">
        <f>FIRR!AA26</f>
        <v>2029</v>
      </c>
      <c r="AB25" s="50">
        <f>FIRR!AB26</f>
        <v>2030</v>
      </c>
      <c r="AC25" s="51">
        <f>FIRR!AC26</f>
        <v>2031</v>
      </c>
      <c r="AD25" s="51">
        <f>FIRR!AD26</f>
        <v>2032</v>
      </c>
      <c r="AE25" s="51">
        <f>FIRR!AE26</f>
        <v>2033</v>
      </c>
      <c r="AF25" s="51">
        <f>FIRR!AF26</f>
        <v>2034</v>
      </c>
      <c r="AG25" s="51">
        <f>FIRR!AG26</f>
        <v>2035</v>
      </c>
      <c r="AH25" s="50">
        <f>FIRR!AH26</f>
        <v>2036</v>
      </c>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row>
    <row r="26" spans="1:34" ht="14.25">
      <c r="A26" s="48"/>
      <c r="B26" s="16" t="s">
        <v>127</v>
      </c>
      <c r="C26" s="29" t="s">
        <v>88</v>
      </c>
      <c r="D26" s="148">
        <v>0</v>
      </c>
      <c r="E26" s="92">
        <f>IF($D26=1,FIRR!E29,0)</f>
        <v>0</v>
      </c>
      <c r="F26" s="92">
        <f>IF($D26=1,FIRR!F29,0)</f>
        <v>0</v>
      </c>
      <c r="G26" s="92">
        <f>IF($D26=1,FIRR!G29,0)</f>
        <v>0</v>
      </c>
      <c r="H26" s="92">
        <f>IF($D26=1,FIRR!H29,0)</f>
        <v>0</v>
      </c>
      <c r="I26" s="92">
        <f>IF($D26=1,FIRR!I29,0)</f>
        <v>0</v>
      </c>
      <c r="J26" s="92">
        <f>IF($D26=1,FIRR!J29,0)</f>
        <v>0</v>
      </c>
      <c r="K26" s="92">
        <f>IF($D26=1,FIRR!K29,0)</f>
        <v>0</v>
      </c>
      <c r="L26" s="92">
        <f>IF($D26=1,FIRR!L29,0)</f>
        <v>0</v>
      </c>
      <c r="M26" s="92">
        <f>IF($D26=1,FIRR!M29,0)</f>
        <v>0</v>
      </c>
      <c r="N26" s="92">
        <f>IF($D26=1,FIRR!N29,0)</f>
        <v>0</v>
      </c>
      <c r="O26" s="92">
        <f>IF($D26=1,FIRR!O29,0)</f>
        <v>0</v>
      </c>
      <c r="P26" s="92">
        <f>IF($D26=1,FIRR!P29,0)</f>
        <v>0</v>
      </c>
      <c r="Q26" s="92">
        <f>IF($D26=1,FIRR!Q29,0)</f>
        <v>0</v>
      </c>
      <c r="R26" s="92">
        <f>IF($D26=1,FIRR!R29,0)</f>
        <v>0</v>
      </c>
      <c r="S26" s="92">
        <f>IF($D26=1,FIRR!S29,0)</f>
        <v>0</v>
      </c>
      <c r="T26" s="92">
        <f>IF($D26=1,FIRR!T29,0)</f>
        <v>0</v>
      </c>
      <c r="U26" s="92">
        <f>IF($D26=1,FIRR!U29,0)</f>
        <v>0</v>
      </c>
      <c r="V26" s="92">
        <f>IF($D26=1,FIRR!V29,0)</f>
        <v>0</v>
      </c>
      <c r="W26" s="92">
        <f>IF($D26=1,FIRR!W29,0)</f>
        <v>0</v>
      </c>
      <c r="X26" s="92">
        <f>IF($D26=1,FIRR!X29,0)</f>
        <v>0</v>
      </c>
      <c r="Y26" s="92">
        <f>IF($D26=1,FIRR!Y29,0)</f>
        <v>0</v>
      </c>
      <c r="Z26" s="92">
        <f>IF($D26=1,FIRR!Z29,0)</f>
        <v>0</v>
      </c>
      <c r="AA26" s="92">
        <f>IF($D26=1,FIRR!AA29,0)</f>
        <v>0</v>
      </c>
      <c r="AB26" s="93">
        <f>IF($D26=1,FIRR!AB29,0)</f>
        <v>0</v>
      </c>
      <c r="AC26" s="92">
        <f>IF($D26=1,FIRR!AC29,0)</f>
        <v>0</v>
      </c>
      <c r="AD26" s="92">
        <f>IF($D26=1,FIRR!AD29,0)</f>
        <v>0</v>
      </c>
      <c r="AE26" s="92">
        <f>IF($D26=1,FIRR!AE29,0)</f>
        <v>0</v>
      </c>
      <c r="AF26" s="92">
        <f>IF($D26=1,FIRR!AF29,0)</f>
        <v>0</v>
      </c>
      <c r="AG26" s="92">
        <f>IF($D26=1,FIRR!AG29,0)</f>
        <v>0</v>
      </c>
      <c r="AH26" s="93">
        <f>IF($D26=1,FIRR!AH29,0)</f>
        <v>0</v>
      </c>
    </row>
    <row r="27" spans="1:34" ht="14.25">
      <c r="A27" s="48"/>
      <c r="B27" s="16" t="s">
        <v>125</v>
      </c>
      <c r="C27" s="29" t="s">
        <v>88</v>
      </c>
      <c r="D27" s="148">
        <v>1</v>
      </c>
      <c r="E27" s="92">
        <f>IF(E25&lt;=$E25+'Add Costs and Benefits'!$C51,'Add Costs and Benefits'!E66,IF($D27=1,'Add Costs and Benefits'!E50+'Add Costs and Benefits'!E66,0))</f>
        <v>17640</v>
      </c>
      <c r="F27" s="92">
        <f>IF(F25&lt;=$E25+'Add Costs and Benefits'!$C51,'Add Costs and Benefits'!F66,IF($D27=1,'Add Costs and Benefits'!F50+'Add Costs and Benefits'!F66,0))</f>
        <v>70560</v>
      </c>
      <c r="G27" s="92">
        <f>IF(G25&lt;=$E25+'Add Costs and Benefits'!$C51,'Add Costs and Benefits'!G66,IF($D27=1,'Add Costs and Benefits'!G50+'Add Costs and Benefits'!G66,0))</f>
        <v>70560</v>
      </c>
      <c r="H27" s="92">
        <f>IF(H25&lt;=$E25+'Add Costs and Benefits'!$C51,'Add Costs and Benefits'!H66,IF($D27=1,'Add Costs and Benefits'!H50+'Add Costs and Benefits'!H66,0))</f>
        <v>70560</v>
      </c>
      <c r="I27" s="92">
        <f>IF(I25&lt;=$E25+'Add Costs and Benefits'!$C51,'Add Costs and Benefits'!I66,IF($D27=1,'Add Costs and Benefits'!I50+'Add Costs and Benefits'!I66,0))</f>
        <v>56448</v>
      </c>
      <c r="J27" s="92">
        <f>IF(J25&lt;=$E25+'Add Costs and Benefits'!$C51,'Add Costs and Benefits'!J66,IF($D27=1,'Add Costs and Benefits'!J50+'Add Costs and Benefits'!J66,0))</f>
        <v>56448</v>
      </c>
      <c r="K27" s="92">
        <f>IF(K25&lt;=$E25+'Add Costs and Benefits'!$C51,'Add Costs and Benefits'!K66,IF($D27=1,'Add Costs and Benefits'!K50+'Add Costs and Benefits'!K66,0))</f>
        <v>56448</v>
      </c>
      <c r="L27" s="92">
        <f>IF(L25&lt;=$E25+'Add Costs and Benefits'!$C51,'Add Costs and Benefits'!L66,IF($D27=1,'Add Costs and Benefits'!L50+'Add Costs and Benefits'!L66,0))</f>
        <v>56448</v>
      </c>
      <c r="M27" s="92">
        <f>IF(M25&lt;=$E25+'Add Costs and Benefits'!$C51,'Add Costs and Benefits'!M66,IF($D27=1,'Add Costs and Benefits'!M50+'Add Costs and Benefits'!M66,0))</f>
        <v>56448</v>
      </c>
      <c r="N27" s="92">
        <f>IF(N25&lt;=$E25+'Add Costs and Benefits'!$C51,'Add Costs and Benefits'!N66,IF($D27=1,'Add Costs and Benefits'!N50+'Add Costs and Benefits'!N66,0))</f>
        <v>56448</v>
      </c>
      <c r="O27" s="92">
        <f>IF(O25&lt;=$E25+'Add Costs and Benefits'!$C51,'Add Costs and Benefits'!O66,IF($D27=1,'Add Costs and Benefits'!O50+'Add Costs and Benefits'!O66,0))</f>
        <v>56448</v>
      </c>
      <c r="P27" s="92">
        <f>IF(P25&lt;=$E25+'Add Costs and Benefits'!$C51,'Add Costs and Benefits'!P66,IF($D27=1,'Add Costs and Benefits'!P50+'Add Costs and Benefits'!P66,0))</f>
        <v>56448</v>
      </c>
      <c r="Q27" s="92">
        <f>IF(Q25&lt;=$E25+'Add Costs and Benefits'!$C51,'Add Costs and Benefits'!Q66,IF($D27=1,'Add Costs and Benefits'!Q50+'Add Costs and Benefits'!Q66,0))</f>
        <v>56448</v>
      </c>
      <c r="R27" s="92">
        <f>IF(R25&lt;=$E25+'Add Costs and Benefits'!$C51,'Add Costs and Benefits'!R66,IF($D27=1,'Add Costs and Benefits'!R50+'Add Costs and Benefits'!R66,0))</f>
        <v>56448</v>
      </c>
      <c r="S27" s="92">
        <f>IF(S25&lt;=$E25+'Add Costs and Benefits'!$C51,'Add Costs and Benefits'!S66,IF($D27=1,'Add Costs and Benefits'!S50+'Add Costs and Benefits'!S66,0))</f>
        <v>56448</v>
      </c>
      <c r="T27" s="92">
        <f>IF(T25&lt;=$E25+'Add Costs and Benefits'!$C51,'Add Costs and Benefits'!T66,IF($D27=1,'Add Costs and Benefits'!T50+'Add Costs and Benefits'!T66,0))</f>
        <v>56448</v>
      </c>
      <c r="U27" s="92">
        <f>IF(U25&lt;=$E25+'Add Costs and Benefits'!$C51,'Add Costs and Benefits'!U66,IF($D27=1,'Add Costs and Benefits'!U50+'Add Costs and Benefits'!U66,0))</f>
        <v>56448</v>
      </c>
      <c r="V27" s="92">
        <f>IF(V25&lt;=$E25+'Add Costs and Benefits'!$C51,'Add Costs and Benefits'!V66,IF($D27=1,'Add Costs and Benefits'!V50+'Add Costs and Benefits'!V66,0))</f>
        <v>56448</v>
      </c>
      <c r="W27" s="92">
        <f>IF(W25&lt;=$E25+'Add Costs and Benefits'!$C51,'Add Costs and Benefits'!W66,IF($D27=1,'Add Costs and Benefits'!W50+'Add Costs and Benefits'!W66,0))</f>
        <v>56448</v>
      </c>
      <c r="X27" s="92">
        <f>IF(X25&lt;=$E25+'Add Costs and Benefits'!$C51,'Add Costs and Benefits'!X66,IF($D27=1,'Add Costs and Benefits'!X50+'Add Costs and Benefits'!X66,0))</f>
        <v>56448</v>
      </c>
      <c r="Y27" s="92">
        <f>IF(Y25&lt;=$E25+'Add Costs and Benefits'!$C51,'Add Costs and Benefits'!Y66,IF($D27=1,'Add Costs and Benefits'!Y50+'Add Costs and Benefits'!Y66,0))</f>
        <v>56448</v>
      </c>
      <c r="Z27" s="92">
        <f>IF(Z25&lt;=$E25+'Add Costs and Benefits'!$C51,'Add Costs and Benefits'!Z66,IF($D27=1,'Add Costs and Benefits'!Z50+'Add Costs and Benefits'!Z66,0))</f>
        <v>56448</v>
      </c>
      <c r="AA27" s="92">
        <f>IF(AA25&lt;=$E25+'Add Costs and Benefits'!$C51,'Add Costs and Benefits'!AA66,IF($D27=1,'Add Costs and Benefits'!AA50+'Add Costs and Benefits'!AA66,0))</f>
        <v>56448</v>
      </c>
      <c r="AB27" s="93">
        <f>IF(AB25&lt;=$E25+'Add Costs and Benefits'!$C51,'Add Costs and Benefits'!AB66,IF($D27=1,'Add Costs and Benefits'!AB50+'Add Costs and Benefits'!AB66,0))</f>
        <v>56448</v>
      </c>
      <c r="AC27" s="150">
        <f>IF(AC25&lt;=$E25+'Add Costs and Benefits'!$C51,'Add Costs and Benefits'!AC66,IF($D27=1,'Add Costs and Benefits'!AC50+'Add Costs and Benefits'!AC66,0))</f>
        <v>56448</v>
      </c>
      <c r="AD27" s="92">
        <f>IF(AD25&lt;=$E25+'Add Costs and Benefits'!$C51,'Add Costs and Benefits'!AD66,IF($D27=1,'Add Costs and Benefits'!AD50+'Add Costs and Benefits'!AD66,0))</f>
        <v>56448</v>
      </c>
      <c r="AE27" s="92">
        <f>IF(AE25&lt;=$E25+'Add Costs and Benefits'!$C51,'Add Costs and Benefits'!AE66,IF($D27=1,'Add Costs and Benefits'!AE50+'Add Costs and Benefits'!AE66,0))</f>
        <v>56448</v>
      </c>
      <c r="AF27" s="92">
        <f>IF(AF25&lt;=$E25+'Add Costs and Benefits'!$C51,'Add Costs and Benefits'!AF66,IF($D27=1,'Add Costs and Benefits'!AF50+'Add Costs and Benefits'!AF66,0))</f>
        <v>56448</v>
      </c>
      <c r="AG27" s="92">
        <f>IF(AG25&lt;=$E25+'Add Costs and Benefits'!$C51,'Add Costs and Benefits'!AG66,IF($D27=1,'Add Costs and Benefits'!AG50+'Add Costs and Benefits'!AG66,0))</f>
        <v>56448</v>
      </c>
      <c r="AH27" s="93">
        <f>IF(AH25&lt;=$E25+'Add Costs and Benefits'!$C51,'Add Costs and Benefits'!AH66,IF($D27=1,'Add Costs and Benefits'!AH50+'Add Costs and Benefits'!AH66,0))</f>
        <v>56448</v>
      </c>
    </row>
    <row r="28" spans="1:34" ht="14.25">
      <c r="A28" s="48"/>
      <c r="B28" s="16" t="s">
        <v>126</v>
      </c>
      <c r="C28" s="29" t="s">
        <v>88</v>
      </c>
      <c r="D28" s="148">
        <v>1</v>
      </c>
      <c r="E28" s="92">
        <f>IF($D28=1,'Add Costs and Benefits'!E64,0)</f>
        <v>0</v>
      </c>
      <c r="F28" s="92">
        <f>IF($D28=1,'Add Costs and Benefits'!G64,0)</f>
        <v>28286.03076923077</v>
      </c>
      <c r="G28" s="92">
        <f>IF($D28=1,'Add Costs and Benefits'!H64,0)</f>
        <v>42429.04615384615</v>
      </c>
      <c r="H28" s="92">
        <f>IF($D28=1,'Add Costs and Benefits'!I64,0)</f>
        <v>60107.81538461539</v>
      </c>
      <c r="I28" s="92">
        <f>IF($D28=1,'Add Costs and Benefits'!J64,0)</f>
        <v>74250.83076923077</v>
      </c>
      <c r="J28" s="92">
        <f>IF($D28=1,'Add Costs and Benefits'!K64,0)</f>
        <v>95465.35384615386</v>
      </c>
      <c r="K28" s="92">
        <f>IF($D28=1,'Add Costs and Benefits'!L64,0)</f>
        <v>123751.38461538461</v>
      </c>
      <c r="L28" s="92">
        <f>IF($D28=1,'Add Costs and Benefits'!M64,0)</f>
        <v>134358.64615384617</v>
      </c>
      <c r="M28" s="92">
        <f>IF($D28=1,'Add Costs and Benefits'!N64,0)</f>
        <v>144965.9076923077</v>
      </c>
      <c r="N28" s="92">
        <f>IF($D28=1,'Add Costs and Benefits'!O64,0)</f>
        <v>155573.16923076927</v>
      </c>
      <c r="O28" s="92">
        <f>IF($D28=1,'Add Costs and Benefits'!P64,0)</f>
        <v>166180.43076923076</v>
      </c>
      <c r="P28" s="92">
        <f>IF($D28=1,'Add Costs and Benefits'!Q64,0)</f>
        <v>176787.6923076923</v>
      </c>
      <c r="Q28" s="92">
        <f>IF($D28=1,'Add Costs and Benefits'!R64,0)</f>
        <v>183859.20000000004</v>
      </c>
      <c r="R28" s="92">
        <f>IF($D28=1,'Add Costs and Benefits'!S64,0)</f>
        <v>190930.7076923077</v>
      </c>
      <c r="S28" s="92">
        <f>IF($D28=1,'Add Costs and Benefits'!T64,0)</f>
        <v>194466.46153846156</v>
      </c>
      <c r="T28" s="92">
        <f>IF($D28=1,'Add Costs and Benefits'!U64,0)</f>
        <v>205073.7230769231</v>
      </c>
      <c r="U28" s="92">
        <f>IF($D28=1,'Add Costs and Benefits'!V64,0)</f>
        <v>208609.47692307693</v>
      </c>
      <c r="V28" s="92">
        <f>IF($D28=1,'Add Costs and Benefits'!W64,0)</f>
        <v>212145.2307692308</v>
      </c>
      <c r="W28" s="92">
        <f>IF($D28=1,'Add Costs and Benefits'!X64,0)</f>
        <v>215680.98461538466</v>
      </c>
      <c r="X28" s="92">
        <f>IF($D28=1,'Add Costs and Benefits'!Y64,0)</f>
        <v>229824.00000000003</v>
      </c>
      <c r="Y28" s="92">
        <f>IF($D28=1,'Add Costs and Benefits'!Z64,0)</f>
        <v>229824.00000000003</v>
      </c>
      <c r="Z28" s="92">
        <f>IF($D28=1,'Add Costs and Benefits'!AA64,0)</f>
        <v>229824.00000000003</v>
      </c>
      <c r="AA28" s="92">
        <f>IF($D28=1,'Add Costs and Benefits'!AB64,0)</f>
        <v>229824.00000000003</v>
      </c>
      <c r="AB28" s="93">
        <f>IF($D28=1,'Add Costs and Benefits'!AC64,0)</f>
        <v>229824.00000000003</v>
      </c>
      <c r="AC28" s="150">
        <f>IF($D28=1,'Add Costs and Benefits'!AD64,0)</f>
        <v>229824.00000000003</v>
      </c>
      <c r="AD28" s="92">
        <f>IF($D28=1,'Add Costs and Benefits'!AE64,0)</f>
        <v>229824.00000000003</v>
      </c>
      <c r="AE28" s="92">
        <f>IF($D28=1,'Add Costs and Benefits'!AF64,0)</f>
        <v>229824.00000000003</v>
      </c>
      <c r="AF28" s="92">
        <f>IF($D28=1,'Add Costs and Benefits'!AG64,0)</f>
        <v>229824.00000000003</v>
      </c>
      <c r="AG28" s="92">
        <f>IF($D28=1,'Add Costs and Benefits'!AH64,0)</f>
        <v>229824.00000000003</v>
      </c>
      <c r="AH28" s="93">
        <f>IF($D28=1,'Add Costs and Benefits'!AI64,0)</f>
        <v>229824.00000000003</v>
      </c>
    </row>
    <row r="29" spans="1:34" ht="14.25">
      <c r="A29" s="48"/>
      <c r="B29" s="16"/>
      <c r="C29" s="29"/>
      <c r="D29" s="16"/>
      <c r="E29" s="92"/>
      <c r="F29" s="92"/>
      <c r="G29" s="92"/>
      <c r="H29" s="92"/>
      <c r="I29" s="92"/>
      <c r="J29" s="92"/>
      <c r="K29" s="92"/>
      <c r="L29" s="92"/>
      <c r="M29" s="92"/>
      <c r="N29" s="92"/>
      <c r="O29" s="92"/>
      <c r="P29" s="92"/>
      <c r="Q29" s="92"/>
      <c r="R29" s="92"/>
      <c r="S29" s="92"/>
      <c r="T29" s="92"/>
      <c r="U29" s="92"/>
      <c r="V29" s="92"/>
      <c r="W29" s="92"/>
      <c r="X29" s="92"/>
      <c r="Y29" s="92"/>
      <c r="Z29" s="92"/>
      <c r="AA29" s="92"/>
      <c r="AB29" s="93"/>
      <c r="AC29" s="150"/>
      <c r="AD29" s="92"/>
      <c r="AE29" s="92"/>
      <c r="AF29" s="92"/>
      <c r="AG29" s="92"/>
      <c r="AH29" s="93"/>
    </row>
    <row r="30" spans="1:35" ht="14.25">
      <c r="A30" s="48"/>
      <c r="B30" s="336" t="s">
        <v>27</v>
      </c>
      <c r="C30" s="337"/>
      <c r="D30" s="338">
        <f>'ERR &amp; Sensitivity Analysis'!H11</f>
        <v>1</v>
      </c>
      <c r="E30" s="92"/>
      <c r="F30" s="92"/>
      <c r="G30" s="92"/>
      <c r="H30" s="92"/>
      <c r="I30" s="92"/>
      <c r="J30" s="92"/>
      <c r="K30" s="92"/>
      <c r="L30" s="92"/>
      <c r="M30" s="92"/>
      <c r="N30" s="92"/>
      <c r="O30" s="92"/>
      <c r="P30" s="92"/>
      <c r="Q30" s="92"/>
      <c r="R30" s="92"/>
      <c r="S30" s="92"/>
      <c r="T30" s="92"/>
      <c r="U30" s="92"/>
      <c r="V30" s="92"/>
      <c r="W30" s="92"/>
      <c r="X30" s="92"/>
      <c r="Y30" s="92"/>
      <c r="Z30" s="92"/>
      <c r="AA30" s="92"/>
      <c r="AB30" s="93"/>
      <c r="AC30" s="150"/>
      <c r="AD30" s="92"/>
      <c r="AE30" s="92"/>
      <c r="AF30" s="92"/>
      <c r="AG30" s="92"/>
      <c r="AH30" s="93"/>
      <c r="AI30" s="94"/>
    </row>
    <row r="31" spans="1:35" ht="14.25">
      <c r="A31" s="48"/>
      <c r="B31" s="16" t="s">
        <v>59</v>
      </c>
      <c r="C31" s="29" t="s">
        <v>88</v>
      </c>
      <c r="D31" s="16"/>
      <c r="E31" s="92">
        <f>SUM(E26:E28)*$D$30</f>
        <v>17640</v>
      </c>
      <c r="F31" s="92">
        <f aca="true" t="shared" si="2" ref="F31:AH31">SUM(F26:F28)*$D$30</f>
        <v>98846.03076923077</v>
      </c>
      <c r="G31" s="92">
        <f t="shared" si="2"/>
        <v>112989.04615384615</v>
      </c>
      <c r="H31" s="92">
        <f t="shared" si="2"/>
        <v>130667.81538461539</v>
      </c>
      <c r="I31" s="92">
        <f t="shared" si="2"/>
        <v>130698.83076923077</v>
      </c>
      <c r="J31" s="92">
        <f t="shared" si="2"/>
        <v>151913.35384615386</v>
      </c>
      <c r="K31" s="92">
        <f t="shared" si="2"/>
        <v>180199.38461538462</v>
      </c>
      <c r="L31" s="92">
        <f t="shared" si="2"/>
        <v>190806.64615384617</v>
      </c>
      <c r="M31" s="92">
        <f t="shared" si="2"/>
        <v>201413.9076923077</v>
      </c>
      <c r="N31" s="92">
        <f t="shared" si="2"/>
        <v>212021.16923076927</v>
      </c>
      <c r="O31" s="92">
        <f t="shared" si="2"/>
        <v>222628.43076923076</v>
      </c>
      <c r="P31" s="92">
        <f t="shared" si="2"/>
        <v>233235.6923076923</v>
      </c>
      <c r="Q31" s="92">
        <f t="shared" si="2"/>
        <v>240307.20000000004</v>
      </c>
      <c r="R31" s="92">
        <f t="shared" si="2"/>
        <v>247378.7076923077</v>
      </c>
      <c r="S31" s="92">
        <f t="shared" si="2"/>
        <v>250914.46153846156</v>
      </c>
      <c r="T31" s="92">
        <f t="shared" si="2"/>
        <v>261521.7230769231</v>
      </c>
      <c r="U31" s="92">
        <f t="shared" si="2"/>
        <v>265057.4769230769</v>
      </c>
      <c r="V31" s="92">
        <f t="shared" si="2"/>
        <v>268593.2307692308</v>
      </c>
      <c r="W31" s="92">
        <f t="shared" si="2"/>
        <v>272128.98461538466</v>
      </c>
      <c r="X31" s="92">
        <f t="shared" si="2"/>
        <v>286272</v>
      </c>
      <c r="Y31" s="92">
        <f t="shared" si="2"/>
        <v>286272</v>
      </c>
      <c r="Z31" s="92">
        <f t="shared" si="2"/>
        <v>286272</v>
      </c>
      <c r="AA31" s="92">
        <f t="shared" si="2"/>
        <v>286272</v>
      </c>
      <c r="AB31" s="92">
        <f t="shared" si="2"/>
        <v>286272</v>
      </c>
      <c r="AC31" s="92">
        <f t="shared" si="2"/>
        <v>286272</v>
      </c>
      <c r="AD31" s="92">
        <f t="shared" si="2"/>
        <v>286272</v>
      </c>
      <c r="AE31" s="92">
        <f t="shared" si="2"/>
        <v>286272</v>
      </c>
      <c r="AF31" s="92">
        <f t="shared" si="2"/>
        <v>286272</v>
      </c>
      <c r="AG31" s="92">
        <f t="shared" si="2"/>
        <v>286272</v>
      </c>
      <c r="AH31" s="92">
        <f t="shared" si="2"/>
        <v>286272</v>
      </c>
      <c r="AI31" s="94"/>
    </row>
    <row r="32" spans="1:34" ht="14.25">
      <c r="A32" s="48"/>
      <c r="B32" s="16"/>
      <c r="C32" s="29"/>
      <c r="D32" s="29" t="s">
        <v>60</v>
      </c>
      <c r="E32" s="92"/>
      <c r="F32" s="92"/>
      <c r="G32" s="92"/>
      <c r="H32" s="92"/>
      <c r="I32" s="92"/>
      <c r="J32" s="92"/>
      <c r="K32" s="92"/>
      <c r="L32" s="92"/>
      <c r="M32" s="92"/>
      <c r="N32" s="92"/>
      <c r="O32" s="92"/>
      <c r="P32" s="92"/>
      <c r="Q32" s="92"/>
      <c r="R32" s="92"/>
      <c r="S32" s="92"/>
      <c r="T32" s="92"/>
      <c r="U32" s="92"/>
      <c r="V32" s="92"/>
      <c r="W32" s="92"/>
      <c r="X32" s="92"/>
      <c r="Y32" s="92"/>
      <c r="Z32" s="92"/>
      <c r="AA32" s="92"/>
      <c r="AB32" s="93"/>
      <c r="AC32" s="92"/>
      <c r="AD32" s="92"/>
      <c r="AE32" s="92"/>
      <c r="AF32" s="92"/>
      <c r="AG32" s="92"/>
      <c r="AH32" s="93"/>
    </row>
    <row r="33" spans="1:34" ht="14.25">
      <c r="A33" s="15" t="s">
        <v>128</v>
      </c>
      <c r="B33" s="58">
        <f>FIRR!C33</f>
        <v>1</v>
      </c>
      <c r="C33" s="29" t="s">
        <v>80</v>
      </c>
      <c r="D33" s="16">
        <f aca="true" t="shared" si="3" ref="D33:D41">D12</f>
        <v>1</v>
      </c>
      <c r="E33" s="92">
        <f>$D33*FIRR!E33</f>
        <v>0</v>
      </c>
      <c r="F33" s="92">
        <f>$D33*FIRR!F33</f>
        <v>18925.684232908447</v>
      </c>
      <c r="G33" s="92">
        <f>$D33*FIRR!G33</f>
        <v>75702.73693163379</v>
      </c>
      <c r="H33" s="92">
        <f>$D33*FIRR!H33</f>
        <v>94628.42116454223</v>
      </c>
      <c r="I33" s="92">
        <f>$D33*FIRR!I33</f>
        <v>0</v>
      </c>
      <c r="J33" s="92">
        <f>$D33*FIRR!J33</f>
        <v>0</v>
      </c>
      <c r="K33" s="92">
        <f>$D33*FIRR!K33</f>
        <v>0</v>
      </c>
      <c r="L33" s="92">
        <f>$D33*FIRR!L33</f>
        <v>0</v>
      </c>
      <c r="M33" s="92">
        <f>$D33*FIRR!M33</f>
        <v>0</v>
      </c>
      <c r="N33" s="92">
        <f>$D33*FIRR!N33</f>
        <v>0</v>
      </c>
      <c r="O33" s="92">
        <f>$D33*FIRR!O33</f>
        <v>0</v>
      </c>
      <c r="P33" s="92">
        <f>$D33*FIRR!P33</f>
        <v>0</v>
      </c>
      <c r="Q33" s="92">
        <f>$D33*FIRR!Q33</f>
        <v>0</v>
      </c>
      <c r="R33" s="92">
        <f>$D33*FIRR!R33</f>
        <v>0</v>
      </c>
      <c r="S33" s="92">
        <f>$D33*FIRR!S33</f>
        <v>0</v>
      </c>
      <c r="T33" s="92">
        <f>$D33*FIRR!T33</f>
        <v>0</v>
      </c>
      <c r="U33" s="92">
        <f>$D33*FIRR!U33</f>
        <v>0</v>
      </c>
      <c r="V33" s="92">
        <f>$D33*FIRR!V33</f>
        <v>0</v>
      </c>
      <c r="W33" s="92">
        <f>$D33*FIRR!W33</f>
        <v>0</v>
      </c>
      <c r="X33" s="92">
        <f>$D33*FIRR!X33</f>
        <v>0</v>
      </c>
      <c r="Y33" s="92">
        <f>$D33*FIRR!Y33</f>
        <v>0</v>
      </c>
      <c r="Z33" s="92">
        <f>$D33*FIRR!Z33</f>
        <v>0</v>
      </c>
      <c r="AA33" s="92">
        <f>$D33*FIRR!AA33</f>
        <v>0</v>
      </c>
      <c r="AB33" s="93">
        <f>$D33*FIRR!AB33</f>
        <v>0</v>
      </c>
      <c r="AC33" s="92">
        <f>$D33*FIRR!AC33</f>
        <v>0</v>
      </c>
      <c r="AD33" s="92">
        <f>$D33*FIRR!AD33</f>
        <v>0</v>
      </c>
      <c r="AE33" s="92">
        <f>$D33*FIRR!AE33</f>
        <v>0</v>
      </c>
      <c r="AF33" s="92">
        <f>$D33*FIRR!AF33</f>
        <v>0</v>
      </c>
      <c r="AG33" s="92">
        <f>$D33*FIRR!AG33</f>
        <v>0</v>
      </c>
      <c r="AH33" s="93">
        <f>$D33*FIRR!AH33</f>
        <v>0</v>
      </c>
    </row>
    <row r="34" spans="1:34" ht="14.25">
      <c r="A34" s="48"/>
      <c r="B34" s="58">
        <f>FIRR!C34</f>
        <v>2</v>
      </c>
      <c r="C34" s="29" t="s">
        <v>80</v>
      </c>
      <c r="D34" s="16">
        <f t="shared" si="3"/>
        <v>1</v>
      </c>
      <c r="E34" s="92">
        <f>$D34*FIRR!E34</f>
        <v>0</v>
      </c>
      <c r="F34" s="92">
        <f>$D34*FIRR!F34</f>
        <v>0</v>
      </c>
      <c r="G34" s="92">
        <f>$D34*FIRR!G34</f>
        <v>0</v>
      </c>
      <c r="H34" s="92">
        <f>$D34*FIRR!H34</f>
        <v>51240</v>
      </c>
      <c r="I34" s="92">
        <f>$D34*FIRR!I34</f>
        <v>0</v>
      </c>
      <c r="J34" s="92">
        <f>$D34*FIRR!J34</f>
        <v>0</v>
      </c>
      <c r="K34" s="92">
        <f>$D34*FIRR!K34</f>
        <v>0</v>
      </c>
      <c r="L34" s="92">
        <f>$D34*FIRR!L34</f>
        <v>0</v>
      </c>
      <c r="M34" s="92">
        <f>$D34*FIRR!M34</f>
        <v>0</v>
      </c>
      <c r="N34" s="92">
        <f>$D34*FIRR!N34</f>
        <v>0</v>
      </c>
      <c r="O34" s="92">
        <f>$D34*FIRR!O34</f>
        <v>25620</v>
      </c>
      <c r="P34" s="92">
        <f>$D34*FIRR!P34</f>
        <v>0</v>
      </c>
      <c r="Q34" s="92">
        <f>$D34*FIRR!Q34</f>
        <v>0</v>
      </c>
      <c r="R34" s="92">
        <f>$D34*FIRR!R34</f>
        <v>0</v>
      </c>
      <c r="S34" s="92">
        <f>$D34*FIRR!S34</f>
        <v>0</v>
      </c>
      <c r="T34" s="92">
        <f>$D34*FIRR!T34</f>
        <v>0</v>
      </c>
      <c r="U34" s="92">
        <f>$D34*FIRR!U34</f>
        <v>25620</v>
      </c>
      <c r="V34" s="92">
        <f>$D34*FIRR!V34</f>
        <v>0</v>
      </c>
      <c r="W34" s="92">
        <f>$D34*FIRR!W34</f>
        <v>0</v>
      </c>
      <c r="X34" s="92">
        <f>$D34*FIRR!X34</f>
        <v>0</v>
      </c>
      <c r="Y34" s="92">
        <f>$D34*FIRR!Y34</f>
        <v>0</v>
      </c>
      <c r="Z34" s="92">
        <f>$D34*FIRR!Z34</f>
        <v>0</v>
      </c>
      <c r="AA34" s="92">
        <f>$D34*FIRR!AA34</f>
        <v>0</v>
      </c>
      <c r="AB34" s="93">
        <f>$D34*FIRR!AB34</f>
        <v>0</v>
      </c>
      <c r="AC34" s="92">
        <f>$D34*FIRR!AC34</f>
        <v>0</v>
      </c>
      <c r="AD34" s="92">
        <f>$D34*FIRR!AD34</f>
        <v>0</v>
      </c>
      <c r="AE34" s="92">
        <f>$D34*FIRR!AE34</f>
        <v>0</v>
      </c>
      <c r="AF34" s="92">
        <f>$D34*FIRR!AF34</f>
        <v>0</v>
      </c>
      <c r="AG34" s="92">
        <f>$D34*FIRR!AG34</f>
        <v>0</v>
      </c>
      <c r="AH34" s="93">
        <f>$D34*FIRR!AH34</f>
        <v>0</v>
      </c>
    </row>
    <row r="35" spans="1:34" ht="14.25">
      <c r="A35" s="48"/>
      <c r="B35" s="58">
        <f>FIRR!C35</f>
        <v>3</v>
      </c>
      <c r="C35" s="29" t="s">
        <v>80</v>
      </c>
      <c r="D35" s="16">
        <f t="shared" si="3"/>
        <v>1</v>
      </c>
      <c r="E35" s="92">
        <f>$D35*FIRR!E35</f>
        <v>0</v>
      </c>
      <c r="F35" s="92">
        <f>$D35*FIRR!F35</f>
        <v>473.36</v>
      </c>
      <c r="G35" s="92">
        <f>$D35*FIRR!G35</f>
        <v>1893.44</v>
      </c>
      <c r="H35" s="92">
        <f>$D35*FIRR!H35</f>
        <v>2366.8</v>
      </c>
      <c r="I35" s="92">
        <f>$D35*FIRR!I35</f>
        <v>0</v>
      </c>
      <c r="J35" s="92">
        <f>$D35*FIRR!J35</f>
        <v>0</v>
      </c>
      <c r="K35" s="92">
        <f>$D35*FIRR!K35</f>
        <v>0</v>
      </c>
      <c r="L35" s="92">
        <f>$D35*FIRR!L35</f>
        <v>0</v>
      </c>
      <c r="M35" s="92">
        <f>$D35*FIRR!M35</f>
        <v>0</v>
      </c>
      <c r="N35" s="92">
        <f>$D35*FIRR!N35</f>
        <v>0</v>
      </c>
      <c r="O35" s="92">
        <f>$D35*FIRR!O35</f>
        <v>0</v>
      </c>
      <c r="P35" s="92">
        <f>$D35*FIRR!P35</f>
        <v>0</v>
      </c>
      <c r="Q35" s="92">
        <f>$D35*FIRR!Q35</f>
        <v>0</v>
      </c>
      <c r="R35" s="92">
        <f>$D35*FIRR!R35</f>
        <v>0</v>
      </c>
      <c r="S35" s="92">
        <f>$D35*FIRR!S35</f>
        <v>0</v>
      </c>
      <c r="T35" s="92">
        <f>$D35*FIRR!T35</f>
        <v>0</v>
      </c>
      <c r="U35" s="92">
        <f>$D35*FIRR!U35</f>
        <v>0</v>
      </c>
      <c r="V35" s="92">
        <f>$D35*FIRR!V35</f>
        <v>0</v>
      </c>
      <c r="W35" s="92">
        <f>$D35*FIRR!W35</f>
        <v>0</v>
      </c>
      <c r="X35" s="92">
        <f>$D35*FIRR!X35</f>
        <v>0</v>
      </c>
      <c r="Y35" s="92">
        <f>$D35*FIRR!Y35</f>
        <v>0</v>
      </c>
      <c r="Z35" s="92">
        <f>$D35*FIRR!Z35</f>
        <v>0</v>
      </c>
      <c r="AA35" s="92">
        <f>$D35*FIRR!AA35</f>
        <v>0</v>
      </c>
      <c r="AB35" s="93">
        <f>$D35*FIRR!AB35</f>
        <v>0</v>
      </c>
      <c r="AC35" s="92">
        <f>$D35*FIRR!AC35</f>
        <v>0</v>
      </c>
      <c r="AD35" s="92">
        <f>$D35*FIRR!AD35</f>
        <v>0</v>
      </c>
      <c r="AE35" s="92">
        <f>$D35*FIRR!AE35</f>
        <v>0</v>
      </c>
      <c r="AF35" s="92">
        <f>$D35*FIRR!AF35</f>
        <v>0</v>
      </c>
      <c r="AG35" s="92">
        <f>$D35*FIRR!AG35</f>
        <v>0</v>
      </c>
      <c r="AH35" s="93">
        <f>$D35*FIRR!AH35</f>
        <v>0</v>
      </c>
    </row>
    <row r="36" spans="1:34" ht="14.25">
      <c r="A36" s="48"/>
      <c r="B36" s="58">
        <f>FIRR!C36</f>
        <v>4</v>
      </c>
      <c r="C36" s="29" t="s">
        <v>80</v>
      </c>
      <c r="D36" s="16">
        <f t="shared" si="3"/>
        <v>1</v>
      </c>
      <c r="E36" s="92">
        <f>$D36*FIRR!E36</f>
        <v>0</v>
      </c>
      <c r="F36" s="92">
        <f>$D36*FIRR!F36</f>
        <v>4548.126183998425</v>
      </c>
      <c r="G36" s="92">
        <f>$D36*FIRR!G36</f>
        <v>18192.5047359937</v>
      </c>
      <c r="H36" s="92">
        <f>$D36*FIRR!H36</f>
        <v>22740.630919992123</v>
      </c>
      <c r="I36" s="92">
        <f>$D36*FIRR!I36</f>
        <v>0</v>
      </c>
      <c r="J36" s="92">
        <f>$D36*FIRR!J36</f>
        <v>0</v>
      </c>
      <c r="K36" s="92">
        <f>$D36*FIRR!K36</f>
        <v>0</v>
      </c>
      <c r="L36" s="92">
        <f>$D36*FIRR!L36</f>
        <v>0</v>
      </c>
      <c r="M36" s="92">
        <f>$D36*FIRR!M36</f>
        <v>0</v>
      </c>
      <c r="N36" s="92">
        <f>$D36*FIRR!N36</f>
        <v>0</v>
      </c>
      <c r="O36" s="92">
        <f>$D36*FIRR!O36</f>
        <v>0</v>
      </c>
      <c r="P36" s="92">
        <f>$D36*FIRR!P36</f>
        <v>0</v>
      </c>
      <c r="Q36" s="92">
        <f>$D36*FIRR!Q36</f>
        <v>45481.261839984254</v>
      </c>
      <c r="R36" s="92">
        <f>$D36*FIRR!R36</f>
        <v>0</v>
      </c>
      <c r="S36" s="92">
        <f>$D36*FIRR!S36</f>
        <v>0</v>
      </c>
      <c r="T36" s="92">
        <f>$D36*FIRR!T36</f>
        <v>0</v>
      </c>
      <c r="U36" s="92">
        <f>$D36*FIRR!U36</f>
        <v>0</v>
      </c>
      <c r="V36" s="92">
        <f>$D36*FIRR!V36</f>
        <v>0</v>
      </c>
      <c r="W36" s="92">
        <f>$D36*FIRR!W36</f>
        <v>0</v>
      </c>
      <c r="X36" s="92">
        <f>$D36*FIRR!X36</f>
        <v>0</v>
      </c>
      <c r="Y36" s="92">
        <f>$D36*FIRR!Y36</f>
        <v>0</v>
      </c>
      <c r="Z36" s="92">
        <f>$D36*FIRR!Z36</f>
        <v>0</v>
      </c>
      <c r="AA36" s="92">
        <f>$D36*FIRR!AA36</f>
        <v>45481.261839984254</v>
      </c>
      <c r="AB36" s="93">
        <f>$D36*FIRR!AB36</f>
        <v>0</v>
      </c>
      <c r="AC36" s="92">
        <f>$D36*FIRR!AC36</f>
        <v>0</v>
      </c>
      <c r="AD36" s="92">
        <f>$D36*FIRR!AD36</f>
        <v>0</v>
      </c>
      <c r="AE36" s="92">
        <f>$D36*FIRR!AE36</f>
        <v>0</v>
      </c>
      <c r="AF36" s="92">
        <f>$D36*FIRR!AF36</f>
        <v>0</v>
      </c>
      <c r="AG36" s="92">
        <f>$D36*FIRR!AG36</f>
        <v>0</v>
      </c>
      <c r="AH36" s="93">
        <f>$D36*FIRR!AH36</f>
        <v>0</v>
      </c>
    </row>
    <row r="37" spans="1:34" ht="14.25">
      <c r="A37" s="48"/>
      <c r="B37" s="58">
        <f>FIRR!C37</f>
        <v>5</v>
      </c>
      <c r="C37" s="29" t="s">
        <v>80</v>
      </c>
      <c r="D37" s="16">
        <f t="shared" si="3"/>
        <v>1</v>
      </c>
      <c r="E37" s="92">
        <f>$D37*FIRR!E37</f>
        <v>0</v>
      </c>
      <c r="F37" s="92">
        <f>$D37*FIRR!F37</f>
        <v>22108.18371505636</v>
      </c>
      <c r="G37" s="92">
        <f>$D37*FIRR!G37</f>
        <v>88432.73486022544</v>
      </c>
      <c r="H37" s="92">
        <f>$D37*FIRR!H37</f>
        <v>110540.91857528179</v>
      </c>
      <c r="I37" s="92">
        <f>$D37*FIRR!I37</f>
        <v>0</v>
      </c>
      <c r="J37" s="92">
        <f>$D37*FIRR!J37</f>
        <v>0</v>
      </c>
      <c r="K37" s="92">
        <f>$D37*FIRR!K37</f>
        <v>0</v>
      </c>
      <c r="L37" s="92">
        <f>$D37*FIRR!L37</f>
        <v>0</v>
      </c>
      <c r="M37" s="92">
        <f>$D37*FIRR!M37</f>
        <v>0</v>
      </c>
      <c r="N37" s="92">
        <f>$D37*FIRR!N37</f>
        <v>0</v>
      </c>
      <c r="O37" s="92">
        <f>$D37*FIRR!O37</f>
        <v>0</v>
      </c>
      <c r="P37" s="92">
        <f>$D37*FIRR!P37</f>
        <v>0</v>
      </c>
      <c r="Q37" s="92">
        <f>$D37*FIRR!Q37</f>
        <v>0</v>
      </c>
      <c r="R37" s="92">
        <f>$D37*FIRR!R37</f>
        <v>0</v>
      </c>
      <c r="S37" s="92">
        <f>$D37*FIRR!S37</f>
        <v>0</v>
      </c>
      <c r="T37" s="92">
        <f>$D37*FIRR!T37</f>
        <v>0</v>
      </c>
      <c r="U37" s="92">
        <f>$D37*FIRR!U37</f>
        <v>0</v>
      </c>
      <c r="V37" s="92">
        <f>$D37*FIRR!V37</f>
        <v>0</v>
      </c>
      <c r="W37" s="92">
        <f>$D37*FIRR!W37</f>
        <v>0</v>
      </c>
      <c r="X37" s="92">
        <f>$D37*FIRR!X37</f>
        <v>0</v>
      </c>
      <c r="Y37" s="92">
        <f>$D37*FIRR!Y37</f>
        <v>0</v>
      </c>
      <c r="Z37" s="92">
        <f>$D37*FIRR!Z37</f>
        <v>0</v>
      </c>
      <c r="AA37" s="92">
        <f>$D37*FIRR!AA37</f>
        <v>0</v>
      </c>
      <c r="AB37" s="93">
        <f>$D37*FIRR!AB37</f>
        <v>0</v>
      </c>
      <c r="AC37" s="92">
        <f>$D37*FIRR!AC37</f>
        <v>0</v>
      </c>
      <c r="AD37" s="92">
        <f>$D37*FIRR!AD37</f>
        <v>0</v>
      </c>
      <c r="AE37" s="92">
        <f>$D37*FIRR!AE37</f>
        <v>0</v>
      </c>
      <c r="AF37" s="92">
        <f>$D37*FIRR!AF37</f>
        <v>0</v>
      </c>
      <c r="AG37" s="92">
        <f>$D37*FIRR!AG37</f>
        <v>0</v>
      </c>
      <c r="AH37" s="93">
        <f>$D37*FIRR!AH37</f>
        <v>0</v>
      </c>
    </row>
    <row r="38" spans="1:34" ht="14.25">
      <c r="A38" s="48"/>
      <c r="B38" s="58">
        <f>FIRR!C38</f>
        <v>6</v>
      </c>
      <c r="C38" s="29" t="s">
        <v>80</v>
      </c>
      <c r="D38" s="16">
        <f t="shared" si="3"/>
        <v>1</v>
      </c>
      <c r="E38" s="92">
        <f>$D38*FIRR!E38</f>
        <v>0</v>
      </c>
      <c r="F38" s="92">
        <f>$D38*FIRR!F38</f>
        <v>1206.294032</v>
      </c>
      <c r="G38" s="92">
        <f>$D38*FIRR!G38</f>
        <v>4825.176128</v>
      </c>
      <c r="H38" s="92">
        <f>$D38*FIRR!H38</f>
        <v>6031.470159999999</v>
      </c>
      <c r="I38" s="92">
        <f>$D38*FIRR!I38</f>
        <v>0</v>
      </c>
      <c r="J38" s="92">
        <f>$D38*FIRR!J38</f>
        <v>0</v>
      </c>
      <c r="K38" s="92">
        <f>$D38*FIRR!K38</f>
        <v>0</v>
      </c>
      <c r="L38" s="92">
        <f>$D38*FIRR!L38</f>
        <v>0</v>
      </c>
      <c r="M38" s="92">
        <f>$D38*FIRR!M38</f>
        <v>0</v>
      </c>
      <c r="N38" s="92">
        <f>$D38*FIRR!N38</f>
        <v>0</v>
      </c>
      <c r="O38" s="92">
        <f>$D38*FIRR!O38</f>
        <v>0</v>
      </c>
      <c r="P38" s="92">
        <f>$D38*FIRR!P38</f>
        <v>0</v>
      </c>
      <c r="Q38" s="92">
        <f>$D38*FIRR!Q38</f>
        <v>12062.940319999998</v>
      </c>
      <c r="R38" s="92">
        <f>$D38*FIRR!R38</f>
        <v>0</v>
      </c>
      <c r="S38" s="92">
        <f>$D38*FIRR!S38</f>
        <v>0</v>
      </c>
      <c r="T38" s="92">
        <f>$D38*FIRR!T38</f>
        <v>0</v>
      </c>
      <c r="U38" s="92">
        <f>$D38*FIRR!U38</f>
        <v>0</v>
      </c>
      <c r="V38" s="92">
        <f>$D38*FIRR!V38</f>
        <v>0</v>
      </c>
      <c r="W38" s="92">
        <f>$D38*FIRR!W38</f>
        <v>0</v>
      </c>
      <c r="X38" s="92">
        <f>$D38*FIRR!X38</f>
        <v>0</v>
      </c>
      <c r="Y38" s="92">
        <f>$D38*FIRR!Y38</f>
        <v>0</v>
      </c>
      <c r="Z38" s="92">
        <f>$D38*FIRR!Z38</f>
        <v>0</v>
      </c>
      <c r="AA38" s="92">
        <f>$D38*FIRR!AA38</f>
        <v>12062.940319999998</v>
      </c>
      <c r="AB38" s="93">
        <f>$D38*FIRR!AB38</f>
        <v>0</v>
      </c>
      <c r="AC38" s="92">
        <f>$D38*FIRR!AC38</f>
        <v>0</v>
      </c>
      <c r="AD38" s="92">
        <f>$D38*FIRR!AD38</f>
        <v>0</v>
      </c>
      <c r="AE38" s="92">
        <f>$D38*FIRR!AE38</f>
        <v>0</v>
      </c>
      <c r="AF38" s="92">
        <f>$D38*FIRR!AF38</f>
        <v>0</v>
      </c>
      <c r="AG38" s="92">
        <f>$D38*FIRR!AG38</f>
        <v>0</v>
      </c>
      <c r="AH38" s="93">
        <f>$D38*FIRR!AH38</f>
        <v>0</v>
      </c>
    </row>
    <row r="39" spans="1:34" ht="14.25">
      <c r="A39" s="48"/>
      <c r="B39" s="58">
        <f>FIRR!C39</f>
        <v>7</v>
      </c>
      <c r="C39" s="29" t="s">
        <v>80</v>
      </c>
      <c r="D39" s="16">
        <f t="shared" si="3"/>
        <v>1</v>
      </c>
      <c r="E39" s="92">
        <f>$D39*FIRR!E39</f>
        <v>0</v>
      </c>
      <c r="F39" s="92">
        <f>$D39*FIRR!F39</f>
        <v>4634.991046581654</v>
      </c>
      <c r="G39" s="92">
        <f>$D39*FIRR!G39</f>
        <v>18539.964186326615</v>
      </c>
      <c r="H39" s="92">
        <f>$D39*FIRR!H39</f>
        <v>23174.955232908265</v>
      </c>
      <c r="I39" s="92">
        <f>$D39*FIRR!I39</f>
        <v>0</v>
      </c>
      <c r="J39" s="92">
        <f>$D39*FIRR!J39</f>
        <v>0</v>
      </c>
      <c r="K39" s="92">
        <f>$D39*FIRR!K39</f>
        <v>0</v>
      </c>
      <c r="L39" s="92">
        <f>$D39*FIRR!L39</f>
        <v>0</v>
      </c>
      <c r="M39" s="92">
        <f>$D39*FIRR!M39</f>
        <v>0</v>
      </c>
      <c r="N39" s="92">
        <f>$D39*FIRR!N39</f>
        <v>0</v>
      </c>
      <c r="O39" s="92">
        <f>$D39*FIRR!O39</f>
        <v>0</v>
      </c>
      <c r="P39" s="92">
        <f>$D39*FIRR!P39</f>
        <v>0</v>
      </c>
      <c r="Q39" s="92">
        <f>$D39*FIRR!Q39</f>
        <v>0</v>
      </c>
      <c r="R39" s="92">
        <f>$D39*FIRR!R39</f>
        <v>0</v>
      </c>
      <c r="S39" s="92">
        <f>$D39*FIRR!S39</f>
        <v>0</v>
      </c>
      <c r="T39" s="92">
        <f>$D39*FIRR!T39</f>
        <v>0</v>
      </c>
      <c r="U39" s="92">
        <f>$D39*FIRR!U39</f>
        <v>0</v>
      </c>
      <c r="V39" s="92">
        <f>$D39*FIRR!V39</f>
        <v>0</v>
      </c>
      <c r="W39" s="92">
        <f>$D39*FIRR!W39</f>
        <v>0</v>
      </c>
      <c r="X39" s="92">
        <f>$D39*FIRR!X39</f>
        <v>0</v>
      </c>
      <c r="Y39" s="92">
        <f>$D39*FIRR!Y39</f>
        <v>0</v>
      </c>
      <c r="Z39" s="92">
        <f>$D39*FIRR!Z39</f>
        <v>0</v>
      </c>
      <c r="AA39" s="92">
        <f>$D39*FIRR!AA39</f>
        <v>0</v>
      </c>
      <c r="AB39" s="93">
        <f>$D39*FIRR!AB39</f>
        <v>0</v>
      </c>
      <c r="AC39" s="92">
        <f>$D39*FIRR!AC39</f>
        <v>0</v>
      </c>
      <c r="AD39" s="92">
        <f>$D39*FIRR!AD39</f>
        <v>0</v>
      </c>
      <c r="AE39" s="92">
        <f>$D39*FIRR!AE39</f>
        <v>0</v>
      </c>
      <c r="AF39" s="92">
        <f>$D39*FIRR!AF39</f>
        <v>0</v>
      </c>
      <c r="AG39" s="92">
        <f>$D39*FIRR!AG39</f>
        <v>0</v>
      </c>
      <c r="AH39" s="93">
        <f>$D39*FIRR!AH39</f>
        <v>0</v>
      </c>
    </row>
    <row r="40" spans="1:34" ht="14.25">
      <c r="A40" s="48"/>
      <c r="B40" s="58">
        <f>FIRR!C40</f>
        <v>8</v>
      </c>
      <c r="C40" s="29" t="s">
        <v>80</v>
      </c>
      <c r="D40" s="16">
        <f t="shared" si="3"/>
        <v>1</v>
      </c>
      <c r="E40" s="92">
        <f>$D40*FIRR!E40</f>
        <v>0</v>
      </c>
      <c r="F40" s="92">
        <f>$D40*FIRR!F40</f>
        <v>9124.664341295449</v>
      </c>
      <c r="G40" s="92">
        <f>$D40*FIRR!G40</f>
        <v>36498.657365181796</v>
      </c>
      <c r="H40" s="92">
        <f>$D40*FIRR!H40</f>
        <v>45623.321706477254</v>
      </c>
      <c r="I40" s="92">
        <f>$D40*FIRR!I40</f>
        <v>0</v>
      </c>
      <c r="J40" s="92">
        <f>$D40*FIRR!J40</f>
        <v>0</v>
      </c>
      <c r="K40" s="92">
        <f>$D40*FIRR!K40</f>
        <v>0</v>
      </c>
      <c r="L40" s="92">
        <f>$D40*FIRR!L40</f>
        <v>0</v>
      </c>
      <c r="M40" s="92">
        <f>$D40*FIRR!M40</f>
        <v>0</v>
      </c>
      <c r="N40" s="92">
        <f>$D40*FIRR!N40</f>
        <v>0</v>
      </c>
      <c r="O40" s="92">
        <f>$D40*FIRR!O40</f>
        <v>0</v>
      </c>
      <c r="P40" s="92">
        <f>$D40*FIRR!P40</f>
        <v>0</v>
      </c>
      <c r="Q40" s="92">
        <f>$D40*FIRR!Q40</f>
        <v>91246.6434129545</v>
      </c>
      <c r="R40" s="92">
        <f>$D40*FIRR!R40</f>
        <v>0</v>
      </c>
      <c r="S40" s="92">
        <f>$D40*FIRR!S40</f>
        <v>0</v>
      </c>
      <c r="T40" s="92">
        <f>$D40*FIRR!T40</f>
        <v>0</v>
      </c>
      <c r="U40" s="92">
        <f>$D40*FIRR!U40</f>
        <v>0</v>
      </c>
      <c r="V40" s="92">
        <f>$D40*FIRR!V40</f>
        <v>0</v>
      </c>
      <c r="W40" s="92">
        <f>$D40*FIRR!W40</f>
        <v>0</v>
      </c>
      <c r="X40" s="92">
        <f>$D40*FIRR!X40</f>
        <v>0</v>
      </c>
      <c r="Y40" s="92">
        <f>$D40*FIRR!Y40</f>
        <v>0</v>
      </c>
      <c r="Z40" s="92">
        <f>$D40*FIRR!Z40</f>
        <v>0</v>
      </c>
      <c r="AA40" s="92">
        <f>$D40*FIRR!AA40</f>
        <v>91246.6434129545</v>
      </c>
      <c r="AB40" s="93">
        <f>$D40*FIRR!AB40</f>
        <v>0</v>
      </c>
      <c r="AC40" s="92">
        <f>$D40*FIRR!AC40</f>
        <v>0</v>
      </c>
      <c r="AD40" s="92">
        <f>$D40*FIRR!AD40</f>
        <v>0</v>
      </c>
      <c r="AE40" s="92">
        <f>$D40*FIRR!AE40</f>
        <v>0</v>
      </c>
      <c r="AF40" s="92">
        <f>$D40*FIRR!AF40</f>
        <v>0</v>
      </c>
      <c r="AG40" s="92">
        <f>$D40*FIRR!AG40</f>
        <v>0</v>
      </c>
      <c r="AH40" s="93">
        <f>$D40*FIRR!AH40</f>
        <v>0</v>
      </c>
    </row>
    <row r="41" spans="1:34" ht="14.25">
      <c r="A41" s="48"/>
      <c r="B41" s="58">
        <f>FIRR!C41</f>
        <v>9</v>
      </c>
      <c r="C41" s="29" t="s">
        <v>80</v>
      </c>
      <c r="D41" s="16">
        <f t="shared" si="3"/>
        <v>1</v>
      </c>
      <c r="E41" s="92">
        <f>$D41*FIRR!E41</f>
        <v>107455.896825</v>
      </c>
      <c r="F41" s="92">
        <f>$D41*FIRR!F41</f>
        <v>112634.58068994845</v>
      </c>
      <c r="G41" s="92">
        <f>$D41*FIRR!G41</f>
        <v>17917.695459793817</v>
      </c>
      <c r="H41" s="92">
        <f>$D41*FIRR!H41</f>
        <v>4946.58</v>
      </c>
      <c r="I41" s="92">
        <f>$D41*FIRR!I41</f>
        <v>2052.75</v>
      </c>
      <c r="J41" s="92">
        <f>$D41*FIRR!J41</f>
        <v>18300</v>
      </c>
      <c r="K41" s="92">
        <f>$D41*FIRR!K41</f>
        <v>0</v>
      </c>
      <c r="L41" s="92">
        <f>$D41*FIRR!L41</f>
        <v>0</v>
      </c>
      <c r="M41" s="92">
        <f>$D41*FIRR!M41</f>
        <v>0</v>
      </c>
      <c r="N41" s="92">
        <f>$D41*FIRR!N41</f>
        <v>0</v>
      </c>
      <c r="O41" s="92">
        <f>$D41*FIRR!O41</f>
        <v>0</v>
      </c>
      <c r="P41" s="92">
        <f>$D41*FIRR!P41</f>
        <v>0</v>
      </c>
      <c r="Q41" s="92">
        <f>$D41*FIRR!Q41</f>
        <v>0</v>
      </c>
      <c r="R41" s="92">
        <f>$D41*FIRR!R41</f>
        <v>0</v>
      </c>
      <c r="S41" s="92">
        <f>$D41*FIRR!S41</f>
        <v>0</v>
      </c>
      <c r="T41" s="92">
        <f>$D41*FIRR!T41</f>
        <v>0</v>
      </c>
      <c r="U41" s="92">
        <f>$D41*FIRR!U41</f>
        <v>0</v>
      </c>
      <c r="V41" s="92">
        <f>$D41*FIRR!V41</f>
        <v>0</v>
      </c>
      <c r="W41" s="92">
        <f>$D41*FIRR!W41</f>
        <v>0</v>
      </c>
      <c r="X41" s="92">
        <f>$D41*FIRR!X41</f>
        <v>0</v>
      </c>
      <c r="Y41" s="92">
        <f>$D41*FIRR!Y41</f>
        <v>0</v>
      </c>
      <c r="Z41" s="92">
        <f>$D41*FIRR!Z41</f>
        <v>0</v>
      </c>
      <c r="AA41" s="92">
        <f>$D41*FIRR!AA41</f>
        <v>0</v>
      </c>
      <c r="AB41" s="93">
        <f>$D41*FIRR!AB41</f>
        <v>0</v>
      </c>
      <c r="AC41" s="92">
        <f>$D41*FIRR!AC41</f>
        <v>0</v>
      </c>
      <c r="AD41" s="92">
        <f>$D41*FIRR!AD41</f>
        <v>0</v>
      </c>
      <c r="AE41" s="92">
        <f>$D41*FIRR!AE41</f>
        <v>0</v>
      </c>
      <c r="AF41" s="92">
        <f>$D41*FIRR!AF41</f>
        <v>0</v>
      </c>
      <c r="AG41" s="92">
        <f>$D41*FIRR!AG41</f>
        <v>0</v>
      </c>
      <c r="AH41" s="93">
        <f>$D41*FIRR!AH41</f>
        <v>0</v>
      </c>
    </row>
    <row r="42" spans="1:34" ht="14.25">
      <c r="A42" s="48"/>
      <c r="B42" s="336" t="s">
        <v>29</v>
      </c>
      <c r="C42" s="337"/>
      <c r="D42" s="338">
        <f>'ERR &amp; Sensitivity Analysis'!$H$14</f>
        <v>1</v>
      </c>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row>
    <row r="43" spans="1:34" ht="14.25">
      <c r="A43" s="48"/>
      <c r="B43" s="58" t="s">
        <v>26</v>
      </c>
      <c r="C43" s="29" t="s">
        <v>80</v>
      </c>
      <c r="D43" s="16"/>
      <c r="E43" s="92">
        <f>SUM(E33:E41)*$D$42</f>
        <v>107455.896825</v>
      </c>
      <c r="F43" s="92">
        <f aca="true" t="shared" si="4" ref="F43:AH43">SUM(F33:F41)*$D$42</f>
        <v>173655.8842417888</v>
      </c>
      <c r="G43" s="92">
        <f t="shared" si="4"/>
        <v>262002.90966715518</v>
      </c>
      <c r="H43" s="92">
        <f t="shared" si="4"/>
        <v>361293.0977592017</v>
      </c>
      <c r="I43" s="92">
        <f t="shared" si="4"/>
        <v>2052.75</v>
      </c>
      <c r="J43" s="92">
        <f t="shared" si="4"/>
        <v>18300</v>
      </c>
      <c r="K43" s="92">
        <f t="shared" si="4"/>
        <v>0</v>
      </c>
      <c r="L43" s="92">
        <f t="shared" si="4"/>
        <v>0</v>
      </c>
      <c r="M43" s="92">
        <f t="shared" si="4"/>
        <v>0</v>
      </c>
      <c r="N43" s="92">
        <f t="shared" si="4"/>
        <v>0</v>
      </c>
      <c r="O43" s="92">
        <f t="shared" si="4"/>
        <v>25620</v>
      </c>
      <c r="P43" s="92">
        <f t="shared" si="4"/>
        <v>0</v>
      </c>
      <c r="Q43" s="92">
        <f t="shared" si="4"/>
        <v>148790.84557293874</v>
      </c>
      <c r="R43" s="92">
        <f t="shared" si="4"/>
        <v>0</v>
      </c>
      <c r="S43" s="92">
        <f t="shared" si="4"/>
        <v>0</v>
      </c>
      <c r="T43" s="92">
        <f t="shared" si="4"/>
        <v>0</v>
      </c>
      <c r="U43" s="92">
        <f t="shared" si="4"/>
        <v>25620</v>
      </c>
      <c r="V43" s="92">
        <f t="shared" si="4"/>
        <v>0</v>
      </c>
      <c r="W43" s="92">
        <f t="shared" si="4"/>
        <v>0</v>
      </c>
      <c r="X43" s="92">
        <f t="shared" si="4"/>
        <v>0</v>
      </c>
      <c r="Y43" s="92">
        <f t="shared" si="4"/>
        <v>0</v>
      </c>
      <c r="Z43" s="92">
        <f t="shared" si="4"/>
        <v>0</v>
      </c>
      <c r="AA43" s="92">
        <f t="shared" si="4"/>
        <v>148790.84557293874</v>
      </c>
      <c r="AB43" s="92">
        <f t="shared" si="4"/>
        <v>0</v>
      </c>
      <c r="AC43" s="92">
        <f t="shared" si="4"/>
        <v>0</v>
      </c>
      <c r="AD43" s="92">
        <f t="shared" si="4"/>
        <v>0</v>
      </c>
      <c r="AE43" s="92">
        <f t="shared" si="4"/>
        <v>0</v>
      </c>
      <c r="AF43" s="92">
        <f t="shared" si="4"/>
        <v>0</v>
      </c>
      <c r="AG43" s="92">
        <f t="shared" si="4"/>
        <v>0</v>
      </c>
      <c r="AH43" s="92">
        <f t="shared" si="4"/>
        <v>0</v>
      </c>
    </row>
    <row r="44" spans="1:34" ht="14.25">
      <c r="A44" s="48"/>
      <c r="B44" s="16"/>
      <c r="C44" s="29"/>
      <c r="D44" s="61"/>
      <c r="E44" s="92"/>
      <c r="F44" s="92"/>
      <c r="G44" s="92"/>
      <c r="H44" s="92"/>
      <c r="I44" s="92"/>
      <c r="J44" s="92"/>
      <c r="K44" s="92"/>
      <c r="L44" s="92"/>
      <c r="M44" s="92"/>
      <c r="N44" s="92"/>
      <c r="O44" s="92"/>
      <c r="P44" s="92"/>
      <c r="Q44" s="92"/>
      <c r="R44" s="92"/>
      <c r="S44" s="92"/>
      <c r="T44" s="92"/>
      <c r="U44" s="92"/>
      <c r="V44" s="92"/>
      <c r="W44" s="92"/>
      <c r="X44" s="92"/>
      <c r="Y44" s="92"/>
      <c r="Z44" s="92"/>
      <c r="AA44" s="92"/>
      <c r="AB44" s="93"/>
      <c r="AC44" s="92"/>
      <c r="AD44" s="92"/>
      <c r="AE44" s="92"/>
      <c r="AF44" s="92"/>
      <c r="AG44" s="92"/>
      <c r="AH44" s="93"/>
    </row>
    <row r="45" spans="1:34" ht="14.25">
      <c r="A45" s="48"/>
      <c r="B45" s="16" t="str">
        <f>FIRR!B47</f>
        <v>Pumping costs</v>
      </c>
      <c r="C45" s="29" t="s">
        <v>80</v>
      </c>
      <c r="D45" s="61">
        <f>C20</f>
        <v>1</v>
      </c>
      <c r="E45" s="92">
        <f>$D45*FIRR!E47</f>
        <v>0</v>
      </c>
      <c r="F45" s="92">
        <f>$D45*FIRR!F47</f>
        <v>0</v>
      </c>
      <c r="G45" s="92">
        <f>$D45*FIRR!G47</f>
        <v>0</v>
      </c>
      <c r="H45" s="92">
        <f>$D45*FIRR!H47</f>
        <v>0</v>
      </c>
      <c r="I45" s="92">
        <f>$D45*FIRR!I47</f>
        <v>959.4899142222276</v>
      </c>
      <c r="J45" s="92">
        <f>$D45*FIRR!J47</f>
        <v>1089.877770988882</v>
      </c>
      <c r="K45" s="92">
        <f>$D45*FIRR!K47</f>
        <v>1227.8214007309857</v>
      </c>
      <c r="L45" s="92">
        <f>$D45*FIRR!L47</f>
        <v>1374.1938779479026</v>
      </c>
      <c r="M45" s="92">
        <f>$D45*FIRR!M47</f>
        <v>1529.9778375394071</v>
      </c>
      <c r="N45" s="92">
        <f>$D45*FIRR!N47</f>
        <v>1684.49672082588</v>
      </c>
      <c r="O45" s="92">
        <f>$D45*FIRR!O47</f>
        <v>1848.8309897007196</v>
      </c>
      <c r="P45" s="92">
        <f>$D45*FIRR!P47</f>
        <v>2024.0506567554824</v>
      </c>
      <c r="Q45" s="92">
        <f>$D45*FIRR!Q47</f>
        <v>2211.350232223879</v>
      </c>
      <c r="R45" s="92">
        <f>$D45*FIRR!R47</f>
        <v>2412.064196461069</v>
      </c>
      <c r="S45" s="92">
        <f>$D45*FIRR!S47</f>
        <v>2611.158103888265</v>
      </c>
      <c r="T45" s="92">
        <f>$D45*FIRR!T47</f>
        <v>2823.9567309720082</v>
      </c>
      <c r="U45" s="92">
        <f>$D45*FIRR!U47</f>
        <v>3051.8469523265235</v>
      </c>
      <c r="V45" s="92">
        <f>$D45*FIRR!V47</f>
        <v>3296.3626873212884</v>
      </c>
      <c r="W45" s="92">
        <f>$D45*FIRR!W47</f>
        <v>3559.2012136091553</v>
      </c>
      <c r="X45" s="92">
        <f>$D45*FIRR!X47</f>
        <v>3842.862167166035</v>
      </c>
      <c r="Y45" s="92">
        <f>$D45*FIRR!Y47</f>
        <v>4083.051960133147</v>
      </c>
      <c r="Z45" s="92">
        <f>$D45*FIRR!Z47</f>
        <v>4342.2167081950165</v>
      </c>
      <c r="AA45" s="92">
        <f>$D45*FIRR!AA47</f>
        <v>4478.496506318055</v>
      </c>
      <c r="AB45" s="93">
        <f>$D45*FIRR!AB47</f>
        <v>4484.7872693328845</v>
      </c>
      <c r="AC45" s="92">
        <f>$D45*FIRR!AC47</f>
        <v>4491.741729396761</v>
      </c>
      <c r="AD45" s="92">
        <f>$D45*FIRR!AD47</f>
        <v>4499.183138007501</v>
      </c>
      <c r="AE45" s="92">
        <f>$D45*FIRR!AE47</f>
        <v>4507.14879788809</v>
      </c>
      <c r="AF45" s="92">
        <f>$D45*FIRR!AF47</f>
        <v>4515.678630451654</v>
      </c>
      <c r="AG45" s="92">
        <f>$D45*FIRR!AG47</f>
        <v>4524.815345148922</v>
      </c>
      <c r="AH45" s="93">
        <f>$D45*FIRR!AH47</f>
        <v>4524.798787370015</v>
      </c>
    </row>
    <row r="46" spans="1:34" ht="14.25">
      <c r="A46" s="48"/>
      <c r="B46" s="16" t="str">
        <f>FIRR!B48</f>
        <v>WTW costs</v>
      </c>
      <c r="C46" s="29" t="s">
        <v>80</v>
      </c>
      <c r="D46" s="61">
        <f aca="true" t="shared" si="5" ref="D46:D52">D45</f>
        <v>1</v>
      </c>
      <c r="E46" s="92">
        <f>$D46*FIRR!E48</f>
        <v>0</v>
      </c>
      <c r="F46" s="92">
        <f>$D46*FIRR!F48</f>
        <v>0</v>
      </c>
      <c r="G46" s="92">
        <f>$D46*FIRR!G48</f>
        <v>0</v>
      </c>
      <c r="H46" s="92">
        <f>$D46*FIRR!H48</f>
        <v>0</v>
      </c>
      <c r="I46" s="92">
        <f>$D46*FIRR!I48</f>
        <v>3051.6200543104856</v>
      </c>
      <c r="J46" s="92">
        <f>$D46*FIRR!J48</f>
        <v>3187.9842709677964</v>
      </c>
      <c r="K46" s="92">
        <f>$D46*FIRR!K48</f>
        <v>3329.0644589080603</v>
      </c>
      <c r="L46" s="92">
        <f>$D46*FIRR!L48</f>
        <v>3475.099627552516</v>
      </c>
      <c r="M46" s="92">
        <f>$D46*FIRR!M48</f>
        <v>3626.3410764946966</v>
      </c>
      <c r="N46" s="92">
        <f>$D46*FIRR!N48</f>
        <v>3772.0987373369517</v>
      </c>
      <c r="O46" s="92">
        <f>$D46*FIRR!O48</f>
        <v>3922.541634198658</v>
      </c>
      <c r="P46" s="92">
        <f>$D46*FIRR!P48</f>
        <v>4077.8843336694963</v>
      </c>
      <c r="Q46" s="92">
        <f>$D46*FIRR!Q48</f>
        <v>4238.351375399702</v>
      </c>
      <c r="R46" s="92">
        <f>$D46*FIRR!R48</f>
        <v>4404.177739082498</v>
      </c>
      <c r="S46" s="92">
        <f>$D46*FIRR!S48</f>
        <v>4562.401570779841</v>
      </c>
      <c r="T46" s="92">
        <f>$D46*FIRR!T48</f>
        <v>4725.324191305468</v>
      </c>
      <c r="U46" s="92">
        <f>$D46*FIRR!U48</f>
        <v>4893.137515447489</v>
      </c>
      <c r="V46" s="92">
        <f>$D46*FIRR!V48</f>
        <v>5066.041414713717</v>
      </c>
      <c r="W46" s="92">
        <f>$D46*FIRR!W48</f>
        <v>5244.244050133781</v>
      </c>
      <c r="X46" s="92">
        <f>$D46*FIRR!X48</f>
        <v>5428.25286035299</v>
      </c>
      <c r="Y46" s="92">
        <f>$D46*FIRR!Y48</f>
        <v>5577.213525893128</v>
      </c>
      <c r="Z46" s="92">
        <f>$D46*FIRR!Z48</f>
        <v>5732.168240496815</v>
      </c>
      <c r="AA46" s="92">
        <f>$D46*FIRR!AA48</f>
        <v>5771.359660792647</v>
      </c>
      <c r="AB46" s="93">
        <f>$D46*FIRR!AB48</f>
        <v>5771.3596607926465</v>
      </c>
      <c r="AC46" s="92">
        <f>$D46*FIRR!AC48</f>
        <v>5771.3596607926465</v>
      </c>
      <c r="AD46" s="92">
        <f>$D46*FIRR!AD48</f>
        <v>5771.3596607926465</v>
      </c>
      <c r="AE46" s="92">
        <f>$D46*FIRR!AE48</f>
        <v>5771.359660792647</v>
      </c>
      <c r="AF46" s="92">
        <f>$D46*FIRR!AF48</f>
        <v>5771.3596607926465</v>
      </c>
      <c r="AG46" s="92">
        <f>$D46*FIRR!AG48</f>
        <v>5771.359660792647</v>
      </c>
      <c r="AH46" s="93">
        <f>$D46*FIRR!AH48</f>
        <v>5771.3596607926465</v>
      </c>
    </row>
    <row r="47" spans="1:34" ht="14.25">
      <c r="A47" s="48"/>
      <c r="B47" s="16" t="str">
        <f>FIRR!B49</f>
        <v>General O&amp;M</v>
      </c>
      <c r="C47" s="29" t="s">
        <v>80</v>
      </c>
      <c r="D47" s="61">
        <f t="shared" si="5"/>
        <v>1</v>
      </c>
      <c r="E47" s="92">
        <f>$D47*FIRR!E49</f>
        <v>0</v>
      </c>
      <c r="F47" s="92">
        <f>$D47*FIRR!F49</f>
        <v>0</v>
      </c>
      <c r="G47" s="92">
        <f>$D47*FIRR!G49</f>
        <v>0</v>
      </c>
      <c r="H47" s="92">
        <f>$D47*FIRR!H49</f>
        <v>0</v>
      </c>
      <c r="I47" s="92">
        <f>$D47*FIRR!I49</f>
        <v>3790.6821481299417</v>
      </c>
      <c r="J47" s="92">
        <f>$D47*FIRR!J49</f>
        <v>3790.682148129942</v>
      </c>
      <c r="K47" s="92">
        <f>$D47*FIRR!K49</f>
        <v>3790.682148129941</v>
      </c>
      <c r="L47" s="92">
        <f>$D47*FIRR!L49</f>
        <v>3790.682148129942</v>
      </c>
      <c r="M47" s="92">
        <f>$D47*FIRR!M49</f>
        <v>3790.682148129941</v>
      </c>
      <c r="N47" s="92">
        <f>$D47*FIRR!N49</f>
        <v>3790.682148129941</v>
      </c>
      <c r="O47" s="92">
        <f>$D47*FIRR!O49</f>
        <v>3895.6821481299417</v>
      </c>
      <c r="P47" s="92">
        <f>$D47*FIRR!P49</f>
        <v>3895.682148129941</v>
      </c>
      <c r="Q47" s="92">
        <f>$D47*FIRR!Q49</f>
        <v>3895.682148129942</v>
      </c>
      <c r="R47" s="92">
        <f>$D47*FIRR!R49</f>
        <v>3895.682148129941</v>
      </c>
      <c r="S47" s="92">
        <f>$D47*FIRR!S49</f>
        <v>3895.6821481299417</v>
      </c>
      <c r="T47" s="92">
        <f>$D47*FIRR!T49</f>
        <v>3895.6821481299417</v>
      </c>
      <c r="U47" s="92">
        <f>$D47*FIRR!U49</f>
        <v>4000.682148129942</v>
      </c>
      <c r="V47" s="92">
        <f>$D47*FIRR!V49</f>
        <v>4000.682148129941</v>
      </c>
      <c r="W47" s="92">
        <f>$D47*FIRR!W49</f>
        <v>4000.682148129941</v>
      </c>
      <c r="X47" s="92">
        <f>$D47*FIRR!X49</f>
        <v>4000.6821481299417</v>
      </c>
      <c r="Y47" s="92">
        <f>$D47*FIRR!Y49</f>
        <v>4000.682148129942</v>
      </c>
      <c r="Z47" s="92">
        <f>$D47*FIRR!Z49</f>
        <v>4000.682148129941</v>
      </c>
      <c r="AA47" s="92">
        <f>$D47*FIRR!AA49</f>
        <v>4000.682148129942</v>
      </c>
      <c r="AB47" s="93">
        <f>$D47*FIRR!AB49</f>
        <v>4000.682148129942</v>
      </c>
      <c r="AC47" s="92">
        <f>$D47*FIRR!AC49</f>
        <v>4000.682148129942</v>
      </c>
      <c r="AD47" s="92">
        <f>$D47*FIRR!AD49</f>
        <v>4000.6821481299417</v>
      </c>
      <c r="AE47" s="92">
        <f>$D47*FIRR!AE49</f>
        <v>4000.682148129941</v>
      </c>
      <c r="AF47" s="92">
        <f>$D47*FIRR!AF49</f>
        <v>4000.6821481299417</v>
      </c>
      <c r="AG47" s="92">
        <f>$D47*FIRR!AG49</f>
        <v>4000.682148129942</v>
      </c>
      <c r="AH47" s="93">
        <f>$D47*FIRR!AH49</f>
        <v>4000.682148129941</v>
      </c>
    </row>
    <row r="48" spans="1:34" ht="14.25">
      <c r="A48" s="48"/>
      <c r="B48" s="16" t="str">
        <f>FIRR!B50</f>
        <v>Sludge Disposal</v>
      </c>
      <c r="C48" s="29" t="s">
        <v>80</v>
      </c>
      <c r="D48" s="61">
        <f t="shared" si="5"/>
        <v>1</v>
      </c>
      <c r="E48" s="92">
        <f>$D48*FIRR!E50</f>
        <v>0</v>
      </c>
      <c r="F48" s="92">
        <f>$D48*FIRR!F50</f>
        <v>0</v>
      </c>
      <c r="G48" s="92">
        <f>$D48*FIRR!G50</f>
        <v>0</v>
      </c>
      <c r="H48" s="92">
        <f>$D48*FIRR!H50</f>
        <v>0</v>
      </c>
      <c r="I48" s="92">
        <f>$D48*FIRR!I50</f>
        <v>0</v>
      </c>
      <c r="J48" s="92">
        <f>$D48*FIRR!J50</f>
        <v>0</v>
      </c>
      <c r="K48" s="92">
        <f>$D48*FIRR!K50</f>
        <v>0</v>
      </c>
      <c r="L48" s="92">
        <f>$D48*FIRR!L50</f>
        <v>0</v>
      </c>
      <c r="M48" s="92">
        <f>$D48*FIRR!M50</f>
        <v>0</v>
      </c>
      <c r="N48" s="92">
        <f>$D48*FIRR!N50</f>
        <v>0</v>
      </c>
      <c r="O48" s="92">
        <f>$D48*FIRR!O50</f>
        <v>0</v>
      </c>
      <c r="P48" s="92">
        <f>$D48*FIRR!P50</f>
        <v>0</v>
      </c>
      <c r="Q48" s="92">
        <f>$D48*FIRR!Q50</f>
        <v>0</v>
      </c>
      <c r="R48" s="92">
        <f>$D48*FIRR!R50</f>
        <v>0</v>
      </c>
      <c r="S48" s="92">
        <f>$D48*FIRR!S50</f>
        <v>0</v>
      </c>
      <c r="T48" s="92">
        <f>$D48*FIRR!T50</f>
        <v>0</v>
      </c>
      <c r="U48" s="92">
        <f>$D48*FIRR!U50</f>
        <v>0</v>
      </c>
      <c r="V48" s="92">
        <f>$D48*FIRR!V50</f>
        <v>0</v>
      </c>
      <c r="W48" s="92">
        <f>$D48*FIRR!W50</f>
        <v>0</v>
      </c>
      <c r="X48" s="92">
        <f>$D48*FIRR!X50</f>
        <v>0</v>
      </c>
      <c r="Y48" s="92">
        <f>$D48*FIRR!Y50</f>
        <v>0</v>
      </c>
      <c r="Z48" s="92">
        <f>$D48*FIRR!Z50</f>
        <v>0</v>
      </c>
      <c r="AA48" s="92">
        <f>$D48*FIRR!AA50</f>
        <v>0</v>
      </c>
      <c r="AB48" s="93">
        <f>$D48*FIRR!AB50</f>
        <v>0</v>
      </c>
      <c r="AC48" s="92">
        <f>$D48*FIRR!AC50</f>
        <v>0</v>
      </c>
      <c r="AD48" s="92">
        <f>$D48*FIRR!AD50</f>
        <v>0</v>
      </c>
      <c r="AE48" s="92">
        <f>$D48*FIRR!AE50</f>
        <v>0</v>
      </c>
      <c r="AF48" s="92">
        <f>$D48*FIRR!AF50</f>
        <v>0</v>
      </c>
      <c r="AG48" s="92">
        <f>$D48*FIRR!AG50</f>
        <v>0</v>
      </c>
      <c r="AH48" s="93">
        <f>$D48*FIRR!AH50</f>
        <v>0</v>
      </c>
    </row>
    <row r="49" spans="1:34" ht="14.25">
      <c r="A49" s="48"/>
      <c r="B49" s="16" t="str">
        <f>FIRR!B51</f>
        <v>Administration</v>
      </c>
      <c r="C49" s="29" t="s">
        <v>80</v>
      </c>
      <c r="D49" s="61">
        <f t="shared" si="5"/>
        <v>1</v>
      </c>
      <c r="E49" s="92">
        <f>$D49*FIRR!E51</f>
        <v>0</v>
      </c>
      <c r="F49" s="92">
        <f>$D49*FIRR!F51</f>
        <v>0</v>
      </c>
      <c r="G49" s="92">
        <f>$D49*FIRR!G51</f>
        <v>0</v>
      </c>
      <c r="H49" s="92">
        <f>$D49*FIRR!H51</f>
        <v>0</v>
      </c>
      <c r="I49" s="92">
        <f>$D49*FIRR!I51</f>
        <v>0</v>
      </c>
      <c r="J49" s="92">
        <f>$D49*FIRR!J51</f>
        <v>0</v>
      </c>
      <c r="K49" s="92">
        <f>$D49*FIRR!K51</f>
        <v>0</v>
      </c>
      <c r="L49" s="92">
        <f>$D49*FIRR!L51</f>
        <v>0</v>
      </c>
      <c r="M49" s="92">
        <f>$D49*FIRR!M51</f>
        <v>0</v>
      </c>
      <c r="N49" s="92">
        <f>$D49*FIRR!N51</f>
        <v>0</v>
      </c>
      <c r="O49" s="92">
        <f>$D49*FIRR!O51</f>
        <v>0</v>
      </c>
      <c r="P49" s="92">
        <f>$D49*FIRR!P51</f>
        <v>0</v>
      </c>
      <c r="Q49" s="92">
        <f>$D49*FIRR!Q51</f>
        <v>0</v>
      </c>
      <c r="R49" s="92">
        <f>$D49*FIRR!R51</f>
        <v>0</v>
      </c>
      <c r="S49" s="92">
        <f>$D49*FIRR!S51</f>
        <v>0</v>
      </c>
      <c r="T49" s="92">
        <f>$D49*FIRR!T51</f>
        <v>0</v>
      </c>
      <c r="U49" s="92">
        <f>$D49*FIRR!U51</f>
        <v>0</v>
      </c>
      <c r="V49" s="92">
        <f>$D49*FIRR!V51</f>
        <v>0</v>
      </c>
      <c r="W49" s="92">
        <f>$D49*FIRR!W51</f>
        <v>0</v>
      </c>
      <c r="X49" s="92">
        <f>$D49*FIRR!X51</f>
        <v>0</v>
      </c>
      <c r="Y49" s="92">
        <f>$D49*FIRR!Y51</f>
        <v>0</v>
      </c>
      <c r="Z49" s="92">
        <f>$D49*FIRR!Z51</f>
        <v>0</v>
      </c>
      <c r="AA49" s="92">
        <f>$D49*FIRR!AA51</f>
        <v>0</v>
      </c>
      <c r="AB49" s="93">
        <f>$D49*FIRR!AB51</f>
        <v>0</v>
      </c>
      <c r="AC49" s="92">
        <f>$D49*FIRR!AC51</f>
        <v>0</v>
      </c>
      <c r="AD49" s="92">
        <f>$D49*FIRR!AD51</f>
        <v>0</v>
      </c>
      <c r="AE49" s="92">
        <f>$D49*FIRR!AE51</f>
        <v>0</v>
      </c>
      <c r="AF49" s="92">
        <f>$D49*FIRR!AF51</f>
        <v>0</v>
      </c>
      <c r="AG49" s="92">
        <f>$D49*FIRR!AG51</f>
        <v>0</v>
      </c>
      <c r="AH49" s="93">
        <f>$D49*FIRR!AH51</f>
        <v>0</v>
      </c>
    </row>
    <row r="50" spans="1:34" ht="14.25">
      <c r="A50" s="48"/>
      <c r="B50" s="16" t="str">
        <f>FIRR!B52</f>
        <v>Others</v>
      </c>
      <c r="C50" s="29" t="s">
        <v>80</v>
      </c>
      <c r="D50" s="61">
        <f t="shared" si="5"/>
        <v>1</v>
      </c>
      <c r="E50" s="92">
        <f>$D50*FIRR!E52</f>
        <v>0</v>
      </c>
      <c r="F50" s="92">
        <f>$D50*FIRR!F52</f>
        <v>0</v>
      </c>
      <c r="G50" s="92">
        <f>$D50*FIRR!G52</f>
        <v>0</v>
      </c>
      <c r="H50" s="92">
        <f>$D50*FIRR!H52</f>
        <v>0</v>
      </c>
      <c r="I50" s="92">
        <f>$D50*FIRR!I52</f>
        <v>0</v>
      </c>
      <c r="J50" s="92">
        <f>$D50*FIRR!J52</f>
        <v>0</v>
      </c>
      <c r="K50" s="92">
        <f>$D50*FIRR!K52</f>
        <v>0</v>
      </c>
      <c r="L50" s="92">
        <f>$D50*FIRR!L52</f>
        <v>0</v>
      </c>
      <c r="M50" s="92">
        <f>$D50*FIRR!M52</f>
        <v>0</v>
      </c>
      <c r="N50" s="92">
        <f>$D50*FIRR!N52</f>
        <v>0</v>
      </c>
      <c r="O50" s="92">
        <f>$D50*FIRR!O52</f>
        <v>0</v>
      </c>
      <c r="P50" s="92">
        <f>$D50*FIRR!P52</f>
        <v>0</v>
      </c>
      <c r="Q50" s="92">
        <f>$D50*FIRR!Q52</f>
        <v>0</v>
      </c>
      <c r="R50" s="92">
        <f>$D50*FIRR!R52</f>
        <v>0</v>
      </c>
      <c r="S50" s="92">
        <f>$D50*FIRR!S52</f>
        <v>0</v>
      </c>
      <c r="T50" s="92">
        <f>$D50*FIRR!T52</f>
        <v>0</v>
      </c>
      <c r="U50" s="92">
        <f>$D50*FIRR!U52</f>
        <v>0</v>
      </c>
      <c r="V50" s="92">
        <f>$D50*FIRR!V52</f>
        <v>0</v>
      </c>
      <c r="W50" s="92">
        <f>$D50*FIRR!W52</f>
        <v>0</v>
      </c>
      <c r="X50" s="92">
        <f>$D50*FIRR!X52</f>
        <v>0</v>
      </c>
      <c r="Y50" s="92">
        <f>$D50*FIRR!Y52</f>
        <v>0</v>
      </c>
      <c r="Z50" s="92">
        <f>$D50*FIRR!Z52</f>
        <v>0</v>
      </c>
      <c r="AA50" s="92">
        <f>$D50*FIRR!AA52</f>
        <v>0</v>
      </c>
      <c r="AB50" s="93">
        <f>$D50*FIRR!AB52</f>
        <v>0</v>
      </c>
      <c r="AC50" s="92">
        <f>$D50*FIRR!AC52</f>
        <v>0</v>
      </c>
      <c r="AD50" s="92">
        <f>$D50*FIRR!AD52</f>
        <v>0</v>
      </c>
      <c r="AE50" s="92">
        <f>$D50*FIRR!AE52</f>
        <v>0</v>
      </c>
      <c r="AF50" s="92">
        <f>$D50*FIRR!AF52</f>
        <v>0</v>
      </c>
      <c r="AG50" s="92">
        <f>$D50*FIRR!AG52</f>
        <v>0</v>
      </c>
      <c r="AH50" s="93">
        <f>$D50*FIRR!AH52</f>
        <v>0</v>
      </c>
    </row>
    <row r="51" spans="1:34" ht="14.25">
      <c r="A51" s="48"/>
      <c r="B51" s="16" t="str">
        <f>FIRR!B53</f>
        <v>Others</v>
      </c>
      <c r="C51" s="29" t="s">
        <v>80</v>
      </c>
      <c r="D51" s="61">
        <f t="shared" si="5"/>
        <v>1</v>
      </c>
      <c r="E51" s="92">
        <f>$D51*FIRR!E53</f>
        <v>0</v>
      </c>
      <c r="F51" s="92">
        <f>$D51*FIRR!F53</f>
        <v>0</v>
      </c>
      <c r="G51" s="92">
        <f>$D51*FIRR!G53</f>
        <v>0</v>
      </c>
      <c r="H51" s="92">
        <f>$D51*FIRR!H53</f>
        <v>0</v>
      </c>
      <c r="I51" s="92">
        <f>$D51*FIRR!I53</f>
        <v>0</v>
      </c>
      <c r="J51" s="92">
        <f>$D51*FIRR!J53</f>
        <v>0</v>
      </c>
      <c r="K51" s="92">
        <f>$D51*FIRR!K53</f>
        <v>0</v>
      </c>
      <c r="L51" s="92">
        <f>$D51*FIRR!L53</f>
        <v>0</v>
      </c>
      <c r="M51" s="92">
        <f>$D51*FIRR!M53</f>
        <v>0</v>
      </c>
      <c r="N51" s="92">
        <f>$D51*FIRR!N53</f>
        <v>0</v>
      </c>
      <c r="O51" s="92">
        <f>$D51*FIRR!O53</f>
        <v>0</v>
      </c>
      <c r="P51" s="92">
        <f>$D51*FIRR!P53</f>
        <v>0</v>
      </c>
      <c r="Q51" s="92">
        <f>$D51*FIRR!Q53</f>
        <v>0</v>
      </c>
      <c r="R51" s="92">
        <f>$D51*FIRR!R53</f>
        <v>0</v>
      </c>
      <c r="S51" s="92">
        <f>$D51*FIRR!S53</f>
        <v>0</v>
      </c>
      <c r="T51" s="92">
        <f>$D51*FIRR!T53</f>
        <v>0</v>
      </c>
      <c r="U51" s="92">
        <f>$D51*FIRR!U53</f>
        <v>0</v>
      </c>
      <c r="V51" s="92">
        <f>$D51*FIRR!V53</f>
        <v>0</v>
      </c>
      <c r="W51" s="92">
        <f>$D51*FIRR!W53</f>
        <v>0</v>
      </c>
      <c r="X51" s="92">
        <f>$D51*FIRR!X53</f>
        <v>0</v>
      </c>
      <c r="Y51" s="92">
        <f>$D51*FIRR!Y53</f>
        <v>0</v>
      </c>
      <c r="Z51" s="92">
        <f>$D51*FIRR!Z53</f>
        <v>0</v>
      </c>
      <c r="AA51" s="92">
        <f>$D51*FIRR!AA53</f>
        <v>0</v>
      </c>
      <c r="AB51" s="93">
        <f>$D51*FIRR!AB53</f>
        <v>0</v>
      </c>
      <c r="AC51" s="92">
        <f>$D51*FIRR!AC53</f>
        <v>0</v>
      </c>
      <c r="AD51" s="92">
        <f>$D51*FIRR!AD53</f>
        <v>0</v>
      </c>
      <c r="AE51" s="92">
        <f>$D51*FIRR!AE53</f>
        <v>0</v>
      </c>
      <c r="AF51" s="92">
        <f>$D51*FIRR!AF53</f>
        <v>0</v>
      </c>
      <c r="AG51" s="92">
        <f>$D51*FIRR!AG53</f>
        <v>0</v>
      </c>
      <c r="AH51" s="93">
        <f>$D51*FIRR!AH53</f>
        <v>0</v>
      </c>
    </row>
    <row r="52" spans="1:34" ht="14.25">
      <c r="A52" s="48"/>
      <c r="B52" s="16" t="str">
        <f>FIRR!B54</f>
        <v>Others</v>
      </c>
      <c r="C52" s="29" t="s">
        <v>80</v>
      </c>
      <c r="D52" s="61">
        <f t="shared" si="5"/>
        <v>1</v>
      </c>
      <c r="E52" s="92">
        <f>$D52*FIRR!E54</f>
        <v>0</v>
      </c>
      <c r="F52" s="92">
        <f>$D52*FIRR!F54</f>
        <v>0</v>
      </c>
      <c r="G52" s="92">
        <f>$D52*FIRR!G54</f>
        <v>0</v>
      </c>
      <c r="H52" s="92">
        <f>$D52*FIRR!H54</f>
        <v>0</v>
      </c>
      <c r="I52" s="92">
        <f>$D52*FIRR!I54</f>
        <v>0</v>
      </c>
      <c r="J52" s="92">
        <f>$D52*FIRR!J54</f>
        <v>0</v>
      </c>
      <c r="K52" s="92">
        <f>$D52*FIRR!K54</f>
        <v>0</v>
      </c>
      <c r="L52" s="92">
        <f>$D52*FIRR!L54</f>
        <v>0</v>
      </c>
      <c r="M52" s="92">
        <f>$D52*FIRR!M54</f>
        <v>0</v>
      </c>
      <c r="N52" s="92">
        <f>$D52*FIRR!N54</f>
        <v>0</v>
      </c>
      <c r="O52" s="92">
        <f>$D52*FIRR!O54</f>
        <v>0</v>
      </c>
      <c r="P52" s="92">
        <f>$D52*FIRR!P54</f>
        <v>0</v>
      </c>
      <c r="Q52" s="92">
        <f>$D52*FIRR!Q54</f>
        <v>0</v>
      </c>
      <c r="R52" s="92">
        <f>$D52*FIRR!R54</f>
        <v>0</v>
      </c>
      <c r="S52" s="92">
        <f>$D52*FIRR!S54</f>
        <v>0</v>
      </c>
      <c r="T52" s="92">
        <f>$D52*FIRR!T54</f>
        <v>0</v>
      </c>
      <c r="U52" s="92">
        <f>$D52*FIRR!U54</f>
        <v>0</v>
      </c>
      <c r="V52" s="92">
        <f>$D52*FIRR!V54</f>
        <v>0</v>
      </c>
      <c r="W52" s="92">
        <f>$D52*FIRR!W54</f>
        <v>0</v>
      </c>
      <c r="X52" s="92">
        <f>$D52*FIRR!X54</f>
        <v>0</v>
      </c>
      <c r="Y52" s="92">
        <f>$D52*FIRR!Y54</f>
        <v>0</v>
      </c>
      <c r="Z52" s="92">
        <f>$D52*FIRR!Z54</f>
        <v>0</v>
      </c>
      <c r="AA52" s="92">
        <f>$D52*FIRR!AA54</f>
        <v>0</v>
      </c>
      <c r="AB52" s="93">
        <f>$D52*FIRR!AB54</f>
        <v>0</v>
      </c>
      <c r="AC52" s="92">
        <f>$D52*FIRR!AC54</f>
        <v>0</v>
      </c>
      <c r="AD52" s="92">
        <f>$D52*FIRR!AD54</f>
        <v>0</v>
      </c>
      <c r="AE52" s="92">
        <f>$D52*FIRR!AE54</f>
        <v>0</v>
      </c>
      <c r="AF52" s="92">
        <f>$D52*FIRR!AF54</f>
        <v>0</v>
      </c>
      <c r="AG52" s="92">
        <f>$D52*FIRR!AG54</f>
        <v>0</v>
      </c>
      <c r="AH52" s="93">
        <f>$D52*FIRR!AH54</f>
        <v>0</v>
      </c>
    </row>
    <row r="53" spans="1:34" ht="14.25">
      <c r="A53" s="48"/>
      <c r="B53" s="16"/>
      <c r="C53" s="29"/>
      <c r="D53" s="61"/>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row>
    <row r="54" spans="1:34" ht="14.25">
      <c r="A54" s="15" t="s">
        <v>129</v>
      </c>
      <c r="B54" s="16" t="s">
        <v>130</v>
      </c>
      <c r="C54" s="29" t="s">
        <v>80</v>
      </c>
      <c r="D54" s="61"/>
      <c r="E54" s="92">
        <f>-'Add Costs and Benefits'!E18</f>
        <v>29175.24834235015</v>
      </c>
      <c r="F54" s="92">
        <f>-'Add Costs and Benefits'!F18</f>
        <v>25431.236320855947</v>
      </c>
      <c r="G54" s="92">
        <f>-'Add Costs and Benefits'!G18</f>
        <v>32449.466563633403</v>
      </c>
      <c r="H54" s="92">
        <f>-'Add Costs and Benefits'!H18</f>
        <v>22457.532819647815</v>
      </c>
      <c r="I54" s="92">
        <f>-'Add Costs and Benefits'!I18</f>
        <v>14296.775500808115</v>
      </c>
      <c r="J54" s="92">
        <f>-'Add Costs and Benefits'!J18</f>
        <v>7892.48573414145</v>
      </c>
      <c r="K54" s="92">
        <f>-'Add Costs and Benefits'!K18</f>
        <v>11654.235967474784</v>
      </c>
      <c r="L54" s="92">
        <f>-'Add Costs and Benefits'!L18</f>
        <v>10641.722467474781</v>
      </c>
      <c r="M54" s="92">
        <f>-'Add Costs and Benefits'!M18</f>
        <v>4371.879634141451</v>
      </c>
      <c r="N54" s="92">
        <f>-'Add Costs and Benefits'!N18</f>
        <v>3855.2776008081164</v>
      </c>
      <c r="O54" s="92">
        <f>-'Add Costs and Benefits'!O18</f>
        <v>3589.304400808116</v>
      </c>
      <c r="P54" s="92">
        <f>-'Add Costs and Benefits'!P18</f>
        <v>-5077.857065858552</v>
      </c>
      <c r="Q54" s="92">
        <f>-'Add Costs and Benefits'!Q18</f>
        <v>-7233.835332525216</v>
      </c>
      <c r="R54" s="92">
        <f>-'Add Costs and Benefits'!R18</f>
        <v>-9056.999332525218</v>
      </c>
      <c r="S54" s="92">
        <f>-'Add Costs and Benefits'!S18</f>
        <v>-9865.532932525215</v>
      </c>
      <c r="T54" s="92">
        <f>-'Add Costs and Benefits'!T18</f>
        <v>-10711.614532525218</v>
      </c>
      <c r="U54" s="92">
        <f>-'Add Costs and Benefits'!U18</f>
        <v>-11595.244132525218</v>
      </c>
      <c r="V54" s="92">
        <f>-'Add Costs and Benefits'!V18</f>
        <v>-12518.090532525215</v>
      </c>
      <c r="W54" s="92">
        <f>-'Add Costs and Benefits'!W18</f>
        <v>-13483.491332525216</v>
      </c>
      <c r="X54" s="92">
        <f>-'Add Costs and Benefits'!X18</f>
        <v>-14491.446532525215</v>
      </c>
      <c r="Y54" s="92">
        <f>-'Add Costs and Benefits'!Y18</f>
        <v>-15545.293732525217</v>
      </c>
      <c r="Z54" s="92">
        <f>-'Add Costs and Benefits'!Z18</f>
        <v>-22747.58</v>
      </c>
      <c r="AA54" s="92">
        <f>-'Add Costs and Benefits'!AA18</f>
        <v>-22747.58</v>
      </c>
      <c r="AB54" s="93">
        <f>-'Add Costs and Benefits'!AB18</f>
        <v>-22747.58</v>
      </c>
      <c r="AC54" s="92">
        <f>-'Add Costs and Benefits'!AC18</f>
        <v>-22747.58</v>
      </c>
      <c r="AD54" s="92">
        <f>-'Add Costs and Benefits'!AD18</f>
        <v>-22747.58</v>
      </c>
      <c r="AE54" s="92">
        <f>-'Add Costs and Benefits'!AE18</f>
        <v>-22747.58</v>
      </c>
      <c r="AF54" s="92">
        <f>-'Add Costs and Benefits'!AF18</f>
        <v>-22747.58</v>
      </c>
      <c r="AG54" s="92">
        <f>-'Add Costs and Benefits'!AG18</f>
        <v>-22747.58</v>
      </c>
      <c r="AH54" s="93">
        <f>-'Add Costs and Benefits'!AH18</f>
        <v>-22747.58</v>
      </c>
    </row>
    <row r="55" spans="1:34" ht="14.25">
      <c r="A55" s="48"/>
      <c r="B55" s="16" t="s">
        <v>132</v>
      </c>
      <c r="C55" s="29" t="s">
        <v>80</v>
      </c>
      <c r="D55" s="61"/>
      <c r="E55" s="92">
        <f>'Add Costs and Benefits'!E23</f>
        <v>0</v>
      </c>
      <c r="F55" s="92">
        <f>'Add Costs and Benefits'!F23</f>
        <v>0</v>
      </c>
      <c r="G55" s="92">
        <f>'Add Costs and Benefits'!G23</f>
        <v>0</v>
      </c>
      <c r="H55" s="92">
        <f>'Add Costs and Benefits'!H23</f>
        <v>4</v>
      </c>
      <c r="I55" s="92">
        <f>'Add Costs and Benefits'!I23</f>
        <v>4</v>
      </c>
      <c r="J55" s="92">
        <f>'Add Costs and Benefits'!J23</f>
        <v>4</v>
      </c>
      <c r="K55" s="92">
        <f>'Add Costs and Benefits'!K23</f>
        <v>71.30174452362067</v>
      </c>
      <c r="L55" s="92">
        <f>'Add Costs and Benefits'!L23</f>
        <v>76.29714511307834</v>
      </c>
      <c r="M55" s="92">
        <f>'Add Costs and Benefits'!M23</f>
        <v>81.48390134822698</v>
      </c>
      <c r="N55" s="92">
        <f>'Add Costs and Benefits'!N23</f>
        <v>86.89174874223608</v>
      </c>
      <c r="O55" s="92">
        <f>'Add Costs and Benefits'!O23</f>
        <v>92.13867921809842</v>
      </c>
      <c r="P55" s="92">
        <f>'Add Costs and Benefits'!P23</f>
        <v>97.61722661106977</v>
      </c>
      <c r="Q55" s="92">
        <f>'Add Costs and Benefits'!Q23</f>
        <v>103.35213526408181</v>
      </c>
      <c r="R55" s="92">
        <f>'Add Costs and Benefits'!R23</f>
        <v>109.36980705714942</v>
      </c>
      <c r="S55" s="92">
        <f>'Add Costs and Benefits'!S23</f>
        <v>115.69874235930907</v>
      </c>
      <c r="T55" s="92">
        <f>'Add Costs and Benefits'!T23</f>
        <v>121.81106540836885</v>
      </c>
      <c r="U55" s="92">
        <f>'Add Costs and Benefits'!U23</f>
        <v>128.22929106496522</v>
      </c>
      <c r="V55" s="92">
        <f>'Add Costs and Benefits'!V23</f>
        <v>134.9807928352636</v>
      </c>
      <c r="W55" s="92">
        <f>'Add Costs and Benefits'!W23</f>
        <v>142.09545699301077</v>
      </c>
      <c r="X55" s="92">
        <f>'Add Costs and Benefits'!X23</f>
        <v>149.60598924109595</v>
      </c>
      <c r="Y55" s="92">
        <f>'Add Costs and Benefits'!Y23</f>
        <v>157.5477139288027</v>
      </c>
      <c r="Z55" s="92">
        <f>'Add Costs and Benefits'!Z23</f>
        <v>163.8864202926141</v>
      </c>
      <c r="AA55" s="92">
        <f>'Add Costs and Benefits'!AA23</f>
        <v>164.22313844364282</v>
      </c>
      <c r="AB55" s="93">
        <f>'Add Costs and Benefits'!AB23</f>
        <v>163.78284597348548</v>
      </c>
      <c r="AC55" s="92">
        <f>'Add Costs and Benefits'!AC23</f>
        <v>163.33364118697241</v>
      </c>
      <c r="AD55" s="92">
        <f>'Add Costs and Benefits'!AD23</f>
        <v>162.85923724560604</v>
      </c>
      <c r="AE55" s="92">
        <f>'Add Costs and Benefits'!AE23</f>
        <v>162.3746659024871</v>
      </c>
      <c r="AF55" s="92">
        <f>'Add Costs and Benefits'!AF23</f>
        <v>161.8797363888241</v>
      </c>
      <c r="AG55" s="92">
        <f>'Add Costs and Benefits'!AG23</f>
        <v>161.37425452839292</v>
      </c>
      <c r="AH55" s="93">
        <f>'Add Costs and Benefits'!AH23</f>
        <v>160.85802268290416</v>
      </c>
    </row>
    <row r="56" spans="1:34" ht="14.25">
      <c r="A56" s="48"/>
      <c r="B56" s="16" t="s">
        <v>132</v>
      </c>
      <c r="C56" s="29" t="s">
        <v>80</v>
      </c>
      <c r="D56" s="61"/>
      <c r="E56" s="92"/>
      <c r="F56" s="92"/>
      <c r="G56" s="92"/>
      <c r="H56" s="92"/>
      <c r="I56" s="92"/>
      <c r="J56" s="92"/>
      <c r="K56" s="92"/>
      <c r="L56" s="92"/>
      <c r="M56" s="92"/>
      <c r="N56" s="92"/>
      <c r="O56" s="92"/>
      <c r="P56" s="92"/>
      <c r="Q56" s="92"/>
      <c r="R56" s="92"/>
      <c r="S56" s="92"/>
      <c r="T56" s="92"/>
      <c r="U56" s="92"/>
      <c r="V56" s="92"/>
      <c r="W56" s="92"/>
      <c r="X56" s="92"/>
      <c r="Y56" s="92"/>
      <c r="Z56" s="92"/>
      <c r="AA56" s="92"/>
      <c r="AB56" s="93"/>
      <c r="AC56" s="92"/>
      <c r="AD56" s="92"/>
      <c r="AE56" s="92"/>
      <c r="AF56" s="92"/>
      <c r="AG56" s="92"/>
      <c r="AH56" s="93"/>
    </row>
    <row r="57" spans="1:34" ht="14.25">
      <c r="A57" s="48"/>
      <c r="B57" s="16" t="s">
        <v>132</v>
      </c>
      <c r="C57" s="29" t="s">
        <v>80</v>
      </c>
      <c r="D57" s="61"/>
      <c r="E57" s="92"/>
      <c r="F57" s="92"/>
      <c r="G57" s="92"/>
      <c r="H57" s="92"/>
      <c r="I57" s="92"/>
      <c r="J57" s="92"/>
      <c r="K57" s="92"/>
      <c r="L57" s="92"/>
      <c r="M57" s="92"/>
      <c r="N57" s="92"/>
      <c r="O57" s="92"/>
      <c r="P57" s="92"/>
      <c r="Q57" s="92"/>
      <c r="R57" s="92"/>
      <c r="S57" s="92"/>
      <c r="T57" s="92"/>
      <c r="U57" s="92"/>
      <c r="V57" s="92"/>
      <c r="W57" s="92"/>
      <c r="X57" s="92"/>
      <c r="Y57" s="92"/>
      <c r="Z57" s="92"/>
      <c r="AA57" s="92"/>
      <c r="AB57" s="93"/>
      <c r="AC57" s="92"/>
      <c r="AD57" s="92"/>
      <c r="AE57" s="92"/>
      <c r="AF57" s="92"/>
      <c r="AG57" s="92"/>
      <c r="AH57" s="93"/>
    </row>
    <row r="58" spans="1:34" ht="14.25">
      <c r="A58" s="48"/>
      <c r="B58" s="16" t="s">
        <v>132</v>
      </c>
      <c r="C58" s="29" t="s">
        <v>80</v>
      </c>
      <c r="D58" s="61"/>
      <c r="E58" s="92"/>
      <c r="F58" s="92"/>
      <c r="G58" s="92"/>
      <c r="H58" s="92"/>
      <c r="I58" s="92"/>
      <c r="J58" s="92"/>
      <c r="K58" s="92"/>
      <c r="L58" s="92"/>
      <c r="M58" s="92"/>
      <c r="N58" s="92"/>
      <c r="O58" s="92"/>
      <c r="P58" s="92"/>
      <c r="Q58" s="92"/>
      <c r="R58" s="92"/>
      <c r="S58" s="92"/>
      <c r="T58" s="92"/>
      <c r="U58" s="92"/>
      <c r="V58" s="92"/>
      <c r="W58" s="92"/>
      <c r="X58" s="92"/>
      <c r="Y58" s="92"/>
      <c r="Z58" s="92"/>
      <c r="AA58" s="92"/>
      <c r="AB58" s="93"/>
      <c r="AC58" s="92"/>
      <c r="AD58" s="92"/>
      <c r="AE58" s="92"/>
      <c r="AF58" s="92"/>
      <c r="AG58" s="92"/>
      <c r="AH58" s="93"/>
    </row>
    <row r="59" spans="1:34" ht="14.25">
      <c r="A59" s="48"/>
      <c r="B59" s="16"/>
      <c r="C59" s="29"/>
      <c r="D59" s="61"/>
      <c r="E59" s="92"/>
      <c r="F59" s="92"/>
      <c r="G59" s="92"/>
      <c r="H59" s="92"/>
      <c r="I59" s="92"/>
      <c r="J59" s="92"/>
      <c r="K59" s="92"/>
      <c r="L59" s="92"/>
      <c r="M59" s="92"/>
      <c r="N59" s="92"/>
      <c r="O59" s="92"/>
      <c r="P59" s="92"/>
      <c r="Q59" s="92"/>
      <c r="R59" s="92"/>
      <c r="S59" s="92"/>
      <c r="T59" s="92"/>
      <c r="U59" s="92"/>
      <c r="V59" s="92"/>
      <c r="W59" s="92"/>
      <c r="X59" s="92"/>
      <c r="Y59" s="92"/>
      <c r="Z59" s="92"/>
      <c r="AA59" s="92"/>
      <c r="AB59" s="93"/>
      <c r="AC59" s="92"/>
      <c r="AD59" s="92"/>
      <c r="AE59" s="92"/>
      <c r="AF59" s="92"/>
      <c r="AG59" s="92"/>
      <c r="AH59" s="93"/>
    </row>
    <row r="60" spans="1:35" ht="14.25">
      <c r="A60" s="48"/>
      <c r="B60" s="336" t="s">
        <v>28</v>
      </c>
      <c r="C60" s="337"/>
      <c r="D60" s="338">
        <f>'ERR &amp; Sensitivity Analysis'!H10</f>
        <v>1</v>
      </c>
      <c r="E60" s="92"/>
      <c r="F60" s="92"/>
      <c r="G60" s="92"/>
      <c r="H60" s="92"/>
      <c r="I60" s="92"/>
      <c r="J60" s="92"/>
      <c r="K60" s="92"/>
      <c r="L60" s="92"/>
      <c r="M60" s="92"/>
      <c r="N60" s="92"/>
      <c r="O60" s="92"/>
      <c r="P60" s="92"/>
      <c r="Q60" s="92"/>
      <c r="R60" s="92"/>
      <c r="S60" s="92"/>
      <c r="T60" s="92"/>
      <c r="U60" s="92"/>
      <c r="V60" s="92"/>
      <c r="W60" s="92"/>
      <c r="X60" s="92"/>
      <c r="Y60" s="92"/>
      <c r="Z60" s="92"/>
      <c r="AA60" s="92"/>
      <c r="AB60" s="93"/>
      <c r="AC60" s="150"/>
      <c r="AD60" s="92"/>
      <c r="AE60" s="92"/>
      <c r="AF60" s="92"/>
      <c r="AG60" s="92"/>
      <c r="AH60" s="93"/>
      <c r="AI60" s="94"/>
    </row>
    <row r="61" spans="1:34" ht="14.25">
      <c r="A61" s="48"/>
      <c r="B61" s="16" t="s">
        <v>61</v>
      </c>
      <c r="C61" s="339">
        <v>0.1</v>
      </c>
      <c r="D61" s="127">
        <f>NPV(C61,E61:AH61)</f>
        <v>834374.492634278</v>
      </c>
      <c r="E61" s="92">
        <f>SUM(E43:E52)*$D$60</f>
        <v>107455.896825</v>
      </c>
      <c r="F61" s="92">
        <f aca="true" t="shared" si="6" ref="F61:AH61">SUM(F43:F52)*$D$60</f>
        <v>173655.8842417888</v>
      </c>
      <c r="G61" s="92">
        <f t="shared" si="6"/>
        <v>262002.90966715518</v>
      </c>
      <c r="H61" s="92">
        <f t="shared" si="6"/>
        <v>361293.0977592017</v>
      </c>
      <c r="I61" s="92">
        <f t="shared" si="6"/>
        <v>9854.542116662655</v>
      </c>
      <c r="J61" s="92">
        <f t="shared" si="6"/>
        <v>26368.54419008662</v>
      </c>
      <c r="K61" s="92">
        <f t="shared" si="6"/>
        <v>8347.568007768987</v>
      </c>
      <c r="L61" s="92">
        <f t="shared" si="6"/>
        <v>8639.975653630361</v>
      </c>
      <c r="M61" s="92">
        <f t="shared" si="6"/>
        <v>8947.001062164045</v>
      </c>
      <c r="N61" s="92">
        <f t="shared" si="6"/>
        <v>9247.277606292773</v>
      </c>
      <c r="O61" s="92">
        <f t="shared" si="6"/>
        <v>35287.05477202932</v>
      </c>
      <c r="P61" s="92">
        <f t="shared" si="6"/>
        <v>9997.61713855492</v>
      </c>
      <c r="Q61" s="92">
        <f t="shared" si="6"/>
        <v>159136.22932869228</v>
      </c>
      <c r="R61" s="92">
        <f t="shared" si="6"/>
        <v>10711.924083673508</v>
      </c>
      <c r="S61" s="92">
        <f t="shared" si="6"/>
        <v>11069.241822798047</v>
      </c>
      <c r="T61" s="92">
        <f t="shared" si="6"/>
        <v>11444.963070407417</v>
      </c>
      <c r="U61" s="92">
        <f t="shared" si="6"/>
        <v>37565.66661590395</v>
      </c>
      <c r="V61" s="92">
        <f t="shared" si="6"/>
        <v>12363.086250164946</v>
      </c>
      <c r="W61" s="92">
        <f t="shared" si="6"/>
        <v>12804.127411872876</v>
      </c>
      <c r="X61" s="92">
        <f t="shared" si="6"/>
        <v>13271.797175648966</v>
      </c>
      <c r="Y61" s="92">
        <f t="shared" si="6"/>
        <v>13660.947634156215</v>
      </c>
      <c r="Z61" s="92">
        <f t="shared" si="6"/>
        <v>14075.067096821773</v>
      </c>
      <c r="AA61" s="92">
        <f t="shared" si="6"/>
        <v>163041.38388817938</v>
      </c>
      <c r="AB61" s="92">
        <f t="shared" si="6"/>
        <v>14256.829078255472</v>
      </c>
      <c r="AC61" s="92">
        <f t="shared" si="6"/>
        <v>14263.783538319349</v>
      </c>
      <c r="AD61" s="92">
        <f t="shared" si="6"/>
        <v>14271.224946930088</v>
      </c>
      <c r="AE61" s="92">
        <f t="shared" si="6"/>
        <v>14279.190606810678</v>
      </c>
      <c r="AF61" s="92">
        <f t="shared" si="6"/>
        <v>14287.720439374241</v>
      </c>
      <c r="AG61" s="92">
        <f t="shared" si="6"/>
        <v>14296.85715407151</v>
      </c>
      <c r="AH61" s="93">
        <f t="shared" si="6"/>
        <v>14296.840596292603</v>
      </c>
    </row>
    <row r="62" spans="1:34" ht="14.25">
      <c r="A62" s="48"/>
      <c r="B62" s="16"/>
      <c r="C62" s="29"/>
      <c r="D62" s="16"/>
      <c r="E62" s="92"/>
      <c r="F62" s="92"/>
      <c r="G62" s="92"/>
      <c r="H62" s="92"/>
      <c r="I62" s="92"/>
      <c r="J62" s="92"/>
      <c r="K62" s="92"/>
      <c r="L62" s="92"/>
      <c r="M62" s="92"/>
      <c r="N62" s="92"/>
      <c r="O62" s="92"/>
      <c r="P62" s="92"/>
      <c r="Q62" s="92"/>
      <c r="R62" s="92"/>
      <c r="S62" s="92"/>
      <c r="T62" s="92"/>
      <c r="U62" s="92"/>
      <c r="V62" s="92"/>
      <c r="W62" s="92"/>
      <c r="X62" s="92"/>
      <c r="Y62" s="92"/>
      <c r="Z62" s="92"/>
      <c r="AA62" s="92"/>
      <c r="AB62" s="93"/>
      <c r="AC62" s="92"/>
      <c r="AD62" s="92"/>
      <c r="AE62" s="92"/>
      <c r="AF62" s="92"/>
      <c r="AG62" s="92"/>
      <c r="AH62" s="93"/>
    </row>
    <row r="63" spans="1:34" ht="15" thickBot="1">
      <c r="A63" s="48"/>
      <c r="B63" s="16"/>
      <c r="C63" s="29"/>
      <c r="D63" s="16"/>
      <c r="E63" s="92">
        <f>E64/7</f>
        <v>-12830.842403571429</v>
      </c>
      <c r="F63" s="92">
        <f aca="true" t="shared" si="7" ref="F63:AH63">F64/7</f>
        <v>-10687.121924651146</v>
      </c>
      <c r="G63" s="92">
        <f t="shared" si="7"/>
        <v>-21287.69478761558</v>
      </c>
      <c r="H63" s="92">
        <f t="shared" si="7"/>
        <v>-32946.46891065519</v>
      </c>
      <c r="I63" s="92">
        <f t="shared" si="7"/>
        <v>17263.469807509733</v>
      </c>
      <c r="J63" s="92">
        <f t="shared" si="7"/>
        <v>17934.972808009603</v>
      </c>
      <c r="K63" s="92">
        <f t="shared" si="7"/>
        <v>24550.259515373666</v>
      </c>
      <c r="L63" s="92">
        <f t="shared" si="7"/>
        <v>26023.8100714594</v>
      </c>
      <c r="M63" s="92">
        <f t="shared" si="7"/>
        <v>27495.272375734807</v>
      </c>
      <c r="N63" s="92">
        <f t="shared" si="7"/>
        <v>28967.69880349664</v>
      </c>
      <c r="O63" s="92">
        <f t="shared" si="7"/>
        <v>26763.05371388592</v>
      </c>
      <c r="P63" s="92">
        <f t="shared" si="7"/>
        <v>31891.153595591055</v>
      </c>
      <c r="Q63" s="92">
        <f t="shared" si="7"/>
        <v>11595.852953043966</v>
      </c>
      <c r="R63" s="92">
        <f t="shared" si="7"/>
        <v>33809.54051551917</v>
      </c>
      <c r="S63" s="92">
        <f t="shared" si="7"/>
        <v>34263.60281652336</v>
      </c>
      <c r="T63" s="92">
        <f t="shared" si="7"/>
        <v>35725.25142950224</v>
      </c>
      <c r="U63" s="92">
        <f t="shared" si="7"/>
        <v>32498.830043881848</v>
      </c>
      <c r="V63" s="92">
        <f t="shared" si="7"/>
        <v>36604.306359866554</v>
      </c>
      <c r="W63" s="92">
        <f t="shared" si="7"/>
        <v>37046.408171930256</v>
      </c>
      <c r="X63" s="92">
        <f t="shared" si="7"/>
        <v>39000.02897490729</v>
      </c>
      <c r="Y63" s="92">
        <f t="shared" si="7"/>
        <v>38944.4360522634</v>
      </c>
      <c r="Z63" s="92">
        <f t="shared" si="7"/>
        <v>38885.27612902546</v>
      </c>
      <c r="AA63" s="92">
        <f t="shared" si="7"/>
        <v>17604.37373026009</v>
      </c>
      <c r="AB63" s="92">
        <f t="shared" si="7"/>
        <v>38859.31013167779</v>
      </c>
      <c r="AC63" s="92">
        <f t="shared" si="7"/>
        <v>38858.31663738295</v>
      </c>
      <c r="AD63" s="92">
        <f t="shared" si="7"/>
        <v>38857.25357900999</v>
      </c>
      <c r="AE63" s="92">
        <f t="shared" si="7"/>
        <v>38856.115627598476</v>
      </c>
      <c r="AF63" s="92">
        <f t="shared" si="7"/>
        <v>38854.897080089395</v>
      </c>
      <c r="AG63" s="92">
        <f t="shared" si="7"/>
        <v>38853.59183513264</v>
      </c>
      <c r="AH63" s="93">
        <f t="shared" si="7"/>
        <v>38853.59420052963</v>
      </c>
    </row>
    <row r="64" spans="1:34" ht="15" thickBot="1">
      <c r="A64" s="48"/>
      <c r="B64" s="21" t="s">
        <v>62</v>
      </c>
      <c r="C64" s="314" t="s">
        <v>39</v>
      </c>
      <c r="D64" s="315">
        <f>IRR(E64:AH64)</f>
        <v>0.24080512041108068</v>
      </c>
      <c r="E64" s="92">
        <f>E31-E61</f>
        <v>-89815.896825</v>
      </c>
      <c r="F64" s="92">
        <f aca="true" t="shared" si="8" ref="F64:AH64">F31-F61</f>
        <v>-74809.85347255802</v>
      </c>
      <c r="G64" s="92">
        <f t="shared" si="8"/>
        <v>-149013.86351330904</v>
      </c>
      <c r="H64" s="92">
        <f t="shared" si="8"/>
        <v>-230625.28237458633</v>
      </c>
      <c r="I64" s="92">
        <f t="shared" si="8"/>
        <v>120844.28865256812</v>
      </c>
      <c r="J64" s="92">
        <f t="shared" si="8"/>
        <v>125544.80965606723</v>
      </c>
      <c r="K64" s="92">
        <f t="shared" si="8"/>
        <v>171851.81660761565</v>
      </c>
      <c r="L64" s="92">
        <f t="shared" si="8"/>
        <v>182166.6705002158</v>
      </c>
      <c r="M64" s="92">
        <f t="shared" si="8"/>
        <v>192466.90663014364</v>
      </c>
      <c r="N64" s="92">
        <f t="shared" si="8"/>
        <v>202773.8916244765</v>
      </c>
      <c r="O64" s="92">
        <f t="shared" si="8"/>
        <v>187341.37599720145</v>
      </c>
      <c r="P64" s="92">
        <f t="shared" si="8"/>
        <v>223238.0751691374</v>
      </c>
      <c r="Q64" s="92">
        <f t="shared" si="8"/>
        <v>81170.97067130776</v>
      </c>
      <c r="R64" s="92">
        <f t="shared" si="8"/>
        <v>236666.7836086342</v>
      </c>
      <c r="S64" s="92">
        <f t="shared" si="8"/>
        <v>239845.21971566352</v>
      </c>
      <c r="T64" s="92">
        <f t="shared" si="8"/>
        <v>250076.7600065157</v>
      </c>
      <c r="U64" s="92">
        <f t="shared" si="8"/>
        <v>227491.81030717294</v>
      </c>
      <c r="V64" s="92">
        <f t="shared" si="8"/>
        <v>256230.14451906586</v>
      </c>
      <c r="W64" s="92">
        <f t="shared" si="8"/>
        <v>259324.85720351178</v>
      </c>
      <c r="X64" s="92">
        <f t="shared" si="8"/>
        <v>273000.202824351</v>
      </c>
      <c r="Y64" s="92">
        <f t="shared" si="8"/>
        <v>272611.0523658438</v>
      </c>
      <c r="Z64" s="92">
        <f t="shared" si="8"/>
        <v>272196.9329031782</v>
      </c>
      <c r="AA64" s="92">
        <f t="shared" si="8"/>
        <v>123230.61611182062</v>
      </c>
      <c r="AB64" s="93">
        <f t="shared" si="8"/>
        <v>272015.17092174455</v>
      </c>
      <c r="AC64" s="92">
        <f t="shared" si="8"/>
        <v>272008.21646168065</v>
      </c>
      <c r="AD64" s="92">
        <f t="shared" si="8"/>
        <v>272000.7750530699</v>
      </c>
      <c r="AE64" s="92">
        <f t="shared" si="8"/>
        <v>271992.8093931893</v>
      </c>
      <c r="AF64" s="92">
        <f t="shared" si="8"/>
        <v>271984.2795606258</v>
      </c>
      <c r="AG64" s="92">
        <f t="shared" si="8"/>
        <v>271975.1428459285</v>
      </c>
      <c r="AH64" s="93">
        <f t="shared" si="8"/>
        <v>271975.1594037074</v>
      </c>
    </row>
    <row r="65" spans="1:34" ht="15" thickBot="1">
      <c r="A65" s="62"/>
      <c r="B65" s="33"/>
      <c r="C65" s="35"/>
      <c r="D65" s="33"/>
      <c r="E65" s="137"/>
      <c r="F65" s="137"/>
      <c r="G65" s="137"/>
      <c r="H65" s="137"/>
      <c r="I65" s="137">
        <f>I64/7</f>
        <v>17263.469807509733</v>
      </c>
      <c r="J65" s="137">
        <f aca="true" t="shared" si="9" ref="J65:AH65">J64/7</f>
        <v>17934.972808009603</v>
      </c>
      <c r="K65" s="137">
        <f t="shared" si="9"/>
        <v>24550.259515373666</v>
      </c>
      <c r="L65" s="137">
        <f t="shared" si="9"/>
        <v>26023.8100714594</v>
      </c>
      <c r="M65" s="137">
        <f t="shared" si="9"/>
        <v>27495.272375734807</v>
      </c>
      <c r="N65" s="137">
        <f t="shared" si="9"/>
        <v>28967.69880349664</v>
      </c>
      <c r="O65" s="137">
        <f t="shared" si="9"/>
        <v>26763.05371388592</v>
      </c>
      <c r="P65" s="137">
        <f t="shared" si="9"/>
        <v>31891.153595591055</v>
      </c>
      <c r="Q65" s="137">
        <f t="shared" si="9"/>
        <v>11595.852953043966</v>
      </c>
      <c r="R65" s="137">
        <f t="shared" si="9"/>
        <v>33809.54051551917</v>
      </c>
      <c r="S65" s="137">
        <f t="shared" si="9"/>
        <v>34263.60281652336</v>
      </c>
      <c r="T65" s="137">
        <f t="shared" si="9"/>
        <v>35725.25142950224</v>
      </c>
      <c r="U65" s="137">
        <f t="shared" si="9"/>
        <v>32498.830043881848</v>
      </c>
      <c r="V65" s="137">
        <f t="shared" si="9"/>
        <v>36604.306359866554</v>
      </c>
      <c r="W65" s="137">
        <f t="shared" si="9"/>
        <v>37046.408171930256</v>
      </c>
      <c r="X65" s="137">
        <f t="shared" si="9"/>
        <v>39000.02897490729</v>
      </c>
      <c r="Y65" s="137">
        <f t="shared" si="9"/>
        <v>38944.4360522634</v>
      </c>
      <c r="Z65" s="137">
        <f t="shared" si="9"/>
        <v>38885.27612902546</v>
      </c>
      <c r="AA65" s="137">
        <f t="shared" si="9"/>
        <v>17604.37373026009</v>
      </c>
      <c r="AB65" s="137">
        <f t="shared" si="9"/>
        <v>38859.31013167779</v>
      </c>
      <c r="AC65" s="137">
        <f t="shared" si="9"/>
        <v>38858.31663738295</v>
      </c>
      <c r="AD65" s="137">
        <f t="shared" si="9"/>
        <v>38857.25357900999</v>
      </c>
      <c r="AE65" s="137">
        <f t="shared" si="9"/>
        <v>38856.115627598476</v>
      </c>
      <c r="AF65" s="137">
        <f t="shared" si="9"/>
        <v>38854.897080089395</v>
      </c>
      <c r="AG65" s="137">
        <f t="shared" si="9"/>
        <v>38853.59183513264</v>
      </c>
      <c r="AH65" s="93">
        <f t="shared" si="9"/>
        <v>38853.59420052963</v>
      </c>
    </row>
    <row r="66" spans="1:34" ht="14.25">
      <c r="A66" s="95"/>
      <c r="B66" s="5" t="s">
        <v>208</v>
      </c>
      <c r="C66" s="6"/>
      <c r="D66" s="92">
        <f>NPV(0.092,E64:AH64)/7</f>
        <v>132943.48485666723</v>
      </c>
      <c r="E66" s="92">
        <f>NPV(0.1,E63:AH63)</f>
        <v>115197.72104825093</v>
      </c>
      <c r="F66" s="5"/>
      <c r="G66" s="5"/>
      <c r="H66" s="5"/>
      <c r="I66" s="5"/>
      <c r="J66" s="5"/>
      <c r="K66" s="14"/>
      <c r="L66" s="5"/>
      <c r="M66" s="5"/>
      <c r="N66" s="5"/>
      <c r="O66" s="5"/>
      <c r="P66" s="5"/>
      <c r="Q66" s="5"/>
      <c r="R66" s="5"/>
      <c r="S66" s="5"/>
      <c r="T66" s="5"/>
      <c r="U66" s="5"/>
      <c r="V66" s="5"/>
      <c r="W66" s="5"/>
      <c r="X66" s="5"/>
      <c r="Y66" s="5"/>
      <c r="Z66" s="5"/>
      <c r="AA66" s="5"/>
      <c r="AB66" s="5"/>
      <c r="AC66" s="5"/>
      <c r="AD66" s="5"/>
      <c r="AE66" s="5"/>
      <c r="AF66" s="5"/>
      <c r="AG66" s="5"/>
      <c r="AH66" s="5"/>
    </row>
    <row r="67" spans="1:34" ht="14.25">
      <c r="A67" s="96" t="s">
        <v>63</v>
      </c>
      <c r="B67" s="5"/>
      <c r="C67" s="68"/>
      <c r="D67" s="5"/>
      <c r="E67" s="5"/>
      <c r="F67" s="5"/>
      <c r="G67" s="5"/>
      <c r="H67" s="5"/>
      <c r="I67" s="5"/>
      <c r="J67" s="5"/>
      <c r="K67" s="19"/>
      <c r="L67" s="5"/>
      <c r="M67" s="5"/>
      <c r="N67" s="5"/>
      <c r="O67" s="5"/>
      <c r="P67" s="5"/>
      <c r="Q67" s="5"/>
      <c r="R67" s="5"/>
      <c r="S67" s="5"/>
      <c r="T67" s="5"/>
      <c r="U67" s="5"/>
      <c r="V67" s="5"/>
      <c r="W67" s="5"/>
      <c r="X67" s="5"/>
      <c r="Y67" s="5"/>
      <c r="Z67" s="5"/>
      <c r="AA67" s="5"/>
      <c r="AB67" s="5"/>
      <c r="AC67" s="5"/>
      <c r="AD67" s="5"/>
      <c r="AE67" s="5"/>
      <c r="AF67" s="5"/>
      <c r="AG67" s="5"/>
      <c r="AH67" s="5"/>
    </row>
    <row r="68" spans="1:34" ht="14.25">
      <c r="A68" s="20"/>
      <c r="B68" s="97" t="s">
        <v>64</v>
      </c>
      <c r="C68" s="98">
        <v>0.1</v>
      </c>
      <c r="D68" s="128">
        <f>NPV(C68,E64:AH64)</f>
        <v>806384.0473377565</v>
      </c>
      <c r="E68" s="5"/>
      <c r="F68" s="5"/>
      <c r="G68" s="5"/>
      <c r="H68" s="5"/>
      <c r="I68" s="5"/>
      <c r="J68" s="5"/>
      <c r="K68" s="19"/>
      <c r="L68" s="5"/>
      <c r="M68" s="5"/>
      <c r="N68" s="5"/>
      <c r="O68" s="5"/>
      <c r="P68" s="5"/>
      <c r="Q68" s="5"/>
      <c r="R68" s="5"/>
      <c r="S68" s="5"/>
      <c r="T68" s="5"/>
      <c r="U68" s="5"/>
      <c r="V68" s="5"/>
      <c r="W68" s="5"/>
      <c r="X68" s="5"/>
      <c r="Y68" s="5"/>
      <c r="Z68" s="5"/>
      <c r="AA68" s="5"/>
      <c r="AB68" s="5"/>
      <c r="AC68" s="5"/>
      <c r="AD68" s="5"/>
      <c r="AE68" s="5"/>
      <c r="AF68" s="5"/>
      <c r="AG68" s="5"/>
      <c r="AH68" s="5"/>
    </row>
    <row r="69" spans="1:34" ht="14.25">
      <c r="A69" s="20"/>
      <c r="B69" s="97" t="s">
        <v>64</v>
      </c>
      <c r="C69" s="98">
        <v>0.12</v>
      </c>
      <c r="D69" s="128">
        <f>NPV(C69,E64:AH64)</f>
        <v>561792.7345292611</v>
      </c>
      <c r="E69" s="5"/>
      <c r="F69" s="5"/>
      <c r="G69" s="5"/>
      <c r="H69" s="5"/>
      <c r="I69" s="5"/>
      <c r="J69" s="5"/>
      <c r="K69" s="19"/>
      <c r="L69" s="5"/>
      <c r="M69" s="5"/>
      <c r="N69" s="5"/>
      <c r="O69" s="5"/>
      <c r="P69" s="5"/>
      <c r="Q69" s="5"/>
      <c r="R69" s="5"/>
      <c r="S69" s="5"/>
      <c r="T69" s="5"/>
      <c r="U69" s="5"/>
      <c r="V69" s="5"/>
      <c r="W69" s="5"/>
      <c r="X69" s="5"/>
      <c r="Y69" s="5"/>
      <c r="Z69" s="5"/>
      <c r="AA69" s="5"/>
      <c r="AB69" s="5"/>
      <c r="AC69" s="5"/>
      <c r="AD69" s="5"/>
      <c r="AE69" s="5"/>
      <c r="AF69" s="5"/>
      <c r="AG69" s="5"/>
      <c r="AH69" s="5"/>
    </row>
    <row r="70" spans="1:34" ht="14.25">
      <c r="A70" s="24"/>
      <c r="B70" s="99"/>
      <c r="C70" s="26"/>
      <c r="D70" s="26"/>
      <c r="E70" s="100"/>
      <c r="F70" s="101" t="s">
        <v>65</v>
      </c>
      <c r="G70" s="26"/>
      <c r="H70" s="26"/>
      <c r="I70" s="25"/>
      <c r="J70" s="26" t="s">
        <v>66</v>
      </c>
      <c r="K70" s="27"/>
      <c r="L70" s="5"/>
      <c r="M70" s="5"/>
      <c r="N70" s="5"/>
      <c r="O70" s="5"/>
      <c r="P70" s="5"/>
      <c r="Q70" s="5"/>
      <c r="R70" s="5"/>
      <c r="S70" s="5"/>
      <c r="T70" s="5"/>
      <c r="U70" s="5"/>
      <c r="V70" s="5"/>
      <c r="W70" s="5"/>
      <c r="X70" s="5"/>
      <c r="Y70" s="5"/>
      <c r="Z70" s="5"/>
      <c r="AA70" s="5"/>
      <c r="AB70" s="5"/>
      <c r="AC70" s="5"/>
      <c r="AD70" s="5"/>
      <c r="AE70" s="5"/>
      <c r="AF70" s="5"/>
      <c r="AG70" s="5"/>
      <c r="AH70" s="5"/>
    </row>
    <row r="71" spans="1:34" ht="14.25">
      <c r="A71" s="20" t="s">
        <v>67</v>
      </c>
      <c r="B71" s="102" t="s">
        <v>39</v>
      </c>
      <c r="C71" s="103" t="s">
        <v>68</v>
      </c>
      <c r="D71" s="5"/>
      <c r="E71" s="100" t="s">
        <v>69</v>
      </c>
      <c r="F71" s="104" t="s">
        <v>70</v>
      </c>
      <c r="G71" s="104" t="s">
        <v>71</v>
      </c>
      <c r="H71" s="104" t="s">
        <v>72</v>
      </c>
      <c r="I71" s="25"/>
      <c r="J71" s="105" t="s">
        <v>73</v>
      </c>
      <c r="K71" s="106" t="s">
        <v>74</v>
      </c>
      <c r="L71" s="5"/>
      <c r="M71" s="5"/>
      <c r="N71" s="5"/>
      <c r="O71" s="5"/>
      <c r="P71" s="5"/>
      <c r="Q71" s="5"/>
      <c r="R71" s="5"/>
      <c r="S71" s="5"/>
      <c r="T71" s="5"/>
      <c r="U71" s="5"/>
      <c r="V71" s="5"/>
      <c r="W71" s="5"/>
      <c r="X71" s="5"/>
      <c r="Y71" s="5"/>
      <c r="Z71" s="5"/>
      <c r="AA71" s="5"/>
      <c r="AB71" s="5"/>
      <c r="AC71" s="5"/>
      <c r="AD71" s="5"/>
      <c r="AE71" s="5"/>
      <c r="AF71" s="5"/>
      <c r="AG71" s="5"/>
      <c r="AH71" s="5"/>
    </row>
    <row r="72" spans="1:34" ht="14.25">
      <c r="A72" s="20"/>
      <c r="B72" s="5"/>
      <c r="C72" s="103" t="s">
        <v>58</v>
      </c>
      <c r="D72" s="5"/>
      <c r="E72" s="107">
        <f>D85</f>
        <v>0.2716624150164218</v>
      </c>
      <c r="F72" s="108">
        <f>D100</f>
        <v>0.25604286461801506</v>
      </c>
      <c r="G72" s="108">
        <f>D115</f>
        <v>0.2259015324912563</v>
      </c>
      <c r="H72" s="108">
        <f>D130</f>
        <v>0.21128371806752277</v>
      </c>
      <c r="I72" s="31"/>
      <c r="J72" s="109">
        <f>1-0.51</f>
        <v>0.49</v>
      </c>
      <c r="K72" s="110">
        <f>1-0.58</f>
        <v>0.42000000000000004</v>
      </c>
      <c r="L72" s="5"/>
      <c r="M72" s="5"/>
      <c r="N72" s="5"/>
      <c r="O72" s="5"/>
      <c r="P72" s="5"/>
      <c r="Q72" s="5"/>
      <c r="R72" s="5"/>
      <c r="S72" s="5"/>
      <c r="T72" s="5"/>
      <c r="U72" s="5"/>
      <c r="V72" s="5"/>
      <c r="W72" s="5"/>
      <c r="X72" s="5"/>
      <c r="Y72" s="5"/>
      <c r="Z72" s="5"/>
      <c r="AA72" s="5"/>
      <c r="AB72" s="5"/>
      <c r="AC72" s="5"/>
      <c r="AD72" s="5"/>
      <c r="AE72" s="5"/>
      <c r="AF72" s="5"/>
      <c r="AG72" s="5"/>
      <c r="AH72" s="5"/>
    </row>
    <row r="73" spans="1:34" ht="14.25">
      <c r="A73" s="20"/>
      <c r="B73" s="5"/>
      <c r="C73" s="103" t="s">
        <v>78</v>
      </c>
      <c r="D73" s="5"/>
      <c r="E73" s="107">
        <f>D90</f>
        <v>0.2147631333537284</v>
      </c>
      <c r="F73" s="108">
        <f>D105</f>
        <v>0.22704122153872067</v>
      </c>
      <c r="G73" s="108">
        <f>D120</f>
        <v>0.2563782071818635</v>
      </c>
      <c r="H73" s="108">
        <f>D135</f>
        <v>0.27418780071445825</v>
      </c>
      <c r="I73" s="31"/>
      <c r="J73" s="109">
        <v>2.05</v>
      </c>
      <c r="K73" s="110">
        <v>1.77</v>
      </c>
      <c r="L73" s="5"/>
      <c r="M73" s="5"/>
      <c r="N73" s="5"/>
      <c r="O73" s="5"/>
      <c r="P73" s="5"/>
      <c r="Q73" s="5"/>
      <c r="R73" s="5"/>
      <c r="S73" s="5"/>
      <c r="T73" s="5"/>
      <c r="U73" s="5"/>
      <c r="V73" s="5"/>
      <c r="W73" s="5"/>
      <c r="X73" s="5"/>
      <c r="Y73" s="5"/>
      <c r="Z73" s="5"/>
      <c r="AA73" s="5"/>
      <c r="AB73" s="5"/>
      <c r="AC73" s="5"/>
      <c r="AD73" s="5"/>
      <c r="AE73" s="5"/>
      <c r="AF73" s="5"/>
      <c r="AG73" s="5"/>
      <c r="AH73" s="5"/>
    </row>
    <row r="74" spans="1:34" ht="15" thickBot="1">
      <c r="A74" s="86"/>
      <c r="B74" s="42"/>
      <c r="C74" s="111" t="s">
        <v>79</v>
      </c>
      <c r="D74" s="42"/>
      <c r="E74" s="112">
        <f>D95</f>
        <v>0.23989302548216715</v>
      </c>
      <c r="F74" s="113">
        <f>D110</f>
        <v>0.24034932141669518</v>
      </c>
      <c r="G74" s="113">
        <f>D125</f>
        <v>0.2412604243752962</v>
      </c>
      <c r="H74" s="113">
        <f>D140</f>
        <v>0.24171523520434635</v>
      </c>
      <c r="I74" s="41"/>
      <c r="J74" s="114">
        <v>13.56</v>
      </c>
      <c r="K74" s="115">
        <v>12.1</v>
      </c>
      <c r="L74" s="5"/>
      <c r="M74" s="5"/>
      <c r="N74" s="5"/>
      <c r="O74" s="5"/>
      <c r="P74" s="5"/>
      <c r="Q74" s="5"/>
      <c r="R74" s="5"/>
      <c r="S74" s="5"/>
      <c r="T74" s="5"/>
      <c r="U74" s="5"/>
      <c r="V74" s="5"/>
      <c r="W74" s="5"/>
      <c r="X74" s="5"/>
      <c r="Y74" s="5"/>
      <c r="Z74" s="5"/>
      <c r="AA74" s="5"/>
      <c r="AB74" s="5"/>
      <c r="AC74" s="5"/>
      <c r="AD74" s="5"/>
      <c r="AE74" s="5"/>
      <c r="AF74" s="5"/>
      <c r="AG74" s="5"/>
      <c r="AH74" s="5"/>
    </row>
    <row r="75" spans="1:34" ht="14.25">
      <c r="A75" s="5" t="s">
        <v>75</v>
      </c>
      <c r="B75" s="5"/>
      <c r="C75" s="103"/>
      <c r="D75" s="6" t="s">
        <v>56</v>
      </c>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t="s">
        <v>58</v>
      </c>
      <c r="C76" s="103"/>
      <c r="D76" s="116">
        <v>1</v>
      </c>
      <c r="E76" s="345">
        <f aca="true" t="shared" si="10" ref="E76:AH76">$D76*E$31</f>
        <v>17640</v>
      </c>
      <c r="F76" s="345">
        <f t="shared" si="10"/>
        <v>98846.03076923077</v>
      </c>
      <c r="G76" s="345">
        <f t="shared" si="10"/>
        <v>112989.04615384615</v>
      </c>
      <c r="H76" s="345">
        <f t="shared" si="10"/>
        <v>130667.81538461539</v>
      </c>
      <c r="I76" s="345">
        <f t="shared" si="10"/>
        <v>130698.83076923077</v>
      </c>
      <c r="J76" s="345">
        <f t="shared" si="10"/>
        <v>151913.35384615386</v>
      </c>
      <c r="K76" s="345">
        <f t="shared" si="10"/>
        <v>180199.38461538462</v>
      </c>
      <c r="L76" s="345">
        <f t="shared" si="10"/>
        <v>190806.64615384617</v>
      </c>
      <c r="M76" s="345">
        <f t="shared" si="10"/>
        <v>201413.9076923077</v>
      </c>
      <c r="N76" s="345">
        <f t="shared" si="10"/>
        <v>212021.16923076927</v>
      </c>
      <c r="O76" s="345">
        <f t="shared" si="10"/>
        <v>222628.43076923076</v>
      </c>
      <c r="P76" s="345">
        <f t="shared" si="10"/>
        <v>233235.6923076923</v>
      </c>
      <c r="Q76" s="345">
        <f t="shared" si="10"/>
        <v>240307.20000000004</v>
      </c>
      <c r="R76" s="345">
        <f t="shared" si="10"/>
        <v>247378.7076923077</v>
      </c>
      <c r="S76" s="345">
        <f t="shared" si="10"/>
        <v>250914.46153846156</v>
      </c>
      <c r="T76" s="345">
        <f t="shared" si="10"/>
        <v>261521.7230769231</v>
      </c>
      <c r="U76" s="345">
        <f t="shared" si="10"/>
        <v>265057.4769230769</v>
      </c>
      <c r="V76" s="345">
        <f t="shared" si="10"/>
        <v>268593.2307692308</v>
      </c>
      <c r="W76" s="345">
        <f t="shared" si="10"/>
        <v>272128.98461538466</v>
      </c>
      <c r="X76" s="345">
        <f t="shared" si="10"/>
        <v>286272</v>
      </c>
      <c r="Y76" s="345">
        <f t="shared" si="10"/>
        <v>286272</v>
      </c>
      <c r="Z76" s="345">
        <f t="shared" si="10"/>
        <v>286272</v>
      </c>
      <c r="AA76" s="345">
        <f t="shared" si="10"/>
        <v>286272</v>
      </c>
      <c r="AB76" s="345">
        <f t="shared" si="10"/>
        <v>286272</v>
      </c>
      <c r="AC76" s="345">
        <f t="shared" si="10"/>
        <v>286272</v>
      </c>
      <c r="AD76" s="345">
        <f t="shared" si="10"/>
        <v>286272</v>
      </c>
      <c r="AE76" s="345">
        <f t="shared" si="10"/>
        <v>286272</v>
      </c>
      <c r="AF76" s="345">
        <f t="shared" si="10"/>
        <v>286272</v>
      </c>
      <c r="AG76" s="345">
        <f t="shared" si="10"/>
        <v>286272</v>
      </c>
      <c r="AH76" s="345">
        <f t="shared" si="10"/>
        <v>286272</v>
      </c>
    </row>
    <row r="77" spans="1:34" ht="14.25">
      <c r="A77" s="5"/>
      <c r="B77" s="5" t="s">
        <v>78</v>
      </c>
      <c r="C77" s="5"/>
      <c r="D77" s="116">
        <v>1</v>
      </c>
      <c r="E77" s="345">
        <f aca="true" t="shared" si="11" ref="E77:AH77">$D77*SUM(E$33:E$41)</f>
        <v>107455.896825</v>
      </c>
      <c r="F77" s="345">
        <f t="shared" si="11"/>
        <v>173655.8842417888</v>
      </c>
      <c r="G77" s="345">
        <f t="shared" si="11"/>
        <v>262002.90966715518</v>
      </c>
      <c r="H77" s="345">
        <f t="shared" si="11"/>
        <v>361293.0977592017</v>
      </c>
      <c r="I77" s="345">
        <f t="shared" si="11"/>
        <v>2052.75</v>
      </c>
      <c r="J77" s="345">
        <f t="shared" si="11"/>
        <v>18300</v>
      </c>
      <c r="K77" s="345">
        <f t="shared" si="11"/>
        <v>0</v>
      </c>
      <c r="L77" s="345">
        <f t="shared" si="11"/>
        <v>0</v>
      </c>
      <c r="M77" s="345">
        <f t="shared" si="11"/>
        <v>0</v>
      </c>
      <c r="N77" s="345">
        <f t="shared" si="11"/>
        <v>0</v>
      </c>
      <c r="O77" s="345">
        <f t="shared" si="11"/>
        <v>25620</v>
      </c>
      <c r="P77" s="345">
        <f t="shared" si="11"/>
        <v>0</v>
      </c>
      <c r="Q77" s="345">
        <f t="shared" si="11"/>
        <v>148790.84557293874</v>
      </c>
      <c r="R77" s="345">
        <f t="shared" si="11"/>
        <v>0</v>
      </c>
      <c r="S77" s="345">
        <f t="shared" si="11"/>
        <v>0</v>
      </c>
      <c r="T77" s="345">
        <f t="shared" si="11"/>
        <v>0</v>
      </c>
      <c r="U77" s="345">
        <f t="shared" si="11"/>
        <v>25620</v>
      </c>
      <c r="V77" s="345">
        <f t="shared" si="11"/>
        <v>0</v>
      </c>
      <c r="W77" s="345">
        <f t="shared" si="11"/>
        <v>0</v>
      </c>
      <c r="X77" s="345">
        <f t="shared" si="11"/>
        <v>0</v>
      </c>
      <c r="Y77" s="345">
        <f t="shared" si="11"/>
        <v>0</v>
      </c>
      <c r="Z77" s="345">
        <f t="shared" si="11"/>
        <v>0</v>
      </c>
      <c r="AA77" s="345">
        <f t="shared" si="11"/>
        <v>148790.84557293874</v>
      </c>
      <c r="AB77" s="345">
        <f t="shared" si="11"/>
        <v>0</v>
      </c>
      <c r="AC77" s="345">
        <f t="shared" si="11"/>
        <v>0</v>
      </c>
      <c r="AD77" s="345">
        <f t="shared" si="11"/>
        <v>0</v>
      </c>
      <c r="AE77" s="345">
        <f t="shared" si="11"/>
        <v>0</v>
      </c>
      <c r="AF77" s="345">
        <f t="shared" si="11"/>
        <v>0</v>
      </c>
      <c r="AG77" s="345">
        <f t="shared" si="11"/>
        <v>0</v>
      </c>
      <c r="AH77" s="345">
        <f t="shared" si="11"/>
        <v>0</v>
      </c>
    </row>
    <row r="78" spans="1:34" ht="14.25">
      <c r="A78" s="5"/>
      <c r="B78" s="5" t="s">
        <v>79</v>
      </c>
      <c r="C78" s="5"/>
      <c r="D78" s="116">
        <v>12.098574923199493</v>
      </c>
      <c r="E78" s="345">
        <f aca="true" t="shared" si="12" ref="E78:AH78">$D78*SUM(E$45:E$52)</f>
        <v>0</v>
      </c>
      <c r="F78" s="345">
        <f t="shared" si="12"/>
        <v>0</v>
      </c>
      <c r="G78" s="345">
        <f t="shared" si="12"/>
        <v>0</v>
      </c>
      <c r="H78" s="345">
        <f t="shared" si="12"/>
        <v>0</v>
      </c>
      <c r="I78" s="345">
        <f t="shared" si="12"/>
        <v>94390.56645867029</v>
      </c>
      <c r="J78" s="345">
        <f t="shared" si="12"/>
        <v>97617.88640490896</v>
      </c>
      <c r="K78" s="345">
        <f t="shared" si="12"/>
        <v>100993.67696849622</v>
      </c>
      <c r="L78" s="345">
        <f t="shared" si="12"/>
        <v>104531.39278006644</v>
      </c>
      <c r="M78" s="345">
        <f t="shared" si="12"/>
        <v>108245.96268853714</v>
      </c>
      <c r="N78" s="345">
        <f t="shared" si="12"/>
        <v>111878.88095535798</v>
      </c>
      <c r="O78" s="345">
        <f t="shared" si="12"/>
        <v>116957.58644606992</v>
      </c>
      <c r="P78" s="345">
        <f t="shared" si="12"/>
        <v>120956.92000427004</v>
      </c>
      <c r="Q78" s="345">
        <f t="shared" si="12"/>
        <v>125164.40047823495</v>
      </c>
      <c r="R78" s="345">
        <f t="shared" si="12"/>
        <v>129599.01609794902</v>
      </c>
      <c r="S78" s="345">
        <f t="shared" si="12"/>
        <v>133922.0515361355</v>
      </c>
      <c r="T78" s="345">
        <f t="shared" si="12"/>
        <v>138467.74320057544</v>
      </c>
      <c r="U78" s="345">
        <f t="shared" si="12"/>
        <v>144525.54256007695</v>
      </c>
      <c r="V78" s="345">
        <f t="shared" si="12"/>
        <v>149575.72527959806</v>
      </c>
      <c r="W78" s="345">
        <f t="shared" si="12"/>
        <v>154911.6948187364</v>
      </c>
      <c r="X78" s="345">
        <f t="shared" si="12"/>
        <v>160569.83249509643</v>
      </c>
      <c r="Y78" s="345">
        <f t="shared" si="12"/>
        <v>165277.99847374382</v>
      </c>
      <c r="Z78" s="345">
        <f t="shared" si="12"/>
        <v>170288.2538199582</v>
      </c>
      <c r="AA78" s="345">
        <f t="shared" si="12"/>
        <v>172411.205502864</v>
      </c>
      <c r="AB78" s="345">
        <f t="shared" si="12"/>
        <v>172487.314770523</v>
      </c>
      <c r="AC78" s="345">
        <f t="shared" si="12"/>
        <v>172571.45382665622</v>
      </c>
      <c r="AD78" s="345">
        <f t="shared" si="12"/>
        <v>172661.48426626736</v>
      </c>
      <c r="AE78" s="345">
        <f t="shared" si="12"/>
        <v>172757.85739914543</v>
      </c>
      <c r="AF78" s="345">
        <f t="shared" si="12"/>
        <v>172861.05621749803</v>
      </c>
      <c r="AG78" s="345">
        <f t="shared" si="12"/>
        <v>172971.59744481483</v>
      </c>
      <c r="AH78" s="345">
        <f t="shared" si="12"/>
        <v>172971.39711928618</v>
      </c>
    </row>
    <row r="79" spans="1:34" ht="14.25">
      <c r="A79" s="5"/>
      <c r="B79" s="5" t="s">
        <v>76</v>
      </c>
      <c r="C79" s="103">
        <f>C68</f>
        <v>0.1</v>
      </c>
      <c r="D79" s="117">
        <f>NPV(C79,E79:AH79)</f>
        <v>94007.09746767621</v>
      </c>
      <c r="E79" s="345">
        <f aca="true" t="shared" si="13" ref="E79:AH79">E76-E77-E78</f>
        <v>-89815.896825</v>
      </c>
      <c r="F79" s="345">
        <f t="shared" si="13"/>
        <v>-74809.85347255802</v>
      </c>
      <c r="G79" s="345">
        <f t="shared" si="13"/>
        <v>-149013.86351330904</v>
      </c>
      <c r="H79" s="345">
        <f t="shared" si="13"/>
        <v>-230625.28237458633</v>
      </c>
      <c r="I79" s="345">
        <f t="shared" si="13"/>
        <v>34255.51431056048</v>
      </c>
      <c r="J79" s="345">
        <f t="shared" si="13"/>
        <v>35995.467441244895</v>
      </c>
      <c r="K79" s="345">
        <f t="shared" si="13"/>
        <v>79205.7076468884</v>
      </c>
      <c r="L79" s="345">
        <f t="shared" si="13"/>
        <v>86275.25337377973</v>
      </c>
      <c r="M79" s="345">
        <f t="shared" si="13"/>
        <v>93167.94500377055</v>
      </c>
      <c r="N79" s="345">
        <f t="shared" si="13"/>
        <v>100142.2882754113</v>
      </c>
      <c r="O79" s="345">
        <f t="shared" si="13"/>
        <v>80050.84432316084</v>
      </c>
      <c r="P79" s="345">
        <f t="shared" si="13"/>
        <v>112278.77230342227</v>
      </c>
      <c r="Q79" s="345">
        <f t="shared" si="13"/>
        <v>-33648.046051173646</v>
      </c>
      <c r="R79" s="345">
        <f t="shared" si="13"/>
        <v>117779.6915943587</v>
      </c>
      <c r="S79" s="345">
        <f t="shared" si="13"/>
        <v>116992.41000232607</v>
      </c>
      <c r="T79" s="345">
        <f t="shared" si="13"/>
        <v>123053.97987634767</v>
      </c>
      <c r="U79" s="345">
        <f t="shared" si="13"/>
        <v>94911.93436299995</v>
      </c>
      <c r="V79" s="345">
        <f t="shared" si="13"/>
        <v>119017.50548963275</v>
      </c>
      <c r="W79" s="345">
        <f t="shared" si="13"/>
        <v>117217.28979664826</v>
      </c>
      <c r="X79" s="345">
        <f t="shared" si="13"/>
        <v>125702.16750490357</v>
      </c>
      <c r="Y79" s="345">
        <f t="shared" si="13"/>
        <v>120994.00152625618</v>
      </c>
      <c r="Z79" s="345">
        <f t="shared" si="13"/>
        <v>115983.74618004181</v>
      </c>
      <c r="AA79" s="345">
        <f t="shared" si="13"/>
        <v>-34930.05107580274</v>
      </c>
      <c r="AB79" s="345">
        <f t="shared" si="13"/>
        <v>113784.685229477</v>
      </c>
      <c r="AC79" s="345">
        <f t="shared" si="13"/>
        <v>113700.54617334378</v>
      </c>
      <c r="AD79" s="345">
        <f t="shared" si="13"/>
        <v>113610.51573373264</v>
      </c>
      <c r="AE79" s="345">
        <f t="shared" si="13"/>
        <v>113514.14260085457</v>
      </c>
      <c r="AF79" s="345">
        <f t="shared" si="13"/>
        <v>113410.94378250197</v>
      </c>
      <c r="AG79" s="345">
        <f t="shared" si="13"/>
        <v>113300.40255518517</v>
      </c>
      <c r="AH79" s="345">
        <f t="shared" si="13"/>
        <v>113300.60288071382</v>
      </c>
    </row>
    <row r="80" spans="1:34" ht="14.25">
      <c r="A80" s="5"/>
      <c r="B80" s="5"/>
      <c r="C80" s="103">
        <f>C69</f>
        <v>0.12</v>
      </c>
      <c r="D80" s="117">
        <f>NPV(C80,E79:AG79)</f>
        <v>2.111326986258583E-10</v>
      </c>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row>
    <row r="81" spans="1:34" ht="14.25">
      <c r="A81" s="5" t="s">
        <v>77</v>
      </c>
      <c r="B81" s="5"/>
      <c r="C81" s="103"/>
      <c r="D81" s="5"/>
      <c r="E81" s="345"/>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row>
    <row r="82" spans="1:34" ht="14.25">
      <c r="A82" s="5"/>
      <c r="B82" s="5" t="s">
        <v>58</v>
      </c>
      <c r="C82" s="103"/>
      <c r="D82" s="5">
        <v>1.1</v>
      </c>
      <c r="E82" s="345">
        <f aca="true" t="shared" si="14" ref="E82:AH82">$D82*E$31</f>
        <v>19404</v>
      </c>
      <c r="F82" s="345">
        <f t="shared" si="14"/>
        <v>108730.63384615385</v>
      </c>
      <c r="G82" s="345">
        <f t="shared" si="14"/>
        <v>124287.95076923078</v>
      </c>
      <c r="H82" s="345">
        <f t="shared" si="14"/>
        <v>143734.59692307693</v>
      </c>
      <c r="I82" s="345">
        <f t="shared" si="14"/>
        <v>143768.71384615387</v>
      </c>
      <c r="J82" s="345">
        <f t="shared" si="14"/>
        <v>167104.68923076926</v>
      </c>
      <c r="K82" s="345">
        <f t="shared" si="14"/>
        <v>198219.32307692312</v>
      </c>
      <c r="L82" s="345">
        <f t="shared" si="14"/>
        <v>209887.3107692308</v>
      </c>
      <c r="M82" s="345">
        <f t="shared" si="14"/>
        <v>221555.29846153848</v>
      </c>
      <c r="N82" s="345">
        <f t="shared" si="14"/>
        <v>233223.28615384622</v>
      </c>
      <c r="O82" s="345">
        <f t="shared" si="14"/>
        <v>244891.27384615387</v>
      </c>
      <c r="P82" s="345">
        <f t="shared" si="14"/>
        <v>256559.26153846158</v>
      </c>
      <c r="Q82" s="345">
        <f t="shared" si="14"/>
        <v>264337.92000000004</v>
      </c>
      <c r="R82" s="345">
        <f t="shared" si="14"/>
        <v>272116.5784615385</v>
      </c>
      <c r="S82" s="345">
        <f t="shared" si="14"/>
        <v>276005.9076923077</v>
      </c>
      <c r="T82" s="345">
        <f t="shared" si="14"/>
        <v>287673.89538461546</v>
      </c>
      <c r="U82" s="345">
        <f t="shared" si="14"/>
        <v>291563.2246153846</v>
      </c>
      <c r="V82" s="345">
        <f t="shared" si="14"/>
        <v>295452.5538461539</v>
      </c>
      <c r="W82" s="345">
        <f t="shared" si="14"/>
        <v>299341.88307692314</v>
      </c>
      <c r="X82" s="345">
        <f t="shared" si="14"/>
        <v>314899.2</v>
      </c>
      <c r="Y82" s="345">
        <f t="shared" si="14"/>
        <v>314899.2</v>
      </c>
      <c r="Z82" s="345">
        <f t="shared" si="14"/>
        <v>314899.2</v>
      </c>
      <c r="AA82" s="345">
        <f t="shared" si="14"/>
        <v>314899.2</v>
      </c>
      <c r="AB82" s="345">
        <f t="shared" si="14"/>
        <v>314899.2</v>
      </c>
      <c r="AC82" s="345">
        <f t="shared" si="14"/>
        <v>314899.2</v>
      </c>
      <c r="AD82" s="345">
        <f t="shared" si="14"/>
        <v>314899.2</v>
      </c>
      <c r="AE82" s="345">
        <f t="shared" si="14"/>
        <v>314899.2</v>
      </c>
      <c r="AF82" s="345">
        <f t="shared" si="14"/>
        <v>314899.2</v>
      </c>
      <c r="AG82" s="345">
        <f t="shared" si="14"/>
        <v>314899.2</v>
      </c>
      <c r="AH82" s="345">
        <f t="shared" si="14"/>
        <v>314899.2</v>
      </c>
    </row>
    <row r="83" spans="1:34" ht="14.25">
      <c r="A83" s="5"/>
      <c r="B83" s="5" t="s">
        <v>78</v>
      </c>
      <c r="C83" s="5"/>
      <c r="D83" s="5">
        <v>1</v>
      </c>
      <c r="E83" s="345">
        <f aca="true" t="shared" si="15" ref="E83:AH83">$D83*SUM(E$33:E$41)</f>
        <v>107455.896825</v>
      </c>
      <c r="F83" s="345">
        <f t="shared" si="15"/>
        <v>173655.8842417888</v>
      </c>
      <c r="G83" s="345">
        <f t="shared" si="15"/>
        <v>262002.90966715518</v>
      </c>
      <c r="H83" s="345">
        <f t="shared" si="15"/>
        <v>361293.0977592017</v>
      </c>
      <c r="I83" s="345">
        <f t="shared" si="15"/>
        <v>2052.75</v>
      </c>
      <c r="J83" s="345">
        <f t="shared" si="15"/>
        <v>18300</v>
      </c>
      <c r="K83" s="345">
        <f t="shared" si="15"/>
        <v>0</v>
      </c>
      <c r="L83" s="345">
        <f t="shared" si="15"/>
        <v>0</v>
      </c>
      <c r="M83" s="345">
        <f t="shared" si="15"/>
        <v>0</v>
      </c>
      <c r="N83" s="345">
        <f t="shared" si="15"/>
        <v>0</v>
      </c>
      <c r="O83" s="345">
        <f t="shared" si="15"/>
        <v>25620</v>
      </c>
      <c r="P83" s="345">
        <f t="shared" si="15"/>
        <v>0</v>
      </c>
      <c r="Q83" s="345">
        <f t="shared" si="15"/>
        <v>148790.84557293874</v>
      </c>
      <c r="R83" s="345">
        <f t="shared" si="15"/>
        <v>0</v>
      </c>
      <c r="S83" s="345">
        <f t="shared" si="15"/>
        <v>0</v>
      </c>
      <c r="T83" s="345">
        <f t="shared" si="15"/>
        <v>0</v>
      </c>
      <c r="U83" s="345">
        <f t="shared" si="15"/>
        <v>25620</v>
      </c>
      <c r="V83" s="345">
        <f t="shared" si="15"/>
        <v>0</v>
      </c>
      <c r="W83" s="345">
        <f t="shared" si="15"/>
        <v>0</v>
      </c>
      <c r="X83" s="345">
        <f t="shared" si="15"/>
        <v>0</v>
      </c>
      <c r="Y83" s="345">
        <f t="shared" si="15"/>
        <v>0</v>
      </c>
      <c r="Z83" s="345">
        <f t="shared" si="15"/>
        <v>0</v>
      </c>
      <c r="AA83" s="345">
        <f t="shared" si="15"/>
        <v>148790.84557293874</v>
      </c>
      <c r="AB83" s="345">
        <f t="shared" si="15"/>
        <v>0</v>
      </c>
      <c r="AC83" s="345">
        <f t="shared" si="15"/>
        <v>0</v>
      </c>
      <c r="AD83" s="345">
        <f t="shared" si="15"/>
        <v>0</v>
      </c>
      <c r="AE83" s="345">
        <f t="shared" si="15"/>
        <v>0</v>
      </c>
      <c r="AF83" s="345">
        <f t="shared" si="15"/>
        <v>0</v>
      </c>
      <c r="AG83" s="345">
        <f t="shared" si="15"/>
        <v>0</v>
      </c>
      <c r="AH83" s="345">
        <f t="shared" si="15"/>
        <v>0</v>
      </c>
    </row>
    <row r="84" spans="1:34" ht="14.25">
      <c r="A84" s="5"/>
      <c r="B84" s="5" t="s">
        <v>79</v>
      </c>
      <c r="C84" s="5"/>
      <c r="D84" s="5">
        <v>1</v>
      </c>
      <c r="E84" s="345">
        <f aca="true" t="shared" si="16" ref="E84:AH84">$D84*SUM(E$45:E$52)</f>
        <v>0</v>
      </c>
      <c r="F84" s="345">
        <f t="shared" si="16"/>
        <v>0</v>
      </c>
      <c r="G84" s="345">
        <f t="shared" si="16"/>
        <v>0</v>
      </c>
      <c r="H84" s="345">
        <f t="shared" si="16"/>
        <v>0</v>
      </c>
      <c r="I84" s="345">
        <f t="shared" si="16"/>
        <v>7801.792116662655</v>
      </c>
      <c r="J84" s="345">
        <f t="shared" si="16"/>
        <v>8068.544190086621</v>
      </c>
      <c r="K84" s="345">
        <f t="shared" si="16"/>
        <v>8347.568007768987</v>
      </c>
      <c r="L84" s="345">
        <f t="shared" si="16"/>
        <v>8639.975653630361</v>
      </c>
      <c r="M84" s="345">
        <f t="shared" si="16"/>
        <v>8947.001062164045</v>
      </c>
      <c r="N84" s="345">
        <f t="shared" si="16"/>
        <v>9247.277606292773</v>
      </c>
      <c r="O84" s="345">
        <f t="shared" si="16"/>
        <v>9667.05477202932</v>
      </c>
      <c r="P84" s="345">
        <f t="shared" si="16"/>
        <v>9997.61713855492</v>
      </c>
      <c r="Q84" s="345">
        <f t="shared" si="16"/>
        <v>10345.383755753523</v>
      </c>
      <c r="R84" s="345">
        <f t="shared" si="16"/>
        <v>10711.924083673508</v>
      </c>
      <c r="S84" s="345">
        <f t="shared" si="16"/>
        <v>11069.241822798047</v>
      </c>
      <c r="T84" s="345">
        <f t="shared" si="16"/>
        <v>11444.963070407417</v>
      </c>
      <c r="U84" s="345">
        <f t="shared" si="16"/>
        <v>11945.666615903956</v>
      </c>
      <c r="V84" s="345">
        <f t="shared" si="16"/>
        <v>12363.086250164946</v>
      </c>
      <c r="W84" s="345">
        <f t="shared" si="16"/>
        <v>12804.127411872876</v>
      </c>
      <c r="X84" s="345">
        <f t="shared" si="16"/>
        <v>13271.797175648966</v>
      </c>
      <c r="Y84" s="345">
        <f t="shared" si="16"/>
        <v>13660.947634156215</v>
      </c>
      <c r="Z84" s="345">
        <f t="shared" si="16"/>
        <v>14075.067096821773</v>
      </c>
      <c r="AA84" s="345">
        <f t="shared" si="16"/>
        <v>14250.538315240643</v>
      </c>
      <c r="AB84" s="345">
        <f t="shared" si="16"/>
        <v>14256.829078255472</v>
      </c>
      <c r="AC84" s="345">
        <f t="shared" si="16"/>
        <v>14263.783538319349</v>
      </c>
      <c r="AD84" s="345">
        <f t="shared" si="16"/>
        <v>14271.224946930088</v>
      </c>
      <c r="AE84" s="345">
        <f t="shared" si="16"/>
        <v>14279.190606810678</v>
      </c>
      <c r="AF84" s="345">
        <f t="shared" si="16"/>
        <v>14287.720439374241</v>
      </c>
      <c r="AG84" s="345">
        <f t="shared" si="16"/>
        <v>14296.85715407151</v>
      </c>
      <c r="AH84" s="345">
        <f t="shared" si="16"/>
        <v>14296.840596292603</v>
      </c>
    </row>
    <row r="85" spans="1:34" ht="14.25">
      <c r="A85" s="5"/>
      <c r="B85" s="5" t="s">
        <v>76</v>
      </c>
      <c r="C85" s="5"/>
      <c r="D85" s="108">
        <f>IRR(E85:AH85,FIRR!$C$56)</f>
        <v>0.2716624150164218</v>
      </c>
      <c r="E85" s="345">
        <f aca="true" t="shared" si="17" ref="E85:AH85">E82-E83-E84</f>
        <v>-88051.896825</v>
      </c>
      <c r="F85" s="345">
        <f t="shared" si="17"/>
        <v>-64925.25039563494</v>
      </c>
      <c r="G85" s="345">
        <f t="shared" si="17"/>
        <v>-137714.9588979244</v>
      </c>
      <c r="H85" s="345">
        <f t="shared" si="17"/>
        <v>-217558.5008361248</v>
      </c>
      <c r="I85" s="345">
        <f t="shared" si="17"/>
        <v>133914.1717294912</v>
      </c>
      <c r="J85" s="345">
        <f t="shared" si="17"/>
        <v>140736.14504068263</v>
      </c>
      <c r="K85" s="345">
        <f t="shared" si="17"/>
        <v>189871.75506915414</v>
      </c>
      <c r="L85" s="345">
        <f t="shared" si="17"/>
        <v>201247.33511560044</v>
      </c>
      <c r="M85" s="345">
        <f t="shared" si="17"/>
        <v>212608.29739937442</v>
      </c>
      <c r="N85" s="345">
        <f t="shared" si="17"/>
        <v>223976.00854755344</v>
      </c>
      <c r="O85" s="345">
        <f t="shared" si="17"/>
        <v>209604.21907412456</v>
      </c>
      <c r="P85" s="345">
        <f t="shared" si="17"/>
        <v>246561.64439990665</v>
      </c>
      <c r="Q85" s="345">
        <f t="shared" si="17"/>
        <v>105201.69067130779</v>
      </c>
      <c r="R85" s="345">
        <f t="shared" si="17"/>
        <v>261404.65437786496</v>
      </c>
      <c r="S85" s="345">
        <f t="shared" si="17"/>
        <v>264936.6658695097</v>
      </c>
      <c r="T85" s="345">
        <f t="shared" si="17"/>
        <v>276228.93231420807</v>
      </c>
      <c r="U85" s="345">
        <f t="shared" si="17"/>
        <v>253997.55799948063</v>
      </c>
      <c r="V85" s="345">
        <f t="shared" si="17"/>
        <v>283089.46759598894</v>
      </c>
      <c r="W85" s="345">
        <f t="shared" si="17"/>
        <v>286537.75566505024</v>
      </c>
      <c r="X85" s="345">
        <f t="shared" si="17"/>
        <v>301627.40282435104</v>
      </c>
      <c r="Y85" s="345">
        <f t="shared" si="17"/>
        <v>301238.2523658438</v>
      </c>
      <c r="Z85" s="345">
        <f t="shared" si="17"/>
        <v>300824.1329031782</v>
      </c>
      <c r="AA85" s="345">
        <f t="shared" si="17"/>
        <v>151857.81611182063</v>
      </c>
      <c r="AB85" s="345">
        <f t="shared" si="17"/>
        <v>300642.37092174456</v>
      </c>
      <c r="AC85" s="345">
        <f t="shared" si="17"/>
        <v>300635.41646168067</v>
      </c>
      <c r="AD85" s="345">
        <f t="shared" si="17"/>
        <v>300627.97505306994</v>
      </c>
      <c r="AE85" s="345">
        <f t="shared" si="17"/>
        <v>300620.00939318934</v>
      </c>
      <c r="AF85" s="345">
        <f t="shared" si="17"/>
        <v>300611.4795606258</v>
      </c>
      <c r="AG85" s="345">
        <f t="shared" si="17"/>
        <v>300602.3428459285</v>
      </c>
      <c r="AH85" s="345">
        <f t="shared" si="17"/>
        <v>300602.35940370744</v>
      </c>
    </row>
    <row r="86" spans="1:34" ht="14.25">
      <c r="A86" s="5"/>
      <c r="B86" s="5"/>
      <c r="C86" s="103"/>
      <c r="D86" s="108"/>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row>
    <row r="87" spans="1:34" ht="14.25">
      <c r="A87" s="5"/>
      <c r="B87" s="5" t="s">
        <v>58</v>
      </c>
      <c r="C87" s="103"/>
      <c r="D87" s="5">
        <v>1</v>
      </c>
      <c r="E87" s="345">
        <f aca="true" t="shared" si="18" ref="E87:AH87">$D87*E$31</f>
        <v>17640</v>
      </c>
      <c r="F87" s="345">
        <f t="shared" si="18"/>
        <v>98846.03076923077</v>
      </c>
      <c r="G87" s="345">
        <f t="shared" si="18"/>
        <v>112989.04615384615</v>
      </c>
      <c r="H87" s="345">
        <f t="shared" si="18"/>
        <v>130667.81538461539</v>
      </c>
      <c r="I87" s="345">
        <f t="shared" si="18"/>
        <v>130698.83076923077</v>
      </c>
      <c r="J87" s="345">
        <f t="shared" si="18"/>
        <v>151913.35384615386</v>
      </c>
      <c r="K87" s="345">
        <f t="shared" si="18"/>
        <v>180199.38461538462</v>
      </c>
      <c r="L87" s="345">
        <f t="shared" si="18"/>
        <v>190806.64615384617</v>
      </c>
      <c r="M87" s="345">
        <f t="shared" si="18"/>
        <v>201413.9076923077</v>
      </c>
      <c r="N87" s="345">
        <f t="shared" si="18"/>
        <v>212021.16923076927</v>
      </c>
      <c r="O87" s="345">
        <f t="shared" si="18"/>
        <v>222628.43076923076</v>
      </c>
      <c r="P87" s="345">
        <f t="shared" si="18"/>
        <v>233235.6923076923</v>
      </c>
      <c r="Q87" s="345">
        <f t="shared" si="18"/>
        <v>240307.20000000004</v>
      </c>
      <c r="R87" s="345">
        <f t="shared" si="18"/>
        <v>247378.7076923077</v>
      </c>
      <c r="S87" s="345">
        <f t="shared" si="18"/>
        <v>250914.46153846156</v>
      </c>
      <c r="T87" s="345">
        <f t="shared" si="18"/>
        <v>261521.7230769231</v>
      </c>
      <c r="U87" s="345">
        <f t="shared" si="18"/>
        <v>265057.4769230769</v>
      </c>
      <c r="V87" s="345">
        <f t="shared" si="18"/>
        <v>268593.2307692308</v>
      </c>
      <c r="W87" s="345">
        <f t="shared" si="18"/>
        <v>272128.98461538466</v>
      </c>
      <c r="X87" s="345">
        <f t="shared" si="18"/>
        <v>286272</v>
      </c>
      <c r="Y87" s="345">
        <f t="shared" si="18"/>
        <v>286272</v>
      </c>
      <c r="Z87" s="345">
        <f t="shared" si="18"/>
        <v>286272</v>
      </c>
      <c r="AA87" s="345">
        <f t="shared" si="18"/>
        <v>286272</v>
      </c>
      <c r="AB87" s="345">
        <f t="shared" si="18"/>
        <v>286272</v>
      </c>
      <c r="AC87" s="345">
        <f t="shared" si="18"/>
        <v>286272</v>
      </c>
      <c r="AD87" s="345">
        <f t="shared" si="18"/>
        <v>286272</v>
      </c>
      <c r="AE87" s="345">
        <f t="shared" si="18"/>
        <v>286272</v>
      </c>
      <c r="AF87" s="345">
        <f t="shared" si="18"/>
        <v>286272</v>
      </c>
      <c r="AG87" s="345">
        <f t="shared" si="18"/>
        <v>286272</v>
      </c>
      <c r="AH87" s="345">
        <f t="shared" si="18"/>
        <v>286272</v>
      </c>
    </row>
    <row r="88" spans="1:34" ht="14.25">
      <c r="A88" s="5"/>
      <c r="B88" s="5" t="s">
        <v>78</v>
      </c>
      <c r="C88" s="5"/>
      <c r="D88" s="5">
        <v>1.1</v>
      </c>
      <c r="E88" s="345">
        <f aca="true" t="shared" si="19" ref="E88:AH88">$D88*SUM(E$33:E$41)</f>
        <v>118201.48650750001</v>
      </c>
      <c r="F88" s="345">
        <f t="shared" si="19"/>
        <v>191021.47266596768</v>
      </c>
      <c r="G88" s="345">
        <f t="shared" si="19"/>
        <v>288203.2006338707</v>
      </c>
      <c r="H88" s="345">
        <f t="shared" si="19"/>
        <v>397422.4075351219</v>
      </c>
      <c r="I88" s="345">
        <f t="shared" si="19"/>
        <v>2258.025</v>
      </c>
      <c r="J88" s="345">
        <f t="shared" si="19"/>
        <v>20130</v>
      </c>
      <c r="K88" s="345">
        <f t="shared" si="19"/>
        <v>0</v>
      </c>
      <c r="L88" s="345">
        <f t="shared" si="19"/>
        <v>0</v>
      </c>
      <c r="M88" s="345">
        <f t="shared" si="19"/>
        <v>0</v>
      </c>
      <c r="N88" s="345">
        <f t="shared" si="19"/>
        <v>0</v>
      </c>
      <c r="O88" s="345">
        <f t="shared" si="19"/>
        <v>28182.000000000004</v>
      </c>
      <c r="P88" s="345">
        <f t="shared" si="19"/>
        <v>0</v>
      </c>
      <c r="Q88" s="345">
        <f t="shared" si="19"/>
        <v>163669.93013023262</v>
      </c>
      <c r="R88" s="345">
        <f t="shared" si="19"/>
        <v>0</v>
      </c>
      <c r="S88" s="345">
        <f t="shared" si="19"/>
        <v>0</v>
      </c>
      <c r="T88" s="345">
        <f t="shared" si="19"/>
        <v>0</v>
      </c>
      <c r="U88" s="345">
        <f t="shared" si="19"/>
        <v>28182.000000000004</v>
      </c>
      <c r="V88" s="345">
        <f t="shared" si="19"/>
        <v>0</v>
      </c>
      <c r="W88" s="345">
        <f t="shared" si="19"/>
        <v>0</v>
      </c>
      <c r="X88" s="345">
        <f t="shared" si="19"/>
        <v>0</v>
      </c>
      <c r="Y88" s="345">
        <f t="shared" si="19"/>
        <v>0</v>
      </c>
      <c r="Z88" s="345">
        <f t="shared" si="19"/>
        <v>0</v>
      </c>
      <c r="AA88" s="345">
        <f t="shared" si="19"/>
        <v>163669.93013023262</v>
      </c>
      <c r="AB88" s="345">
        <f t="shared" si="19"/>
        <v>0</v>
      </c>
      <c r="AC88" s="345">
        <f t="shared" si="19"/>
        <v>0</v>
      </c>
      <c r="AD88" s="345">
        <f t="shared" si="19"/>
        <v>0</v>
      </c>
      <c r="AE88" s="345">
        <f t="shared" si="19"/>
        <v>0</v>
      </c>
      <c r="AF88" s="345">
        <f t="shared" si="19"/>
        <v>0</v>
      </c>
      <c r="AG88" s="345">
        <f t="shared" si="19"/>
        <v>0</v>
      </c>
      <c r="AH88" s="345">
        <f t="shared" si="19"/>
        <v>0</v>
      </c>
    </row>
    <row r="89" spans="1:34" ht="14.25">
      <c r="A89" s="5"/>
      <c r="B89" s="5" t="s">
        <v>79</v>
      </c>
      <c r="C89" s="5"/>
      <c r="D89" s="5">
        <v>1</v>
      </c>
      <c r="E89" s="345">
        <f aca="true" t="shared" si="20" ref="E89:AH89">$D89*SUM(E$45:E$52)</f>
        <v>0</v>
      </c>
      <c r="F89" s="345">
        <f t="shared" si="20"/>
        <v>0</v>
      </c>
      <c r="G89" s="345">
        <f t="shared" si="20"/>
        <v>0</v>
      </c>
      <c r="H89" s="345">
        <f t="shared" si="20"/>
        <v>0</v>
      </c>
      <c r="I89" s="345">
        <f t="shared" si="20"/>
        <v>7801.792116662655</v>
      </c>
      <c r="J89" s="345">
        <f t="shared" si="20"/>
        <v>8068.544190086621</v>
      </c>
      <c r="K89" s="345">
        <f t="shared" si="20"/>
        <v>8347.568007768987</v>
      </c>
      <c r="L89" s="345">
        <f t="shared" si="20"/>
        <v>8639.975653630361</v>
      </c>
      <c r="M89" s="345">
        <f t="shared" si="20"/>
        <v>8947.001062164045</v>
      </c>
      <c r="N89" s="345">
        <f t="shared" si="20"/>
        <v>9247.277606292773</v>
      </c>
      <c r="O89" s="345">
        <f t="shared" si="20"/>
        <v>9667.05477202932</v>
      </c>
      <c r="P89" s="345">
        <f t="shared" si="20"/>
        <v>9997.61713855492</v>
      </c>
      <c r="Q89" s="345">
        <f t="shared" si="20"/>
        <v>10345.383755753523</v>
      </c>
      <c r="R89" s="345">
        <f t="shared" si="20"/>
        <v>10711.924083673508</v>
      </c>
      <c r="S89" s="345">
        <f t="shared" si="20"/>
        <v>11069.241822798047</v>
      </c>
      <c r="T89" s="345">
        <f t="shared" si="20"/>
        <v>11444.963070407417</v>
      </c>
      <c r="U89" s="345">
        <f t="shared" si="20"/>
        <v>11945.666615903956</v>
      </c>
      <c r="V89" s="345">
        <f t="shared" si="20"/>
        <v>12363.086250164946</v>
      </c>
      <c r="W89" s="345">
        <f t="shared" si="20"/>
        <v>12804.127411872876</v>
      </c>
      <c r="X89" s="345">
        <f t="shared" si="20"/>
        <v>13271.797175648966</v>
      </c>
      <c r="Y89" s="345">
        <f t="shared" si="20"/>
        <v>13660.947634156215</v>
      </c>
      <c r="Z89" s="345">
        <f t="shared" si="20"/>
        <v>14075.067096821773</v>
      </c>
      <c r="AA89" s="345">
        <f t="shared" si="20"/>
        <v>14250.538315240643</v>
      </c>
      <c r="AB89" s="345">
        <f t="shared" si="20"/>
        <v>14256.829078255472</v>
      </c>
      <c r="AC89" s="345">
        <f t="shared" si="20"/>
        <v>14263.783538319349</v>
      </c>
      <c r="AD89" s="345">
        <f t="shared" si="20"/>
        <v>14271.224946930088</v>
      </c>
      <c r="AE89" s="345">
        <f t="shared" si="20"/>
        <v>14279.190606810678</v>
      </c>
      <c r="AF89" s="345">
        <f t="shared" si="20"/>
        <v>14287.720439374241</v>
      </c>
      <c r="AG89" s="345">
        <f t="shared" si="20"/>
        <v>14296.85715407151</v>
      </c>
      <c r="AH89" s="345">
        <f t="shared" si="20"/>
        <v>14296.840596292603</v>
      </c>
    </row>
    <row r="90" spans="1:34" ht="14.25">
      <c r="A90" s="5"/>
      <c r="B90" s="5" t="s">
        <v>76</v>
      </c>
      <c r="C90" s="5"/>
      <c r="D90" s="108">
        <f>IRR(E90:AH90,FIRR!$C$56)</f>
        <v>0.2147631333537284</v>
      </c>
      <c r="E90" s="345">
        <f aca="true" t="shared" si="21" ref="E90:AH90">E87-E88-E89</f>
        <v>-100561.48650750001</v>
      </c>
      <c r="F90" s="345">
        <f t="shared" si="21"/>
        <v>-92175.44189673691</v>
      </c>
      <c r="G90" s="345">
        <f t="shared" si="21"/>
        <v>-175214.1544800246</v>
      </c>
      <c r="H90" s="345">
        <f t="shared" si="21"/>
        <v>-266754.5921505065</v>
      </c>
      <c r="I90" s="345">
        <f t="shared" si="21"/>
        <v>120639.01365256813</v>
      </c>
      <c r="J90" s="345">
        <f t="shared" si="21"/>
        <v>123714.80965606723</v>
      </c>
      <c r="K90" s="345">
        <f t="shared" si="21"/>
        <v>171851.81660761565</v>
      </c>
      <c r="L90" s="345">
        <f t="shared" si="21"/>
        <v>182166.6705002158</v>
      </c>
      <c r="M90" s="345">
        <f t="shared" si="21"/>
        <v>192466.90663014364</v>
      </c>
      <c r="N90" s="345">
        <f t="shared" si="21"/>
        <v>202773.8916244765</v>
      </c>
      <c r="O90" s="345">
        <f t="shared" si="21"/>
        <v>184779.37599720145</v>
      </c>
      <c r="P90" s="345">
        <f t="shared" si="21"/>
        <v>223238.0751691374</v>
      </c>
      <c r="Q90" s="345">
        <f t="shared" si="21"/>
        <v>66291.8861140139</v>
      </c>
      <c r="R90" s="345">
        <f t="shared" si="21"/>
        <v>236666.7836086342</v>
      </c>
      <c r="S90" s="345">
        <f t="shared" si="21"/>
        <v>239845.21971566352</v>
      </c>
      <c r="T90" s="345">
        <f t="shared" si="21"/>
        <v>250076.7600065157</v>
      </c>
      <c r="U90" s="345">
        <f t="shared" si="21"/>
        <v>224929.81030717294</v>
      </c>
      <c r="V90" s="345">
        <f t="shared" si="21"/>
        <v>256230.14451906586</v>
      </c>
      <c r="W90" s="345">
        <f t="shared" si="21"/>
        <v>259324.85720351178</v>
      </c>
      <c r="X90" s="345">
        <f t="shared" si="21"/>
        <v>273000.202824351</v>
      </c>
      <c r="Y90" s="345">
        <f t="shared" si="21"/>
        <v>272611.0523658438</v>
      </c>
      <c r="Z90" s="345">
        <f t="shared" si="21"/>
        <v>272196.9329031782</v>
      </c>
      <c r="AA90" s="345">
        <f t="shared" si="21"/>
        <v>108351.53155452674</v>
      </c>
      <c r="AB90" s="345">
        <f t="shared" si="21"/>
        <v>272015.17092174455</v>
      </c>
      <c r="AC90" s="345">
        <f t="shared" si="21"/>
        <v>272008.21646168065</v>
      </c>
      <c r="AD90" s="345">
        <f t="shared" si="21"/>
        <v>272000.7750530699</v>
      </c>
      <c r="AE90" s="345">
        <f t="shared" si="21"/>
        <v>271992.8093931893</v>
      </c>
      <c r="AF90" s="345">
        <f t="shared" si="21"/>
        <v>271984.2795606258</v>
      </c>
      <c r="AG90" s="345">
        <f t="shared" si="21"/>
        <v>271975.1428459285</v>
      </c>
      <c r="AH90" s="345">
        <f t="shared" si="21"/>
        <v>271975.1594037074</v>
      </c>
    </row>
    <row r="91" spans="1:34" ht="14.25">
      <c r="A91" s="5"/>
      <c r="B91" s="5"/>
      <c r="C91" s="5"/>
      <c r="D91" s="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row>
    <row r="92" spans="1:34" ht="14.25">
      <c r="A92" s="5"/>
      <c r="B92" s="5" t="s">
        <v>58</v>
      </c>
      <c r="C92" s="103"/>
      <c r="D92" s="5">
        <v>1</v>
      </c>
      <c r="E92" s="345">
        <f aca="true" t="shared" si="22" ref="E92:AH92">$D92*E$31</f>
        <v>17640</v>
      </c>
      <c r="F92" s="345">
        <f t="shared" si="22"/>
        <v>98846.03076923077</v>
      </c>
      <c r="G92" s="345">
        <f t="shared" si="22"/>
        <v>112989.04615384615</v>
      </c>
      <c r="H92" s="345">
        <f t="shared" si="22"/>
        <v>130667.81538461539</v>
      </c>
      <c r="I92" s="345">
        <f t="shared" si="22"/>
        <v>130698.83076923077</v>
      </c>
      <c r="J92" s="345">
        <f t="shared" si="22"/>
        <v>151913.35384615386</v>
      </c>
      <c r="K92" s="345">
        <f t="shared" si="22"/>
        <v>180199.38461538462</v>
      </c>
      <c r="L92" s="345">
        <f t="shared" si="22"/>
        <v>190806.64615384617</v>
      </c>
      <c r="M92" s="345">
        <f t="shared" si="22"/>
        <v>201413.9076923077</v>
      </c>
      <c r="N92" s="345">
        <f t="shared" si="22"/>
        <v>212021.16923076927</v>
      </c>
      <c r="O92" s="345">
        <f t="shared" si="22"/>
        <v>222628.43076923076</v>
      </c>
      <c r="P92" s="345">
        <f t="shared" si="22"/>
        <v>233235.6923076923</v>
      </c>
      <c r="Q92" s="345">
        <f t="shared" si="22"/>
        <v>240307.20000000004</v>
      </c>
      <c r="R92" s="345">
        <f t="shared" si="22"/>
        <v>247378.7076923077</v>
      </c>
      <c r="S92" s="345">
        <f t="shared" si="22"/>
        <v>250914.46153846156</v>
      </c>
      <c r="T92" s="345">
        <f t="shared" si="22"/>
        <v>261521.7230769231</v>
      </c>
      <c r="U92" s="345">
        <f t="shared" si="22"/>
        <v>265057.4769230769</v>
      </c>
      <c r="V92" s="345">
        <f t="shared" si="22"/>
        <v>268593.2307692308</v>
      </c>
      <c r="W92" s="345">
        <f t="shared" si="22"/>
        <v>272128.98461538466</v>
      </c>
      <c r="X92" s="345">
        <f t="shared" si="22"/>
        <v>286272</v>
      </c>
      <c r="Y92" s="345">
        <f t="shared" si="22"/>
        <v>286272</v>
      </c>
      <c r="Z92" s="345">
        <f t="shared" si="22"/>
        <v>286272</v>
      </c>
      <c r="AA92" s="345">
        <f t="shared" si="22"/>
        <v>286272</v>
      </c>
      <c r="AB92" s="345">
        <f t="shared" si="22"/>
        <v>286272</v>
      </c>
      <c r="AC92" s="345">
        <f t="shared" si="22"/>
        <v>286272</v>
      </c>
      <c r="AD92" s="345">
        <f t="shared" si="22"/>
        <v>286272</v>
      </c>
      <c r="AE92" s="345">
        <f t="shared" si="22"/>
        <v>286272</v>
      </c>
      <c r="AF92" s="345">
        <f t="shared" si="22"/>
        <v>286272</v>
      </c>
      <c r="AG92" s="345">
        <f t="shared" si="22"/>
        <v>286272</v>
      </c>
      <c r="AH92" s="345">
        <f t="shared" si="22"/>
        <v>286272</v>
      </c>
    </row>
    <row r="93" spans="1:34" ht="14.25">
      <c r="A93" s="5"/>
      <c r="B93" s="5" t="s">
        <v>78</v>
      </c>
      <c r="C93" s="5"/>
      <c r="D93" s="5">
        <v>1</v>
      </c>
      <c r="E93" s="345">
        <f aca="true" t="shared" si="23" ref="E93:AH93">$D93*SUM(E$33:E$41)</f>
        <v>107455.896825</v>
      </c>
      <c r="F93" s="345">
        <f t="shared" si="23"/>
        <v>173655.8842417888</v>
      </c>
      <c r="G93" s="345">
        <f t="shared" si="23"/>
        <v>262002.90966715518</v>
      </c>
      <c r="H93" s="345">
        <f t="shared" si="23"/>
        <v>361293.0977592017</v>
      </c>
      <c r="I93" s="345">
        <f t="shared" si="23"/>
        <v>2052.75</v>
      </c>
      <c r="J93" s="345">
        <f t="shared" si="23"/>
        <v>18300</v>
      </c>
      <c r="K93" s="345">
        <f t="shared" si="23"/>
        <v>0</v>
      </c>
      <c r="L93" s="345">
        <f t="shared" si="23"/>
        <v>0</v>
      </c>
      <c r="M93" s="345">
        <f t="shared" si="23"/>
        <v>0</v>
      </c>
      <c r="N93" s="345">
        <f t="shared" si="23"/>
        <v>0</v>
      </c>
      <c r="O93" s="345">
        <f t="shared" si="23"/>
        <v>25620</v>
      </c>
      <c r="P93" s="345">
        <f t="shared" si="23"/>
        <v>0</v>
      </c>
      <c r="Q93" s="345">
        <f t="shared" si="23"/>
        <v>148790.84557293874</v>
      </c>
      <c r="R93" s="345">
        <f t="shared" si="23"/>
        <v>0</v>
      </c>
      <c r="S93" s="345">
        <f t="shared" si="23"/>
        <v>0</v>
      </c>
      <c r="T93" s="345">
        <f t="shared" si="23"/>
        <v>0</v>
      </c>
      <c r="U93" s="345">
        <f t="shared" si="23"/>
        <v>25620</v>
      </c>
      <c r="V93" s="345">
        <f t="shared" si="23"/>
        <v>0</v>
      </c>
      <c r="W93" s="345">
        <f t="shared" si="23"/>
        <v>0</v>
      </c>
      <c r="X93" s="345">
        <f t="shared" si="23"/>
        <v>0</v>
      </c>
      <c r="Y93" s="345">
        <f t="shared" si="23"/>
        <v>0</v>
      </c>
      <c r="Z93" s="345">
        <f t="shared" si="23"/>
        <v>0</v>
      </c>
      <c r="AA93" s="345">
        <f t="shared" si="23"/>
        <v>148790.84557293874</v>
      </c>
      <c r="AB93" s="345">
        <f t="shared" si="23"/>
        <v>0</v>
      </c>
      <c r="AC93" s="345">
        <f t="shared" si="23"/>
        <v>0</v>
      </c>
      <c r="AD93" s="345">
        <f t="shared" si="23"/>
        <v>0</v>
      </c>
      <c r="AE93" s="345">
        <f t="shared" si="23"/>
        <v>0</v>
      </c>
      <c r="AF93" s="345">
        <f t="shared" si="23"/>
        <v>0</v>
      </c>
      <c r="AG93" s="345">
        <f t="shared" si="23"/>
        <v>0</v>
      </c>
      <c r="AH93" s="345">
        <f t="shared" si="23"/>
        <v>0</v>
      </c>
    </row>
    <row r="94" spans="1:34" ht="14.25">
      <c r="A94" s="5"/>
      <c r="B94" s="5" t="s">
        <v>79</v>
      </c>
      <c r="C94" s="5"/>
      <c r="D94" s="5">
        <v>1.1</v>
      </c>
      <c r="E94" s="345">
        <f aca="true" t="shared" si="24" ref="E94:AH94">$D94*SUM(E$45:E$52)</f>
        <v>0</v>
      </c>
      <c r="F94" s="345">
        <f t="shared" si="24"/>
        <v>0</v>
      </c>
      <c r="G94" s="345">
        <f t="shared" si="24"/>
        <v>0</v>
      </c>
      <c r="H94" s="345">
        <f t="shared" si="24"/>
        <v>0</v>
      </c>
      <c r="I94" s="345">
        <f t="shared" si="24"/>
        <v>8581.97132832892</v>
      </c>
      <c r="J94" s="345">
        <f t="shared" si="24"/>
        <v>8875.398609095284</v>
      </c>
      <c r="K94" s="345">
        <f t="shared" si="24"/>
        <v>9182.324808545885</v>
      </c>
      <c r="L94" s="345">
        <f t="shared" si="24"/>
        <v>9503.973218993398</v>
      </c>
      <c r="M94" s="345">
        <f t="shared" si="24"/>
        <v>9841.70116838045</v>
      </c>
      <c r="N94" s="345">
        <f t="shared" si="24"/>
        <v>10172.00536692205</v>
      </c>
      <c r="O94" s="345">
        <f t="shared" si="24"/>
        <v>10633.760249232253</v>
      </c>
      <c r="P94" s="345">
        <f t="shared" si="24"/>
        <v>10997.378852410413</v>
      </c>
      <c r="Q94" s="345">
        <f t="shared" si="24"/>
        <v>11379.922131328876</v>
      </c>
      <c r="R94" s="345">
        <f t="shared" si="24"/>
        <v>11783.11649204086</v>
      </c>
      <c r="S94" s="345">
        <f t="shared" si="24"/>
        <v>12176.166005077852</v>
      </c>
      <c r="T94" s="345">
        <f t="shared" si="24"/>
        <v>12589.45937744816</v>
      </c>
      <c r="U94" s="345">
        <f t="shared" si="24"/>
        <v>13140.233277494353</v>
      </c>
      <c r="V94" s="345">
        <f t="shared" si="24"/>
        <v>13599.394875181442</v>
      </c>
      <c r="W94" s="345">
        <f t="shared" si="24"/>
        <v>14084.540153060165</v>
      </c>
      <c r="X94" s="345">
        <f t="shared" si="24"/>
        <v>14598.976893213863</v>
      </c>
      <c r="Y94" s="345">
        <f t="shared" si="24"/>
        <v>15027.042397571837</v>
      </c>
      <c r="Z94" s="345">
        <f t="shared" si="24"/>
        <v>15482.573806503951</v>
      </c>
      <c r="AA94" s="345">
        <f t="shared" si="24"/>
        <v>15675.592146764708</v>
      </c>
      <c r="AB94" s="345">
        <f t="shared" si="24"/>
        <v>15682.511986081021</v>
      </c>
      <c r="AC94" s="345">
        <f t="shared" si="24"/>
        <v>15690.161892151285</v>
      </c>
      <c r="AD94" s="345">
        <f t="shared" si="24"/>
        <v>15698.347441623098</v>
      </c>
      <c r="AE94" s="345">
        <f t="shared" si="24"/>
        <v>15707.109667491748</v>
      </c>
      <c r="AF94" s="345">
        <f t="shared" si="24"/>
        <v>15716.492483311667</v>
      </c>
      <c r="AG94" s="345">
        <f t="shared" si="24"/>
        <v>15726.54286947866</v>
      </c>
      <c r="AH94" s="345">
        <f t="shared" si="24"/>
        <v>15726.524655921865</v>
      </c>
    </row>
    <row r="95" spans="1:34" ht="14.25">
      <c r="A95" s="5"/>
      <c r="B95" s="5" t="s">
        <v>76</v>
      </c>
      <c r="C95" s="5"/>
      <c r="D95" s="108">
        <f>IRR(E95:AH95,FIRR!$C$56)</f>
        <v>0.23989302548216715</v>
      </c>
      <c r="E95" s="345">
        <f aca="true" t="shared" si="25" ref="E95:AH95">E92-E93-E94</f>
        <v>-89815.896825</v>
      </c>
      <c r="F95" s="345">
        <f t="shared" si="25"/>
        <v>-74809.85347255802</v>
      </c>
      <c r="G95" s="345">
        <f t="shared" si="25"/>
        <v>-149013.86351330904</v>
      </c>
      <c r="H95" s="345">
        <f t="shared" si="25"/>
        <v>-230625.28237458633</v>
      </c>
      <c r="I95" s="345">
        <f t="shared" si="25"/>
        <v>120064.10944090186</v>
      </c>
      <c r="J95" s="345">
        <f t="shared" si="25"/>
        <v>124737.95523705857</v>
      </c>
      <c r="K95" s="345">
        <f t="shared" si="25"/>
        <v>171017.05980683875</v>
      </c>
      <c r="L95" s="345">
        <f t="shared" si="25"/>
        <v>181302.67293485277</v>
      </c>
      <c r="M95" s="345">
        <f t="shared" si="25"/>
        <v>191572.20652392725</v>
      </c>
      <c r="N95" s="345">
        <f t="shared" si="25"/>
        <v>201849.1638638472</v>
      </c>
      <c r="O95" s="345">
        <f t="shared" si="25"/>
        <v>186374.6705199985</v>
      </c>
      <c r="P95" s="345">
        <f t="shared" si="25"/>
        <v>222238.3134552819</v>
      </c>
      <c r="Q95" s="345">
        <f t="shared" si="25"/>
        <v>80136.43229573243</v>
      </c>
      <c r="R95" s="345">
        <f t="shared" si="25"/>
        <v>235595.59120026685</v>
      </c>
      <c r="S95" s="345">
        <f t="shared" si="25"/>
        <v>238738.2955333837</v>
      </c>
      <c r="T95" s="345">
        <f t="shared" si="25"/>
        <v>248932.26369947495</v>
      </c>
      <c r="U95" s="345">
        <f t="shared" si="25"/>
        <v>226297.24364558255</v>
      </c>
      <c r="V95" s="345">
        <f t="shared" si="25"/>
        <v>254993.83589404938</v>
      </c>
      <c r="W95" s="345">
        <f t="shared" si="25"/>
        <v>258044.4444623245</v>
      </c>
      <c r="X95" s="345">
        <f t="shared" si="25"/>
        <v>271673.02310678613</v>
      </c>
      <c r="Y95" s="345">
        <f t="shared" si="25"/>
        <v>271244.95760242816</v>
      </c>
      <c r="Z95" s="345">
        <f t="shared" si="25"/>
        <v>270789.42619349604</v>
      </c>
      <c r="AA95" s="345">
        <f t="shared" si="25"/>
        <v>121805.56228029655</v>
      </c>
      <c r="AB95" s="345">
        <f t="shared" si="25"/>
        <v>270589.488013919</v>
      </c>
      <c r="AC95" s="345">
        <f t="shared" si="25"/>
        <v>270581.8381078487</v>
      </c>
      <c r="AD95" s="345">
        <f t="shared" si="25"/>
        <v>270573.6525583769</v>
      </c>
      <c r="AE95" s="345">
        <f t="shared" si="25"/>
        <v>270564.89033250825</v>
      </c>
      <c r="AF95" s="345">
        <f t="shared" si="25"/>
        <v>270555.5075166883</v>
      </c>
      <c r="AG95" s="345">
        <f t="shared" si="25"/>
        <v>270545.45713052136</v>
      </c>
      <c r="AH95" s="345">
        <f t="shared" si="25"/>
        <v>270545.47534407815</v>
      </c>
    </row>
    <row r="96" spans="1:34" ht="14.25">
      <c r="A96" s="5"/>
      <c r="B96" s="5"/>
      <c r="C96" s="5"/>
      <c r="D96" s="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row>
    <row r="97" spans="1:34" ht="14.25">
      <c r="A97" s="5"/>
      <c r="B97" s="5" t="s">
        <v>58</v>
      </c>
      <c r="C97" s="103"/>
      <c r="D97" s="5">
        <v>1.05</v>
      </c>
      <c r="E97" s="345">
        <f aca="true" t="shared" si="26" ref="E97:AH97">$D97*E$31</f>
        <v>18522</v>
      </c>
      <c r="F97" s="345">
        <f t="shared" si="26"/>
        <v>103788.33230769231</v>
      </c>
      <c r="G97" s="345">
        <f t="shared" si="26"/>
        <v>118638.49846153846</v>
      </c>
      <c r="H97" s="345">
        <f t="shared" si="26"/>
        <v>137201.20615384617</v>
      </c>
      <c r="I97" s="345">
        <f t="shared" si="26"/>
        <v>137233.77230769233</v>
      </c>
      <c r="J97" s="345">
        <f t="shared" si="26"/>
        <v>159509.02153846156</v>
      </c>
      <c r="K97" s="345">
        <f t="shared" si="26"/>
        <v>189209.35384615386</v>
      </c>
      <c r="L97" s="345">
        <f t="shared" si="26"/>
        <v>200346.9784615385</v>
      </c>
      <c r="M97" s="345">
        <f t="shared" si="26"/>
        <v>211484.6030769231</v>
      </c>
      <c r="N97" s="345">
        <f t="shared" si="26"/>
        <v>222622.22769230776</v>
      </c>
      <c r="O97" s="345">
        <f t="shared" si="26"/>
        <v>233759.85230769232</v>
      </c>
      <c r="P97" s="345">
        <f t="shared" si="26"/>
        <v>244897.47692307693</v>
      </c>
      <c r="Q97" s="345">
        <f t="shared" si="26"/>
        <v>252322.56000000006</v>
      </c>
      <c r="R97" s="345">
        <f t="shared" si="26"/>
        <v>259747.6430769231</v>
      </c>
      <c r="S97" s="345">
        <f t="shared" si="26"/>
        <v>263460.1846153847</v>
      </c>
      <c r="T97" s="345">
        <f t="shared" si="26"/>
        <v>274597.8092307693</v>
      </c>
      <c r="U97" s="345">
        <f t="shared" si="26"/>
        <v>278310.35076923075</v>
      </c>
      <c r="V97" s="345">
        <f t="shared" si="26"/>
        <v>282022.8923076924</v>
      </c>
      <c r="W97" s="345">
        <f t="shared" si="26"/>
        <v>285735.4338461539</v>
      </c>
      <c r="X97" s="345">
        <f t="shared" si="26"/>
        <v>300585.60000000003</v>
      </c>
      <c r="Y97" s="345">
        <f t="shared" si="26"/>
        <v>300585.60000000003</v>
      </c>
      <c r="Z97" s="345">
        <f t="shared" si="26"/>
        <v>300585.60000000003</v>
      </c>
      <c r="AA97" s="345">
        <f t="shared" si="26"/>
        <v>300585.60000000003</v>
      </c>
      <c r="AB97" s="345">
        <f t="shared" si="26"/>
        <v>300585.60000000003</v>
      </c>
      <c r="AC97" s="345">
        <f t="shared" si="26"/>
        <v>300585.60000000003</v>
      </c>
      <c r="AD97" s="345">
        <f t="shared" si="26"/>
        <v>300585.60000000003</v>
      </c>
      <c r="AE97" s="345">
        <f t="shared" si="26"/>
        <v>300585.60000000003</v>
      </c>
      <c r="AF97" s="345">
        <f t="shared" si="26"/>
        <v>300585.60000000003</v>
      </c>
      <c r="AG97" s="345">
        <f t="shared" si="26"/>
        <v>300585.60000000003</v>
      </c>
      <c r="AH97" s="345">
        <f t="shared" si="26"/>
        <v>300585.60000000003</v>
      </c>
    </row>
    <row r="98" spans="1:34" ht="14.25">
      <c r="A98" s="5"/>
      <c r="B98" s="5" t="s">
        <v>78</v>
      </c>
      <c r="C98" s="5"/>
      <c r="D98" s="5">
        <v>1</v>
      </c>
      <c r="E98" s="345">
        <f aca="true" t="shared" si="27" ref="E98:AH98">$D98*SUM(E$33:E$41)</f>
        <v>107455.896825</v>
      </c>
      <c r="F98" s="345">
        <f t="shared" si="27"/>
        <v>173655.8842417888</v>
      </c>
      <c r="G98" s="345">
        <f t="shared" si="27"/>
        <v>262002.90966715518</v>
      </c>
      <c r="H98" s="345">
        <f t="shared" si="27"/>
        <v>361293.0977592017</v>
      </c>
      <c r="I98" s="345">
        <f t="shared" si="27"/>
        <v>2052.75</v>
      </c>
      <c r="J98" s="345">
        <f t="shared" si="27"/>
        <v>18300</v>
      </c>
      <c r="K98" s="345">
        <f t="shared" si="27"/>
        <v>0</v>
      </c>
      <c r="L98" s="345">
        <f t="shared" si="27"/>
        <v>0</v>
      </c>
      <c r="M98" s="345">
        <f t="shared" si="27"/>
        <v>0</v>
      </c>
      <c r="N98" s="345">
        <f t="shared" si="27"/>
        <v>0</v>
      </c>
      <c r="O98" s="345">
        <f t="shared" si="27"/>
        <v>25620</v>
      </c>
      <c r="P98" s="345">
        <f t="shared" si="27"/>
        <v>0</v>
      </c>
      <c r="Q98" s="345">
        <f t="shared" si="27"/>
        <v>148790.84557293874</v>
      </c>
      <c r="R98" s="345">
        <f t="shared" si="27"/>
        <v>0</v>
      </c>
      <c r="S98" s="345">
        <f t="shared" si="27"/>
        <v>0</v>
      </c>
      <c r="T98" s="345">
        <f t="shared" si="27"/>
        <v>0</v>
      </c>
      <c r="U98" s="345">
        <f t="shared" si="27"/>
        <v>25620</v>
      </c>
      <c r="V98" s="345">
        <f t="shared" si="27"/>
        <v>0</v>
      </c>
      <c r="W98" s="345">
        <f t="shared" si="27"/>
        <v>0</v>
      </c>
      <c r="X98" s="345">
        <f t="shared" si="27"/>
        <v>0</v>
      </c>
      <c r="Y98" s="345">
        <f t="shared" si="27"/>
        <v>0</v>
      </c>
      <c r="Z98" s="345">
        <f t="shared" si="27"/>
        <v>0</v>
      </c>
      <c r="AA98" s="345">
        <f t="shared" si="27"/>
        <v>148790.84557293874</v>
      </c>
      <c r="AB98" s="345">
        <f t="shared" si="27"/>
        <v>0</v>
      </c>
      <c r="AC98" s="345">
        <f t="shared" si="27"/>
        <v>0</v>
      </c>
      <c r="AD98" s="345">
        <f t="shared" si="27"/>
        <v>0</v>
      </c>
      <c r="AE98" s="345">
        <f t="shared" si="27"/>
        <v>0</v>
      </c>
      <c r="AF98" s="345">
        <f t="shared" si="27"/>
        <v>0</v>
      </c>
      <c r="AG98" s="345">
        <f t="shared" si="27"/>
        <v>0</v>
      </c>
      <c r="AH98" s="345">
        <f t="shared" si="27"/>
        <v>0</v>
      </c>
    </row>
    <row r="99" spans="1:34" ht="14.25">
      <c r="A99" s="5"/>
      <c r="B99" s="5" t="s">
        <v>79</v>
      </c>
      <c r="C99" s="5"/>
      <c r="D99" s="5">
        <v>1</v>
      </c>
      <c r="E99" s="345">
        <f aca="true" t="shared" si="28" ref="E99:AH99">$D99*SUM(E$45:E$52)</f>
        <v>0</v>
      </c>
      <c r="F99" s="345">
        <f t="shared" si="28"/>
        <v>0</v>
      </c>
      <c r="G99" s="345">
        <f t="shared" si="28"/>
        <v>0</v>
      </c>
      <c r="H99" s="345">
        <f t="shared" si="28"/>
        <v>0</v>
      </c>
      <c r="I99" s="345">
        <f t="shared" si="28"/>
        <v>7801.792116662655</v>
      </c>
      <c r="J99" s="345">
        <f t="shared" si="28"/>
        <v>8068.544190086621</v>
      </c>
      <c r="K99" s="345">
        <f t="shared" si="28"/>
        <v>8347.568007768987</v>
      </c>
      <c r="L99" s="345">
        <f t="shared" si="28"/>
        <v>8639.975653630361</v>
      </c>
      <c r="M99" s="345">
        <f t="shared" si="28"/>
        <v>8947.001062164045</v>
      </c>
      <c r="N99" s="345">
        <f t="shared" si="28"/>
        <v>9247.277606292773</v>
      </c>
      <c r="O99" s="345">
        <f t="shared" si="28"/>
        <v>9667.05477202932</v>
      </c>
      <c r="P99" s="345">
        <f t="shared" si="28"/>
        <v>9997.61713855492</v>
      </c>
      <c r="Q99" s="345">
        <f t="shared" si="28"/>
        <v>10345.383755753523</v>
      </c>
      <c r="R99" s="345">
        <f t="shared" si="28"/>
        <v>10711.924083673508</v>
      </c>
      <c r="S99" s="345">
        <f t="shared" si="28"/>
        <v>11069.241822798047</v>
      </c>
      <c r="T99" s="345">
        <f t="shared" si="28"/>
        <v>11444.963070407417</v>
      </c>
      <c r="U99" s="345">
        <f t="shared" si="28"/>
        <v>11945.666615903956</v>
      </c>
      <c r="V99" s="345">
        <f t="shared" si="28"/>
        <v>12363.086250164946</v>
      </c>
      <c r="W99" s="345">
        <f t="shared" si="28"/>
        <v>12804.127411872876</v>
      </c>
      <c r="X99" s="345">
        <f t="shared" si="28"/>
        <v>13271.797175648966</v>
      </c>
      <c r="Y99" s="345">
        <f t="shared" si="28"/>
        <v>13660.947634156215</v>
      </c>
      <c r="Z99" s="345">
        <f t="shared" si="28"/>
        <v>14075.067096821773</v>
      </c>
      <c r="AA99" s="345">
        <f t="shared" si="28"/>
        <v>14250.538315240643</v>
      </c>
      <c r="AB99" s="345">
        <f t="shared" si="28"/>
        <v>14256.829078255472</v>
      </c>
      <c r="AC99" s="345">
        <f t="shared" si="28"/>
        <v>14263.783538319349</v>
      </c>
      <c r="AD99" s="345">
        <f t="shared" si="28"/>
        <v>14271.224946930088</v>
      </c>
      <c r="AE99" s="345">
        <f t="shared" si="28"/>
        <v>14279.190606810678</v>
      </c>
      <c r="AF99" s="345">
        <f t="shared" si="28"/>
        <v>14287.720439374241</v>
      </c>
      <c r="AG99" s="345">
        <f t="shared" si="28"/>
        <v>14296.85715407151</v>
      </c>
      <c r="AH99" s="345">
        <f t="shared" si="28"/>
        <v>14296.840596292603</v>
      </c>
    </row>
    <row r="100" spans="1:34" ht="14.25">
      <c r="A100" s="5"/>
      <c r="B100" s="5" t="s">
        <v>76</v>
      </c>
      <c r="C100" s="5"/>
      <c r="D100" s="108">
        <f>IRR(E100:AH100,FIRR!$C$56)</f>
        <v>0.25604286461801506</v>
      </c>
      <c r="E100" s="345">
        <f aca="true" t="shared" si="29" ref="E100:AH100">E97-E98-E99</f>
        <v>-88933.896825</v>
      </c>
      <c r="F100" s="345">
        <f t="shared" si="29"/>
        <v>-69867.55193409648</v>
      </c>
      <c r="G100" s="345">
        <f t="shared" si="29"/>
        <v>-143364.41120561672</v>
      </c>
      <c r="H100" s="345">
        <f t="shared" si="29"/>
        <v>-224091.89160535554</v>
      </c>
      <c r="I100" s="345">
        <f t="shared" si="29"/>
        <v>127379.23019102967</v>
      </c>
      <c r="J100" s="345">
        <f t="shared" si="29"/>
        <v>133140.47734837493</v>
      </c>
      <c r="K100" s="345">
        <f t="shared" si="29"/>
        <v>180861.78583838488</v>
      </c>
      <c r="L100" s="345">
        <f t="shared" si="29"/>
        <v>191707.00280790814</v>
      </c>
      <c r="M100" s="345">
        <f t="shared" si="29"/>
        <v>202537.60201475903</v>
      </c>
      <c r="N100" s="345">
        <f t="shared" si="29"/>
        <v>213374.950086015</v>
      </c>
      <c r="O100" s="345">
        <f t="shared" si="29"/>
        <v>198472.797535663</v>
      </c>
      <c r="P100" s="345">
        <f t="shared" si="29"/>
        <v>234899.859784522</v>
      </c>
      <c r="Q100" s="345">
        <f t="shared" si="29"/>
        <v>93186.3306713078</v>
      </c>
      <c r="R100" s="345">
        <f t="shared" si="29"/>
        <v>249035.71899324958</v>
      </c>
      <c r="S100" s="345">
        <f t="shared" si="29"/>
        <v>252390.94279258663</v>
      </c>
      <c r="T100" s="345">
        <f t="shared" si="29"/>
        <v>263152.8461603619</v>
      </c>
      <c r="U100" s="345">
        <f t="shared" si="29"/>
        <v>240744.6841533268</v>
      </c>
      <c r="V100" s="345">
        <f t="shared" si="29"/>
        <v>269659.8060575274</v>
      </c>
      <c r="W100" s="345">
        <f t="shared" si="29"/>
        <v>272931.30643428105</v>
      </c>
      <c r="X100" s="345">
        <f t="shared" si="29"/>
        <v>287313.80282435106</v>
      </c>
      <c r="Y100" s="345">
        <f t="shared" si="29"/>
        <v>286924.6523658438</v>
      </c>
      <c r="Z100" s="345">
        <f t="shared" si="29"/>
        <v>286510.53290317825</v>
      </c>
      <c r="AA100" s="345">
        <f t="shared" si="29"/>
        <v>137544.21611182066</v>
      </c>
      <c r="AB100" s="345">
        <f t="shared" si="29"/>
        <v>286328.7709217446</v>
      </c>
      <c r="AC100" s="345">
        <f t="shared" si="29"/>
        <v>286321.8164616807</v>
      </c>
      <c r="AD100" s="345">
        <f t="shared" si="29"/>
        <v>286314.37505306996</v>
      </c>
      <c r="AE100" s="345">
        <f t="shared" si="29"/>
        <v>286306.40939318936</v>
      </c>
      <c r="AF100" s="345">
        <f t="shared" si="29"/>
        <v>286297.8795606258</v>
      </c>
      <c r="AG100" s="345">
        <f t="shared" si="29"/>
        <v>286288.74284592853</v>
      </c>
      <c r="AH100" s="345">
        <f t="shared" si="29"/>
        <v>286288.75940370746</v>
      </c>
    </row>
    <row r="101" spans="1:34" ht="14.25">
      <c r="A101" s="5"/>
      <c r="B101" s="5"/>
      <c r="C101" s="5"/>
      <c r="D101" s="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row>
    <row r="102" spans="1:34" ht="14.25">
      <c r="A102" s="5"/>
      <c r="B102" s="5" t="s">
        <v>58</v>
      </c>
      <c r="C102" s="103"/>
      <c r="D102" s="5">
        <v>1</v>
      </c>
      <c r="E102" s="345">
        <f aca="true" t="shared" si="30" ref="E102:AH102">$D102*E$31</f>
        <v>17640</v>
      </c>
      <c r="F102" s="345">
        <f t="shared" si="30"/>
        <v>98846.03076923077</v>
      </c>
      <c r="G102" s="345">
        <f t="shared" si="30"/>
        <v>112989.04615384615</v>
      </c>
      <c r="H102" s="345">
        <f t="shared" si="30"/>
        <v>130667.81538461539</v>
      </c>
      <c r="I102" s="345">
        <f t="shared" si="30"/>
        <v>130698.83076923077</v>
      </c>
      <c r="J102" s="345">
        <f t="shared" si="30"/>
        <v>151913.35384615386</v>
      </c>
      <c r="K102" s="345">
        <f t="shared" si="30"/>
        <v>180199.38461538462</v>
      </c>
      <c r="L102" s="345">
        <f t="shared" si="30"/>
        <v>190806.64615384617</v>
      </c>
      <c r="M102" s="345">
        <f t="shared" si="30"/>
        <v>201413.9076923077</v>
      </c>
      <c r="N102" s="345">
        <f t="shared" si="30"/>
        <v>212021.16923076927</v>
      </c>
      <c r="O102" s="345">
        <f t="shared" si="30"/>
        <v>222628.43076923076</v>
      </c>
      <c r="P102" s="345">
        <f t="shared" si="30"/>
        <v>233235.6923076923</v>
      </c>
      <c r="Q102" s="345">
        <f t="shared" si="30"/>
        <v>240307.20000000004</v>
      </c>
      <c r="R102" s="345">
        <f t="shared" si="30"/>
        <v>247378.7076923077</v>
      </c>
      <c r="S102" s="345">
        <f t="shared" si="30"/>
        <v>250914.46153846156</v>
      </c>
      <c r="T102" s="345">
        <f t="shared" si="30"/>
        <v>261521.7230769231</v>
      </c>
      <c r="U102" s="345">
        <f t="shared" si="30"/>
        <v>265057.4769230769</v>
      </c>
      <c r="V102" s="345">
        <f t="shared" si="30"/>
        <v>268593.2307692308</v>
      </c>
      <c r="W102" s="345">
        <f t="shared" si="30"/>
        <v>272128.98461538466</v>
      </c>
      <c r="X102" s="345">
        <f t="shared" si="30"/>
        <v>286272</v>
      </c>
      <c r="Y102" s="345">
        <f t="shared" si="30"/>
        <v>286272</v>
      </c>
      <c r="Z102" s="345">
        <f t="shared" si="30"/>
        <v>286272</v>
      </c>
      <c r="AA102" s="345">
        <f t="shared" si="30"/>
        <v>286272</v>
      </c>
      <c r="AB102" s="345">
        <f t="shared" si="30"/>
        <v>286272</v>
      </c>
      <c r="AC102" s="345">
        <f t="shared" si="30"/>
        <v>286272</v>
      </c>
      <c r="AD102" s="345">
        <f t="shared" si="30"/>
        <v>286272</v>
      </c>
      <c r="AE102" s="345">
        <f t="shared" si="30"/>
        <v>286272</v>
      </c>
      <c r="AF102" s="345">
        <f t="shared" si="30"/>
        <v>286272</v>
      </c>
      <c r="AG102" s="345">
        <f t="shared" si="30"/>
        <v>286272</v>
      </c>
      <c r="AH102" s="345">
        <f t="shared" si="30"/>
        <v>286272</v>
      </c>
    </row>
    <row r="103" spans="1:34" ht="14.25">
      <c r="A103" s="5"/>
      <c r="B103" s="5" t="s">
        <v>78</v>
      </c>
      <c r="C103" s="5"/>
      <c r="D103" s="5">
        <v>1.05</v>
      </c>
      <c r="E103" s="345">
        <f aca="true" t="shared" si="31" ref="E103:AH103">$D103*SUM(E$33:E$41)</f>
        <v>112828.69166625002</v>
      </c>
      <c r="F103" s="345">
        <f t="shared" si="31"/>
        <v>182338.67845387824</v>
      </c>
      <c r="G103" s="345">
        <f t="shared" si="31"/>
        <v>275103.05515051296</v>
      </c>
      <c r="H103" s="345">
        <f t="shared" si="31"/>
        <v>379357.75264716183</v>
      </c>
      <c r="I103" s="345">
        <f t="shared" si="31"/>
        <v>2155.3875000000003</v>
      </c>
      <c r="J103" s="345">
        <f t="shared" si="31"/>
        <v>19215</v>
      </c>
      <c r="K103" s="345">
        <f t="shared" si="31"/>
        <v>0</v>
      </c>
      <c r="L103" s="345">
        <f t="shared" si="31"/>
        <v>0</v>
      </c>
      <c r="M103" s="345">
        <f t="shared" si="31"/>
        <v>0</v>
      </c>
      <c r="N103" s="345">
        <f t="shared" si="31"/>
        <v>0</v>
      </c>
      <c r="O103" s="345">
        <f t="shared" si="31"/>
        <v>26901</v>
      </c>
      <c r="P103" s="345">
        <f t="shared" si="31"/>
        <v>0</v>
      </c>
      <c r="Q103" s="345">
        <f t="shared" si="31"/>
        <v>156230.3878515857</v>
      </c>
      <c r="R103" s="345">
        <f t="shared" si="31"/>
        <v>0</v>
      </c>
      <c r="S103" s="345">
        <f t="shared" si="31"/>
        <v>0</v>
      </c>
      <c r="T103" s="345">
        <f t="shared" si="31"/>
        <v>0</v>
      </c>
      <c r="U103" s="345">
        <f t="shared" si="31"/>
        <v>26901</v>
      </c>
      <c r="V103" s="345">
        <f t="shared" si="31"/>
        <v>0</v>
      </c>
      <c r="W103" s="345">
        <f t="shared" si="31"/>
        <v>0</v>
      </c>
      <c r="X103" s="345">
        <f t="shared" si="31"/>
        <v>0</v>
      </c>
      <c r="Y103" s="345">
        <f t="shared" si="31"/>
        <v>0</v>
      </c>
      <c r="Z103" s="345">
        <f t="shared" si="31"/>
        <v>0</v>
      </c>
      <c r="AA103" s="345">
        <f t="shared" si="31"/>
        <v>156230.3878515857</v>
      </c>
      <c r="AB103" s="345">
        <f t="shared" si="31"/>
        <v>0</v>
      </c>
      <c r="AC103" s="345">
        <f t="shared" si="31"/>
        <v>0</v>
      </c>
      <c r="AD103" s="345">
        <f t="shared" si="31"/>
        <v>0</v>
      </c>
      <c r="AE103" s="345">
        <f t="shared" si="31"/>
        <v>0</v>
      </c>
      <c r="AF103" s="345">
        <f t="shared" si="31"/>
        <v>0</v>
      </c>
      <c r="AG103" s="345">
        <f t="shared" si="31"/>
        <v>0</v>
      </c>
      <c r="AH103" s="345">
        <f t="shared" si="31"/>
        <v>0</v>
      </c>
    </row>
    <row r="104" spans="1:34" ht="14.25">
      <c r="A104" s="5"/>
      <c r="B104" s="5" t="s">
        <v>79</v>
      </c>
      <c r="C104" s="5"/>
      <c r="D104" s="5">
        <v>1</v>
      </c>
      <c r="E104" s="345">
        <f aca="true" t="shared" si="32" ref="E104:AH104">$D104*SUM(E$45:E$52)</f>
        <v>0</v>
      </c>
      <c r="F104" s="345">
        <f t="shared" si="32"/>
        <v>0</v>
      </c>
      <c r="G104" s="345">
        <f t="shared" si="32"/>
        <v>0</v>
      </c>
      <c r="H104" s="345">
        <f t="shared" si="32"/>
        <v>0</v>
      </c>
      <c r="I104" s="345">
        <f t="shared" si="32"/>
        <v>7801.792116662655</v>
      </c>
      <c r="J104" s="345">
        <f t="shared" si="32"/>
        <v>8068.544190086621</v>
      </c>
      <c r="K104" s="345">
        <f t="shared" si="32"/>
        <v>8347.568007768987</v>
      </c>
      <c r="L104" s="345">
        <f t="shared" si="32"/>
        <v>8639.975653630361</v>
      </c>
      <c r="M104" s="345">
        <f t="shared" si="32"/>
        <v>8947.001062164045</v>
      </c>
      <c r="N104" s="345">
        <f t="shared" si="32"/>
        <v>9247.277606292773</v>
      </c>
      <c r="O104" s="345">
        <f t="shared" si="32"/>
        <v>9667.05477202932</v>
      </c>
      <c r="P104" s="345">
        <f t="shared" si="32"/>
        <v>9997.61713855492</v>
      </c>
      <c r="Q104" s="345">
        <f t="shared" si="32"/>
        <v>10345.383755753523</v>
      </c>
      <c r="R104" s="345">
        <f t="shared" si="32"/>
        <v>10711.924083673508</v>
      </c>
      <c r="S104" s="345">
        <f t="shared" si="32"/>
        <v>11069.241822798047</v>
      </c>
      <c r="T104" s="345">
        <f t="shared" si="32"/>
        <v>11444.963070407417</v>
      </c>
      <c r="U104" s="345">
        <f t="shared" si="32"/>
        <v>11945.666615903956</v>
      </c>
      <c r="V104" s="345">
        <f t="shared" si="32"/>
        <v>12363.086250164946</v>
      </c>
      <c r="W104" s="345">
        <f t="shared" si="32"/>
        <v>12804.127411872876</v>
      </c>
      <c r="X104" s="345">
        <f t="shared" si="32"/>
        <v>13271.797175648966</v>
      </c>
      <c r="Y104" s="345">
        <f t="shared" si="32"/>
        <v>13660.947634156215</v>
      </c>
      <c r="Z104" s="345">
        <f t="shared" si="32"/>
        <v>14075.067096821773</v>
      </c>
      <c r="AA104" s="345">
        <f t="shared" si="32"/>
        <v>14250.538315240643</v>
      </c>
      <c r="AB104" s="345">
        <f t="shared" si="32"/>
        <v>14256.829078255472</v>
      </c>
      <c r="AC104" s="345">
        <f t="shared" si="32"/>
        <v>14263.783538319349</v>
      </c>
      <c r="AD104" s="345">
        <f t="shared" si="32"/>
        <v>14271.224946930088</v>
      </c>
      <c r="AE104" s="345">
        <f t="shared" si="32"/>
        <v>14279.190606810678</v>
      </c>
      <c r="AF104" s="345">
        <f t="shared" si="32"/>
        <v>14287.720439374241</v>
      </c>
      <c r="AG104" s="345">
        <f t="shared" si="32"/>
        <v>14296.85715407151</v>
      </c>
      <c r="AH104" s="345">
        <f t="shared" si="32"/>
        <v>14296.840596292603</v>
      </c>
    </row>
    <row r="105" spans="1:34" ht="14.25">
      <c r="A105" s="5"/>
      <c r="B105" s="5" t="s">
        <v>76</v>
      </c>
      <c r="C105" s="5"/>
      <c r="D105" s="108">
        <f>IRR(E105:AH105,FIRR!$C$56)</f>
        <v>0.22704122153872067</v>
      </c>
      <c r="E105" s="345">
        <f aca="true" t="shared" si="33" ref="E105:AH105">E102-E103-E104</f>
        <v>-95188.69166625002</v>
      </c>
      <c r="F105" s="345">
        <f t="shared" si="33"/>
        <v>-83492.64768464747</v>
      </c>
      <c r="G105" s="345">
        <f t="shared" si="33"/>
        <v>-162114.00899666682</v>
      </c>
      <c r="H105" s="345">
        <f t="shared" si="33"/>
        <v>-248689.93726254645</v>
      </c>
      <c r="I105" s="345">
        <f t="shared" si="33"/>
        <v>120741.65115256811</v>
      </c>
      <c r="J105" s="345">
        <f t="shared" si="33"/>
        <v>124629.80965606723</v>
      </c>
      <c r="K105" s="345">
        <f t="shared" si="33"/>
        <v>171851.81660761565</v>
      </c>
      <c r="L105" s="345">
        <f t="shared" si="33"/>
        <v>182166.6705002158</v>
      </c>
      <c r="M105" s="345">
        <f t="shared" si="33"/>
        <v>192466.90663014364</v>
      </c>
      <c r="N105" s="345">
        <f t="shared" si="33"/>
        <v>202773.8916244765</v>
      </c>
      <c r="O105" s="345">
        <f t="shared" si="33"/>
        <v>186060.37599720145</v>
      </c>
      <c r="P105" s="345">
        <f t="shared" si="33"/>
        <v>223238.0751691374</v>
      </c>
      <c r="Q105" s="345">
        <f t="shared" si="33"/>
        <v>73731.42839266083</v>
      </c>
      <c r="R105" s="345">
        <f t="shared" si="33"/>
        <v>236666.7836086342</v>
      </c>
      <c r="S105" s="345">
        <f t="shared" si="33"/>
        <v>239845.21971566352</v>
      </c>
      <c r="T105" s="345">
        <f t="shared" si="33"/>
        <v>250076.7600065157</v>
      </c>
      <c r="U105" s="345">
        <f t="shared" si="33"/>
        <v>226210.81030717294</v>
      </c>
      <c r="V105" s="345">
        <f t="shared" si="33"/>
        <v>256230.14451906586</v>
      </c>
      <c r="W105" s="345">
        <f t="shared" si="33"/>
        <v>259324.85720351178</v>
      </c>
      <c r="X105" s="345">
        <f t="shared" si="33"/>
        <v>273000.202824351</v>
      </c>
      <c r="Y105" s="345">
        <f t="shared" si="33"/>
        <v>272611.0523658438</v>
      </c>
      <c r="Z105" s="345">
        <f t="shared" si="33"/>
        <v>272196.9329031782</v>
      </c>
      <c r="AA105" s="345">
        <f t="shared" si="33"/>
        <v>115791.07383317366</v>
      </c>
      <c r="AB105" s="345">
        <f t="shared" si="33"/>
        <v>272015.17092174455</v>
      </c>
      <c r="AC105" s="345">
        <f t="shared" si="33"/>
        <v>272008.21646168065</v>
      </c>
      <c r="AD105" s="345">
        <f t="shared" si="33"/>
        <v>272000.7750530699</v>
      </c>
      <c r="AE105" s="345">
        <f t="shared" si="33"/>
        <v>271992.8093931893</v>
      </c>
      <c r="AF105" s="345">
        <f t="shared" si="33"/>
        <v>271984.2795606258</v>
      </c>
      <c r="AG105" s="345">
        <f t="shared" si="33"/>
        <v>271975.1428459285</v>
      </c>
      <c r="AH105" s="345">
        <f t="shared" si="33"/>
        <v>271975.1594037074</v>
      </c>
    </row>
    <row r="106" spans="1:34" ht="14.25">
      <c r="A106" s="5"/>
      <c r="B106" s="5"/>
      <c r="C106" s="5"/>
      <c r="D106" s="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row>
    <row r="107" spans="1:34" ht="14.25">
      <c r="A107" s="5"/>
      <c r="B107" s="5" t="s">
        <v>58</v>
      </c>
      <c r="C107" s="103"/>
      <c r="D107" s="5">
        <v>1</v>
      </c>
      <c r="E107" s="345">
        <f aca="true" t="shared" si="34" ref="E107:AH107">$D107*E$31</f>
        <v>17640</v>
      </c>
      <c r="F107" s="345">
        <f t="shared" si="34"/>
        <v>98846.03076923077</v>
      </c>
      <c r="G107" s="345">
        <f t="shared" si="34"/>
        <v>112989.04615384615</v>
      </c>
      <c r="H107" s="345">
        <f t="shared" si="34"/>
        <v>130667.81538461539</v>
      </c>
      <c r="I107" s="345">
        <f t="shared" si="34"/>
        <v>130698.83076923077</v>
      </c>
      <c r="J107" s="345">
        <f t="shared" si="34"/>
        <v>151913.35384615386</v>
      </c>
      <c r="K107" s="345">
        <f t="shared" si="34"/>
        <v>180199.38461538462</v>
      </c>
      <c r="L107" s="345">
        <f t="shared" si="34"/>
        <v>190806.64615384617</v>
      </c>
      <c r="M107" s="345">
        <f t="shared" si="34"/>
        <v>201413.9076923077</v>
      </c>
      <c r="N107" s="345">
        <f t="shared" si="34"/>
        <v>212021.16923076927</v>
      </c>
      <c r="O107" s="345">
        <f t="shared" si="34"/>
        <v>222628.43076923076</v>
      </c>
      <c r="P107" s="345">
        <f t="shared" si="34"/>
        <v>233235.6923076923</v>
      </c>
      <c r="Q107" s="345">
        <f t="shared" si="34"/>
        <v>240307.20000000004</v>
      </c>
      <c r="R107" s="345">
        <f t="shared" si="34"/>
        <v>247378.7076923077</v>
      </c>
      <c r="S107" s="345">
        <f t="shared" si="34"/>
        <v>250914.46153846156</v>
      </c>
      <c r="T107" s="345">
        <f t="shared" si="34"/>
        <v>261521.7230769231</v>
      </c>
      <c r="U107" s="345">
        <f t="shared" si="34"/>
        <v>265057.4769230769</v>
      </c>
      <c r="V107" s="345">
        <f t="shared" si="34"/>
        <v>268593.2307692308</v>
      </c>
      <c r="W107" s="345">
        <f t="shared" si="34"/>
        <v>272128.98461538466</v>
      </c>
      <c r="X107" s="345">
        <f t="shared" si="34"/>
        <v>286272</v>
      </c>
      <c r="Y107" s="345">
        <f t="shared" si="34"/>
        <v>286272</v>
      </c>
      <c r="Z107" s="345">
        <f t="shared" si="34"/>
        <v>286272</v>
      </c>
      <c r="AA107" s="345">
        <f t="shared" si="34"/>
        <v>286272</v>
      </c>
      <c r="AB107" s="345">
        <f t="shared" si="34"/>
        <v>286272</v>
      </c>
      <c r="AC107" s="345">
        <f t="shared" si="34"/>
        <v>286272</v>
      </c>
      <c r="AD107" s="345">
        <f t="shared" si="34"/>
        <v>286272</v>
      </c>
      <c r="AE107" s="345">
        <f t="shared" si="34"/>
        <v>286272</v>
      </c>
      <c r="AF107" s="345">
        <f t="shared" si="34"/>
        <v>286272</v>
      </c>
      <c r="AG107" s="345">
        <f t="shared" si="34"/>
        <v>286272</v>
      </c>
      <c r="AH107" s="345">
        <f t="shared" si="34"/>
        <v>286272</v>
      </c>
    </row>
    <row r="108" spans="1:34" ht="14.25">
      <c r="A108" s="5"/>
      <c r="B108" s="5" t="s">
        <v>78</v>
      </c>
      <c r="C108" s="5"/>
      <c r="D108" s="5">
        <v>1</v>
      </c>
      <c r="E108" s="345">
        <f aca="true" t="shared" si="35" ref="E108:AH108">$D108*SUM(E$33:E$41)</f>
        <v>107455.896825</v>
      </c>
      <c r="F108" s="345">
        <f t="shared" si="35"/>
        <v>173655.8842417888</v>
      </c>
      <c r="G108" s="345">
        <f t="shared" si="35"/>
        <v>262002.90966715518</v>
      </c>
      <c r="H108" s="345">
        <f t="shared" si="35"/>
        <v>361293.0977592017</v>
      </c>
      <c r="I108" s="345">
        <f t="shared" si="35"/>
        <v>2052.75</v>
      </c>
      <c r="J108" s="345">
        <f t="shared" si="35"/>
        <v>18300</v>
      </c>
      <c r="K108" s="345">
        <f t="shared" si="35"/>
        <v>0</v>
      </c>
      <c r="L108" s="345">
        <f t="shared" si="35"/>
        <v>0</v>
      </c>
      <c r="M108" s="345">
        <f t="shared" si="35"/>
        <v>0</v>
      </c>
      <c r="N108" s="345">
        <f t="shared" si="35"/>
        <v>0</v>
      </c>
      <c r="O108" s="345">
        <f t="shared" si="35"/>
        <v>25620</v>
      </c>
      <c r="P108" s="345">
        <f t="shared" si="35"/>
        <v>0</v>
      </c>
      <c r="Q108" s="345">
        <f t="shared" si="35"/>
        <v>148790.84557293874</v>
      </c>
      <c r="R108" s="345">
        <f t="shared" si="35"/>
        <v>0</v>
      </c>
      <c r="S108" s="345">
        <f t="shared" si="35"/>
        <v>0</v>
      </c>
      <c r="T108" s="345">
        <f t="shared" si="35"/>
        <v>0</v>
      </c>
      <c r="U108" s="345">
        <f t="shared" si="35"/>
        <v>25620</v>
      </c>
      <c r="V108" s="345">
        <f t="shared" si="35"/>
        <v>0</v>
      </c>
      <c r="W108" s="345">
        <f t="shared" si="35"/>
        <v>0</v>
      </c>
      <c r="X108" s="345">
        <f t="shared" si="35"/>
        <v>0</v>
      </c>
      <c r="Y108" s="345">
        <f t="shared" si="35"/>
        <v>0</v>
      </c>
      <c r="Z108" s="345">
        <f t="shared" si="35"/>
        <v>0</v>
      </c>
      <c r="AA108" s="345">
        <f t="shared" si="35"/>
        <v>148790.84557293874</v>
      </c>
      <c r="AB108" s="345">
        <f t="shared" si="35"/>
        <v>0</v>
      </c>
      <c r="AC108" s="345">
        <f t="shared" si="35"/>
        <v>0</v>
      </c>
      <c r="AD108" s="345">
        <f t="shared" si="35"/>
        <v>0</v>
      </c>
      <c r="AE108" s="345">
        <f t="shared" si="35"/>
        <v>0</v>
      </c>
      <c r="AF108" s="345">
        <f t="shared" si="35"/>
        <v>0</v>
      </c>
      <c r="AG108" s="345">
        <f t="shared" si="35"/>
        <v>0</v>
      </c>
      <c r="AH108" s="345">
        <f t="shared" si="35"/>
        <v>0</v>
      </c>
    </row>
    <row r="109" spans="1:34" ht="14.25">
      <c r="A109" s="5"/>
      <c r="B109" s="5" t="s">
        <v>79</v>
      </c>
      <c r="C109" s="5"/>
      <c r="D109" s="5">
        <v>1.05</v>
      </c>
      <c r="E109" s="345">
        <f aca="true" t="shared" si="36" ref="E109:AH109">$D109*SUM(E$45:E$52)</f>
        <v>0</v>
      </c>
      <c r="F109" s="345">
        <f t="shared" si="36"/>
        <v>0</v>
      </c>
      <c r="G109" s="345">
        <f t="shared" si="36"/>
        <v>0</v>
      </c>
      <c r="H109" s="345">
        <f t="shared" si="36"/>
        <v>0</v>
      </c>
      <c r="I109" s="345">
        <f t="shared" si="36"/>
        <v>8191.8817224957875</v>
      </c>
      <c r="J109" s="345">
        <f t="shared" si="36"/>
        <v>8471.971399590951</v>
      </c>
      <c r="K109" s="345">
        <f t="shared" si="36"/>
        <v>8764.946408157437</v>
      </c>
      <c r="L109" s="345">
        <f t="shared" si="36"/>
        <v>9071.974436311879</v>
      </c>
      <c r="M109" s="345">
        <f t="shared" si="36"/>
        <v>9394.351115272248</v>
      </c>
      <c r="N109" s="345">
        <f t="shared" si="36"/>
        <v>9709.641486607412</v>
      </c>
      <c r="O109" s="345">
        <f t="shared" si="36"/>
        <v>10150.407510630786</v>
      </c>
      <c r="P109" s="345">
        <f t="shared" si="36"/>
        <v>10497.497995482667</v>
      </c>
      <c r="Q109" s="345">
        <f t="shared" si="36"/>
        <v>10862.6529435412</v>
      </c>
      <c r="R109" s="345">
        <f t="shared" si="36"/>
        <v>11247.520287857184</v>
      </c>
      <c r="S109" s="345">
        <f t="shared" si="36"/>
        <v>11622.70391393795</v>
      </c>
      <c r="T109" s="345">
        <f t="shared" si="36"/>
        <v>12017.211223927789</v>
      </c>
      <c r="U109" s="345">
        <f t="shared" si="36"/>
        <v>12542.949946699155</v>
      </c>
      <c r="V109" s="345">
        <f t="shared" si="36"/>
        <v>12981.240562673194</v>
      </c>
      <c r="W109" s="345">
        <f t="shared" si="36"/>
        <v>13444.333782466521</v>
      </c>
      <c r="X109" s="345">
        <f t="shared" si="36"/>
        <v>13935.387034431415</v>
      </c>
      <c r="Y109" s="345">
        <f t="shared" si="36"/>
        <v>14343.995015864026</v>
      </c>
      <c r="Z109" s="345">
        <f t="shared" si="36"/>
        <v>14778.820451662861</v>
      </c>
      <c r="AA109" s="345">
        <f t="shared" si="36"/>
        <v>14963.065231002676</v>
      </c>
      <c r="AB109" s="345">
        <f t="shared" si="36"/>
        <v>14969.670532168246</v>
      </c>
      <c r="AC109" s="345">
        <f t="shared" si="36"/>
        <v>14976.972715235317</v>
      </c>
      <c r="AD109" s="345">
        <f t="shared" si="36"/>
        <v>14984.786194276592</v>
      </c>
      <c r="AE109" s="345">
        <f t="shared" si="36"/>
        <v>14993.150137151213</v>
      </c>
      <c r="AF109" s="345">
        <f t="shared" si="36"/>
        <v>15002.106461342953</v>
      </c>
      <c r="AG109" s="345">
        <f t="shared" si="36"/>
        <v>15011.700011775085</v>
      </c>
      <c r="AH109" s="345">
        <f t="shared" si="36"/>
        <v>15011.682626107233</v>
      </c>
    </row>
    <row r="110" spans="1:34" ht="14.25">
      <c r="A110" s="5"/>
      <c r="B110" s="5" t="s">
        <v>76</v>
      </c>
      <c r="C110" s="5"/>
      <c r="D110" s="108">
        <f>IRR(E110:AH110,FIRR!$C$56)</f>
        <v>0.24034932141669518</v>
      </c>
      <c r="E110" s="345">
        <f aca="true" t="shared" si="37" ref="E110:AH110">E107-E108-E109</f>
        <v>-89815.896825</v>
      </c>
      <c r="F110" s="345">
        <f t="shared" si="37"/>
        <v>-74809.85347255802</v>
      </c>
      <c r="G110" s="345">
        <f t="shared" si="37"/>
        <v>-149013.86351330904</v>
      </c>
      <c r="H110" s="345">
        <f t="shared" si="37"/>
        <v>-230625.28237458633</v>
      </c>
      <c r="I110" s="345">
        <f t="shared" si="37"/>
        <v>120454.19904673498</v>
      </c>
      <c r="J110" s="345">
        <f t="shared" si="37"/>
        <v>125141.3824465629</v>
      </c>
      <c r="K110" s="345">
        <f t="shared" si="37"/>
        <v>171434.43820722718</v>
      </c>
      <c r="L110" s="345">
        <f t="shared" si="37"/>
        <v>181734.6717175343</v>
      </c>
      <c r="M110" s="345">
        <f t="shared" si="37"/>
        <v>192019.55657703546</v>
      </c>
      <c r="N110" s="345">
        <f t="shared" si="37"/>
        <v>202311.52774416187</v>
      </c>
      <c r="O110" s="345">
        <f t="shared" si="37"/>
        <v>186858.02325859998</v>
      </c>
      <c r="P110" s="345">
        <f t="shared" si="37"/>
        <v>222738.19431220964</v>
      </c>
      <c r="Q110" s="345">
        <f t="shared" si="37"/>
        <v>80653.70148352011</v>
      </c>
      <c r="R110" s="345">
        <f t="shared" si="37"/>
        <v>236131.18740445052</v>
      </c>
      <c r="S110" s="345">
        <f t="shared" si="37"/>
        <v>239291.7576245236</v>
      </c>
      <c r="T110" s="345">
        <f t="shared" si="37"/>
        <v>249504.51185299532</v>
      </c>
      <c r="U110" s="345">
        <f t="shared" si="37"/>
        <v>226894.52697637776</v>
      </c>
      <c r="V110" s="345">
        <f t="shared" si="37"/>
        <v>255611.99020655762</v>
      </c>
      <c r="W110" s="345">
        <f t="shared" si="37"/>
        <v>258684.65083291812</v>
      </c>
      <c r="X110" s="345">
        <f t="shared" si="37"/>
        <v>272336.6129655686</v>
      </c>
      <c r="Y110" s="345">
        <f t="shared" si="37"/>
        <v>271928.004984136</v>
      </c>
      <c r="Z110" s="345">
        <f t="shared" si="37"/>
        <v>271493.1795483371</v>
      </c>
      <c r="AA110" s="345">
        <f t="shared" si="37"/>
        <v>122518.08919605859</v>
      </c>
      <c r="AB110" s="345">
        <f t="shared" si="37"/>
        <v>271302.32946783176</v>
      </c>
      <c r="AC110" s="345">
        <f t="shared" si="37"/>
        <v>271295.0272847647</v>
      </c>
      <c r="AD110" s="345">
        <f t="shared" si="37"/>
        <v>271287.2138057234</v>
      </c>
      <c r="AE110" s="345">
        <f t="shared" si="37"/>
        <v>271278.84986284876</v>
      </c>
      <c r="AF110" s="345">
        <f t="shared" si="37"/>
        <v>271269.89353865705</v>
      </c>
      <c r="AG110" s="345">
        <f t="shared" si="37"/>
        <v>271260.2999882249</v>
      </c>
      <c r="AH110" s="345">
        <f t="shared" si="37"/>
        <v>271260.31737389276</v>
      </c>
    </row>
    <row r="111" spans="1:34" ht="14.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t="s">
        <v>58</v>
      </c>
      <c r="C112" s="103"/>
      <c r="D112" s="5">
        <v>0.95</v>
      </c>
      <c r="E112" s="5">
        <f aca="true" t="shared" si="38" ref="E112:AH112">$D112*E$31</f>
        <v>16758</v>
      </c>
      <c r="F112" s="5">
        <f t="shared" si="38"/>
        <v>93903.72923076923</v>
      </c>
      <c r="G112" s="5">
        <f t="shared" si="38"/>
        <v>107339.59384615385</v>
      </c>
      <c r="H112" s="5">
        <f t="shared" si="38"/>
        <v>124134.42461538462</v>
      </c>
      <c r="I112" s="5">
        <f t="shared" si="38"/>
        <v>124163.88923076923</v>
      </c>
      <c r="J112" s="5">
        <f t="shared" si="38"/>
        <v>144317.68615384615</v>
      </c>
      <c r="K112" s="5">
        <f t="shared" si="38"/>
        <v>171189.4153846154</v>
      </c>
      <c r="L112" s="5">
        <f t="shared" si="38"/>
        <v>181266.31384615385</v>
      </c>
      <c r="M112" s="5">
        <f t="shared" si="38"/>
        <v>191343.2123076923</v>
      </c>
      <c r="N112" s="5">
        <f t="shared" si="38"/>
        <v>201420.11076923079</v>
      </c>
      <c r="O112" s="5">
        <f t="shared" si="38"/>
        <v>211497.0092307692</v>
      </c>
      <c r="P112" s="5">
        <f t="shared" si="38"/>
        <v>221573.9076923077</v>
      </c>
      <c r="Q112" s="5">
        <f t="shared" si="38"/>
        <v>228291.84000000003</v>
      </c>
      <c r="R112" s="5">
        <f t="shared" si="38"/>
        <v>235009.77230769233</v>
      </c>
      <c r="S112" s="5">
        <f t="shared" si="38"/>
        <v>238368.73846153848</v>
      </c>
      <c r="T112" s="5">
        <f t="shared" si="38"/>
        <v>248445.63692307693</v>
      </c>
      <c r="U112" s="5">
        <f t="shared" si="38"/>
        <v>251804.60307692306</v>
      </c>
      <c r="V112" s="5">
        <f t="shared" si="38"/>
        <v>255163.56923076927</v>
      </c>
      <c r="W112" s="5">
        <f t="shared" si="38"/>
        <v>258522.53538461542</v>
      </c>
      <c r="X112" s="5">
        <f t="shared" si="38"/>
        <v>271958.39999999997</v>
      </c>
      <c r="Y112" s="5">
        <f t="shared" si="38"/>
        <v>271958.39999999997</v>
      </c>
      <c r="Z112" s="5">
        <f t="shared" si="38"/>
        <v>271958.39999999997</v>
      </c>
      <c r="AA112" s="5">
        <f t="shared" si="38"/>
        <v>271958.39999999997</v>
      </c>
      <c r="AB112" s="5">
        <f t="shared" si="38"/>
        <v>271958.39999999997</v>
      </c>
      <c r="AC112" s="5">
        <f t="shared" si="38"/>
        <v>271958.39999999997</v>
      </c>
      <c r="AD112" s="5">
        <f t="shared" si="38"/>
        <v>271958.39999999997</v>
      </c>
      <c r="AE112" s="5">
        <f t="shared" si="38"/>
        <v>271958.39999999997</v>
      </c>
      <c r="AF112" s="5">
        <f t="shared" si="38"/>
        <v>271958.39999999997</v>
      </c>
      <c r="AG112" s="5">
        <f t="shared" si="38"/>
        <v>271958.39999999997</v>
      </c>
      <c r="AH112" s="5">
        <f t="shared" si="38"/>
        <v>271958.39999999997</v>
      </c>
    </row>
    <row r="113" spans="1:34" ht="14.25">
      <c r="A113" s="5"/>
      <c r="B113" s="5" t="s">
        <v>78</v>
      </c>
      <c r="C113" s="5"/>
      <c r="D113" s="5">
        <v>1</v>
      </c>
      <c r="E113" s="5">
        <f aca="true" t="shared" si="39" ref="E113:AH113">$D113*SUM(E$33:E$41)</f>
        <v>107455.896825</v>
      </c>
      <c r="F113" s="5">
        <f t="shared" si="39"/>
        <v>173655.8842417888</v>
      </c>
      <c r="G113" s="5">
        <f t="shared" si="39"/>
        <v>262002.90966715518</v>
      </c>
      <c r="H113" s="5">
        <f t="shared" si="39"/>
        <v>361293.0977592017</v>
      </c>
      <c r="I113" s="5">
        <f t="shared" si="39"/>
        <v>2052.75</v>
      </c>
      <c r="J113" s="5">
        <f t="shared" si="39"/>
        <v>18300</v>
      </c>
      <c r="K113" s="5">
        <f t="shared" si="39"/>
        <v>0</v>
      </c>
      <c r="L113" s="5">
        <f t="shared" si="39"/>
        <v>0</v>
      </c>
      <c r="M113" s="5">
        <f t="shared" si="39"/>
        <v>0</v>
      </c>
      <c r="N113" s="5">
        <f t="shared" si="39"/>
        <v>0</v>
      </c>
      <c r="O113" s="5">
        <f t="shared" si="39"/>
        <v>25620</v>
      </c>
      <c r="P113" s="5">
        <f t="shared" si="39"/>
        <v>0</v>
      </c>
      <c r="Q113" s="5">
        <f t="shared" si="39"/>
        <v>148790.84557293874</v>
      </c>
      <c r="R113" s="5">
        <f t="shared" si="39"/>
        <v>0</v>
      </c>
      <c r="S113" s="5">
        <f t="shared" si="39"/>
        <v>0</v>
      </c>
      <c r="T113" s="5">
        <f t="shared" si="39"/>
        <v>0</v>
      </c>
      <c r="U113" s="5">
        <f t="shared" si="39"/>
        <v>25620</v>
      </c>
      <c r="V113" s="5">
        <f t="shared" si="39"/>
        <v>0</v>
      </c>
      <c r="W113" s="5">
        <f t="shared" si="39"/>
        <v>0</v>
      </c>
      <c r="X113" s="5">
        <f t="shared" si="39"/>
        <v>0</v>
      </c>
      <c r="Y113" s="5">
        <f t="shared" si="39"/>
        <v>0</v>
      </c>
      <c r="Z113" s="5">
        <f t="shared" si="39"/>
        <v>0</v>
      </c>
      <c r="AA113" s="5">
        <f t="shared" si="39"/>
        <v>148790.84557293874</v>
      </c>
      <c r="AB113" s="5">
        <f t="shared" si="39"/>
        <v>0</v>
      </c>
      <c r="AC113" s="5">
        <f t="shared" si="39"/>
        <v>0</v>
      </c>
      <c r="AD113" s="5">
        <f t="shared" si="39"/>
        <v>0</v>
      </c>
      <c r="AE113" s="5">
        <f t="shared" si="39"/>
        <v>0</v>
      </c>
      <c r="AF113" s="5">
        <f t="shared" si="39"/>
        <v>0</v>
      </c>
      <c r="AG113" s="5">
        <f t="shared" si="39"/>
        <v>0</v>
      </c>
      <c r="AH113" s="5">
        <f t="shared" si="39"/>
        <v>0</v>
      </c>
    </row>
    <row r="114" spans="1:34" ht="14.25">
      <c r="A114" s="5"/>
      <c r="B114" s="5" t="s">
        <v>79</v>
      </c>
      <c r="C114" s="5"/>
      <c r="D114" s="5">
        <v>1</v>
      </c>
      <c r="E114" s="5">
        <f aca="true" t="shared" si="40" ref="E114:AH114">$D114*SUM(E$45:E$52)</f>
        <v>0</v>
      </c>
      <c r="F114" s="5">
        <f t="shared" si="40"/>
        <v>0</v>
      </c>
      <c r="G114" s="5">
        <f t="shared" si="40"/>
        <v>0</v>
      </c>
      <c r="H114" s="5">
        <f t="shared" si="40"/>
        <v>0</v>
      </c>
      <c r="I114" s="5">
        <f t="shared" si="40"/>
        <v>7801.792116662655</v>
      </c>
      <c r="J114" s="5">
        <f t="shared" si="40"/>
        <v>8068.544190086621</v>
      </c>
      <c r="K114" s="5">
        <f t="shared" si="40"/>
        <v>8347.568007768987</v>
      </c>
      <c r="L114" s="5">
        <f t="shared" si="40"/>
        <v>8639.975653630361</v>
      </c>
      <c r="M114" s="5">
        <f t="shared" si="40"/>
        <v>8947.001062164045</v>
      </c>
      <c r="N114" s="5">
        <f t="shared" si="40"/>
        <v>9247.277606292773</v>
      </c>
      <c r="O114" s="5">
        <f t="shared" si="40"/>
        <v>9667.05477202932</v>
      </c>
      <c r="P114" s="5">
        <f t="shared" si="40"/>
        <v>9997.61713855492</v>
      </c>
      <c r="Q114" s="5">
        <f t="shared" si="40"/>
        <v>10345.383755753523</v>
      </c>
      <c r="R114" s="5">
        <f t="shared" si="40"/>
        <v>10711.924083673508</v>
      </c>
      <c r="S114" s="5">
        <f t="shared" si="40"/>
        <v>11069.241822798047</v>
      </c>
      <c r="T114" s="5">
        <f t="shared" si="40"/>
        <v>11444.963070407417</v>
      </c>
      <c r="U114" s="5">
        <f t="shared" si="40"/>
        <v>11945.666615903956</v>
      </c>
      <c r="V114" s="5">
        <f t="shared" si="40"/>
        <v>12363.086250164946</v>
      </c>
      <c r="W114" s="5">
        <f t="shared" si="40"/>
        <v>12804.127411872876</v>
      </c>
      <c r="X114" s="5">
        <f t="shared" si="40"/>
        <v>13271.797175648966</v>
      </c>
      <c r="Y114" s="5">
        <f t="shared" si="40"/>
        <v>13660.947634156215</v>
      </c>
      <c r="Z114" s="5">
        <f t="shared" si="40"/>
        <v>14075.067096821773</v>
      </c>
      <c r="AA114" s="5">
        <f t="shared" si="40"/>
        <v>14250.538315240643</v>
      </c>
      <c r="AB114" s="5">
        <f t="shared" si="40"/>
        <v>14256.829078255472</v>
      </c>
      <c r="AC114" s="5">
        <f t="shared" si="40"/>
        <v>14263.783538319349</v>
      </c>
      <c r="AD114" s="5">
        <f t="shared" si="40"/>
        <v>14271.224946930088</v>
      </c>
      <c r="AE114" s="5">
        <f t="shared" si="40"/>
        <v>14279.190606810678</v>
      </c>
      <c r="AF114" s="5">
        <f t="shared" si="40"/>
        <v>14287.720439374241</v>
      </c>
      <c r="AG114" s="5">
        <f t="shared" si="40"/>
        <v>14296.85715407151</v>
      </c>
      <c r="AH114" s="5">
        <f t="shared" si="40"/>
        <v>14296.840596292603</v>
      </c>
    </row>
    <row r="115" spans="1:34" ht="14.25">
      <c r="A115" s="5"/>
      <c r="B115" s="5" t="s">
        <v>76</v>
      </c>
      <c r="C115" s="5"/>
      <c r="D115" s="108">
        <f>IRR(E115:AH115,FIRR!$C$56)</f>
        <v>0.2259015324912563</v>
      </c>
      <c r="E115" s="5">
        <f aca="true" t="shared" si="41" ref="E115:AH115">E112-E113-E114</f>
        <v>-90697.896825</v>
      </c>
      <c r="F115" s="5">
        <f t="shared" si="41"/>
        <v>-79752.15501101957</v>
      </c>
      <c r="G115" s="5">
        <f t="shared" si="41"/>
        <v>-154663.31582100134</v>
      </c>
      <c r="H115" s="5">
        <f t="shared" si="41"/>
        <v>-237158.6731438171</v>
      </c>
      <c r="I115" s="5">
        <f t="shared" si="41"/>
        <v>114309.34711410658</v>
      </c>
      <c r="J115" s="5">
        <f t="shared" si="41"/>
        <v>117949.14196375952</v>
      </c>
      <c r="K115" s="5">
        <f t="shared" si="41"/>
        <v>162841.84737684642</v>
      </c>
      <c r="L115" s="5">
        <f t="shared" si="41"/>
        <v>172626.3381925235</v>
      </c>
      <c r="M115" s="5">
        <f t="shared" si="41"/>
        <v>182396.21124552825</v>
      </c>
      <c r="N115" s="5">
        <f t="shared" si="41"/>
        <v>192172.833162938</v>
      </c>
      <c r="O115" s="5">
        <f t="shared" si="41"/>
        <v>176209.9544587399</v>
      </c>
      <c r="P115" s="5">
        <f t="shared" si="41"/>
        <v>211576.29055375277</v>
      </c>
      <c r="Q115" s="5">
        <f t="shared" si="41"/>
        <v>69155.61067130778</v>
      </c>
      <c r="R115" s="5">
        <f t="shared" si="41"/>
        <v>224297.84822401882</v>
      </c>
      <c r="S115" s="5">
        <f t="shared" si="41"/>
        <v>227299.49663874044</v>
      </c>
      <c r="T115" s="5">
        <f t="shared" si="41"/>
        <v>237000.6738526695</v>
      </c>
      <c r="U115" s="5">
        <f t="shared" si="41"/>
        <v>214238.9364610191</v>
      </c>
      <c r="V115" s="5">
        <f t="shared" si="41"/>
        <v>242800.4829806043</v>
      </c>
      <c r="W115" s="5">
        <f t="shared" si="41"/>
        <v>245718.40797274254</v>
      </c>
      <c r="X115" s="5">
        <f t="shared" si="41"/>
        <v>258686.602824351</v>
      </c>
      <c r="Y115" s="5">
        <f t="shared" si="41"/>
        <v>258297.45236584375</v>
      </c>
      <c r="Z115" s="5">
        <f t="shared" si="41"/>
        <v>257883.3329031782</v>
      </c>
      <c r="AA115" s="5">
        <f t="shared" si="41"/>
        <v>108917.01611182059</v>
      </c>
      <c r="AB115" s="5">
        <f t="shared" si="41"/>
        <v>257701.57092174448</v>
      </c>
      <c r="AC115" s="5">
        <f t="shared" si="41"/>
        <v>257694.61646168062</v>
      </c>
      <c r="AD115" s="5">
        <f t="shared" si="41"/>
        <v>257687.1750530699</v>
      </c>
      <c r="AE115" s="5">
        <f t="shared" si="41"/>
        <v>257679.2093931893</v>
      </c>
      <c r="AF115" s="5">
        <f t="shared" si="41"/>
        <v>257670.67956062572</v>
      </c>
      <c r="AG115" s="5">
        <f t="shared" si="41"/>
        <v>257661.54284592846</v>
      </c>
      <c r="AH115" s="5">
        <f t="shared" si="41"/>
        <v>257661.55940370736</v>
      </c>
    </row>
    <row r="116" spans="1:34"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t="s">
        <v>58</v>
      </c>
      <c r="C117" s="103"/>
      <c r="D117" s="5">
        <v>1</v>
      </c>
      <c r="E117" s="5">
        <f aca="true" t="shared" si="42" ref="E117:AH117">$D117*E$31</f>
        <v>17640</v>
      </c>
      <c r="F117" s="5">
        <f t="shared" si="42"/>
        <v>98846.03076923077</v>
      </c>
      <c r="G117" s="5">
        <f t="shared" si="42"/>
        <v>112989.04615384615</v>
      </c>
      <c r="H117" s="5">
        <f t="shared" si="42"/>
        <v>130667.81538461539</v>
      </c>
      <c r="I117" s="5">
        <f t="shared" si="42"/>
        <v>130698.83076923077</v>
      </c>
      <c r="J117" s="5">
        <f t="shared" si="42"/>
        <v>151913.35384615386</v>
      </c>
      <c r="K117" s="5">
        <f t="shared" si="42"/>
        <v>180199.38461538462</v>
      </c>
      <c r="L117" s="5">
        <f t="shared" si="42"/>
        <v>190806.64615384617</v>
      </c>
      <c r="M117" s="5">
        <f t="shared" si="42"/>
        <v>201413.9076923077</v>
      </c>
      <c r="N117" s="5">
        <f t="shared" si="42"/>
        <v>212021.16923076927</v>
      </c>
      <c r="O117" s="5">
        <f t="shared" si="42"/>
        <v>222628.43076923076</v>
      </c>
      <c r="P117" s="5">
        <f t="shared" si="42"/>
        <v>233235.6923076923</v>
      </c>
      <c r="Q117" s="5">
        <f t="shared" si="42"/>
        <v>240307.20000000004</v>
      </c>
      <c r="R117" s="5">
        <f t="shared" si="42"/>
        <v>247378.7076923077</v>
      </c>
      <c r="S117" s="5">
        <f t="shared" si="42"/>
        <v>250914.46153846156</v>
      </c>
      <c r="T117" s="5">
        <f t="shared" si="42"/>
        <v>261521.7230769231</v>
      </c>
      <c r="U117" s="5">
        <f t="shared" si="42"/>
        <v>265057.4769230769</v>
      </c>
      <c r="V117" s="5">
        <f t="shared" si="42"/>
        <v>268593.2307692308</v>
      </c>
      <c r="W117" s="5">
        <f t="shared" si="42"/>
        <v>272128.98461538466</v>
      </c>
      <c r="X117" s="5">
        <f t="shared" si="42"/>
        <v>286272</v>
      </c>
      <c r="Y117" s="5">
        <f t="shared" si="42"/>
        <v>286272</v>
      </c>
      <c r="Z117" s="5">
        <f t="shared" si="42"/>
        <v>286272</v>
      </c>
      <c r="AA117" s="5">
        <f t="shared" si="42"/>
        <v>286272</v>
      </c>
      <c r="AB117" s="5">
        <f t="shared" si="42"/>
        <v>286272</v>
      </c>
      <c r="AC117" s="5">
        <f t="shared" si="42"/>
        <v>286272</v>
      </c>
      <c r="AD117" s="5">
        <f t="shared" si="42"/>
        <v>286272</v>
      </c>
      <c r="AE117" s="5">
        <f t="shared" si="42"/>
        <v>286272</v>
      </c>
      <c r="AF117" s="5">
        <f t="shared" si="42"/>
        <v>286272</v>
      </c>
      <c r="AG117" s="5">
        <f t="shared" si="42"/>
        <v>286272</v>
      </c>
      <c r="AH117" s="5">
        <f t="shared" si="42"/>
        <v>286272</v>
      </c>
    </row>
    <row r="118" spans="1:34" ht="14.25">
      <c r="A118" s="5"/>
      <c r="B118" s="5" t="s">
        <v>78</v>
      </c>
      <c r="C118" s="5"/>
      <c r="D118" s="5">
        <v>0.95</v>
      </c>
      <c r="E118" s="5">
        <f aca="true" t="shared" si="43" ref="E118:AH118">$D118*SUM(E$33:E$41)</f>
        <v>102083.10198374999</v>
      </c>
      <c r="F118" s="5">
        <f t="shared" si="43"/>
        <v>164973.09002969935</v>
      </c>
      <c r="G118" s="5">
        <f t="shared" si="43"/>
        <v>248902.7641837974</v>
      </c>
      <c r="H118" s="5">
        <f t="shared" si="43"/>
        <v>343228.4428712416</v>
      </c>
      <c r="I118" s="5">
        <f t="shared" si="43"/>
        <v>1950.1125</v>
      </c>
      <c r="J118" s="5">
        <f t="shared" si="43"/>
        <v>17385</v>
      </c>
      <c r="K118" s="5">
        <f t="shared" si="43"/>
        <v>0</v>
      </c>
      <c r="L118" s="5">
        <f t="shared" si="43"/>
        <v>0</v>
      </c>
      <c r="M118" s="5">
        <f t="shared" si="43"/>
        <v>0</v>
      </c>
      <c r="N118" s="5">
        <f t="shared" si="43"/>
        <v>0</v>
      </c>
      <c r="O118" s="5">
        <f t="shared" si="43"/>
        <v>24339</v>
      </c>
      <c r="P118" s="5">
        <f t="shared" si="43"/>
        <v>0</v>
      </c>
      <c r="Q118" s="5">
        <f t="shared" si="43"/>
        <v>141351.30329429178</v>
      </c>
      <c r="R118" s="5">
        <f t="shared" si="43"/>
        <v>0</v>
      </c>
      <c r="S118" s="5">
        <f t="shared" si="43"/>
        <v>0</v>
      </c>
      <c r="T118" s="5">
        <f t="shared" si="43"/>
        <v>0</v>
      </c>
      <c r="U118" s="5">
        <f t="shared" si="43"/>
        <v>24339</v>
      </c>
      <c r="V118" s="5">
        <f t="shared" si="43"/>
        <v>0</v>
      </c>
      <c r="W118" s="5">
        <f t="shared" si="43"/>
        <v>0</v>
      </c>
      <c r="X118" s="5">
        <f t="shared" si="43"/>
        <v>0</v>
      </c>
      <c r="Y118" s="5">
        <f t="shared" si="43"/>
        <v>0</v>
      </c>
      <c r="Z118" s="5">
        <f t="shared" si="43"/>
        <v>0</v>
      </c>
      <c r="AA118" s="5">
        <f t="shared" si="43"/>
        <v>141351.30329429178</v>
      </c>
      <c r="AB118" s="5">
        <f t="shared" si="43"/>
        <v>0</v>
      </c>
      <c r="AC118" s="5">
        <f t="shared" si="43"/>
        <v>0</v>
      </c>
      <c r="AD118" s="5">
        <f t="shared" si="43"/>
        <v>0</v>
      </c>
      <c r="AE118" s="5">
        <f t="shared" si="43"/>
        <v>0</v>
      </c>
      <c r="AF118" s="5">
        <f t="shared" si="43"/>
        <v>0</v>
      </c>
      <c r="AG118" s="5">
        <f t="shared" si="43"/>
        <v>0</v>
      </c>
      <c r="AH118" s="5">
        <f t="shared" si="43"/>
        <v>0</v>
      </c>
    </row>
    <row r="119" spans="1:34" ht="14.25">
      <c r="A119" s="5"/>
      <c r="B119" s="5" t="s">
        <v>79</v>
      </c>
      <c r="C119" s="5"/>
      <c r="D119" s="5">
        <v>1</v>
      </c>
      <c r="E119" s="5">
        <f aca="true" t="shared" si="44" ref="E119:AH119">$D119*SUM(E$45:E$52)</f>
        <v>0</v>
      </c>
      <c r="F119" s="5">
        <f t="shared" si="44"/>
        <v>0</v>
      </c>
      <c r="G119" s="5">
        <f t="shared" si="44"/>
        <v>0</v>
      </c>
      <c r="H119" s="5">
        <f t="shared" si="44"/>
        <v>0</v>
      </c>
      <c r="I119" s="5">
        <f t="shared" si="44"/>
        <v>7801.792116662655</v>
      </c>
      <c r="J119" s="5">
        <f t="shared" si="44"/>
        <v>8068.544190086621</v>
      </c>
      <c r="K119" s="5">
        <f t="shared" si="44"/>
        <v>8347.568007768987</v>
      </c>
      <c r="L119" s="5">
        <f t="shared" si="44"/>
        <v>8639.975653630361</v>
      </c>
      <c r="M119" s="5">
        <f t="shared" si="44"/>
        <v>8947.001062164045</v>
      </c>
      <c r="N119" s="5">
        <f t="shared" si="44"/>
        <v>9247.277606292773</v>
      </c>
      <c r="O119" s="5">
        <f t="shared" si="44"/>
        <v>9667.05477202932</v>
      </c>
      <c r="P119" s="5">
        <f t="shared" si="44"/>
        <v>9997.61713855492</v>
      </c>
      <c r="Q119" s="5">
        <f t="shared" si="44"/>
        <v>10345.383755753523</v>
      </c>
      <c r="R119" s="5">
        <f t="shared" si="44"/>
        <v>10711.924083673508</v>
      </c>
      <c r="S119" s="5">
        <f t="shared" si="44"/>
        <v>11069.241822798047</v>
      </c>
      <c r="T119" s="5">
        <f t="shared" si="44"/>
        <v>11444.963070407417</v>
      </c>
      <c r="U119" s="5">
        <f t="shared" si="44"/>
        <v>11945.666615903956</v>
      </c>
      <c r="V119" s="5">
        <f t="shared" si="44"/>
        <v>12363.086250164946</v>
      </c>
      <c r="W119" s="5">
        <f t="shared" si="44"/>
        <v>12804.127411872876</v>
      </c>
      <c r="X119" s="5">
        <f t="shared" si="44"/>
        <v>13271.797175648966</v>
      </c>
      <c r="Y119" s="5">
        <f t="shared" si="44"/>
        <v>13660.947634156215</v>
      </c>
      <c r="Z119" s="5">
        <f t="shared" si="44"/>
        <v>14075.067096821773</v>
      </c>
      <c r="AA119" s="5">
        <f t="shared" si="44"/>
        <v>14250.538315240643</v>
      </c>
      <c r="AB119" s="5">
        <f t="shared" si="44"/>
        <v>14256.829078255472</v>
      </c>
      <c r="AC119" s="5">
        <f t="shared" si="44"/>
        <v>14263.783538319349</v>
      </c>
      <c r="AD119" s="5">
        <f t="shared" si="44"/>
        <v>14271.224946930088</v>
      </c>
      <c r="AE119" s="5">
        <f t="shared" si="44"/>
        <v>14279.190606810678</v>
      </c>
      <c r="AF119" s="5">
        <f t="shared" si="44"/>
        <v>14287.720439374241</v>
      </c>
      <c r="AG119" s="5">
        <f t="shared" si="44"/>
        <v>14296.85715407151</v>
      </c>
      <c r="AH119" s="5">
        <f t="shared" si="44"/>
        <v>14296.840596292603</v>
      </c>
    </row>
    <row r="120" spans="1:34" ht="14.25">
      <c r="A120" s="5"/>
      <c r="B120" s="5" t="s">
        <v>76</v>
      </c>
      <c r="C120" s="5"/>
      <c r="D120" s="108">
        <f>IRR(E120:AH120,FIRR!$C$56)</f>
        <v>0.2563782071818635</v>
      </c>
      <c r="E120" s="5">
        <f aca="true" t="shared" si="45" ref="E120:AH120">E117-E118-E119</f>
        <v>-84443.10198374999</v>
      </c>
      <c r="F120" s="5">
        <f t="shared" si="45"/>
        <v>-66127.05926046858</v>
      </c>
      <c r="G120" s="5">
        <f t="shared" si="45"/>
        <v>-135913.71802995127</v>
      </c>
      <c r="H120" s="5">
        <f t="shared" si="45"/>
        <v>-212560.6274866262</v>
      </c>
      <c r="I120" s="5">
        <f t="shared" si="45"/>
        <v>120946.9261525681</v>
      </c>
      <c r="J120" s="5">
        <f t="shared" si="45"/>
        <v>126459.80965606723</v>
      </c>
      <c r="K120" s="5">
        <f t="shared" si="45"/>
        <v>171851.81660761565</v>
      </c>
      <c r="L120" s="5">
        <f t="shared" si="45"/>
        <v>182166.6705002158</v>
      </c>
      <c r="M120" s="5">
        <f t="shared" si="45"/>
        <v>192466.90663014364</v>
      </c>
      <c r="N120" s="5">
        <f t="shared" si="45"/>
        <v>202773.8916244765</v>
      </c>
      <c r="O120" s="5">
        <f t="shared" si="45"/>
        <v>188622.37599720145</v>
      </c>
      <c r="P120" s="5">
        <f t="shared" si="45"/>
        <v>223238.0751691374</v>
      </c>
      <c r="Q120" s="5">
        <f t="shared" si="45"/>
        <v>88610.51294995475</v>
      </c>
      <c r="R120" s="5">
        <f t="shared" si="45"/>
        <v>236666.7836086342</v>
      </c>
      <c r="S120" s="5">
        <f t="shared" si="45"/>
        <v>239845.21971566352</v>
      </c>
      <c r="T120" s="5">
        <f t="shared" si="45"/>
        <v>250076.7600065157</v>
      </c>
      <c r="U120" s="5">
        <f t="shared" si="45"/>
        <v>228772.81030717294</v>
      </c>
      <c r="V120" s="5">
        <f t="shared" si="45"/>
        <v>256230.14451906586</v>
      </c>
      <c r="W120" s="5">
        <f t="shared" si="45"/>
        <v>259324.85720351178</v>
      </c>
      <c r="X120" s="5">
        <f t="shared" si="45"/>
        <v>273000.202824351</v>
      </c>
      <c r="Y120" s="5">
        <f t="shared" si="45"/>
        <v>272611.0523658438</v>
      </c>
      <c r="Z120" s="5">
        <f t="shared" si="45"/>
        <v>272196.9329031782</v>
      </c>
      <c r="AA120" s="5">
        <f t="shared" si="45"/>
        <v>130670.15839046758</v>
      </c>
      <c r="AB120" s="5">
        <f t="shared" si="45"/>
        <v>272015.17092174455</v>
      </c>
      <c r="AC120" s="5">
        <f t="shared" si="45"/>
        <v>272008.21646168065</v>
      </c>
      <c r="AD120" s="5">
        <f t="shared" si="45"/>
        <v>272000.7750530699</v>
      </c>
      <c r="AE120" s="5">
        <f t="shared" si="45"/>
        <v>271992.8093931893</v>
      </c>
      <c r="AF120" s="5">
        <f t="shared" si="45"/>
        <v>271984.2795606258</v>
      </c>
      <c r="AG120" s="5">
        <f t="shared" si="45"/>
        <v>271975.1428459285</v>
      </c>
      <c r="AH120" s="5">
        <f t="shared" si="45"/>
        <v>271975.1594037074</v>
      </c>
    </row>
    <row r="121" spans="1:34"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t="s">
        <v>58</v>
      </c>
      <c r="C122" s="103"/>
      <c r="D122" s="5">
        <v>1</v>
      </c>
      <c r="E122" s="5">
        <f aca="true" t="shared" si="46" ref="E122:AH122">$D122*E$31</f>
        <v>17640</v>
      </c>
      <c r="F122" s="5">
        <f t="shared" si="46"/>
        <v>98846.03076923077</v>
      </c>
      <c r="G122" s="5">
        <f t="shared" si="46"/>
        <v>112989.04615384615</v>
      </c>
      <c r="H122" s="5">
        <f t="shared" si="46"/>
        <v>130667.81538461539</v>
      </c>
      <c r="I122" s="5">
        <f t="shared" si="46"/>
        <v>130698.83076923077</v>
      </c>
      <c r="J122" s="5">
        <f t="shared" si="46"/>
        <v>151913.35384615386</v>
      </c>
      <c r="K122" s="5">
        <f t="shared" si="46"/>
        <v>180199.38461538462</v>
      </c>
      <c r="L122" s="5">
        <f t="shared" si="46"/>
        <v>190806.64615384617</v>
      </c>
      <c r="M122" s="5">
        <f t="shared" si="46"/>
        <v>201413.9076923077</v>
      </c>
      <c r="N122" s="5">
        <f t="shared" si="46"/>
        <v>212021.16923076927</v>
      </c>
      <c r="O122" s="5">
        <f t="shared" si="46"/>
        <v>222628.43076923076</v>
      </c>
      <c r="P122" s="5">
        <f t="shared" si="46"/>
        <v>233235.6923076923</v>
      </c>
      <c r="Q122" s="5">
        <f t="shared" si="46"/>
        <v>240307.20000000004</v>
      </c>
      <c r="R122" s="5">
        <f t="shared" si="46"/>
        <v>247378.7076923077</v>
      </c>
      <c r="S122" s="5">
        <f t="shared" si="46"/>
        <v>250914.46153846156</v>
      </c>
      <c r="T122" s="5">
        <f t="shared" si="46"/>
        <v>261521.7230769231</v>
      </c>
      <c r="U122" s="5">
        <f t="shared" si="46"/>
        <v>265057.4769230769</v>
      </c>
      <c r="V122" s="5">
        <f t="shared" si="46"/>
        <v>268593.2307692308</v>
      </c>
      <c r="W122" s="5">
        <f t="shared" si="46"/>
        <v>272128.98461538466</v>
      </c>
      <c r="X122" s="5">
        <f t="shared" si="46"/>
        <v>286272</v>
      </c>
      <c r="Y122" s="5">
        <f t="shared" si="46"/>
        <v>286272</v>
      </c>
      <c r="Z122" s="5">
        <f t="shared" si="46"/>
        <v>286272</v>
      </c>
      <c r="AA122" s="5">
        <f t="shared" si="46"/>
        <v>286272</v>
      </c>
      <c r="AB122" s="5">
        <f t="shared" si="46"/>
        <v>286272</v>
      </c>
      <c r="AC122" s="5">
        <f t="shared" si="46"/>
        <v>286272</v>
      </c>
      <c r="AD122" s="5">
        <f t="shared" si="46"/>
        <v>286272</v>
      </c>
      <c r="AE122" s="5">
        <f t="shared" si="46"/>
        <v>286272</v>
      </c>
      <c r="AF122" s="5">
        <f t="shared" si="46"/>
        <v>286272</v>
      </c>
      <c r="AG122" s="5">
        <f t="shared" si="46"/>
        <v>286272</v>
      </c>
      <c r="AH122" s="5">
        <f t="shared" si="46"/>
        <v>286272</v>
      </c>
    </row>
    <row r="123" spans="1:34" ht="14.25">
      <c r="A123" s="5"/>
      <c r="B123" s="5" t="s">
        <v>78</v>
      </c>
      <c r="C123" s="5"/>
      <c r="D123" s="5">
        <v>1</v>
      </c>
      <c r="E123" s="5">
        <f aca="true" t="shared" si="47" ref="E123:AH123">$D123*SUM(E$33:E$41)</f>
        <v>107455.896825</v>
      </c>
      <c r="F123" s="5">
        <f t="shared" si="47"/>
        <v>173655.8842417888</v>
      </c>
      <c r="G123" s="5">
        <f t="shared" si="47"/>
        <v>262002.90966715518</v>
      </c>
      <c r="H123" s="5">
        <f t="shared" si="47"/>
        <v>361293.0977592017</v>
      </c>
      <c r="I123" s="5">
        <f t="shared" si="47"/>
        <v>2052.75</v>
      </c>
      <c r="J123" s="5">
        <f t="shared" si="47"/>
        <v>18300</v>
      </c>
      <c r="K123" s="5">
        <f t="shared" si="47"/>
        <v>0</v>
      </c>
      <c r="L123" s="5">
        <f t="shared" si="47"/>
        <v>0</v>
      </c>
      <c r="M123" s="5">
        <f t="shared" si="47"/>
        <v>0</v>
      </c>
      <c r="N123" s="5">
        <f t="shared" si="47"/>
        <v>0</v>
      </c>
      <c r="O123" s="5">
        <f t="shared" si="47"/>
        <v>25620</v>
      </c>
      <c r="P123" s="5">
        <f t="shared" si="47"/>
        <v>0</v>
      </c>
      <c r="Q123" s="5">
        <f t="shared" si="47"/>
        <v>148790.84557293874</v>
      </c>
      <c r="R123" s="5">
        <f t="shared" si="47"/>
        <v>0</v>
      </c>
      <c r="S123" s="5">
        <f t="shared" si="47"/>
        <v>0</v>
      </c>
      <c r="T123" s="5">
        <f t="shared" si="47"/>
        <v>0</v>
      </c>
      <c r="U123" s="5">
        <f t="shared" si="47"/>
        <v>25620</v>
      </c>
      <c r="V123" s="5">
        <f t="shared" si="47"/>
        <v>0</v>
      </c>
      <c r="W123" s="5">
        <f t="shared" si="47"/>
        <v>0</v>
      </c>
      <c r="X123" s="5">
        <f t="shared" si="47"/>
        <v>0</v>
      </c>
      <c r="Y123" s="5">
        <f t="shared" si="47"/>
        <v>0</v>
      </c>
      <c r="Z123" s="5">
        <f t="shared" si="47"/>
        <v>0</v>
      </c>
      <c r="AA123" s="5">
        <f t="shared" si="47"/>
        <v>148790.84557293874</v>
      </c>
      <c r="AB123" s="5">
        <f t="shared" si="47"/>
        <v>0</v>
      </c>
      <c r="AC123" s="5">
        <f t="shared" si="47"/>
        <v>0</v>
      </c>
      <c r="AD123" s="5">
        <f t="shared" si="47"/>
        <v>0</v>
      </c>
      <c r="AE123" s="5">
        <f t="shared" si="47"/>
        <v>0</v>
      </c>
      <c r="AF123" s="5">
        <f t="shared" si="47"/>
        <v>0</v>
      </c>
      <c r="AG123" s="5">
        <f t="shared" si="47"/>
        <v>0</v>
      </c>
      <c r="AH123" s="5">
        <f t="shared" si="47"/>
        <v>0</v>
      </c>
    </row>
    <row r="124" spans="1:34" ht="14.25">
      <c r="A124" s="5"/>
      <c r="B124" s="5" t="s">
        <v>79</v>
      </c>
      <c r="C124" s="5"/>
      <c r="D124" s="5">
        <v>0.95</v>
      </c>
      <c r="E124" s="5">
        <f aca="true" t="shared" si="48" ref="E124:AH124">$D124*SUM(E$45:E$52)</f>
        <v>0</v>
      </c>
      <c r="F124" s="5">
        <f t="shared" si="48"/>
        <v>0</v>
      </c>
      <c r="G124" s="5">
        <f t="shared" si="48"/>
        <v>0</v>
      </c>
      <c r="H124" s="5">
        <f t="shared" si="48"/>
        <v>0</v>
      </c>
      <c r="I124" s="5">
        <f t="shared" si="48"/>
        <v>7411.702510829522</v>
      </c>
      <c r="J124" s="5">
        <f t="shared" si="48"/>
        <v>7665.116980582289</v>
      </c>
      <c r="K124" s="5">
        <f t="shared" si="48"/>
        <v>7930.189607380537</v>
      </c>
      <c r="L124" s="5">
        <f t="shared" si="48"/>
        <v>8207.976870948843</v>
      </c>
      <c r="M124" s="5">
        <f t="shared" si="48"/>
        <v>8499.651009055842</v>
      </c>
      <c r="N124" s="5">
        <f t="shared" si="48"/>
        <v>8784.913725978135</v>
      </c>
      <c r="O124" s="5">
        <f t="shared" si="48"/>
        <v>9183.702033427853</v>
      </c>
      <c r="P124" s="5">
        <f t="shared" si="48"/>
        <v>9497.736281627174</v>
      </c>
      <c r="Q124" s="5">
        <f t="shared" si="48"/>
        <v>9828.114567965846</v>
      </c>
      <c r="R124" s="5">
        <f t="shared" si="48"/>
        <v>10176.327879489832</v>
      </c>
      <c r="S124" s="5">
        <f t="shared" si="48"/>
        <v>10515.779731658144</v>
      </c>
      <c r="T124" s="5">
        <f t="shared" si="48"/>
        <v>10872.714916887046</v>
      </c>
      <c r="U124" s="5">
        <f t="shared" si="48"/>
        <v>11348.383285108757</v>
      </c>
      <c r="V124" s="5">
        <f t="shared" si="48"/>
        <v>11744.931937656698</v>
      </c>
      <c r="W124" s="5">
        <f t="shared" si="48"/>
        <v>12163.92104127923</v>
      </c>
      <c r="X124" s="5">
        <f t="shared" si="48"/>
        <v>12608.207316866517</v>
      </c>
      <c r="Y124" s="5">
        <f t="shared" si="48"/>
        <v>12977.900252448404</v>
      </c>
      <c r="Z124" s="5">
        <f t="shared" si="48"/>
        <v>13371.313741980684</v>
      </c>
      <c r="AA124" s="5">
        <f t="shared" si="48"/>
        <v>13538.01139947861</v>
      </c>
      <c r="AB124" s="5">
        <f t="shared" si="48"/>
        <v>13543.987624342699</v>
      </c>
      <c r="AC124" s="5">
        <f t="shared" si="48"/>
        <v>13550.59436140338</v>
      </c>
      <c r="AD124" s="5">
        <f t="shared" si="48"/>
        <v>13557.663699583583</v>
      </c>
      <c r="AE124" s="5">
        <f t="shared" si="48"/>
        <v>13565.231076470143</v>
      </c>
      <c r="AF124" s="5">
        <f t="shared" si="48"/>
        <v>13573.33441740553</v>
      </c>
      <c r="AG124" s="5">
        <f t="shared" si="48"/>
        <v>13582.014296367934</v>
      </c>
      <c r="AH124" s="5">
        <f t="shared" si="48"/>
        <v>13581.998566477972</v>
      </c>
    </row>
    <row r="125" spans="1:34" ht="14.25">
      <c r="A125" s="5"/>
      <c r="B125" s="5" t="s">
        <v>76</v>
      </c>
      <c r="C125" s="5"/>
      <c r="D125" s="108">
        <f>IRR(E125:AH125,FIRR!$C$56)</f>
        <v>0.2412604243752962</v>
      </c>
      <c r="E125" s="5">
        <f aca="true" t="shared" si="49" ref="E125:AH125">E122-E123-E124</f>
        <v>-89815.896825</v>
      </c>
      <c r="F125" s="5">
        <f t="shared" si="49"/>
        <v>-74809.85347255802</v>
      </c>
      <c r="G125" s="5">
        <f t="shared" si="49"/>
        <v>-149013.86351330904</v>
      </c>
      <c r="H125" s="5">
        <f t="shared" si="49"/>
        <v>-230625.28237458633</v>
      </c>
      <c r="I125" s="5">
        <f t="shared" si="49"/>
        <v>121234.37825840125</v>
      </c>
      <c r="J125" s="5">
        <f t="shared" si="49"/>
        <v>125948.23686557157</v>
      </c>
      <c r="K125" s="5">
        <f t="shared" si="49"/>
        <v>172269.19500800408</v>
      </c>
      <c r="L125" s="5">
        <f t="shared" si="49"/>
        <v>182598.66928289732</v>
      </c>
      <c r="M125" s="5">
        <f t="shared" si="49"/>
        <v>192914.25668325185</v>
      </c>
      <c r="N125" s="5">
        <f t="shared" si="49"/>
        <v>203236.25550479113</v>
      </c>
      <c r="O125" s="5">
        <f t="shared" si="49"/>
        <v>187824.7287358029</v>
      </c>
      <c r="P125" s="5">
        <f t="shared" si="49"/>
        <v>223737.95602606513</v>
      </c>
      <c r="Q125" s="5">
        <f t="shared" si="49"/>
        <v>81688.23985909545</v>
      </c>
      <c r="R125" s="5">
        <f t="shared" si="49"/>
        <v>237202.37981281788</v>
      </c>
      <c r="S125" s="5">
        <f t="shared" si="49"/>
        <v>240398.68180680342</v>
      </c>
      <c r="T125" s="5">
        <f t="shared" si="49"/>
        <v>250649.00816003606</v>
      </c>
      <c r="U125" s="5">
        <f t="shared" si="49"/>
        <v>228089.09363796815</v>
      </c>
      <c r="V125" s="5">
        <f t="shared" si="49"/>
        <v>256848.29883157412</v>
      </c>
      <c r="W125" s="5">
        <f t="shared" si="49"/>
        <v>259965.06357410544</v>
      </c>
      <c r="X125" s="5">
        <f t="shared" si="49"/>
        <v>273663.7926831335</v>
      </c>
      <c r="Y125" s="5">
        <f t="shared" si="49"/>
        <v>273294.0997475516</v>
      </c>
      <c r="Z125" s="5">
        <f t="shared" si="49"/>
        <v>272900.6862580193</v>
      </c>
      <c r="AA125" s="5">
        <f t="shared" si="49"/>
        <v>123943.14302758266</v>
      </c>
      <c r="AB125" s="5">
        <f t="shared" si="49"/>
        <v>272728.01237565733</v>
      </c>
      <c r="AC125" s="5">
        <f t="shared" si="49"/>
        <v>272721.4056385966</v>
      </c>
      <c r="AD125" s="5">
        <f t="shared" si="49"/>
        <v>272714.33630041644</v>
      </c>
      <c r="AE125" s="5">
        <f t="shared" si="49"/>
        <v>272706.76892352983</v>
      </c>
      <c r="AF125" s="5">
        <f t="shared" si="49"/>
        <v>272698.66558259446</v>
      </c>
      <c r="AG125" s="5">
        <f t="shared" si="49"/>
        <v>272689.98570363206</v>
      </c>
      <c r="AH125" s="5">
        <f t="shared" si="49"/>
        <v>272690.00143352203</v>
      </c>
    </row>
    <row r="126" spans="1:34"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t="s">
        <v>58</v>
      </c>
      <c r="C127" s="103"/>
      <c r="D127" s="5">
        <v>0.9</v>
      </c>
      <c r="E127" s="5">
        <f aca="true" t="shared" si="50" ref="E127:AH127">$D127*E$31</f>
        <v>15876</v>
      </c>
      <c r="F127" s="5">
        <f t="shared" si="50"/>
        <v>88961.4276923077</v>
      </c>
      <c r="G127" s="5">
        <f t="shared" si="50"/>
        <v>101690.14153846154</v>
      </c>
      <c r="H127" s="5">
        <f t="shared" si="50"/>
        <v>117601.03384615385</v>
      </c>
      <c r="I127" s="5">
        <f t="shared" si="50"/>
        <v>117628.9476923077</v>
      </c>
      <c r="J127" s="5">
        <f t="shared" si="50"/>
        <v>136722.01846153848</v>
      </c>
      <c r="K127" s="5">
        <f t="shared" si="50"/>
        <v>162179.44615384616</v>
      </c>
      <c r="L127" s="5">
        <f t="shared" si="50"/>
        <v>171725.98153846155</v>
      </c>
      <c r="M127" s="5">
        <f t="shared" si="50"/>
        <v>181272.51692307694</v>
      </c>
      <c r="N127" s="5">
        <f t="shared" si="50"/>
        <v>190819.05230769236</v>
      </c>
      <c r="O127" s="5">
        <f t="shared" si="50"/>
        <v>200365.5876923077</v>
      </c>
      <c r="P127" s="5">
        <f t="shared" si="50"/>
        <v>209912.12307692308</v>
      </c>
      <c r="Q127" s="5">
        <f t="shared" si="50"/>
        <v>216276.48000000004</v>
      </c>
      <c r="R127" s="5">
        <f t="shared" si="50"/>
        <v>222640.83692307695</v>
      </c>
      <c r="S127" s="5">
        <f t="shared" si="50"/>
        <v>225823.0153846154</v>
      </c>
      <c r="T127" s="5">
        <f t="shared" si="50"/>
        <v>235369.55076923082</v>
      </c>
      <c r="U127" s="5">
        <f t="shared" si="50"/>
        <v>238551.7292307692</v>
      </c>
      <c r="V127" s="5">
        <f t="shared" si="50"/>
        <v>241733.90769230772</v>
      </c>
      <c r="W127" s="5">
        <f t="shared" si="50"/>
        <v>244916.0861538462</v>
      </c>
      <c r="X127" s="5">
        <f t="shared" si="50"/>
        <v>257644.80000000002</v>
      </c>
      <c r="Y127" s="5">
        <f t="shared" si="50"/>
        <v>257644.80000000002</v>
      </c>
      <c r="Z127" s="5">
        <f t="shared" si="50"/>
        <v>257644.80000000002</v>
      </c>
      <c r="AA127" s="5">
        <f t="shared" si="50"/>
        <v>257644.80000000002</v>
      </c>
      <c r="AB127" s="5">
        <f t="shared" si="50"/>
        <v>257644.80000000002</v>
      </c>
      <c r="AC127" s="5">
        <f t="shared" si="50"/>
        <v>257644.80000000002</v>
      </c>
      <c r="AD127" s="5">
        <f t="shared" si="50"/>
        <v>257644.80000000002</v>
      </c>
      <c r="AE127" s="5">
        <f t="shared" si="50"/>
        <v>257644.80000000002</v>
      </c>
      <c r="AF127" s="5">
        <f t="shared" si="50"/>
        <v>257644.80000000002</v>
      </c>
      <c r="AG127" s="5">
        <f t="shared" si="50"/>
        <v>257644.80000000002</v>
      </c>
      <c r="AH127" s="5">
        <f t="shared" si="50"/>
        <v>257644.80000000002</v>
      </c>
    </row>
    <row r="128" spans="1:34" ht="14.25">
      <c r="A128" s="5"/>
      <c r="B128" s="5" t="s">
        <v>78</v>
      </c>
      <c r="C128" s="5"/>
      <c r="D128" s="5">
        <v>1</v>
      </c>
      <c r="E128" s="5">
        <f aca="true" t="shared" si="51" ref="E128:AH128">$D128*SUM(E$33:E$41)</f>
        <v>107455.896825</v>
      </c>
      <c r="F128" s="5">
        <f t="shared" si="51"/>
        <v>173655.8842417888</v>
      </c>
      <c r="G128" s="5">
        <f t="shared" si="51"/>
        <v>262002.90966715518</v>
      </c>
      <c r="H128" s="5">
        <f t="shared" si="51"/>
        <v>361293.0977592017</v>
      </c>
      <c r="I128" s="5">
        <f t="shared" si="51"/>
        <v>2052.75</v>
      </c>
      <c r="J128" s="5">
        <f t="shared" si="51"/>
        <v>18300</v>
      </c>
      <c r="K128" s="5">
        <f t="shared" si="51"/>
        <v>0</v>
      </c>
      <c r="L128" s="5">
        <f t="shared" si="51"/>
        <v>0</v>
      </c>
      <c r="M128" s="5">
        <f t="shared" si="51"/>
        <v>0</v>
      </c>
      <c r="N128" s="5">
        <f t="shared" si="51"/>
        <v>0</v>
      </c>
      <c r="O128" s="5">
        <f t="shared" si="51"/>
        <v>25620</v>
      </c>
      <c r="P128" s="5">
        <f t="shared" si="51"/>
        <v>0</v>
      </c>
      <c r="Q128" s="5">
        <f t="shared" si="51"/>
        <v>148790.84557293874</v>
      </c>
      <c r="R128" s="5">
        <f t="shared" si="51"/>
        <v>0</v>
      </c>
      <c r="S128" s="5">
        <f t="shared" si="51"/>
        <v>0</v>
      </c>
      <c r="T128" s="5">
        <f t="shared" si="51"/>
        <v>0</v>
      </c>
      <c r="U128" s="5">
        <f t="shared" si="51"/>
        <v>25620</v>
      </c>
      <c r="V128" s="5">
        <f t="shared" si="51"/>
        <v>0</v>
      </c>
      <c r="W128" s="5">
        <f t="shared" si="51"/>
        <v>0</v>
      </c>
      <c r="X128" s="5">
        <f t="shared" si="51"/>
        <v>0</v>
      </c>
      <c r="Y128" s="5">
        <f t="shared" si="51"/>
        <v>0</v>
      </c>
      <c r="Z128" s="5">
        <f t="shared" si="51"/>
        <v>0</v>
      </c>
      <c r="AA128" s="5">
        <f t="shared" si="51"/>
        <v>148790.84557293874</v>
      </c>
      <c r="AB128" s="5">
        <f t="shared" si="51"/>
        <v>0</v>
      </c>
      <c r="AC128" s="5">
        <f t="shared" si="51"/>
        <v>0</v>
      </c>
      <c r="AD128" s="5">
        <f t="shared" si="51"/>
        <v>0</v>
      </c>
      <c r="AE128" s="5">
        <f t="shared" si="51"/>
        <v>0</v>
      </c>
      <c r="AF128" s="5">
        <f t="shared" si="51"/>
        <v>0</v>
      </c>
      <c r="AG128" s="5">
        <f t="shared" si="51"/>
        <v>0</v>
      </c>
      <c r="AH128" s="5">
        <f t="shared" si="51"/>
        <v>0</v>
      </c>
    </row>
    <row r="129" spans="1:34" ht="14.25">
      <c r="A129" s="5"/>
      <c r="B129" s="5" t="s">
        <v>79</v>
      </c>
      <c r="C129" s="5"/>
      <c r="D129" s="5">
        <v>1</v>
      </c>
      <c r="E129" s="5">
        <f aca="true" t="shared" si="52" ref="E129:AH129">$D129*SUM(E$45:E$52)</f>
        <v>0</v>
      </c>
      <c r="F129" s="5">
        <f t="shared" si="52"/>
        <v>0</v>
      </c>
      <c r="G129" s="5">
        <f t="shared" si="52"/>
        <v>0</v>
      </c>
      <c r="H129" s="5">
        <f t="shared" si="52"/>
        <v>0</v>
      </c>
      <c r="I129" s="5">
        <f t="shared" si="52"/>
        <v>7801.792116662655</v>
      </c>
      <c r="J129" s="5">
        <f t="shared" si="52"/>
        <v>8068.544190086621</v>
      </c>
      <c r="K129" s="5">
        <f t="shared" si="52"/>
        <v>8347.568007768987</v>
      </c>
      <c r="L129" s="5">
        <f t="shared" si="52"/>
        <v>8639.975653630361</v>
      </c>
      <c r="M129" s="5">
        <f t="shared" si="52"/>
        <v>8947.001062164045</v>
      </c>
      <c r="N129" s="5">
        <f t="shared" si="52"/>
        <v>9247.277606292773</v>
      </c>
      <c r="O129" s="5">
        <f t="shared" si="52"/>
        <v>9667.05477202932</v>
      </c>
      <c r="P129" s="5">
        <f t="shared" si="52"/>
        <v>9997.61713855492</v>
      </c>
      <c r="Q129" s="5">
        <f t="shared" si="52"/>
        <v>10345.383755753523</v>
      </c>
      <c r="R129" s="5">
        <f t="shared" si="52"/>
        <v>10711.924083673508</v>
      </c>
      <c r="S129" s="5">
        <f t="shared" si="52"/>
        <v>11069.241822798047</v>
      </c>
      <c r="T129" s="5">
        <f t="shared" si="52"/>
        <v>11444.963070407417</v>
      </c>
      <c r="U129" s="5">
        <f t="shared" si="52"/>
        <v>11945.666615903956</v>
      </c>
      <c r="V129" s="5">
        <f t="shared" si="52"/>
        <v>12363.086250164946</v>
      </c>
      <c r="W129" s="5">
        <f t="shared" si="52"/>
        <v>12804.127411872876</v>
      </c>
      <c r="X129" s="5">
        <f t="shared" si="52"/>
        <v>13271.797175648966</v>
      </c>
      <c r="Y129" s="5">
        <f t="shared" si="52"/>
        <v>13660.947634156215</v>
      </c>
      <c r="Z129" s="5">
        <f t="shared" si="52"/>
        <v>14075.067096821773</v>
      </c>
      <c r="AA129" s="5">
        <f t="shared" si="52"/>
        <v>14250.538315240643</v>
      </c>
      <c r="AB129" s="5">
        <f t="shared" si="52"/>
        <v>14256.829078255472</v>
      </c>
      <c r="AC129" s="5">
        <f t="shared" si="52"/>
        <v>14263.783538319349</v>
      </c>
      <c r="AD129" s="5">
        <f t="shared" si="52"/>
        <v>14271.224946930088</v>
      </c>
      <c r="AE129" s="5">
        <f t="shared" si="52"/>
        <v>14279.190606810678</v>
      </c>
      <c r="AF129" s="5">
        <f t="shared" si="52"/>
        <v>14287.720439374241</v>
      </c>
      <c r="AG129" s="5">
        <f t="shared" si="52"/>
        <v>14296.85715407151</v>
      </c>
      <c r="AH129" s="5">
        <f t="shared" si="52"/>
        <v>14296.840596292603</v>
      </c>
    </row>
    <row r="130" spans="1:34" ht="14.25">
      <c r="A130" s="5"/>
      <c r="B130" s="5" t="s">
        <v>76</v>
      </c>
      <c r="C130" s="5"/>
      <c r="D130" s="108">
        <f>IRR(E130:AH130,FIRR!$C$56)</f>
        <v>0.21128371806752277</v>
      </c>
      <c r="E130" s="5">
        <f aca="true" t="shared" si="53" ref="E130:AH130">E127-E128-E129</f>
        <v>-91579.896825</v>
      </c>
      <c r="F130" s="5">
        <f t="shared" si="53"/>
        <v>-84694.4565494811</v>
      </c>
      <c r="G130" s="5">
        <f t="shared" si="53"/>
        <v>-160312.76812869363</v>
      </c>
      <c r="H130" s="5">
        <f t="shared" si="53"/>
        <v>-243692.06391304787</v>
      </c>
      <c r="I130" s="5">
        <f t="shared" si="53"/>
        <v>107774.40557564504</v>
      </c>
      <c r="J130" s="5">
        <f t="shared" si="53"/>
        <v>110353.47427145185</v>
      </c>
      <c r="K130" s="5">
        <f t="shared" si="53"/>
        <v>153831.8781460772</v>
      </c>
      <c r="L130" s="5">
        <f t="shared" si="53"/>
        <v>163086.0058848312</v>
      </c>
      <c r="M130" s="5">
        <f t="shared" si="53"/>
        <v>172325.51586091288</v>
      </c>
      <c r="N130" s="5">
        <f t="shared" si="53"/>
        <v>181571.77470139958</v>
      </c>
      <c r="O130" s="5">
        <f t="shared" si="53"/>
        <v>165078.53292027838</v>
      </c>
      <c r="P130" s="5">
        <f t="shared" si="53"/>
        <v>199914.50593836815</v>
      </c>
      <c r="Q130" s="5">
        <f t="shared" si="53"/>
        <v>57140.25067130778</v>
      </c>
      <c r="R130" s="5">
        <f t="shared" si="53"/>
        <v>211928.91283940343</v>
      </c>
      <c r="S130" s="5">
        <f t="shared" si="53"/>
        <v>214753.77356181736</v>
      </c>
      <c r="T130" s="5">
        <f t="shared" si="53"/>
        <v>223924.5876988234</v>
      </c>
      <c r="U130" s="5">
        <f t="shared" si="53"/>
        <v>200986.06261486525</v>
      </c>
      <c r="V130" s="5">
        <f t="shared" si="53"/>
        <v>229370.82144214277</v>
      </c>
      <c r="W130" s="5">
        <f t="shared" si="53"/>
        <v>232111.95874197333</v>
      </c>
      <c r="X130" s="5">
        <f t="shared" si="53"/>
        <v>244373.00282435105</v>
      </c>
      <c r="Y130" s="5">
        <f t="shared" si="53"/>
        <v>243983.8523658438</v>
      </c>
      <c r="Z130" s="5">
        <f t="shared" si="53"/>
        <v>243569.73290317826</v>
      </c>
      <c r="AA130" s="5">
        <f t="shared" si="53"/>
        <v>94603.41611182064</v>
      </c>
      <c r="AB130" s="5">
        <f t="shared" si="53"/>
        <v>243387.97092174453</v>
      </c>
      <c r="AC130" s="5">
        <f t="shared" si="53"/>
        <v>243381.01646168067</v>
      </c>
      <c r="AD130" s="5">
        <f t="shared" si="53"/>
        <v>243373.57505306992</v>
      </c>
      <c r="AE130" s="5">
        <f t="shared" si="53"/>
        <v>243365.60939318934</v>
      </c>
      <c r="AF130" s="5">
        <f t="shared" si="53"/>
        <v>243357.07956062577</v>
      </c>
      <c r="AG130" s="5">
        <f t="shared" si="53"/>
        <v>243347.9428459285</v>
      </c>
      <c r="AH130" s="5">
        <f t="shared" si="53"/>
        <v>243347.9594037074</v>
      </c>
    </row>
    <row r="131" spans="1:34" ht="14.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t="s">
        <v>58</v>
      </c>
      <c r="C132" s="103"/>
      <c r="D132" s="5">
        <v>1</v>
      </c>
      <c r="E132" s="5">
        <f aca="true" t="shared" si="54" ref="E132:AH132">$D132*E$31</f>
        <v>17640</v>
      </c>
      <c r="F132" s="5">
        <f t="shared" si="54"/>
        <v>98846.03076923077</v>
      </c>
      <c r="G132" s="5">
        <f t="shared" si="54"/>
        <v>112989.04615384615</v>
      </c>
      <c r="H132" s="5">
        <f t="shared" si="54"/>
        <v>130667.81538461539</v>
      </c>
      <c r="I132" s="5">
        <f t="shared" si="54"/>
        <v>130698.83076923077</v>
      </c>
      <c r="J132" s="5">
        <f t="shared" si="54"/>
        <v>151913.35384615386</v>
      </c>
      <c r="K132" s="5">
        <f t="shared" si="54"/>
        <v>180199.38461538462</v>
      </c>
      <c r="L132" s="5">
        <f t="shared" si="54"/>
        <v>190806.64615384617</v>
      </c>
      <c r="M132" s="5">
        <f t="shared" si="54"/>
        <v>201413.9076923077</v>
      </c>
      <c r="N132" s="5">
        <f t="shared" si="54"/>
        <v>212021.16923076927</v>
      </c>
      <c r="O132" s="5">
        <f t="shared" si="54"/>
        <v>222628.43076923076</v>
      </c>
      <c r="P132" s="5">
        <f t="shared" si="54"/>
        <v>233235.6923076923</v>
      </c>
      <c r="Q132" s="5">
        <f t="shared" si="54"/>
        <v>240307.20000000004</v>
      </c>
      <c r="R132" s="5">
        <f t="shared" si="54"/>
        <v>247378.7076923077</v>
      </c>
      <c r="S132" s="5">
        <f t="shared" si="54"/>
        <v>250914.46153846156</v>
      </c>
      <c r="T132" s="5">
        <f t="shared" si="54"/>
        <v>261521.7230769231</v>
      </c>
      <c r="U132" s="5">
        <f t="shared" si="54"/>
        <v>265057.4769230769</v>
      </c>
      <c r="V132" s="5">
        <f t="shared" si="54"/>
        <v>268593.2307692308</v>
      </c>
      <c r="W132" s="5">
        <f t="shared" si="54"/>
        <v>272128.98461538466</v>
      </c>
      <c r="X132" s="5">
        <f t="shared" si="54"/>
        <v>286272</v>
      </c>
      <c r="Y132" s="5">
        <f t="shared" si="54"/>
        <v>286272</v>
      </c>
      <c r="Z132" s="5">
        <f t="shared" si="54"/>
        <v>286272</v>
      </c>
      <c r="AA132" s="5">
        <f t="shared" si="54"/>
        <v>286272</v>
      </c>
      <c r="AB132" s="5">
        <f t="shared" si="54"/>
        <v>286272</v>
      </c>
      <c r="AC132" s="5">
        <f t="shared" si="54"/>
        <v>286272</v>
      </c>
      <c r="AD132" s="5">
        <f t="shared" si="54"/>
        <v>286272</v>
      </c>
      <c r="AE132" s="5">
        <f t="shared" si="54"/>
        <v>286272</v>
      </c>
      <c r="AF132" s="5">
        <f t="shared" si="54"/>
        <v>286272</v>
      </c>
      <c r="AG132" s="5">
        <f t="shared" si="54"/>
        <v>286272</v>
      </c>
      <c r="AH132" s="5">
        <f t="shared" si="54"/>
        <v>286272</v>
      </c>
    </row>
    <row r="133" spans="1:34" ht="14.25">
      <c r="A133" s="5"/>
      <c r="B133" s="5" t="s">
        <v>78</v>
      </c>
      <c r="C133" s="5"/>
      <c r="D133" s="5">
        <v>0.9</v>
      </c>
      <c r="E133" s="5">
        <f aca="true" t="shared" si="55" ref="E133:AH133">$D133*SUM(E$33:E$41)</f>
        <v>96710.30714250001</v>
      </c>
      <c r="F133" s="5">
        <f t="shared" si="55"/>
        <v>156290.2958176099</v>
      </c>
      <c r="G133" s="5">
        <f t="shared" si="55"/>
        <v>235802.61870043966</v>
      </c>
      <c r="H133" s="5">
        <f t="shared" si="55"/>
        <v>325163.78798328154</v>
      </c>
      <c r="I133" s="5">
        <f t="shared" si="55"/>
        <v>1847.4750000000001</v>
      </c>
      <c r="J133" s="5">
        <f t="shared" si="55"/>
        <v>16470</v>
      </c>
      <c r="K133" s="5">
        <f t="shared" si="55"/>
        <v>0</v>
      </c>
      <c r="L133" s="5">
        <f t="shared" si="55"/>
        <v>0</v>
      </c>
      <c r="M133" s="5">
        <f t="shared" si="55"/>
        <v>0</v>
      </c>
      <c r="N133" s="5">
        <f t="shared" si="55"/>
        <v>0</v>
      </c>
      <c r="O133" s="5">
        <f t="shared" si="55"/>
        <v>23058</v>
      </c>
      <c r="P133" s="5">
        <f t="shared" si="55"/>
        <v>0</v>
      </c>
      <c r="Q133" s="5">
        <f t="shared" si="55"/>
        <v>133911.76101564488</v>
      </c>
      <c r="R133" s="5">
        <f t="shared" si="55"/>
        <v>0</v>
      </c>
      <c r="S133" s="5">
        <f t="shared" si="55"/>
        <v>0</v>
      </c>
      <c r="T133" s="5">
        <f t="shared" si="55"/>
        <v>0</v>
      </c>
      <c r="U133" s="5">
        <f t="shared" si="55"/>
        <v>23058</v>
      </c>
      <c r="V133" s="5">
        <f t="shared" si="55"/>
        <v>0</v>
      </c>
      <c r="W133" s="5">
        <f t="shared" si="55"/>
        <v>0</v>
      </c>
      <c r="X133" s="5">
        <f t="shared" si="55"/>
        <v>0</v>
      </c>
      <c r="Y133" s="5">
        <f t="shared" si="55"/>
        <v>0</v>
      </c>
      <c r="Z133" s="5">
        <f t="shared" si="55"/>
        <v>0</v>
      </c>
      <c r="AA133" s="5">
        <f t="shared" si="55"/>
        <v>133911.76101564488</v>
      </c>
      <c r="AB133" s="5">
        <f t="shared" si="55"/>
        <v>0</v>
      </c>
      <c r="AC133" s="5">
        <f t="shared" si="55"/>
        <v>0</v>
      </c>
      <c r="AD133" s="5">
        <f t="shared" si="55"/>
        <v>0</v>
      </c>
      <c r="AE133" s="5">
        <f t="shared" si="55"/>
        <v>0</v>
      </c>
      <c r="AF133" s="5">
        <f t="shared" si="55"/>
        <v>0</v>
      </c>
      <c r="AG133" s="5">
        <f t="shared" si="55"/>
        <v>0</v>
      </c>
      <c r="AH133" s="5">
        <f t="shared" si="55"/>
        <v>0</v>
      </c>
    </row>
    <row r="134" spans="1:34" ht="14.25">
      <c r="A134" s="5"/>
      <c r="B134" s="5" t="s">
        <v>79</v>
      </c>
      <c r="C134" s="5"/>
      <c r="D134" s="5">
        <v>1</v>
      </c>
      <c r="E134" s="5">
        <f aca="true" t="shared" si="56" ref="E134:AH134">$D134*SUM(E$45:E$52)</f>
        <v>0</v>
      </c>
      <c r="F134" s="5">
        <f t="shared" si="56"/>
        <v>0</v>
      </c>
      <c r="G134" s="5">
        <f t="shared" si="56"/>
        <v>0</v>
      </c>
      <c r="H134" s="5">
        <f t="shared" si="56"/>
        <v>0</v>
      </c>
      <c r="I134" s="5">
        <f t="shared" si="56"/>
        <v>7801.792116662655</v>
      </c>
      <c r="J134" s="5">
        <f t="shared" si="56"/>
        <v>8068.544190086621</v>
      </c>
      <c r="K134" s="5">
        <f t="shared" si="56"/>
        <v>8347.568007768987</v>
      </c>
      <c r="L134" s="5">
        <f t="shared" si="56"/>
        <v>8639.975653630361</v>
      </c>
      <c r="M134" s="5">
        <f t="shared" si="56"/>
        <v>8947.001062164045</v>
      </c>
      <c r="N134" s="5">
        <f t="shared" si="56"/>
        <v>9247.277606292773</v>
      </c>
      <c r="O134" s="5">
        <f t="shared" si="56"/>
        <v>9667.05477202932</v>
      </c>
      <c r="P134" s="5">
        <f t="shared" si="56"/>
        <v>9997.61713855492</v>
      </c>
      <c r="Q134" s="5">
        <f t="shared" si="56"/>
        <v>10345.383755753523</v>
      </c>
      <c r="R134" s="5">
        <f t="shared" si="56"/>
        <v>10711.924083673508</v>
      </c>
      <c r="S134" s="5">
        <f t="shared" si="56"/>
        <v>11069.241822798047</v>
      </c>
      <c r="T134" s="5">
        <f t="shared" si="56"/>
        <v>11444.963070407417</v>
      </c>
      <c r="U134" s="5">
        <f t="shared" si="56"/>
        <v>11945.666615903956</v>
      </c>
      <c r="V134" s="5">
        <f t="shared" si="56"/>
        <v>12363.086250164946</v>
      </c>
      <c r="W134" s="5">
        <f t="shared" si="56"/>
        <v>12804.127411872876</v>
      </c>
      <c r="X134" s="5">
        <f t="shared" si="56"/>
        <v>13271.797175648966</v>
      </c>
      <c r="Y134" s="5">
        <f t="shared" si="56"/>
        <v>13660.947634156215</v>
      </c>
      <c r="Z134" s="5">
        <f t="shared" si="56"/>
        <v>14075.067096821773</v>
      </c>
      <c r="AA134" s="5">
        <f t="shared" si="56"/>
        <v>14250.538315240643</v>
      </c>
      <c r="AB134" s="5">
        <f t="shared" si="56"/>
        <v>14256.829078255472</v>
      </c>
      <c r="AC134" s="5">
        <f t="shared" si="56"/>
        <v>14263.783538319349</v>
      </c>
      <c r="AD134" s="5">
        <f t="shared" si="56"/>
        <v>14271.224946930088</v>
      </c>
      <c r="AE134" s="5">
        <f t="shared" si="56"/>
        <v>14279.190606810678</v>
      </c>
      <c r="AF134" s="5">
        <f t="shared" si="56"/>
        <v>14287.720439374241</v>
      </c>
      <c r="AG134" s="5">
        <f t="shared" si="56"/>
        <v>14296.85715407151</v>
      </c>
      <c r="AH134" s="5">
        <f t="shared" si="56"/>
        <v>14296.840596292603</v>
      </c>
    </row>
    <row r="135" spans="1:34" ht="14.25">
      <c r="A135" s="5"/>
      <c r="B135" s="5" t="s">
        <v>76</v>
      </c>
      <c r="C135" s="5"/>
      <c r="D135" s="108">
        <f>IRR(E135:AH135,FIRR!$C$56)</f>
        <v>0.27418780071445825</v>
      </c>
      <c r="E135" s="5">
        <f aca="true" t="shared" si="57" ref="E135:AH135">E132-E133-E134</f>
        <v>-79070.30714250001</v>
      </c>
      <c r="F135" s="5">
        <f t="shared" si="57"/>
        <v>-57444.26504837914</v>
      </c>
      <c r="G135" s="5">
        <f t="shared" si="57"/>
        <v>-122813.57254659351</v>
      </c>
      <c r="H135" s="5">
        <f t="shared" si="57"/>
        <v>-194495.97259866615</v>
      </c>
      <c r="I135" s="5">
        <f t="shared" si="57"/>
        <v>121049.56365256812</v>
      </c>
      <c r="J135" s="5">
        <f t="shared" si="57"/>
        <v>127374.80965606723</v>
      </c>
      <c r="K135" s="5">
        <f t="shared" si="57"/>
        <v>171851.81660761565</v>
      </c>
      <c r="L135" s="5">
        <f t="shared" si="57"/>
        <v>182166.6705002158</v>
      </c>
      <c r="M135" s="5">
        <f t="shared" si="57"/>
        <v>192466.90663014364</v>
      </c>
      <c r="N135" s="5">
        <f t="shared" si="57"/>
        <v>202773.8916244765</v>
      </c>
      <c r="O135" s="5">
        <f t="shared" si="57"/>
        <v>189903.37599720145</v>
      </c>
      <c r="P135" s="5">
        <f t="shared" si="57"/>
        <v>223238.0751691374</v>
      </c>
      <c r="Q135" s="5">
        <f t="shared" si="57"/>
        <v>96050.05522860165</v>
      </c>
      <c r="R135" s="5">
        <f t="shared" si="57"/>
        <v>236666.7836086342</v>
      </c>
      <c r="S135" s="5">
        <f t="shared" si="57"/>
        <v>239845.21971566352</v>
      </c>
      <c r="T135" s="5">
        <f t="shared" si="57"/>
        <v>250076.7600065157</v>
      </c>
      <c r="U135" s="5">
        <f t="shared" si="57"/>
        <v>230053.81030717294</v>
      </c>
      <c r="V135" s="5">
        <f t="shared" si="57"/>
        <v>256230.14451906586</v>
      </c>
      <c r="W135" s="5">
        <f t="shared" si="57"/>
        <v>259324.85720351178</v>
      </c>
      <c r="X135" s="5">
        <f t="shared" si="57"/>
        <v>273000.202824351</v>
      </c>
      <c r="Y135" s="5">
        <f t="shared" si="57"/>
        <v>272611.0523658438</v>
      </c>
      <c r="Z135" s="5">
        <f t="shared" si="57"/>
        <v>272196.9329031782</v>
      </c>
      <c r="AA135" s="5">
        <f t="shared" si="57"/>
        <v>138109.70066911448</v>
      </c>
      <c r="AB135" s="5">
        <f t="shared" si="57"/>
        <v>272015.17092174455</v>
      </c>
      <c r="AC135" s="5">
        <f t="shared" si="57"/>
        <v>272008.21646168065</v>
      </c>
      <c r="AD135" s="5">
        <f t="shared" si="57"/>
        <v>272000.7750530699</v>
      </c>
      <c r="AE135" s="5">
        <f t="shared" si="57"/>
        <v>271992.8093931893</v>
      </c>
      <c r="AF135" s="5">
        <f t="shared" si="57"/>
        <v>271984.2795606258</v>
      </c>
      <c r="AG135" s="5">
        <f t="shared" si="57"/>
        <v>271975.1428459285</v>
      </c>
      <c r="AH135" s="5">
        <f t="shared" si="57"/>
        <v>271975.1594037074</v>
      </c>
    </row>
    <row r="136" spans="1:34" ht="14.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t="s">
        <v>58</v>
      </c>
      <c r="C137" s="103"/>
      <c r="D137" s="5">
        <v>1</v>
      </c>
      <c r="E137" s="5">
        <f aca="true" t="shared" si="58" ref="E137:AH137">$D137*E$31</f>
        <v>17640</v>
      </c>
      <c r="F137" s="5">
        <f t="shared" si="58"/>
        <v>98846.03076923077</v>
      </c>
      <c r="G137" s="5">
        <f t="shared" si="58"/>
        <v>112989.04615384615</v>
      </c>
      <c r="H137" s="5">
        <f t="shared" si="58"/>
        <v>130667.81538461539</v>
      </c>
      <c r="I137" s="5">
        <f t="shared" si="58"/>
        <v>130698.83076923077</v>
      </c>
      <c r="J137" s="5">
        <f t="shared" si="58"/>
        <v>151913.35384615386</v>
      </c>
      <c r="K137" s="5">
        <f t="shared" si="58"/>
        <v>180199.38461538462</v>
      </c>
      <c r="L137" s="5">
        <f t="shared" si="58"/>
        <v>190806.64615384617</v>
      </c>
      <c r="M137" s="5">
        <f t="shared" si="58"/>
        <v>201413.9076923077</v>
      </c>
      <c r="N137" s="5">
        <f t="shared" si="58"/>
        <v>212021.16923076927</v>
      </c>
      <c r="O137" s="5">
        <f t="shared" si="58"/>
        <v>222628.43076923076</v>
      </c>
      <c r="P137" s="5">
        <f t="shared" si="58"/>
        <v>233235.6923076923</v>
      </c>
      <c r="Q137" s="5">
        <f t="shared" si="58"/>
        <v>240307.20000000004</v>
      </c>
      <c r="R137" s="5">
        <f t="shared" si="58"/>
        <v>247378.7076923077</v>
      </c>
      <c r="S137" s="5">
        <f t="shared" si="58"/>
        <v>250914.46153846156</v>
      </c>
      <c r="T137" s="5">
        <f t="shared" si="58"/>
        <v>261521.7230769231</v>
      </c>
      <c r="U137" s="5">
        <f t="shared" si="58"/>
        <v>265057.4769230769</v>
      </c>
      <c r="V137" s="5">
        <f t="shared" si="58"/>
        <v>268593.2307692308</v>
      </c>
      <c r="W137" s="5">
        <f t="shared" si="58"/>
        <v>272128.98461538466</v>
      </c>
      <c r="X137" s="5">
        <f t="shared" si="58"/>
        <v>286272</v>
      </c>
      <c r="Y137" s="5">
        <f t="shared" si="58"/>
        <v>286272</v>
      </c>
      <c r="Z137" s="5">
        <f t="shared" si="58"/>
        <v>286272</v>
      </c>
      <c r="AA137" s="5">
        <f t="shared" si="58"/>
        <v>286272</v>
      </c>
      <c r="AB137" s="5">
        <f t="shared" si="58"/>
        <v>286272</v>
      </c>
      <c r="AC137" s="5">
        <f t="shared" si="58"/>
        <v>286272</v>
      </c>
      <c r="AD137" s="5">
        <f t="shared" si="58"/>
        <v>286272</v>
      </c>
      <c r="AE137" s="5">
        <f t="shared" si="58"/>
        <v>286272</v>
      </c>
      <c r="AF137" s="5">
        <f t="shared" si="58"/>
        <v>286272</v>
      </c>
      <c r="AG137" s="5">
        <f t="shared" si="58"/>
        <v>286272</v>
      </c>
      <c r="AH137" s="5">
        <f t="shared" si="58"/>
        <v>286272</v>
      </c>
    </row>
    <row r="138" spans="1:34" ht="14.25">
      <c r="A138" s="5"/>
      <c r="B138" s="5" t="s">
        <v>78</v>
      </c>
      <c r="C138" s="5"/>
      <c r="D138" s="5">
        <v>1</v>
      </c>
      <c r="E138" s="5">
        <f aca="true" t="shared" si="59" ref="E138:AH138">$D138*SUM(E$33:E$41)</f>
        <v>107455.896825</v>
      </c>
      <c r="F138" s="5">
        <f t="shared" si="59"/>
        <v>173655.8842417888</v>
      </c>
      <c r="G138" s="5">
        <f t="shared" si="59"/>
        <v>262002.90966715518</v>
      </c>
      <c r="H138" s="5">
        <f t="shared" si="59"/>
        <v>361293.0977592017</v>
      </c>
      <c r="I138" s="5">
        <f t="shared" si="59"/>
        <v>2052.75</v>
      </c>
      <c r="J138" s="5">
        <f t="shared" si="59"/>
        <v>18300</v>
      </c>
      <c r="K138" s="5">
        <f t="shared" si="59"/>
        <v>0</v>
      </c>
      <c r="L138" s="5">
        <f t="shared" si="59"/>
        <v>0</v>
      </c>
      <c r="M138" s="5">
        <f t="shared" si="59"/>
        <v>0</v>
      </c>
      <c r="N138" s="5">
        <f t="shared" si="59"/>
        <v>0</v>
      </c>
      <c r="O138" s="5">
        <f t="shared" si="59"/>
        <v>25620</v>
      </c>
      <c r="P138" s="5">
        <f t="shared" si="59"/>
        <v>0</v>
      </c>
      <c r="Q138" s="5">
        <f t="shared" si="59"/>
        <v>148790.84557293874</v>
      </c>
      <c r="R138" s="5">
        <f t="shared" si="59"/>
        <v>0</v>
      </c>
      <c r="S138" s="5">
        <f t="shared" si="59"/>
        <v>0</v>
      </c>
      <c r="T138" s="5">
        <f t="shared" si="59"/>
        <v>0</v>
      </c>
      <c r="U138" s="5">
        <f t="shared" si="59"/>
        <v>25620</v>
      </c>
      <c r="V138" s="5">
        <f t="shared" si="59"/>
        <v>0</v>
      </c>
      <c r="W138" s="5">
        <f t="shared" si="59"/>
        <v>0</v>
      </c>
      <c r="X138" s="5">
        <f t="shared" si="59"/>
        <v>0</v>
      </c>
      <c r="Y138" s="5">
        <f t="shared" si="59"/>
        <v>0</v>
      </c>
      <c r="Z138" s="5">
        <f t="shared" si="59"/>
        <v>0</v>
      </c>
      <c r="AA138" s="5">
        <f t="shared" si="59"/>
        <v>148790.84557293874</v>
      </c>
      <c r="AB138" s="5">
        <f t="shared" si="59"/>
        <v>0</v>
      </c>
      <c r="AC138" s="5">
        <f t="shared" si="59"/>
        <v>0</v>
      </c>
      <c r="AD138" s="5">
        <f t="shared" si="59"/>
        <v>0</v>
      </c>
      <c r="AE138" s="5">
        <f t="shared" si="59"/>
        <v>0</v>
      </c>
      <c r="AF138" s="5">
        <f t="shared" si="59"/>
        <v>0</v>
      </c>
      <c r="AG138" s="5">
        <f t="shared" si="59"/>
        <v>0</v>
      </c>
      <c r="AH138" s="5">
        <f t="shared" si="59"/>
        <v>0</v>
      </c>
    </row>
    <row r="139" spans="1:34" ht="14.25">
      <c r="A139" s="5"/>
      <c r="B139" s="5" t="s">
        <v>79</v>
      </c>
      <c r="C139" s="5"/>
      <c r="D139" s="5">
        <v>0.9</v>
      </c>
      <c r="E139" s="5">
        <f aca="true" t="shared" si="60" ref="E139:AH139">$D139*SUM(E$45:E$52)</f>
        <v>0</v>
      </c>
      <c r="F139" s="5">
        <f t="shared" si="60"/>
        <v>0</v>
      </c>
      <c r="G139" s="5">
        <f t="shared" si="60"/>
        <v>0</v>
      </c>
      <c r="H139" s="5">
        <f t="shared" si="60"/>
        <v>0</v>
      </c>
      <c r="I139" s="5">
        <f t="shared" si="60"/>
        <v>7021.612904996389</v>
      </c>
      <c r="J139" s="5">
        <f t="shared" si="60"/>
        <v>7261.6897710779585</v>
      </c>
      <c r="K139" s="5">
        <f t="shared" si="60"/>
        <v>7512.811206992088</v>
      </c>
      <c r="L139" s="5">
        <f t="shared" si="60"/>
        <v>7775.978088267325</v>
      </c>
      <c r="M139" s="5">
        <f t="shared" si="60"/>
        <v>8052.30095594764</v>
      </c>
      <c r="N139" s="5">
        <f t="shared" si="60"/>
        <v>8322.549845663496</v>
      </c>
      <c r="O139" s="5">
        <f t="shared" si="60"/>
        <v>8700.349294826388</v>
      </c>
      <c r="P139" s="5">
        <f t="shared" si="60"/>
        <v>8997.855424699428</v>
      </c>
      <c r="Q139" s="5">
        <f t="shared" si="60"/>
        <v>9310.84538017817</v>
      </c>
      <c r="R139" s="5">
        <f t="shared" si="60"/>
        <v>9640.731675306157</v>
      </c>
      <c r="S139" s="5">
        <f t="shared" si="60"/>
        <v>9962.317640518242</v>
      </c>
      <c r="T139" s="5">
        <f t="shared" si="60"/>
        <v>10300.466763366676</v>
      </c>
      <c r="U139" s="5">
        <f t="shared" si="60"/>
        <v>10751.09995431356</v>
      </c>
      <c r="V139" s="5">
        <f t="shared" si="60"/>
        <v>11126.777625148452</v>
      </c>
      <c r="W139" s="5">
        <f t="shared" si="60"/>
        <v>11523.71467068559</v>
      </c>
      <c r="X139" s="5">
        <f t="shared" si="60"/>
        <v>11944.617458084069</v>
      </c>
      <c r="Y139" s="5">
        <f t="shared" si="60"/>
        <v>12294.852870740593</v>
      </c>
      <c r="Z139" s="5">
        <f t="shared" si="60"/>
        <v>12667.560387139596</v>
      </c>
      <c r="AA139" s="5">
        <f t="shared" si="60"/>
        <v>12825.484483716578</v>
      </c>
      <c r="AB139" s="5">
        <f t="shared" si="60"/>
        <v>12831.146170429925</v>
      </c>
      <c r="AC139" s="5">
        <f t="shared" si="60"/>
        <v>12837.405184487414</v>
      </c>
      <c r="AD139" s="5">
        <f t="shared" si="60"/>
        <v>12844.102452237079</v>
      </c>
      <c r="AE139" s="5">
        <f t="shared" si="60"/>
        <v>12851.27154612961</v>
      </c>
      <c r="AF139" s="5">
        <f t="shared" si="60"/>
        <v>12858.948395436817</v>
      </c>
      <c r="AG139" s="5">
        <f t="shared" si="60"/>
        <v>12867.171438664358</v>
      </c>
      <c r="AH139" s="5">
        <f t="shared" si="60"/>
        <v>12867.156536663342</v>
      </c>
    </row>
    <row r="140" spans="1:34" ht="14.25">
      <c r="A140" s="5"/>
      <c r="B140" s="5" t="s">
        <v>76</v>
      </c>
      <c r="C140" s="5"/>
      <c r="D140" s="108">
        <f>IRR(E140:AH140,FIRR!$C$56)</f>
        <v>0.24171523520434635</v>
      </c>
      <c r="E140" s="5">
        <f aca="true" t="shared" si="61" ref="E140:AH140">E137-E138-E139</f>
        <v>-89815.896825</v>
      </c>
      <c r="F140" s="5">
        <f t="shared" si="61"/>
        <v>-74809.85347255802</v>
      </c>
      <c r="G140" s="5">
        <f t="shared" si="61"/>
        <v>-149013.86351330904</v>
      </c>
      <c r="H140" s="5">
        <f t="shared" si="61"/>
        <v>-230625.28237458633</v>
      </c>
      <c r="I140" s="5">
        <f t="shared" si="61"/>
        <v>121624.46786423438</v>
      </c>
      <c r="J140" s="5">
        <f t="shared" si="61"/>
        <v>126351.6640750759</v>
      </c>
      <c r="K140" s="5">
        <f t="shared" si="61"/>
        <v>172686.57340839255</v>
      </c>
      <c r="L140" s="5">
        <f t="shared" si="61"/>
        <v>183030.66806557885</v>
      </c>
      <c r="M140" s="5">
        <f t="shared" si="61"/>
        <v>193361.60673636006</v>
      </c>
      <c r="N140" s="5">
        <f t="shared" si="61"/>
        <v>203698.6193851058</v>
      </c>
      <c r="O140" s="5">
        <f t="shared" si="61"/>
        <v>188308.08147440437</v>
      </c>
      <c r="P140" s="5">
        <f t="shared" si="61"/>
        <v>224237.83688299288</v>
      </c>
      <c r="Q140" s="5">
        <f t="shared" si="61"/>
        <v>82205.50904688313</v>
      </c>
      <c r="R140" s="5">
        <f t="shared" si="61"/>
        <v>237737.97601700155</v>
      </c>
      <c r="S140" s="5">
        <f t="shared" si="61"/>
        <v>240952.14389794332</v>
      </c>
      <c r="T140" s="5">
        <f t="shared" si="61"/>
        <v>251221.25631355643</v>
      </c>
      <c r="U140" s="5">
        <f t="shared" si="61"/>
        <v>228686.37696876333</v>
      </c>
      <c r="V140" s="5">
        <f t="shared" si="61"/>
        <v>257466.45314408236</v>
      </c>
      <c r="W140" s="5">
        <f t="shared" si="61"/>
        <v>260605.26994469907</v>
      </c>
      <c r="X140" s="5">
        <f t="shared" si="61"/>
        <v>274327.3825419159</v>
      </c>
      <c r="Y140" s="5">
        <f t="shared" si="61"/>
        <v>273977.1471292594</v>
      </c>
      <c r="Z140" s="5">
        <f t="shared" si="61"/>
        <v>273604.4396128604</v>
      </c>
      <c r="AA140" s="5">
        <f t="shared" si="61"/>
        <v>124655.66994334469</v>
      </c>
      <c r="AB140" s="5">
        <f t="shared" si="61"/>
        <v>273440.85382957006</v>
      </c>
      <c r="AC140" s="5">
        <f t="shared" si="61"/>
        <v>273434.5948155126</v>
      </c>
      <c r="AD140" s="5">
        <f t="shared" si="61"/>
        <v>273427.8975477629</v>
      </c>
      <c r="AE140" s="5">
        <f t="shared" si="61"/>
        <v>273420.7284538704</v>
      </c>
      <c r="AF140" s="5">
        <f t="shared" si="61"/>
        <v>273413.0516045632</v>
      </c>
      <c r="AG140" s="5">
        <f t="shared" si="61"/>
        <v>273404.8285613356</v>
      </c>
      <c r="AH140" s="5">
        <f t="shared" si="61"/>
        <v>273404.84346333664</v>
      </c>
    </row>
    <row r="141" spans="1:34" ht="14.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ht="14.25">
      <c r="A238" s="5"/>
      <c r="B238" s="5"/>
      <c r="C238" s="6"/>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ht="14.25">
      <c r="A239" s="5"/>
      <c r="B239" s="5"/>
      <c r="C239" s="6"/>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ht="14.25">
      <c r="A240" s="5"/>
      <c r="B240" s="5"/>
      <c r="C240" s="6"/>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ht="14.25">
      <c r="A241" s="5"/>
      <c r="B241" s="5"/>
      <c r="C241" s="6"/>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ht="14.25">
      <c r="A242" s="5"/>
      <c r="B242" s="5"/>
      <c r="C242" s="6"/>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ht="14.25">
      <c r="A243" s="5"/>
      <c r="B243" s="5"/>
      <c r="C243" s="6"/>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ht="14.25">
      <c r="A244" s="5"/>
      <c r="B244" s="5"/>
      <c r="C244" s="6"/>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ht="14.25">
      <c r="A245" s="5"/>
      <c r="B245" s="5"/>
      <c r="C245" s="6"/>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ht="14.25">
      <c r="A246" s="5"/>
      <c r="B246" s="5"/>
      <c r="C246" s="6"/>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ht="14.25">
      <c r="A247" s="5"/>
      <c r="B247" s="5"/>
      <c r="C247" s="6"/>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ht="14.25">
      <c r="A248" s="5"/>
      <c r="B248" s="5"/>
      <c r="C248" s="6"/>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ht="14.25">
      <c r="A249" s="5"/>
      <c r="B249" s="5"/>
      <c r="C249" s="6"/>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ht="14.25">
      <c r="A250" s="5"/>
      <c r="B250" s="5"/>
      <c r="C250" s="6"/>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ht="14.25">
      <c r="A251" s="5"/>
      <c r="B251" s="5"/>
      <c r="C251" s="6"/>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row r="252" spans="1:34" ht="14.25">
      <c r="A252" s="5"/>
      <c r="B252" s="5"/>
      <c r="C252" s="6"/>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row>
    <row r="253" spans="1:34" ht="14.25">
      <c r="A253" s="5"/>
      <c r="B253" s="5"/>
      <c r="C253" s="6"/>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row>
    <row r="254" spans="1:34" ht="14.25">
      <c r="A254" s="5"/>
      <c r="B254" s="5"/>
      <c r="C254" s="6"/>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row>
    <row r="255" spans="1:34" ht="14.25">
      <c r="A255" s="5"/>
      <c r="B255" s="5"/>
      <c r="C255" s="6"/>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row>
    <row r="256" spans="1:34" ht="14.25">
      <c r="A256" s="5"/>
      <c r="B256" s="5"/>
      <c r="C256" s="6"/>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row>
    <row r="257" spans="1:34" ht="14.25">
      <c r="A257" s="5"/>
      <c r="B257" s="5"/>
      <c r="C257" s="6"/>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row>
    <row r="258" spans="1:34" ht="14.25">
      <c r="A258" s="5"/>
      <c r="B258" s="5"/>
      <c r="C258" s="6"/>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row>
    <row r="259" spans="1:34" ht="14.25">
      <c r="A259" s="5"/>
      <c r="B259" s="5"/>
      <c r="C259" s="6"/>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row>
    <row r="260" spans="1:34" ht="14.25">
      <c r="A260" s="5"/>
      <c r="B260" s="5"/>
      <c r="C260" s="6"/>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row>
    <row r="261" spans="1:34" ht="14.25">
      <c r="A261" s="5"/>
      <c r="B261" s="5"/>
      <c r="C261" s="6"/>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row>
    <row r="262" spans="1:34" ht="14.25">
      <c r="A262" s="5"/>
      <c r="B262" s="5"/>
      <c r="C262" s="6"/>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row>
    <row r="263" spans="1:34" ht="14.25">
      <c r="A263" s="5"/>
      <c r="B263" s="5"/>
      <c r="C263" s="6"/>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row>
    <row r="264" spans="1:34" ht="14.25">
      <c r="A264" s="5"/>
      <c r="B264" s="5"/>
      <c r="C264" s="6"/>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row>
    <row r="265" spans="1:34" ht="14.25">
      <c r="A265" s="5"/>
      <c r="B265" s="5"/>
      <c r="C265" s="6"/>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row>
    <row r="266" spans="1:34" ht="14.25">
      <c r="A266" s="5"/>
      <c r="B266" s="5"/>
      <c r="C266" s="6"/>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row>
    <row r="267" spans="1:34" ht="14.25">
      <c r="A267" s="5"/>
      <c r="B267" s="5"/>
      <c r="C267" s="6"/>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row>
    <row r="268" spans="1:34" ht="14.25">
      <c r="A268" s="5"/>
      <c r="B268" s="5"/>
      <c r="C268" s="6"/>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row>
    <row r="269" spans="1:34" ht="14.25">
      <c r="A269" s="5"/>
      <c r="B269" s="5"/>
      <c r="C269" s="6"/>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row>
    <row r="270" spans="1:34" ht="14.25">
      <c r="A270" s="5"/>
      <c r="B270" s="5"/>
      <c r="C270" s="6"/>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row>
    <row r="271" spans="1:34" ht="14.25">
      <c r="A271" s="5"/>
      <c r="B271" s="5"/>
      <c r="C271" s="6"/>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row>
    <row r="272" spans="1:34" ht="14.25">
      <c r="A272" s="5"/>
      <c r="B272" s="5"/>
      <c r="C272" s="6"/>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row>
    <row r="273" spans="1:34" ht="14.25">
      <c r="A273" s="5"/>
      <c r="B273" s="5"/>
      <c r="C273" s="6"/>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row>
    <row r="274" spans="1:34" ht="14.25">
      <c r="A274" s="5"/>
      <c r="B274" s="5"/>
      <c r="C274" s="6"/>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row>
    <row r="275" spans="1:34" ht="14.25">
      <c r="A275" s="5"/>
      <c r="B275" s="5"/>
      <c r="C275" s="6"/>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row>
    <row r="276" spans="1:34" ht="14.25">
      <c r="A276" s="5"/>
      <c r="B276" s="5"/>
      <c r="C276" s="6"/>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row>
    <row r="277" spans="1:34" ht="14.25">
      <c r="A277" s="5"/>
      <c r="B277" s="5"/>
      <c r="C277" s="6"/>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row>
    <row r="278" spans="1:34" ht="14.25">
      <c r="A278" s="5"/>
      <c r="B278" s="5"/>
      <c r="C278" s="6"/>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row>
    <row r="279" spans="1:34" ht="14.25">
      <c r="A279" s="5"/>
      <c r="B279" s="5"/>
      <c r="C279" s="6"/>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row>
    <row r="280" spans="1:34" ht="14.25">
      <c r="A280" s="5"/>
      <c r="B280" s="5"/>
      <c r="C280" s="6"/>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row>
    <row r="281" spans="1:34" ht="14.25">
      <c r="A281" s="5"/>
      <c r="B281" s="5"/>
      <c r="C281" s="6"/>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row>
    <row r="282" spans="1:34" ht="14.25">
      <c r="A282" s="5"/>
      <c r="B282" s="5"/>
      <c r="C282" s="6"/>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row>
    <row r="283" spans="1:34" ht="14.25">
      <c r="A283" s="5"/>
      <c r="B283" s="5"/>
      <c r="C283" s="6"/>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row>
    <row r="284" spans="1:34" ht="14.25">
      <c r="A284" s="5"/>
      <c r="B284" s="5"/>
      <c r="C284" s="6"/>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row>
    <row r="285" spans="1:34" ht="14.25">
      <c r="A285" s="5"/>
      <c r="B285" s="5"/>
      <c r="C285" s="6"/>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row>
    <row r="286" spans="1:34" ht="14.25">
      <c r="A286" s="5"/>
      <c r="B286" s="5"/>
      <c r="C286" s="6"/>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row>
    <row r="287" spans="1:34" ht="14.25">
      <c r="A287" s="5"/>
      <c r="B287" s="5"/>
      <c r="C287" s="6"/>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row>
    <row r="288" spans="1:34" ht="14.25">
      <c r="A288" s="5"/>
      <c r="B288" s="5"/>
      <c r="C288" s="6"/>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row>
    <row r="289" spans="1:34" ht="14.25">
      <c r="A289" s="5"/>
      <c r="B289" s="5"/>
      <c r="C289" s="6"/>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row>
    <row r="290" spans="1:34" ht="14.25">
      <c r="A290" s="5"/>
      <c r="B290" s="5"/>
      <c r="C290" s="6"/>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row>
    <row r="291" spans="1:34" ht="14.25">
      <c r="A291" s="5"/>
      <c r="B291" s="5"/>
      <c r="C291" s="6"/>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row>
    <row r="292" spans="1:34" ht="14.25">
      <c r="A292" s="5"/>
      <c r="B292" s="5"/>
      <c r="C292" s="6"/>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row>
    <row r="293" spans="1:34" ht="14.25">
      <c r="A293" s="5"/>
      <c r="B293" s="5"/>
      <c r="C293" s="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row>
    <row r="294" spans="1:34" ht="14.25">
      <c r="A294" s="5"/>
      <c r="B294" s="5"/>
      <c r="C294" s="6"/>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row>
    <row r="295" spans="1:34" ht="14.25">
      <c r="A295" s="5"/>
      <c r="B295" s="5"/>
      <c r="C295" s="6"/>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row>
    <row r="296" spans="1:34" ht="14.25">
      <c r="A296" s="5"/>
      <c r="B296" s="5"/>
      <c r="C296" s="6"/>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row>
    <row r="297" spans="1:34" ht="14.25">
      <c r="A297" s="5"/>
      <c r="B297" s="5"/>
      <c r="C297" s="6"/>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row>
    <row r="298" spans="1:34" ht="14.25">
      <c r="A298" s="5"/>
      <c r="B298" s="5"/>
      <c r="C298" s="6"/>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row>
    <row r="299" spans="1:34" ht="14.25">
      <c r="A299" s="5"/>
      <c r="B299" s="5"/>
      <c r="C299" s="6"/>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row>
    <row r="300" spans="1:34" ht="14.25">
      <c r="A300" s="5"/>
      <c r="B300" s="5"/>
      <c r="C300" s="6"/>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row>
    <row r="301" spans="1:34" ht="14.25">
      <c r="A301" s="5"/>
      <c r="B301" s="5"/>
      <c r="C301" s="6"/>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row>
    <row r="302" spans="1:34" ht="14.25">
      <c r="A302" s="5"/>
      <c r="B302" s="5"/>
      <c r="C302" s="6"/>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row>
    <row r="303" spans="1:34" ht="14.25">
      <c r="A303" s="5"/>
      <c r="B303" s="5"/>
      <c r="C303" s="6"/>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row>
    <row r="304" spans="1:34" ht="14.25">
      <c r="A304" s="5"/>
      <c r="B304" s="5"/>
      <c r="C304" s="6"/>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row>
    <row r="305" spans="1:34" ht="14.25">
      <c r="A305" s="5"/>
      <c r="B305" s="5"/>
      <c r="C305" s="6"/>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row>
    <row r="306" spans="1:34" ht="14.25">
      <c r="A306" s="5"/>
      <c r="B306" s="5"/>
      <c r="C306" s="6"/>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row>
    <row r="307" spans="1:34" ht="14.25">
      <c r="A307" s="5"/>
      <c r="B307" s="5"/>
      <c r="C307" s="6"/>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row>
    <row r="308" spans="1:34" ht="14.25">
      <c r="A308" s="5"/>
      <c r="B308" s="5"/>
      <c r="C308" s="6"/>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row>
    <row r="309" spans="1:34" ht="14.25">
      <c r="A309" s="5"/>
      <c r="B309" s="5"/>
      <c r="C309" s="6"/>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row>
    <row r="310" spans="1:34" ht="14.25">
      <c r="A310" s="5"/>
      <c r="B310" s="5"/>
      <c r="C310" s="6"/>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row>
    <row r="311" spans="1:34" ht="14.25">
      <c r="A311" s="5"/>
      <c r="B311" s="5"/>
      <c r="C311" s="6"/>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row>
    <row r="312" spans="1:34" ht="14.25">
      <c r="A312" s="5"/>
      <c r="B312" s="5"/>
      <c r="C312" s="6"/>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row>
    <row r="313" spans="1:34" ht="14.25">
      <c r="A313" s="5"/>
      <c r="B313" s="5"/>
      <c r="C313" s="6"/>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row>
    <row r="314" spans="1:34" ht="14.25">
      <c r="A314" s="5"/>
      <c r="B314" s="5"/>
      <c r="C314" s="6"/>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row>
    <row r="315" spans="1:34" ht="14.25">
      <c r="A315" s="5"/>
      <c r="B315" s="5"/>
      <c r="C315" s="6"/>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row>
    <row r="316" spans="1:34" ht="14.25">
      <c r="A316" s="5"/>
      <c r="B316" s="5"/>
      <c r="C316" s="6"/>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8"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AW122"/>
  <sheetViews>
    <sheetView workbookViewId="0" topLeftCell="A1">
      <selection activeCell="D122" sqref="D122"/>
    </sheetView>
  </sheetViews>
  <sheetFormatPr defaultColWidth="9.140625" defaultRowHeight="12.75"/>
  <cols>
    <col min="1" max="1" width="21.7109375" style="0" customWidth="1"/>
    <col min="2" max="2" width="20.8515625" style="0" customWidth="1"/>
  </cols>
  <sheetData>
    <row r="1" s="311" customFormat="1" ht="12.75">
      <c r="G1" s="312" t="s">
        <v>209</v>
      </c>
    </row>
    <row r="2" spans="1:4" s="311" customFormat="1" ht="39" customHeight="1">
      <c r="A2" s="371" t="s">
        <v>4</v>
      </c>
      <c r="B2" s="371"/>
      <c r="C2" s="371"/>
      <c r="D2" s="371"/>
    </row>
    <row r="3" ht="12.75">
      <c r="A3" s="165" t="s">
        <v>5</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s="2" customFormat="1"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s="2" customFormat="1"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s="2" customFormat="1" ht="14.25">
      <c r="A9" s="7" t="s">
        <v>34</v>
      </c>
      <c r="B9" s="8"/>
      <c r="C9" s="193">
        <f>IF(E9=1,WACC!I18,IF(E9=2,'AIC Maseru'!C9,IF(E9=0,0)))</f>
        <v>0</v>
      </c>
      <c r="D9" s="10" t="s">
        <v>35</v>
      </c>
      <c r="E9" s="245">
        <v>0</v>
      </c>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s="2" customFormat="1" ht="14.25">
      <c r="A10" s="15"/>
      <c r="B10" s="16"/>
      <c r="C10" s="17"/>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s="2" customFormat="1" ht="14.25">
      <c r="A11" s="15"/>
      <c r="B11" s="16" t="s">
        <v>205</v>
      </c>
      <c r="C11" s="22">
        <f>D60</f>
        <v>0.046539278979191565</v>
      </c>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s="2" customFormat="1" ht="14.25">
      <c r="A12" s="242"/>
      <c r="B12" s="16" t="s">
        <v>206</v>
      </c>
      <c r="C12" s="22">
        <f>D121</f>
        <v>0.034247725130905314</v>
      </c>
      <c r="D12" s="243"/>
      <c r="E12" s="244"/>
      <c r="F12" s="5"/>
      <c r="G12" s="5"/>
      <c r="H12" s="30">
        <f aca="true" t="shared" si="0" ref="H12:H20">C33</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s="2" customFormat="1" ht="14.25">
      <c r="A13" s="15"/>
      <c r="B13" s="16" t="s">
        <v>207</v>
      </c>
      <c r="C13" s="28">
        <f>D58</f>
        <v>3.0291825346274317</v>
      </c>
      <c r="D13" s="29" t="s">
        <v>93</v>
      </c>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s="2" customFormat="1" ht="14.25">
      <c r="A14" s="15"/>
      <c r="B14" s="16" t="s">
        <v>38</v>
      </c>
      <c r="C14" s="28">
        <f>D111</f>
        <v>3.1006152268710605</v>
      </c>
      <c r="D14" s="29" t="s">
        <v>93</v>
      </c>
      <c r="E14" s="19"/>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s="2" customFormat="1" ht="14.25">
      <c r="A15" s="15"/>
      <c r="B15" s="16" t="s">
        <v>134</v>
      </c>
      <c r="C15" s="22">
        <f>'Cost &amp; Benefit Summary'!D64</f>
        <v>0.24080512041108068</v>
      </c>
      <c r="D15" s="23"/>
      <c r="E15" s="19"/>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s="2" customFormat="1" ht="15" thickBot="1">
      <c r="A16" s="32"/>
      <c r="B16" s="33" t="s">
        <v>135</v>
      </c>
      <c r="C16" s="158">
        <f>IRR('Cost &amp; Benefit Summary'!E64:N64)</f>
        <v>0.13531527584954617</v>
      </c>
      <c r="D16" s="35"/>
      <c r="E16" s="36"/>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s="2" customFormat="1" ht="14.25">
      <c r="A17"/>
      <c r="B17"/>
      <c r="C17"/>
      <c r="D17"/>
      <c r="E17"/>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s="2" customFormat="1" ht="14.25">
      <c r="A18"/>
      <c r="B18"/>
      <c r="C18"/>
      <c r="D18"/>
      <c r="E18"/>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4" s="2" customFormat="1" ht="15.75">
      <c r="A19"/>
      <c r="B19" s="37"/>
      <c r="C19"/>
      <c r="D19"/>
      <c r="E19"/>
      <c r="F19" s="5"/>
      <c r="G19" s="5"/>
      <c r="H19" s="30">
        <f t="shared" si="0"/>
        <v>8</v>
      </c>
      <c r="I19" s="31" t="s">
        <v>19</v>
      </c>
      <c r="J19" s="21"/>
      <c r="K19" s="21"/>
      <c r="L19" s="21"/>
      <c r="M19" s="19"/>
      <c r="N19" s="5"/>
      <c r="O19" s="5"/>
      <c r="P19" s="5"/>
      <c r="Q19" s="5"/>
      <c r="R19" s="5"/>
      <c r="S19" s="5"/>
      <c r="T19" s="5"/>
      <c r="U19" s="5"/>
      <c r="V19" s="5"/>
      <c r="W19" s="5"/>
      <c r="Y19" s="38"/>
      <c r="Z19" s="38" t="s">
        <v>41</v>
      </c>
      <c r="AA19" s="38" t="s">
        <v>92</v>
      </c>
      <c r="AB19" s="39">
        <f>'Add Costs and Benefits'!W10</f>
        <v>1000</v>
      </c>
      <c r="AD19" s="1"/>
      <c r="AE19" s="1"/>
      <c r="AH19" s="159">
        <f>'Add Costs and Benefits'!W10</f>
        <v>1000</v>
      </c>
    </row>
    <row r="20" spans="1:34" s="2" customFormat="1" ht="14.25">
      <c r="A20"/>
      <c r="B20"/>
      <c r="C20"/>
      <c r="D20"/>
      <c r="E20"/>
      <c r="F20" s="5"/>
      <c r="G20" s="5"/>
      <c r="H20" s="30">
        <f t="shared" si="0"/>
        <v>9</v>
      </c>
      <c r="I20" s="31" t="s">
        <v>180</v>
      </c>
      <c r="J20" s="21"/>
      <c r="K20" s="21"/>
      <c r="L20" s="21"/>
      <c r="M20" s="19"/>
      <c r="N20" s="5"/>
      <c r="O20" s="5"/>
      <c r="P20" s="5"/>
      <c r="Q20" s="5"/>
      <c r="R20" s="5"/>
      <c r="S20" s="5"/>
      <c r="T20" s="5"/>
      <c r="U20" s="5"/>
      <c r="V20" s="5"/>
      <c r="W20" s="5"/>
      <c r="X20" s="5"/>
      <c r="Y20" s="5"/>
      <c r="Z20" s="5"/>
      <c r="AA20" s="5"/>
      <c r="AB20" s="5"/>
      <c r="AC20" s="5"/>
      <c r="AD20" s="5"/>
      <c r="AE20" s="5"/>
      <c r="AF20" s="5"/>
      <c r="AG20" s="5"/>
      <c r="AH20" s="5"/>
    </row>
    <row r="21" spans="1:34" s="2" customFormat="1" ht="15" thickBot="1">
      <c r="A21"/>
      <c r="B21"/>
      <c r="C21"/>
      <c r="D21"/>
      <c r="E21"/>
      <c r="F21" s="5"/>
      <c r="G21" s="5"/>
      <c r="H21" s="40"/>
      <c r="I21" s="41"/>
      <c r="J21" s="42"/>
      <c r="K21" s="42"/>
      <c r="L21" s="42"/>
      <c r="M21" s="36"/>
      <c r="N21" s="5"/>
      <c r="O21" s="5"/>
      <c r="P21" s="5"/>
      <c r="Q21" s="5"/>
      <c r="R21" s="5"/>
      <c r="S21" s="5"/>
      <c r="T21" s="5"/>
      <c r="U21" s="5"/>
      <c r="V21" s="5"/>
      <c r="W21" s="5"/>
      <c r="X21" s="5"/>
      <c r="Y21" s="5"/>
      <c r="Z21" s="5"/>
      <c r="AA21" s="5"/>
      <c r="AB21" s="5"/>
      <c r="AC21" s="5"/>
      <c r="AD21" s="5"/>
      <c r="AE21" s="5"/>
      <c r="AF21" s="5"/>
      <c r="AG21" s="5"/>
      <c r="AH21" s="5"/>
    </row>
    <row r="22" spans="1:34" s="2" customFormat="1"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s="2" customFormat="1"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s="2" customFormat="1" ht="14.25">
      <c r="A24" s="12" t="s">
        <v>42</v>
      </c>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row>
    <row r="25" spans="1:34" s="2" customFormat="1"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row>
    <row r="26" spans="1:49" s="2" customFormat="1"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34" s="2" customFormat="1" ht="14.25">
      <c r="A27" s="15" t="s">
        <v>83</v>
      </c>
      <c r="B27" s="16" t="s">
        <v>124</v>
      </c>
      <c r="C27" s="29" t="s">
        <v>85</v>
      </c>
      <c r="D27" s="16"/>
      <c r="E27" s="92">
        <f>'AIC Consolidated'!E27</f>
        <v>0</v>
      </c>
      <c r="F27" s="92">
        <f>'AIC Consolidated'!F27</f>
        <v>0</v>
      </c>
      <c r="G27" s="92">
        <f>'AIC Consolidated'!G27</f>
        <v>0</v>
      </c>
      <c r="H27" s="92">
        <f>'AIC Consolidated'!H27</f>
        <v>0</v>
      </c>
      <c r="I27" s="92">
        <f>'AIC Consolidated'!I27</f>
        <v>7639.557583335788</v>
      </c>
      <c r="J27" s="92">
        <f>'AIC Consolidated'!J27</f>
        <v>8615.34160137147</v>
      </c>
      <c r="K27" s="92">
        <f>'AIC Consolidated'!K27</f>
        <v>9624.871784788542</v>
      </c>
      <c r="L27" s="92">
        <f>'AIC Consolidated'!L27</f>
        <v>10669.858417847203</v>
      </c>
      <c r="M27" s="92">
        <f>'AIC Consolidated'!M27</f>
        <v>11752.099729827241</v>
      </c>
      <c r="N27" s="92">
        <f>'AIC Consolidated'!N27</f>
        <v>12795.100595029016</v>
      </c>
      <c r="O27" s="92">
        <f>'AIC Consolidated'!O27</f>
        <v>13871.627692702723</v>
      </c>
      <c r="P27" s="92">
        <f>'AIC Consolidated'!P27</f>
        <v>14983.216401074022</v>
      </c>
      <c r="Q27" s="92">
        <f>'AIC Consolidated'!Q27</f>
        <v>16131.473462787606</v>
      </c>
      <c r="R27" s="92">
        <f>'AIC Consolidated'!R27</f>
        <v>17318.080326502317</v>
      </c>
      <c r="S27" s="92">
        <f>'AIC Consolidated'!S27</f>
        <v>18450.285607530164</v>
      </c>
      <c r="T27" s="92">
        <f>'AIC Consolidated'!T27</f>
        <v>19616.114101121835</v>
      </c>
      <c r="U27" s="92">
        <f>'AIC Consolidated'!U27</f>
        <v>20816.939095575723</v>
      </c>
      <c r="V27" s="92">
        <f>'AIC Consolidated'!V27</f>
        <v>22054.19081524079</v>
      </c>
      <c r="W27" s="92">
        <f>'AIC Consolidated'!W27</f>
        <v>23329.358801954797</v>
      </c>
      <c r="X27" s="92">
        <f>'AIC Consolidated'!X27</f>
        <v>24646.07414408072</v>
      </c>
      <c r="Y27" s="92">
        <f>'AIC Consolidated'!Y27</f>
        <v>25711.99481090276</v>
      </c>
      <c r="Z27" s="92">
        <f>'AIC Consolidated'!Z27</f>
        <v>26820.80720858283</v>
      </c>
      <c r="AA27" s="92">
        <f>'AIC Consolidated'!AA27</f>
        <v>27101.25</v>
      </c>
      <c r="AB27" s="93">
        <f>'AIC Consolidated'!AB27</f>
        <v>27101.249999999996</v>
      </c>
      <c r="AC27" s="92">
        <f>'AIC Consolidated'!AC27</f>
        <v>27101.25</v>
      </c>
      <c r="AD27" s="92">
        <f>'AIC Consolidated'!AD27</f>
        <v>27101.25</v>
      </c>
      <c r="AE27" s="92">
        <f>'AIC Consolidated'!AE27</f>
        <v>27101.249999999996</v>
      </c>
      <c r="AF27" s="92">
        <f>'AIC Consolidated'!AF27</f>
        <v>27101.250000000004</v>
      </c>
      <c r="AG27" s="92">
        <f>'AIC Consolidated'!AG27</f>
        <v>27101.250000000004</v>
      </c>
      <c r="AH27" s="93">
        <f>'AIC Consolidated'!AH27</f>
        <v>27101.25</v>
      </c>
    </row>
    <row r="28" spans="1:34" s="2" customFormat="1" ht="14.25">
      <c r="A28" s="15"/>
      <c r="B28" s="16" t="s">
        <v>84</v>
      </c>
      <c r="C28" s="53">
        <f>C9</f>
        <v>0</v>
      </c>
      <c r="D28" s="144">
        <f>NPV(C28,E27:AH27)</f>
        <v>521656.99218025553</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row>
    <row r="29" spans="1:34" s="2" customFormat="1" ht="14.25">
      <c r="A29" s="15"/>
      <c r="B29" s="16" t="s">
        <v>123</v>
      </c>
      <c r="C29" s="139">
        <v>5</v>
      </c>
      <c r="D29" s="144"/>
      <c r="E29" s="92">
        <f aca="true" t="shared" si="2" ref="E29:AH29">E27*$C$29</f>
        <v>0</v>
      </c>
      <c r="F29" s="92">
        <f t="shared" si="2"/>
        <v>0</v>
      </c>
      <c r="G29" s="92">
        <f t="shared" si="2"/>
        <v>0</v>
      </c>
      <c r="H29" s="92">
        <f t="shared" si="2"/>
        <v>0</v>
      </c>
      <c r="I29" s="92">
        <f t="shared" si="2"/>
        <v>38197.78791667894</v>
      </c>
      <c r="J29" s="92">
        <f t="shared" si="2"/>
        <v>43076.708006857356</v>
      </c>
      <c r="K29" s="92">
        <f t="shared" si="2"/>
        <v>48124.35892394271</v>
      </c>
      <c r="L29" s="92">
        <f t="shared" si="2"/>
        <v>53349.29208923601</v>
      </c>
      <c r="M29" s="92">
        <f t="shared" si="2"/>
        <v>58760.49864913621</v>
      </c>
      <c r="N29" s="92">
        <f t="shared" si="2"/>
        <v>63975.50297514508</v>
      </c>
      <c r="O29" s="92">
        <f t="shared" si="2"/>
        <v>69358.13846351362</v>
      </c>
      <c r="P29" s="92">
        <f t="shared" si="2"/>
        <v>74916.0820053701</v>
      </c>
      <c r="Q29" s="92">
        <f t="shared" si="2"/>
        <v>80657.36731393803</v>
      </c>
      <c r="R29" s="92">
        <f t="shared" si="2"/>
        <v>86590.40163251158</v>
      </c>
      <c r="S29" s="92">
        <f t="shared" si="2"/>
        <v>92251.42803765082</v>
      </c>
      <c r="T29" s="92">
        <f t="shared" si="2"/>
        <v>98080.57050560918</v>
      </c>
      <c r="U29" s="92">
        <f t="shared" si="2"/>
        <v>104084.69547787862</v>
      </c>
      <c r="V29" s="92">
        <f t="shared" si="2"/>
        <v>110270.95407620394</v>
      </c>
      <c r="W29" s="92">
        <f t="shared" si="2"/>
        <v>116646.79400977399</v>
      </c>
      <c r="X29" s="92">
        <f t="shared" si="2"/>
        <v>123230.3707204036</v>
      </c>
      <c r="Y29" s="92">
        <f t="shared" si="2"/>
        <v>128559.9740545138</v>
      </c>
      <c r="Z29" s="92">
        <f t="shared" si="2"/>
        <v>134104.03604291414</v>
      </c>
      <c r="AA29" s="92">
        <f t="shared" si="2"/>
        <v>135506.25</v>
      </c>
      <c r="AB29" s="93">
        <f t="shared" si="2"/>
        <v>135506.24999999997</v>
      </c>
      <c r="AC29" s="92">
        <f t="shared" si="2"/>
        <v>135506.25</v>
      </c>
      <c r="AD29" s="92">
        <f t="shared" si="2"/>
        <v>135506.25</v>
      </c>
      <c r="AE29" s="92">
        <f t="shared" si="2"/>
        <v>135506.24999999997</v>
      </c>
      <c r="AF29" s="92">
        <f t="shared" si="2"/>
        <v>135506.25000000003</v>
      </c>
      <c r="AG29" s="92">
        <f t="shared" si="2"/>
        <v>135506.25000000003</v>
      </c>
      <c r="AH29" s="93">
        <f t="shared" si="2"/>
        <v>135506.25</v>
      </c>
    </row>
    <row r="30" spans="1:34" s="2" customFormat="1" ht="14.25">
      <c r="A30" s="15"/>
      <c r="B30" s="16"/>
      <c r="C30" s="53">
        <f>C9</f>
        <v>0</v>
      </c>
      <c r="D30" s="144">
        <f>NPV(C30,E29:AH29)</f>
        <v>2608284.9609012776</v>
      </c>
      <c r="E30" s="21"/>
      <c r="F30" s="21"/>
      <c r="G30" s="21"/>
      <c r="H30" s="21"/>
      <c r="I30" s="21"/>
      <c r="J30" s="21"/>
      <c r="K30" s="21"/>
      <c r="L30" s="21"/>
      <c r="M30" s="21"/>
      <c r="N30" s="21"/>
      <c r="O30" s="21"/>
      <c r="P30" s="21"/>
      <c r="Q30" s="21"/>
      <c r="R30" s="21"/>
      <c r="S30" s="21"/>
      <c r="T30" s="21"/>
      <c r="U30" s="21"/>
      <c r="V30" s="21"/>
      <c r="W30" s="21"/>
      <c r="X30" s="21"/>
      <c r="Y30" s="21"/>
      <c r="Z30" s="21"/>
      <c r="AA30" s="21"/>
      <c r="AB30" s="19"/>
      <c r="AC30" s="21"/>
      <c r="AD30" s="21"/>
      <c r="AE30" s="21"/>
      <c r="AF30" s="21"/>
      <c r="AG30" s="21"/>
      <c r="AH30" s="19"/>
    </row>
    <row r="31" spans="1:34" s="2" customFormat="1" ht="14.25">
      <c r="A31" s="15"/>
      <c r="B31" s="16"/>
      <c r="C31" s="29"/>
      <c r="D31" s="145"/>
      <c r="E31" s="21"/>
      <c r="F31" s="21"/>
      <c r="G31" s="21"/>
      <c r="H31" s="55"/>
      <c r="I31" s="55"/>
      <c r="J31" s="55"/>
      <c r="K31" s="55"/>
      <c r="L31" s="55"/>
      <c r="M31" s="55"/>
      <c r="N31" s="55"/>
      <c r="O31" s="55"/>
      <c r="P31" s="55"/>
      <c r="Q31" s="55"/>
      <c r="R31" s="55"/>
      <c r="S31" s="55"/>
      <c r="T31" s="55"/>
      <c r="U31" s="55"/>
      <c r="V31" s="55"/>
      <c r="W31" s="55"/>
      <c r="X31" s="55"/>
      <c r="Y31" s="55"/>
      <c r="Z31" s="55"/>
      <c r="AA31" s="55"/>
      <c r="AB31" s="56"/>
      <c r="AC31" s="55"/>
      <c r="AD31" s="55"/>
      <c r="AE31" s="55"/>
      <c r="AF31" s="55"/>
      <c r="AG31" s="55"/>
      <c r="AH31" s="56"/>
    </row>
    <row r="32" spans="1:34" s="2" customFormat="1" ht="14.25">
      <c r="A32" s="48"/>
      <c r="B32" s="16"/>
      <c r="C32" s="29" t="s">
        <v>86</v>
      </c>
      <c r="D32" s="146" t="s">
        <v>43</v>
      </c>
      <c r="E32" s="118">
        <f>'AIC Maseru'!E30</f>
        <v>0</v>
      </c>
      <c r="F32" s="118">
        <f>'AIC Maseru'!F30</f>
        <v>0.1</v>
      </c>
      <c r="G32" s="118">
        <f>'AIC Maseru'!G30</f>
        <v>0.4</v>
      </c>
      <c r="H32" s="118">
        <f>'AIC Maseru'!H30</f>
        <v>0.5</v>
      </c>
      <c r="I32" s="118">
        <f>'AIC Maseru'!I30</f>
        <v>0</v>
      </c>
      <c r="J32" s="118">
        <f>'AIC Maseru'!J30</f>
        <v>0</v>
      </c>
      <c r="K32" s="21"/>
      <c r="L32" s="21"/>
      <c r="M32" s="21"/>
      <c r="N32" s="21"/>
      <c r="O32" s="21"/>
      <c r="P32" s="21"/>
      <c r="Q32" s="21"/>
      <c r="R32" s="21"/>
      <c r="S32" s="21"/>
      <c r="T32" s="21"/>
      <c r="U32" s="21"/>
      <c r="V32" s="21"/>
      <c r="W32" s="21"/>
      <c r="X32" s="21"/>
      <c r="Y32" s="21"/>
      <c r="Z32" s="21"/>
      <c r="AA32" s="21"/>
      <c r="AB32" s="19"/>
      <c r="AC32" s="21"/>
      <c r="AD32" s="21"/>
      <c r="AE32" s="21"/>
      <c r="AF32" s="21"/>
      <c r="AG32" s="21"/>
      <c r="AH32" s="19"/>
    </row>
    <row r="33" spans="1:34" s="2" customFormat="1" ht="14.25">
      <c r="A33" s="15" t="s">
        <v>44</v>
      </c>
      <c r="B33" s="57" t="s">
        <v>78</v>
      </c>
      <c r="C33" s="58">
        <v>1</v>
      </c>
      <c r="D33" s="144">
        <f aca="true" t="shared" si="3" ref="D33:D41">SUM(E33:H33)</f>
        <v>189256.84232908447</v>
      </c>
      <c r="E33" s="140">
        <f>'AIC Consolidated'!E31</f>
        <v>0</v>
      </c>
      <c r="F33" s="140">
        <f>'AIC Consolidated'!F31</f>
        <v>18925.684232908447</v>
      </c>
      <c r="G33" s="140">
        <f>'AIC Consolidated'!G31</f>
        <v>75702.73693163379</v>
      </c>
      <c r="H33" s="140">
        <f>'AIC Consolidated'!H31</f>
        <v>94628.42116454223</v>
      </c>
      <c r="I33" s="140">
        <f>'AIC Consolidated'!I31</f>
        <v>0</v>
      </c>
      <c r="J33" s="140">
        <f>'AIC Consolidated'!J31</f>
        <v>0</v>
      </c>
      <c r="K33" s="140">
        <f>'AIC Consolidated'!K31</f>
        <v>0</v>
      </c>
      <c r="L33" s="140">
        <f>'AIC Consolidated'!L31</f>
        <v>0</v>
      </c>
      <c r="M33" s="140">
        <f>'AIC Consolidated'!M31</f>
        <v>0</v>
      </c>
      <c r="N33" s="140">
        <f>'AIC Consolidated'!N31</f>
        <v>0</v>
      </c>
      <c r="O33" s="140">
        <f>'AIC Consolidated'!O31</f>
        <v>0</v>
      </c>
      <c r="P33" s="140">
        <f>'AIC Consolidated'!P31</f>
        <v>0</v>
      </c>
      <c r="Q33" s="140">
        <f>'AIC Consolidated'!Q31</f>
        <v>0</v>
      </c>
      <c r="R33" s="140">
        <f>'AIC Consolidated'!R31</f>
        <v>0</v>
      </c>
      <c r="S33" s="140">
        <f>'AIC Consolidated'!S31</f>
        <v>0</v>
      </c>
      <c r="T33" s="140">
        <f>'AIC Consolidated'!T31</f>
        <v>0</v>
      </c>
      <c r="U33" s="140">
        <f>'AIC Consolidated'!U31</f>
        <v>0</v>
      </c>
      <c r="V33" s="140">
        <f>'AIC Consolidated'!V31</f>
        <v>0</v>
      </c>
      <c r="W33" s="140">
        <f>'AIC Consolidated'!W31</f>
        <v>0</v>
      </c>
      <c r="X33" s="140">
        <f>'AIC Consolidated'!X31</f>
        <v>0</v>
      </c>
      <c r="Y33" s="140">
        <f>'AIC Consolidated'!Y31</f>
        <v>0</v>
      </c>
      <c r="Z33" s="140">
        <f>'AIC Consolidated'!Z31</f>
        <v>0</v>
      </c>
      <c r="AA33" s="140">
        <f>'AIC Consolidated'!AA31</f>
        <v>0</v>
      </c>
      <c r="AB33" s="141">
        <f>'AIC Consolidated'!AB31</f>
        <v>0</v>
      </c>
      <c r="AC33" s="140">
        <f>'AIC Consolidated'!AC31</f>
        <v>0</v>
      </c>
      <c r="AD33" s="140">
        <f>'AIC Consolidated'!AD31</f>
        <v>0</v>
      </c>
      <c r="AE33" s="140">
        <f>'AIC Consolidated'!AE31</f>
        <v>0</v>
      </c>
      <c r="AF33" s="140">
        <f>'AIC Consolidated'!AF31</f>
        <v>0</v>
      </c>
      <c r="AG33" s="140">
        <f>'AIC Consolidated'!AG31</f>
        <v>0</v>
      </c>
      <c r="AH33" s="141">
        <f>'AIC Consolidated'!AH31</f>
        <v>0</v>
      </c>
    </row>
    <row r="34" spans="1:34" s="2" customFormat="1" ht="14.25">
      <c r="A34" s="48"/>
      <c r="B34" s="16"/>
      <c r="C34" s="58">
        <f aca="true" t="shared" si="4" ref="C34:C41">C33+1</f>
        <v>2</v>
      </c>
      <c r="D34" s="144">
        <f t="shared" si="3"/>
        <v>51240</v>
      </c>
      <c r="E34" s="140">
        <f>'AIC Consolidated'!E32</f>
        <v>0</v>
      </c>
      <c r="F34" s="140">
        <f>'AIC Consolidated'!F32</f>
        <v>0</v>
      </c>
      <c r="G34" s="140">
        <f>'AIC Consolidated'!G32</f>
        <v>0</v>
      </c>
      <c r="H34" s="140">
        <f>'AIC Consolidated'!H32</f>
        <v>51240</v>
      </c>
      <c r="I34" s="140">
        <f>'AIC Consolidated'!I32</f>
        <v>0</v>
      </c>
      <c r="J34" s="140">
        <f>'AIC Consolidated'!J32</f>
        <v>0</v>
      </c>
      <c r="K34" s="140">
        <f>'AIC Consolidated'!K32</f>
        <v>0</v>
      </c>
      <c r="L34" s="140">
        <f>'AIC Consolidated'!L32</f>
        <v>0</v>
      </c>
      <c r="M34" s="140">
        <f>'AIC Consolidated'!M32</f>
        <v>0</v>
      </c>
      <c r="N34" s="140">
        <f>'AIC Consolidated'!N32</f>
        <v>0</v>
      </c>
      <c r="O34" s="140">
        <f>'AIC Consolidated'!O32</f>
        <v>25620</v>
      </c>
      <c r="P34" s="140">
        <f>'AIC Consolidated'!P32</f>
        <v>0</v>
      </c>
      <c r="Q34" s="140">
        <f>'AIC Consolidated'!Q32</f>
        <v>0</v>
      </c>
      <c r="R34" s="140">
        <f>'AIC Consolidated'!R32</f>
        <v>0</v>
      </c>
      <c r="S34" s="140">
        <f>'AIC Consolidated'!S32</f>
        <v>0</v>
      </c>
      <c r="T34" s="140">
        <f>'AIC Consolidated'!T32</f>
        <v>0</v>
      </c>
      <c r="U34" s="140">
        <f>'AIC Consolidated'!U32</f>
        <v>25620</v>
      </c>
      <c r="V34" s="140">
        <f>'AIC Consolidated'!V32</f>
        <v>0</v>
      </c>
      <c r="W34" s="140">
        <f>'AIC Consolidated'!W32</f>
        <v>0</v>
      </c>
      <c r="X34" s="140">
        <f>'AIC Consolidated'!X32</f>
        <v>0</v>
      </c>
      <c r="Y34" s="140">
        <f>'AIC Consolidated'!Y32</f>
        <v>0</v>
      </c>
      <c r="Z34" s="140">
        <f>'AIC Consolidated'!Z32</f>
        <v>0</v>
      </c>
      <c r="AA34" s="140">
        <f>'AIC Consolidated'!AA32</f>
        <v>0</v>
      </c>
      <c r="AB34" s="141">
        <f>'AIC Consolidated'!AB32</f>
        <v>0</v>
      </c>
      <c r="AC34" s="140">
        <f>'AIC Consolidated'!AC32</f>
        <v>0</v>
      </c>
      <c r="AD34" s="140">
        <f>'AIC Consolidated'!AD32</f>
        <v>0</v>
      </c>
      <c r="AE34" s="140">
        <f>'AIC Consolidated'!AE32</f>
        <v>0</v>
      </c>
      <c r="AF34" s="140">
        <f>'AIC Consolidated'!AF32</f>
        <v>0</v>
      </c>
      <c r="AG34" s="140">
        <f>'AIC Consolidated'!AG32</f>
        <v>0</v>
      </c>
      <c r="AH34" s="141">
        <f>'AIC Consolidated'!AH32</f>
        <v>0</v>
      </c>
    </row>
    <row r="35" spans="1:34" s="2" customFormat="1" ht="14.25">
      <c r="A35" s="48"/>
      <c r="B35" s="16"/>
      <c r="C35" s="58">
        <f t="shared" si="4"/>
        <v>3</v>
      </c>
      <c r="D35" s="144">
        <f t="shared" si="3"/>
        <v>4733.6</v>
      </c>
      <c r="E35" s="140">
        <f>'AIC Consolidated'!E33</f>
        <v>0</v>
      </c>
      <c r="F35" s="140">
        <f>'AIC Consolidated'!F33</f>
        <v>473.36</v>
      </c>
      <c r="G35" s="140">
        <f>'AIC Consolidated'!G33</f>
        <v>1893.44</v>
      </c>
      <c r="H35" s="140">
        <f>'AIC Consolidated'!H33</f>
        <v>2366.8</v>
      </c>
      <c r="I35" s="140">
        <f>'AIC Consolidated'!I33</f>
        <v>0</v>
      </c>
      <c r="J35" s="140">
        <f>'AIC Consolidated'!J33</f>
        <v>0</v>
      </c>
      <c r="K35" s="140">
        <f>'AIC Consolidated'!K33</f>
        <v>0</v>
      </c>
      <c r="L35" s="140">
        <f>'AIC Consolidated'!L33</f>
        <v>0</v>
      </c>
      <c r="M35" s="140">
        <f>'AIC Consolidated'!M33</f>
        <v>0</v>
      </c>
      <c r="N35" s="140">
        <f>'AIC Consolidated'!N33</f>
        <v>0</v>
      </c>
      <c r="O35" s="140">
        <f>'AIC Consolidated'!O33</f>
        <v>0</v>
      </c>
      <c r="P35" s="140">
        <f>'AIC Consolidated'!P33</f>
        <v>0</v>
      </c>
      <c r="Q35" s="140">
        <f>'AIC Consolidated'!Q33</f>
        <v>0</v>
      </c>
      <c r="R35" s="140">
        <f>'AIC Consolidated'!R33</f>
        <v>0</v>
      </c>
      <c r="S35" s="140">
        <f>'AIC Consolidated'!S33</f>
        <v>0</v>
      </c>
      <c r="T35" s="140">
        <f>'AIC Consolidated'!T33</f>
        <v>0</v>
      </c>
      <c r="U35" s="140">
        <f>'AIC Consolidated'!U33</f>
        <v>0</v>
      </c>
      <c r="V35" s="140">
        <f>'AIC Consolidated'!V33</f>
        <v>0</v>
      </c>
      <c r="W35" s="140">
        <f>'AIC Consolidated'!W33</f>
        <v>0</v>
      </c>
      <c r="X35" s="140">
        <f>'AIC Consolidated'!X33</f>
        <v>0</v>
      </c>
      <c r="Y35" s="140">
        <f>'AIC Consolidated'!Y33</f>
        <v>0</v>
      </c>
      <c r="Z35" s="140">
        <f>'AIC Consolidated'!Z33</f>
        <v>0</v>
      </c>
      <c r="AA35" s="140">
        <f>'AIC Consolidated'!AA33</f>
        <v>0</v>
      </c>
      <c r="AB35" s="141">
        <f>'AIC Consolidated'!AB33</f>
        <v>0</v>
      </c>
      <c r="AC35" s="140">
        <f>'AIC Consolidated'!AC33</f>
        <v>0</v>
      </c>
      <c r="AD35" s="140">
        <f>'AIC Consolidated'!AD33</f>
        <v>0</v>
      </c>
      <c r="AE35" s="140">
        <f>'AIC Consolidated'!AE33</f>
        <v>0</v>
      </c>
      <c r="AF35" s="140">
        <f>'AIC Consolidated'!AF33</f>
        <v>0</v>
      </c>
      <c r="AG35" s="140">
        <f>'AIC Consolidated'!AG33</f>
        <v>0</v>
      </c>
      <c r="AH35" s="141">
        <f>'AIC Consolidated'!AH33</f>
        <v>0</v>
      </c>
    </row>
    <row r="36" spans="1:34" s="2" customFormat="1" ht="14.25">
      <c r="A36" s="48"/>
      <c r="B36" s="16"/>
      <c r="C36" s="58">
        <f t="shared" si="4"/>
        <v>4</v>
      </c>
      <c r="D36" s="144">
        <f t="shared" si="3"/>
        <v>45481.26183998425</v>
      </c>
      <c r="E36" s="140">
        <f>'AIC Consolidated'!E34</f>
        <v>0</v>
      </c>
      <c r="F36" s="140">
        <f>'AIC Consolidated'!F34</f>
        <v>4548.126183998425</v>
      </c>
      <c r="G36" s="140">
        <f>'AIC Consolidated'!G34</f>
        <v>18192.5047359937</v>
      </c>
      <c r="H36" s="140">
        <f>'AIC Consolidated'!H34</f>
        <v>22740.630919992123</v>
      </c>
      <c r="I36" s="140">
        <f>'AIC Consolidated'!I34</f>
        <v>0</v>
      </c>
      <c r="J36" s="140">
        <f>'AIC Consolidated'!J34</f>
        <v>0</v>
      </c>
      <c r="K36" s="140">
        <f>'AIC Consolidated'!K34</f>
        <v>0</v>
      </c>
      <c r="L36" s="140">
        <f>'AIC Consolidated'!L34</f>
        <v>0</v>
      </c>
      <c r="M36" s="140">
        <f>'AIC Consolidated'!M34</f>
        <v>0</v>
      </c>
      <c r="N36" s="140">
        <f>'AIC Consolidated'!N34</f>
        <v>0</v>
      </c>
      <c r="O36" s="140">
        <f>'AIC Consolidated'!O34</f>
        <v>0</v>
      </c>
      <c r="P36" s="140">
        <f>'AIC Consolidated'!P34</f>
        <v>0</v>
      </c>
      <c r="Q36" s="140">
        <f>'AIC Consolidated'!Q34</f>
        <v>45481.261839984254</v>
      </c>
      <c r="R36" s="140">
        <f>'AIC Consolidated'!R34</f>
        <v>0</v>
      </c>
      <c r="S36" s="140">
        <f>'AIC Consolidated'!S34</f>
        <v>0</v>
      </c>
      <c r="T36" s="140">
        <f>'AIC Consolidated'!T34</f>
        <v>0</v>
      </c>
      <c r="U36" s="140">
        <f>'AIC Consolidated'!U34</f>
        <v>0</v>
      </c>
      <c r="V36" s="140">
        <f>'AIC Consolidated'!V34</f>
        <v>0</v>
      </c>
      <c r="W36" s="140">
        <f>'AIC Consolidated'!W34</f>
        <v>0</v>
      </c>
      <c r="X36" s="140">
        <f>'AIC Consolidated'!X34</f>
        <v>0</v>
      </c>
      <c r="Y36" s="140">
        <f>'AIC Consolidated'!Y34</f>
        <v>0</v>
      </c>
      <c r="Z36" s="140">
        <f>'AIC Consolidated'!Z34</f>
        <v>0</v>
      </c>
      <c r="AA36" s="140">
        <f>'AIC Consolidated'!AA34</f>
        <v>45481.261839984254</v>
      </c>
      <c r="AB36" s="141">
        <f>'AIC Consolidated'!AB34</f>
        <v>0</v>
      </c>
      <c r="AC36" s="140">
        <f>'AIC Consolidated'!AC34</f>
        <v>0</v>
      </c>
      <c r="AD36" s="140">
        <f>'AIC Consolidated'!AD34</f>
        <v>0</v>
      </c>
      <c r="AE36" s="140">
        <f>'AIC Consolidated'!AE34</f>
        <v>0</v>
      </c>
      <c r="AF36" s="140">
        <f>'AIC Consolidated'!AF34</f>
        <v>0</v>
      </c>
      <c r="AG36" s="140">
        <f>'AIC Consolidated'!AG34</f>
        <v>0</v>
      </c>
      <c r="AH36" s="141">
        <f>'AIC Consolidated'!AH34</f>
        <v>0</v>
      </c>
    </row>
    <row r="37" spans="1:34" s="2" customFormat="1" ht="14.25">
      <c r="A37" s="48"/>
      <c r="B37" s="16"/>
      <c r="C37" s="58">
        <f t="shared" si="4"/>
        <v>5</v>
      </c>
      <c r="D37" s="144">
        <f t="shared" si="3"/>
        <v>221081.8371505636</v>
      </c>
      <c r="E37" s="140">
        <f>'AIC Consolidated'!E35</f>
        <v>0</v>
      </c>
      <c r="F37" s="140">
        <f>'AIC Consolidated'!F35</f>
        <v>22108.18371505636</v>
      </c>
      <c r="G37" s="140">
        <f>'AIC Consolidated'!G35</f>
        <v>88432.73486022544</v>
      </c>
      <c r="H37" s="140">
        <f>'AIC Consolidated'!H35</f>
        <v>110540.91857528179</v>
      </c>
      <c r="I37" s="140">
        <f>'AIC Consolidated'!I35</f>
        <v>0</v>
      </c>
      <c r="J37" s="140">
        <f>'AIC Consolidated'!J35</f>
        <v>0</v>
      </c>
      <c r="K37" s="140">
        <f>'AIC Consolidated'!K35</f>
        <v>0</v>
      </c>
      <c r="L37" s="140">
        <f>'AIC Consolidated'!L35</f>
        <v>0</v>
      </c>
      <c r="M37" s="140">
        <f>'AIC Consolidated'!M35</f>
        <v>0</v>
      </c>
      <c r="N37" s="140">
        <f>'AIC Consolidated'!N35</f>
        <v>0</v>
      </c>
      <c r="O37" s="140">
        <f>'AIC Consolidated'!O35</f>
        <v>0</v>
      </c>
      <c r="P37" s="140">
        <f>'AIC Consolidated'!P35</f>
        <v>0</v>
      </c>
      <c r="Q37" s="140">
        <f>'AIC Consolidated'!Q35</f>
        <v>0</v>
      </c>
      <c r="R37" s="140">
        <f>'AIC Consolidated'!R35</f>
        <v>0</v>
      </c>
      <c r="S37" s="140">
        <f>'AIC Consolidated'!S35</f>
        <v>0</v>
      </c>
      <c r="T37" s="140">
        <f>'AIC Consolidated'!T35</f>
        <v>0</v>
      </c>
      <c r="U37" s="140">
        <f>'AIC Consolidated'!U35</f>
        <v>0</v>
      </c>
      <c r="V37" s="140">
        <f>'AIC Consolidated'!V35</f>
        <v>0</v>
      </c>
      <c r="W37" s="140">
        <f>'AIC Consolidated'!W35</f>
        <v>0</v>
      </c>
      <c r="X37" s="140">
        <f>'AIC Consolidated'!X35</f>
        <v>0</v>
      </c>
      <c r="Y37" s="140">
        <f>'AIC Consolidated'!Y35</f>
        <v>0</v>
      </c>
      <c r="Z37" s="140">
        <f>'AIC Consolidated'!Z35</f>
        <v>0</v>
      </c>
      <c r="AA37" s="140">
        <f>'AIC Consolidated'!AA35</f>
        <v>0</v>
      </c>
      <c r="AB37" s="141">
        <f>'AIC Consolidated'!AB35</f>
        <v>0</v>
      </c>
      <c r="AC37" s="140">
        <f>'AIC Consolidated'!AC35</f>
        <v>0</v>
      </c>
      <c r="AD37" s="140">
        <f>'AIC Consolidated'!AD35</f>
        <v>0</v>
      </c>
      <c r="AE37" s="140">
        <f>'AIC Consolidated'!AE35</f>
        <v>0</v>
      </c>
      <c r="AF37" s="140">
        <f>'AIC Consolidated'!AF35</f>
        <v>0</v>
      </c>
      <c r="AG37" s="140">
        <f>'AIC Consolidated'!AG35</f>
        <v>0</v>
      </c>
      <c r="AH37" s="141">
        <f>'AIC Consolidated'!AH35</f>
        <v>0</v>
      </c>
    </row>
    <row r="38" spans="1:34" s="2" customFormat="1" ht="14.25">
      <c r="A38" s="48"/>
      <c r="B38" s="16"/>
      <c r="C38" s="58">
        <f t="shared" si="4"/>
        <v>6</v>
      </c>
      <c r="D38" s="144">
        <f t="shared" si="3"/>
        <v>12062.940319999998</v>
      </c>
      <c r="E38" s="140">
        <f>'AIC Consolidated'!E36</f>
        <v>0</v>
      </c>
      <c r="F38" s="140">
        <f>'AIC Consolidated'!F36</f>
        <v>1206.294032</v>
      </c>
      <c r="G38" s="140">
        <f>'AIC Consolidated'!G36</f>
        <v>4825.176128</v>
      </c>
      <c r="H38" s="140">
        <f>'AIC Consolidated'!H36</f>
        <v>6031.470159999999</v>
      </c>
      <c r="I38" s="140">
        <f>'AIC Consolidated'!I36</f>
        <v>0</v>
      </c>
      <c r="J38" s="140">
        <f>'AIC Consolidated'!J36</f>
        <v>0</v>
      </c>
      <c r="K38" s="140">
        <f>'AIC Consolidated'!K36</f>
        <v>0</v>
      </c>
      <c r="L38" s="140">
        <f>'AIC Consolidated'!L36</f>
        <v>0</v>
      </c>
      <c r="M38" s="140">
        <f>'AIC Consolidated'!M36</f>
        <v>0</v>
      </c>
      <c r="N38" s="140">
        <f>'AIC Consolidated'!N36</f>
        <v>0</v>
      </c>
      <c r="O38" s="140">
        <f>'AIC Consolidated'!O36</f>
        <v>0</v>
      </c>
      <c r="P38" s="140">
        <f>'AIC Consolidated'!P36</f>
        <v>0</v>
      </c>
      <c r="Q38" s="140">
        <f>'AIC Consolidated'!Q36</f>
        <v>12062.940319999998</v>
      </c>
      <c r="R38" s="140">
        <f>'AIC Consolidated'!R36</f>
        <v>0</v>
      </c>
      <c r="S38" s="140">
        <f>'AIC Consolidated'!S36</f>
        <v>0</v>
      </c>
      <c r="T38" s="140">
        <f>'AIC Consolidated'!T36</f>
        <v>0</v>
      </c>
      <c r="U38" s="140">
        <f>'AIC Consolidated'!U36</f>
        <v>0</v>
      </c>
      <c r="V38" s="140">
        <f>'AIC Consolidated'!V36</f>
        <v>0</v>
      </c>
      <c r="W38" s="140">
        <f>'AIC Consolidated'!W36</f>
        <v>0</v>
      </c>
      <c r="X38" s="140">
        <f>'AIC Consolidated'!X36</f>
        <v>0</v>
      </c>
      <c r="Y38" s="140">
        <f>'AIC Consolidated'!Y36</f>
        <v>0</v>
      </c>
      <c r="Z38" s="140">
        <f>'AIC Consolidated'!Z36</f>
        <v>0</v>
      </c>
      <c r="AA38" s="140">
        <f>'AIC Consolidated'!AA36</f>
        <v>12062.940319999998</v>
      </c>
      <c r="AB38" s="141">
        <f>'AIC Consolidated'!AB36</f>
        <v>0</v>
      </c>
      <c r="AC38" s="140">
        <f>'AIC Consolidated'!AC36</f>
        <v>0</v>
      </c>
      <c r="AD38" s="140">
        <f>'AIC Consolidated'!AD36</f>
        <v>0</v>
      </c>
      <c r="AE38" s="140">
        <f>'AIC Consolidated'!AE36</f>
        <v>0</v>
      </c>
      <c r="AF38" s="140">
        <f>'AIC Consolidated'!AF36</f>
        <v>0</v>
      </c>
      <c r="AG38" s="140">
        <f>'AIC Consolidated'!AG36</f>
        <v>0</v>
      </c>
      <c r="AH38" s="141">
        <f>'AIC Consolidated'!AH36</f>
        <v>0</v>
      </c>
    </row>
    <row r="39" spans="1:34" s="2" customFormat="1" ht="14.25">
      <c r="A39" s="48"/>
      <c r="B39" s="16"/>
      <c r="C39" s="58">
        <f t="shared" si="4"/>
        <v>7</v>
      </c>
      <c r="D39" s="144">
        <f t="shared" si="3"/>
        <v>46349.91046581653</v>
      </c>
      <c r="E39" s="140">
        <f>'AIC Consolidated'!E37</f>
        <v>0</v>
      </c>
      <c r="F39" s="140">
        <f>'AIC Consolidated'!F37</f>
        <v>4634.991046581654</v>
      </c>
      <c r="G39" s="140">
        <f>'AIC Consolidated'!G37</f>
        <v>18539.964186326615</v>
      </c>
      <c r="H39" s="140">
        <f>'AIC Consolidated'!H37</f>
        <v>23174.955232908265</v>
      </c>
      <c r="I39" s="140">
        <f>'AIC Consolidated'!I37</f>
        <v>0</v>
      </c>
      <c r="J39" s="140">
        <f>'AIC Consolidated'!J37</f>
        <v>0</v>
      </c>
      <c r="K39" s="140">
        <f>'AIC Consolidated'!K37</f>
        <v>0</v>
      </c>
      <c r="L39" s="140">
        <f>'AIC Consolidated'!L37</f>
        <v>0</v>
      </c>
      <c r="M39" s="140">
        <f>'AIC Consolidated'!M37</f>
        <v>0</v>
      </c>
      <c r="N39" s="140">
        <f>'AIC Consolidated'!N37</f>
        <v>0</v>
      </c>
      <c r="O39" s="140">
        <f>'AIC Consolidated'!O37</f>
        <v>0</v>
      </c>
      <c r="P39" s="140">
        <f>'AIC Consolidated'!P37</f>
        <v>0</v>
      </c>
      <c r="Q39" s="140">
        <f>'AIC Consolidated'!Q37</f>
        <v>0</v>
      </c>
      <c r="R39" s="140">
        <f>'AIC Consolidated'!R37</f>
        <v>0</v>
      </c>
      <c r="S39" s="140">
        <f>'AIC Consolidated'!S37</f>
        <v>0</v>
      </c>
      <c r="T39" s="140">
        <f>'AIC Consolidated'!T37</f>
        <v>0</v>
      </c>
      <c r="U39" s="140">
        <f>'AIC Consolidated'!U37</f>
        <v>0</v>
      </c>
      <c r="V39" s="140">
        <f>'AIC Consolidated'!V37</f>
        <v>0</v>
      </c>
      <c r="W39" s="140">
        <f>'AIC Consolidated'!W37</f>
        <v>0</v>
      </c>
      <c r="X39" s="140">
        <f>'AIC Consolidated'!X37</f>
        <v>0</v>
      </c>
      <c r="Y39" s="140">
        <f>'AIC Consolidated'!Y37</f>
        <v>0</v>
      </c>
      <c r="Z39" s="140">
        <f>'AIC Consolidated'!Z37</f>
        <v>0</v>
      </c>
      <c r="AA39" s="140">
        <f>'AIC Consolidated'!AA37</f>
        <v>0</v>
      </c>
      <c r="AB39" s="141">
        <f>'AIC Consolidated'!AB37</f>
        <v>0</v>
      </c>
      <c r="AC39" s="140">
        <f>'AIC Consolidated'!AC37</f>
        <v>0</v>
      </c>
      <c r="AD39" s="140">
        <f>'AIC Consolidated'!AD37</f>
        <v>0</v>
      </c>
      <c r="AE39" s="140">
        <f>'AIC Consolidated'!AE37</f>
        <v>0</v>
      </c>
      <c r="AF39" s="140">
        <f>'AIC Consolidated'!AF37</f>
        <v>0</v>
      </c>
      <c r="AG39" s="140">
        <f>'AIC Consolidated'!AG37</f>
        <v>0</v>
      </c>
      <c r="AH39" s="141">
        <f>'AIC Consolidated'!AH37</f>
        <v>0</v>
      </c>
    </row>
    <row r="40" spans="1:34" s="2" customFormat="1" ht="14.25">
      <c r="A40" s="48"/>
      <c r="B40" s="16"/>
      <c r="C40" s="58">
        <f t="shared" si="4"/>
        <v>8</v>
      </c>
      <c r="D40" s="144">
        <f t="shared" si="3"/>
        <v>91246.6434129545</v>
      </c>
      <c r="E40" s="140">
        <f>'AIC Consolidated'!E38</f>
        <v>0</v>
      </c>
      <c r="F40" s="140">
        <f>'AIC Consolidated'!F38</f>
        <v>9124.664341295449</v>
      </c>
      <c r="G40" s="140">
        <f>'AIC Consolidated'!G38</f>
        <v>36498.657365181796</v>
      </c>
      <c r="H40" s="140">
        <f>'AIC Consolidated'!H38</f>
        <v>45623.321706477254</v>
      </c>
      <c r="I40" s="140">
        <f>'AIC Consolidated'!I38</f>
        <v>0</v>
      </c>
      <c r="J40" s="140">
        <f>'AIC Consolidated'!J38</f>
        <v>0</v>
      </c>
      <c r="K40" s="140">
        <f>'AIC Consolidated'!K38</f>
        <v>0</v>
      </c>
      <c r="L40" s="140">
        <f>'AIC Consolidated'!L38</f>
        <v>0</v>
      </c>
      <c r="M40" s="140">
        <f>'AIC Consolidated'!M38</f>
        <v>0</v>
      </c>
      <c r="N40" s="140">
        <f>'AIC Consolidated'!N38</f>
        <v>0</v>
      </c>
      <c r="O40" s="140">
        <f>'AIC Consolidated'!O38</f>
        <v>0</v>
      </c>
      <c r="P40" s="140">
        <f>'AIC Consolidated'!P38</f>
        <v>0</v>
      </c>
      <c r="Q40" s="140">
        <f>'AIC Consolidated'!Q38</f>
        <v>91246.6434129545</v>
      </c>
      <c r="R40" s="140">
        <f>'AIC Consolidated'!R38</f>
        <v>0</v>
      </c>
      <c r="S40" s="140">
        <f>'AIC Consolidated'!S38</f>
        <v>0</v>
      </c>
      <c r="T40" s="140">
        <f>'AIC Consolidated'!T38</f>
        <v>0</v>
      </c>
      <c r="U40" s="140">
        <f>'AIC Consolidated'!U38</f>
        <v>0</v>
      </c>
      <c r="V40" s="140">
        <f>'AIC Consolidated'!V38</f>
        <v>0</v>
      </c>
      <c r="W40" s="140">
        <f>'AIC Consolidated'!W38</f>
        <v>0</v>
      </c>
      <c r="X40" s="140">
        <f>'AIC Consolidated'!X38</f>
        <v>0</v>
      </c>
      <c r="Y40" s="140">
        <f>'AIC Consolidated'!Y38</f>
        <v>0</v>
      </c>
      <c r="Z40" s="140">
        <f>'AIC Consolidated'!Z38</f>
        <v>0</v>
      </c>
      <c r="AA40" s="140">
        <f>'AIC Consolidated'!AA38</f>
        <v>91246.6434129545</v>
      </c>
      <c r="AB40" s="141">
        <f>'AIC Consolidated'!AB38</f>
        <v>0</v>
      </c>
      <c r="AC40" s="140">
        <f>'AIC Consolidated'!AC38</f>
        <v>0</v>
      </c>
      <c r="AD40" s="140">
        <f>'AIC Consolidated'!AD38</f>
        <v>0</v>
      </c>
      <c r="AE40" s="140">
        <f>'AIC Consolidated'!AE38</f>
        <v>0</v>
      </c>
      <c r="AF40" s="140">
        <f>'AIC Consolidated'!AF38</f>
        <v>0</v>
      </c>
      <c r="AG40" s="140">
        <f>'AIC Consolidated'!AG38</f>
        <v>0</v>
      </c>
      <c r="AH40" s="141">
        <f>'AIC Consolidated'!AH38</f>
        <v>0</v>
      </c>
    </row>
    <row r="41" spans="1:34" s="2" customFormat="1" ht="14.25">
      <c r="A41" s="48"/>
      <c r="B41" s="16"/>
      <c r="C41" s="58">
        <f t="shared" si="4"/>
        <v>9</v>
      </c>
      <c r="D41" s="144">
        <f t="shared" si="3"/>
        <v>242954.75297474227</v>
      </c>
      <c r="E41" s="140">
        <f>'AIC Consolidated'!E39</f>
        <v>107455.896825</v>
      </c>
      <c r="F41" s="140">
        <f>'AIC Consolidated'!F39</f>
        <v>112634.58068994845</v>
      </c>
      <c r="G41" s="140">
        <f>'AIC Consolidated'!G39</f>
        <v>17917.695459793817</v>
      </c>
      <c r="H41" s="140">
        <f>'AIC Consolidated'!H39</f>
        <v>4946.58</v>
      </c>
      <c r="I41" s="140">
        <f>'AIC Consolidated'!I39</f>
        <v>2052.75</v>
      </c>
      <c r="J41" s="140">
        <f>'AIC Consolidated'!J39</f>
        <v>18300</v>
      </c>
      <c r="K41" s="140">
        <f>'AIC Consolidated'!K39</f>
        <v>0</v>
      </c>
      <c r="L41" s="140">
        <f>'AIC Consolidated'!L39</f>
        <v>0</v>
      </c>
      <c r="M41" s="140">
        <f>'AIC Consolidated'!M39</f>
        <v>0</v>
      </c>
      <c r="N41" s="140">
        <f>'AIC Consolidated'!N39</f>
        <v>0</v>
      </c>
      <c r="O41" s="140">
        <f>'AIC Consolidated'!O39</f>
        <v>0</v>
      </c>
      <c r="P41" s="140">
        <f>'AIC Consolidated'!P39</f>
        <v>0</v>
      </c>
      <c r="Q41" s="140">
        <f>'AIC Consolidated'!Q39</f>
        <v>0</v>
      </c>
      <c r="R41" s="140">
        <f>'AIC Consolidated'!R39</f>
        <v>0</v>
      </c>
      <c r="S41" s="140">
        <f>'AIC Consolidated'!S39</f>
        <v>0</v>
      </c>
      <c r="T41" s="140">
        <f>'AIC Consolidated'!T39</f>
        <v>0</v>
      </c>
      <c r="U41" s="140">
        <f>'AIC Consolidated'!U39</f>
        <v>0</v>
      </c>
      <c r="V41" s="140">
        <f>'AIC Consolidated'!V39</f>
        <v>0</v>
      </c>
      <c r="W41" s="140">
        <f>'AIC Consolidated'!W39</f>
        <v>0</v>
      </c>
      <c r="X41" s="140">
        <f>'AIC Consolidated'!X39</f>
        <v>0</v>
      </c>
      <c r="Y41" s="140">
        <f>'AIC Consolidated'!Y39</f>
        <v>0</v>
      </c>
      <c r="Z41" s="140">
        <f>'AIC Consolidated'!Z39</f>
        <v>0</v>
      </c>
      <c r="AA41" s="140">
        <f>'AIC Consolidated'!AA39</f>
        <v>0</v>
      </c>
      <c r="AB41" s="141">
        <f>'AIC Consolidated'!AB39</f>
        <v>0</v>
      </c>
      <c r="AC41" s="140">
        <f>'AIC Consolidated'!AC39</f>
        <v>0</v>
      </c>
      <c r="AD41" s="140">
        <f>'AIC Consolidated'!AD39</f>
        <v>0</v>
      </c>
      <c r="AE41" s="140">
        <f>'AIC Consolidated'!AE39</f>
        <v>0</v>
      </c>
      <c r="AF41" s="140">
        <f>'AIC Consolidated'!AF39</f>
        <v>0</v>
      </c>
      <c r="AG41" s="140">
        <f>'AIC Consolidated'!AG39</f>
        <v>0</v>
      </c>
      <c r="AH41" s="141">
        <f>'AIC Consolidated'!AH39</f>
        <v>0</v>
      </c>
    </row>
    <row r="42" spans="1:34" s="2" customFormat="1" ht="14.25">
      <c r="A42" s="48"/>
      <c r="B42" s="16"/>
      <c r="C42" s="58"/>
      <c r="D42" s="144"/>
      <c r="E42" s="140"/>
      <c r="F42" s="140"/>
      <c r="G42" s="140"/>
      <c r="H42" s="140"/>
      <c r="I42" s="140"/>
      <c r="J42" s="140"/>
      <c r="K42" s="140"/>
      <c r="L42" s="140"/>
      <c r="M42" s="140"/>
      <c r="N42" s="140"/>
      <c r="O42" s="140"/>
      <c r="P42" s="140"/>
      <c r="Q42" s="92"/>
      <c r="R42" s="92"/>
      <c r="S42" s="92"/>
      <c r="T42" s="92"/>
      <c r="U42" s="92"/>
      <c r="V42" s="92"/>
      <c r="W42" s="92"/>
      <c r="X42" s="92"/>
      <c r="Y42" s="92"/>
      <c r="Z42" s="92"/>
      <c r="AA42" s="92"/>
      <c r="AB42" s="93"/>
      <c r="AC42" s="92"/>
      <c r="AD42" s="92"/>
      <c r="AE42" s="92"/>
      <c r="AF42" s="92"/>
      <c r="AG42" s="92"/>
      <c r="AH42" s="93"/>
    </row>
    <row r="43" spans="1:34" s="2" customFormat="1" ht="14.25">
      <c r="A43" s="48"/>
      <c r="B43" s="16"/>
      <c r="C43" s="29"/>
      <c r="D43" s="144">
        <f>SUM(D33:D41)</f>
        <v>904407.7884931457</v>
      </c>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row>
    <row r="44" spans="1:34" s="2" customFormat="1" ht="14.25">
      <c r="A44" s="48"/>
      <c r="B44" s="57"/>
      <c r="C44" s="29"/>
      <c r="D44" s="145"/>
      <c r="E44" s="92"/>
      <c r="F44" s="92"/>
      <c r="G44" s="92"/>
      <c r="H44" s="92"/>
      <c r="I44" s="92"/>
      <c r="J44" s="92"/>
      <c r="K44" s="92"/>
      <c r="L44" s="92"/>
      <c r="M44" s="92"/>
      <c r="N44" s="92"/>
      <c r="O44" s="92"/>
      <c r="P44" s="92"/>
      <c r="Q44" s="92"/>
      <c r="R44" s="92"/>
      <c r="S44" s="92"/>
      <c r="T44" s="92"/>
      <c r="U44" s="92"/>
      <c r="V44" s="92"/>
      <c r="W44" s="92"/>
      <c r="X44" s="92"/>
      <c r="Y44" s="92"/>
      <c r="Z44" s="92"/>
      <c r="AA44" s="92"/>
      <c r="AB44" s="93"/>
      <c r="AC44" s="92"/>
      <c r="AD44" s="92"/>
      <c r="AE44" s="92"/>
      <c r="AF44" s="92"/>
      <c r="AG44" s="92"/>
      <c r="AH44" s="93"/>
    </row>
    <row r="45" spans="1:34" s="2" customFormat="1" ht="14.25">
      <c r="A45" s="48"/>
      <c r="B45" s="16"/>
      <c r="C45" s="29"/>
      <c r="D45" s="145"/>
      <c r="E45" s="92"/>
      <c r="F45" s="92"/>
      <c r="G45" s="92"/>
      <c r="H45" s="92"/>
      <c r="I45" s="92"/>
      <c r="J45" s="92"/>
      <c r="K45" s="92"/>
      <c r="L45" s="92"/>
      <c r="M45" s="92"/>
      <c r="N45" s="92"/>
      <c r="O45" s="92"/>
      <c r="P45" s="92"/>
      <c r="Q45" s="92"/>
      <c r="R45" s="92"/>
      <c r="S45" s="92"/>
      <c r="T45" s="92"/>
      <c r="U45" s="92"/>
      <c r="V45" s="92"/>
      <c r="W45" s="92"/>
      <c r="X45" s="92"/>
      <c r="Y45" s="92"/>
      <c r="Z45" s="92"/>
      <c r="AA45" s="92"/>
      <c r="AB45" s="93"/>
      <c r="AC45" s="92"/>
      <c r="AD45" s="92"/>
      <c r="AE45" s="92"/>
      <c r="AF45" s="92"/>
      <c r="AG45" s="92"/>
      <c r="AH45" s="93"/>
    </row>
    <row r="46" spans="1:34" s="2" customFormat="1" ht="14.25">
      <c r="A46" s="48"/>
      <c r="B46" s="57" t="s">
        <v>79</v>
      </c>
      <c r="C46" s="29"/>
      <c r="D46" s="145"/>
      <c r="E46" s="92">
        <f aca="true" t="shared" si="5" ref="E46:AH46">SUM(E47:E54)</f>
        <v>0</v>
      </c>
      <c r="F46" s="92">
        <f t="shared" si="5"/>
        <v>0</v>
      </c>
      <c r="G46" s="92">
        <f t="shared" si="5"/>
        <v>0</v>
      </c>
      <c r="H46" s="92">
        <f t="shared" si="5"/>
        <v>0</v>
      </c>
      <c r="I46" s="92">
        <f t="shared" si="5"/>
        <v>7801.792116662655</v>
      </c>
      <c r="J46" s="92">
        <f t="shared" si="5"/>
        <v>8068.544190086621</v>
      </c>
      <c r="K46" s="92">
        <f t="shared" si="5"/>
        <v>8347.568007768987</v>
      </c>
      <c r="L46" s="92">
        <f t="shared" si="5"/>
        <v>8639.975653630361</v>
      </c>
      <c r="M46" s="92">
        <f t="shared" si="5"/>
        <v>8947.001062164045</v>
      </c>
      <c r="N46" s="92">
        <f t="shared" si="5"/>
        <v>9247.277606292773</v>
      </c>
      <c r="O46" s="92">
        <f t="shared" si="5"/>
        <v>9667.05477202932</v>
      </c>
      <c r="P46" s="92">
        <f t="shared" si="5"/>
        <v>9997.61713855492</v>
      </c>
      <c r="Q46" s="92">
        <f t="shared" si="5"/>
        <v>10345.383755753523</v>
      </c>
      <c r="R46" s="92">
        <f t="shared" si="5"/>
        <v>10711.924083673508</v>
      </c>
      <c r="S46" s="92">
        <f t="shared" si="5"/>
        <v>11069.241822798047</v>
      </c>
      <c r="T46" s="92">
        <f t="shared" si="5"/>
        <v>11444.963070407417</v>
      </c>
      <c r="U46" s="92">
        <f t="shared" si="5"/>
        <v>11945.666615903956</v>
      </c>
      <c r="V46" s="92">
        <f t="shared" si="5"/>
        <v>12363.086250164946</v>
      </c>
      <c r="W46" s="92">
        <f t="shared" si="5"/>
        <v>12804.127411872876</v>
      </c>
      <c r="X46" s="92">
        <f t="shared" si="5"/>
        <v>13271.797175648966</v>
      </c>
      <c r="Y46" s="92">
        <f t="shared" si="5"/>
        <v>13660.947634156215</v>
      </c>
      <c r="Z46" s="92">
        <f t="shared" si="5"/>
        <v>14075.067096821773</v>
      </c>
      <c r="AA46" s="92">
        <f t="shared" si="5"/>
        <v>14250.538315240643</v>
      </c>
      <c r="AB46" s="93">
        <f t="shared" si="5"/>
        <v>14256.829078255472</v>
      </c>
      <c r="AC46" s="92">
        <f t="shared" si="5"/>
        <v>14263.783538319349</v>
      </c>
      <c r="AD46" s="92">
        <f t="shared" si="5"/>
        <v>14271.224946930088</v>
      </c>
      <c r="AE46" s="92">
        <f t="shared" si="5"/>
        <v>14279.190606810678</v>
      </c>
      <c r="AF46" s="92">
        <f t="shared" si="5"/>
        <v>14287.720439374241</v>
      </c>
      <c r="AG46" s="92">
        <f t="shared" si="5"/>
        <v>14296.85715407151</v>
      </c>
      <c r="AH46" s="93">
        <f t="shared" si="5"/>
        <v>14296.840596292603</v>
      </c>
    </row>
    <row r="47" spans="1:34" s="2" customFormat="1" ht="14.25">
      <c r="A47" s="48"/>
      <c r="B47" s="16" t="s">
        <v>21</v>
      </c>
      <c r="C47" s="29" t="s">
        <v>80</v>
      </c>
      <c r="D47" s="145"/>
      <c r="E47" s="142">
        <f>'AIC Consolidated'!E45</f>
        <v>0</v>
      </c>
      <c r="F47" s="142">
        <f>'AIC Consolidated'!F45</f>
        <v>0</v>
      </c>
      <c r="G47" s="142">
        <f>'AIC Consolidated'!G45</f>
        <v>0</v>
      </c>
      <c r="H47" s="142">
        <f>'AIC Consolidated'!H45</f>
        <v>0</v>
      </c>
      <c r="I47" s="142">
        <f>'AIC Consolidated'!I45</f>
        <v>959.4899142222276</v>
      </c>
      <c r="J47" s="142">
        <f>'AIC Consolidated'!J45</f>
        <v>1089.877770988882</v>
      </c>
      <c r="K47" s="142">
        <f>'AIC Consolidated'!K45</f>
        <v>1227.8214007309857</v>
      </c>
      <c r="L47" s="92">
        <f>'AIC Consolidated'!L45</f>
        <v>1374.1938779479026</v>
      </c>
      <c r="M47" s="92">
        <f>'AIC Consolidated'!M45</f>
        <v>1529.9778375394071</v>
      </c>
      <c r="N47" s="92">
        <f>'AIC Consolidated'!N45</f>
        <v>1684.49672082588</v>
      </c>
      <c r="O47" s="92">
        <f>'AIC Consolidated'!O45</f>
        <v>1848.8309897007196</v>
      </c>
      <c r="P47" s="92">
        <f>'AIC Consolidated'!P45</f>
        <v>2024.0506567554824</v>
      </c>
      <c r="Q47" s="92">
        <f>'AIC Consolidated'!Q45</f>
        <v>2211.350232223879</v>
      </c>
      <c r="R47" s="92">
        <f>'AIC Consolidated'!R45</f>
        <v>2412.064196461069</v>
      </c>
      <c r="S47" s="92">
        <f>'AIC Consolidated'!S45</f>
        <v>2611.158103888265</v>
      </c>
      <c r="T47" s="92">
        <f>'AIC Consolidated'!T45</f>
        <v>2823.9567309720082</v>
      </c>
      <c r="U47" s="92">
        <f>'AIC Consolidated'!U45</f>
        <v>3051.8469523265235</v>
      </c>
      <c r="V47" s="92">
        <f>'AIC Consolidated'!V45</f>
        <v>3296.3626873212884</v>
      </c>
      <c r="W47" s="92">
        <f>'AIC Consolidated'!W45</f>
        <v>3559.2012136091553</v>
      </c>
      <c r="X47" s="92">
        <f>'AIC Consolidated'!X45</f>
        <v>3842.862167166035</v>
      </c>
      <c r="Y47" s="92">
        <f>'AIC Consolidated'!Y45</f>
        <v>4083.051960133147</v>
      </c>
      <c r="Z47" s="92">
        <f>'AIC Consolidated'!Z45</f>
        <v>4342.2167081950165</v>
      </c>
      <c r="AA47" s="92">
        <f>'AIC Consolidated'!AA45</f>
        <v>4478.496506318055</v>
      </c>
      <c r="AB47" s="93">
        <f>'AIC Consolidated'!AB45</f>
        <v>4484.7872693328845</v>
      </c>
      <c r="AC47" s="92">
        <f>'AIC Consolidated'!AC45</f>
        <v>4491.741729396761</v>
      </c>
      <c r="AD47" s="92">
        <f>'AIC Consolidated'!AD45</f>
        <v>4499.183138007501</v>
      </c>
      <c r="AE47" s="92">
        <f>'AIC Consolidated'!AE45</f>
        <v>4507.14879788809</v>
      </c>
      <c r="AF47" s="92">
        <f>'AIC Consolidated'!AF45</f>
        <v>4515.678630451654</v>
      </c>
      <c r="AG47" s="92">
        <f>'AIC Consolidated'!AG45</f>
        <v>4524.815345148922</v>
      </c>
      <c r="AH47" s="93">
        <f>'AIC Consolidated'!AH45</f>
        <v>4524.798787370015</v>
      </c>
    </row>
    <row r="48" spans="1:34" s="2" customFormat="1" ht="14.25">
      <c r="A48" s="48"/>
      <c r="B48" s="16" t="s">
        <v>22</v>
      </c>
      <c r="C48" s="29" t="s">
        <v>80</v>
      </c>
      <c r="D48" s="145"/>
      <c r="E48" s="142">
        <f>'AIC Consolidated'!E46</f>
        <v>0</v>
      </c>
      <c r="F48" s="142">
        <f>'AIC Consolidated'!F46</f>
        <v>0</v>
      </c>
      <c r="G48" s="142">
        <f>'AIC Consolidated'!G46</f>
        <v>0</v>
      </c>
      <c r="H48" s="142">
        <f>'AIC Consolidated'!H46</f>
        <v>0</v>
      </c>
      <c r="I48" s="142">
        <f>'AIC Consolidated'!I46</f>
        <v>3051.6200543104856</v>
      </c>
      <c r="J48" s="142">
        <f>'AIC Consolidated'!J46</f>
        <v>3187.9842709677964</v>
      </c>
      <c r="K48" s="142">
        <f>'AIC Consolidated'!K46</f>
        <v>3329.0644589080603</v>
      </c>
      <c r="L48" s="92">
        <f>'AIC Consolidated'!L46</f>
        <v>3475.099627552516</v>
      </c>
      <c r="M48" s="92">
        <f>'AIC Consolidated'!M46</f>
        <v>3626.3410764946966</v>
      </c>
      <c r="N48" s="92">
        <f>'AIC Consolidated'!N46</f>
        <v>3772.0987373369517</v>
      </c>
      <c r="O48" s="92">
        <f>'AIC Consolidated'!O46</f>
        <v>3922.541634198658</v>
      </c>
      <c r="P48" s="92">
        <f>'AIC Consolidated'!P46</f>
        <v>4077.8843336694963</v>
      </c>
      <c r="Q48" s="92">
        <f>'AIC Consolidated'!Q46</f>
        <v>4238.351375399702</v>
      </c>
      <c r="R48" s="92">
        <f>'AIC Consolidated'!R46</f>
        <v>4404.177739082498</v>
      </c>
      <c r="S48" s="92">
        <f>'AIC Consolidated'!S46</f>
        <v>4562.401570779841</v>
      </c>
      <c r="T48" s="92">
        <f>'AIC Consolidated'!T46</f>
        <v>4725.324191305468</v>
      </c>
      <c r="U48" s="92">
        <f>'AIC Consolidated'!U46</f>
        <v>4893.137515447489</v>
      </c>
      <c r="V48" s="92">
        <f>'AIC Consolidated'!V46</f>
        <v>5066.041414713717</v>
      </c>
      <c r="W48" s="92">
        <f>'AIC Consolidated'!W46</f>
        <v>5244.244050133781</v>
      </c>
      <c r="X48" s="92">
        <f>'AIC Consolidated'!X46</f>
        <v>5428.25286035299</v>
      </c>
      <c r="Y48" s="92">
        <f>'AIC Consolidated'!Y46</f>
        <v>5577.213525893128</v>
      </c>
      <c r="Z48" s="92">
        <f>'AIC Consolidated'!Z46</f>
        <v>5732.168240496815</v>
      </c>
      <c r="AA48" s="92">
        <f>'AIC Consolidated'!AA46</f>
        <v>5771.359660792647</v>
      </c>
      <c r="AB48" s="93">
        <f>'AIC Consolidated'!AB46</f>
        <v>5771.3596607926465</v>
      </c>
      <c r="AC48" s="92">
        <f>'AIC Consolidated'!AC46</f>
        <v>5771.3596607926465</v>
      </c>
      <c r="AD48" s="92">
        <f>'AIC Consolidated'!AD46</f>
        <v>5771.3596607926465</v>
      </c>
      <c r="AE48" s="92">
        <f>'AIC Consolidated'!AE46</f>
        <v>5771.359660792647</v>
      </c>
      <c r="AF48" s="92">
        <f>'AIC Consolidated'!AF46</f>
        <v>5771.3596607926465</v>
      </c>
      <c r="AG48" s="92">
        <f>'AIC Consolidated'!AG46</f>
        <v>5771.359660792647</v>
      </c>
      <c r="AH48" s="93">
        <f>'AIC Consolidated'!AH46</f>
        <v>5771.3596607926465</v>
      </c>
    </row>
    <row r="49" spans="1:34" s="2" customFormat="1" ht="14.25">
      <c r="A49" s="48"/>
      <c r="B49" s="16" t="s">
        <v>23</v>
      </c>
      <c r="C49" s="29" t="s">
        <v>80</v>
      </c>
      <c r="D49" s="145"/>
      <c r="E49" s="142">
        <f>'AIC Consolidated'!E47</f>
        <v>0</v>
      </c>
      <c r="F49" s="142">
        <f>'AIC Consolidated'!F47</f>
        <v>0</v>
      </c>
      <c r="G49" s="142">
        <f>'AIC Consolidated'!G47</f>
        <v>0</v>
      </c>
      <c r="H49" s="142">
        <f>'AIC Consolidated'!H47</f>
        <v>0</v>
      </c>
      <c r="I49" s="142">
        <f>'AIC Consolidated'!I47</f>
        <v>3790.6821481299417</v>
      </c>
      <c r="J49" s="142">
        <f>'AIC Consolidated'!J47</f>
        <v>3790.682148129942</v>
      </c>
      <c r="K49" s="142">
        <f>'AIC Consolidated'!K47</f>
        <v>3790.682148129941</v>
      </c>
      <c r="L49" s="92">
        <f>'AIC Consolidated'!L47</f>
        <v>3790.682148129942</v>
      </c>
      <c r="M49" s="92">
        <f>'AIC Consolidated'!M47</f>
        <v>3790.682148129941</v>
      </c>
      <c r="N49" s="92">
        <f>'AIC Consolidated'!N47</f>
        <v>3790.682148129941</v>
      </c>
      <c r="O49" s="92">
        <f>'AIC Consolidated'!O47</f>
        <v>3895.6821481299417</v>
      </c>
      <c r="P49" s="92">
        <f>'AIC Consolidated'!P47</f>
        <v>3895.682148129941</v>
      </c>
      <c r="Q49" s="92">
        <f>'AIC Consolidated'!Q47</f>
        <v>3895.682148129942</v>
      </c>
      <c r="R49" s="92">
        <f>'AIC Consolidated'!R47</f>
        <v>3895.682148129941</v>
      </c>
      <c r="S49" s="92">
        <f>'AIC Consolidated'!S47</f>
        <v>3895.6821481299417</v>
      </c>
      <c r="T49" s="92">
        <f>'AIC Consolidated'!T47</f>
        <v>3895.6821481299417</v>
      </c>
      <c r="U49" s="92">
        <f>'AIC Consolidated'!U47</f>
        <v>4000.682148129942</v>
      </c>
      <c r="V49" s="92">
        <f>'AIC Consolidated'!V47</f>
        <v>4000.682148129941</v>
      </c>
      <c r="W49" s="92">
        <f>'AIC Consolidated'!W47</f>
        <v>4000.682148129941</v>
      </c>
      <c r="X49" s="92">
        <f>'AIC Consolidated'!X47</f>
        <v>4000.6821481299417</v>
      </c>
      <c r="Y49" s="92">
        <f>'AIC Consolidated'!Y47</f>
        <v>4000.682148129942</v>
      </c>
      <c r="Z49" s="92">
        <f>'AIC Consolidated'!Z47</f>
        <v>4000.682148129941</v>
      </c>
      <c r="AA49" s="92">
        <f>'AIC Consolidated'!AA47</f>
        <v>4000.682148129942</v>
      </c>
      <c r="AB49" s="93">
        <f>'AIC Consolidated'!AB47</f>
        <v>4000.682148129942</v>
      </c>
      <c r="AC49" s="92">
        <f>'AIC Consolidated'!AC47</f>
        <v>4000.682148129942</v>
      </c>
      <c r="AD49" s="92">
        <f>'AIC Consolidated'!AD47</f>
        <v>4000.6821481299417</v>
      </c>
      <c r="AE49" s="92">
        <f>'AIC Consolidated'!AE47</f>
        <v>4000.682148129941</v>
      </c>
      <c r="AF49" s="92">
        <f>'AIC Consolidated'!AF47</f>
        <v>4000.6821481299417</v>
      </c>
      <c r="AG49" s="92">
        <f>'AIC Consolidated'!AG47</f>
        <v>4000.682148129942</v>
      </c>
      <c r="AH49" s="93">
        <f>'AIC Consolidated'!AH47</f>
        <v>4000.682148129941</v>
      </c>
    </row>
    <row r="50" spans="1:34" s="2" customFormat="1" ht="14.25">
      <c r="A50" s="48"/>
      <c r="B50" s="16" t="s">
        <v>24</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row>
    <row r="51" spans="1:34" s="2" customFormat="1" ht="14.25">
      <c r="A51" s="48"/>
      <c r="B51" s="16" t="s">
        <v>25</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row>
    <row r="52" spans="1:34" s="2" customFormat="1" ht="14.25">
      <c r="A52" s="48"/>
      <c r="B52" s="16" t="s">
        <v>132</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row>
    <row r="53" spans="1:34" s="2" customFormat="1" ht="14.25">
      <c r="A53" s="48"/>
      <c r="B53" s="16" t="str">
        <f>B52</f>
        <v>Others</v>
      </c>
      <c r="C53" s="29" t="s">
        <v>80</v>
      </c>
      <c r="D53" s="145"/>
      <c r="E53" s="142"/>
      <c r="F53" s="142"/>
      <c r="G53" s="142"/>
      <c r="H53" s="142"/>
      <c r="I53" s="142"/>
      <c r="J53" s="142"/>
      <c r="K53" s="142"/>
      <c r="L53" s="92"/>
      <c r="M53" s="92"/>
      <c r="N53" s="92"/>
      <c r="O53" s="92"/>
      <c r="P53" s="92"/>
      <c r="Q53" s="92"/>
      <c r="R53" s="92"/>
      <c r="S53" s="92"/>
      <c r="T53" s="92"/>
      <c r="U53" s="92"/>
      <c r="V53" s="92"/>
      <c r="W53" s="92"/>
      <c r="X53" s="92"/>
      <c r="Y53" s="92"/>
      <c r="Z53" s="92"/>
      <c r="AA53" s="92"/>
      <c r="AB53" s="93"/>
      <c r="AC53" s="92"/>
      <c r="AD53" s="92"/>
      <c r="AE53" s="92"/>
      <c r="AF53" s="92"/>
      <c r="AG53" s="92"/>
      <c r="AH53" s="93"/>
    </row>
    <row r="54" spans="1:34" s="2" customFormat="1" ht="14.25">
      <c r="A54" s="48"/>
      <c r="B54" s="16" t="str">
        <f>B53</f>
        <v>Others</v>
      </c>
      <c r="C54" s="29" t="s">
        <v>80</v>
      </c>
      <c r="D54" s="145"/>
      <c r="E54" s="142"/>
      <c r="F54" s="142"/>
      <c r="G54" s="142"/>
      <c r="H54" s="142"/>
      <c r="I54" s="142"/>
      <c r="J54" s="142"/>
      <c r="K54" s="142"/>
      <c r="L54" s="140"/>
      <c r="M54" s="140"/>
      <c r="N54" s="140"/>
      <c r="O54" s="140"/>
      <c r="P54" s="140"/>
      <c r="Q54" s="140"/>
      <c r="R54" s="140"/>
      <c r="S54" s="140"/>
      <c r="T54" s="92"/>
      <c r="U54" s="92"/>
      <c r="V54" s="92"/>
      <c r="W54" s="92"/>
      <c r="X54" s="92"/>
      <c r="Y54" s="92"/>
      <c r="Z54" s="92"/>
      <c r="AA54" s="92"/>
      <c r="AB54" s="93"/>
      <c r="AC54" s="92"/>
      <c r="AD54" s="92"/>
      <c r="AE54" s="92"/>
      <c r="AF54" s="92"/>
      <c r="AG54" s="92"/>
      <c r="AH54" s="93"/>
    </row>
    <row r="55" spans="1:34" s="2" customFormat="1" ht="14.25">
      <c r="A55" s="48"/>
      <c r="B55" s="16"/>
      <c r="C55" s="29"/>
      <c r="D55" s="145"/>
      <c r="E55" s="92"/>
      <c r="F55" s="92"/>
      <c r="G55" s="92"/>
      <c r="H55" s="92"/>
      <c r="I55" s="92"/>
      <c r="J55" s="92"/>
      <c r="K55" s="92"/>
      <c r="L55" s="92"/>
      <c r="M55" s="92"/>
      <c r="N55" s="92"/>
      <c r="O55" s="92"/>
      <c r="P55" s="92"/>
      <c r="Q55" s="92"/>
      <c r="R55" s="92"/>
      <c r="S55" s="92"/>
      <c r="T55" s="92"/>
      <c r="U55" s="92"/>
      <c r="V55" s="92"/>
      <c r="W55" s="92"/>
      <c r="X55" s="92"/>
      <c r="Y55" s="92"/>
      <c r="Z55" s="92"/>
      <c r="AA55" s="92"/>
      <c r="AB55" s="93"/>
      <c r="AC55" s="92"/>
      <c r="AD55" s="92"/>
      <c r="AE55" s="92"/>
      <c r="AF55" s="92"/>
      <c r="AG55" s="92"/>
      <c r="AH55" s="93"/>
    </row>
    <row r="56" spans="1:34" s="2" customFormat="1" ht="14.25">
      <c r="A56" s="48"/>
      <c r="B56" s="16" t="s">
        <v>45</v>
      </c>
      <c r="C56" s="53">
        <f>C9</f>
        <v>0</v>
      </c>
      <c r="D56" s="147">
        <f>NPV(C56,E56:AH56)</f>
        <v>1580194.2497787087</v>
      </c>
      <c r="E56" s="92">
        <f aca="true" t="shared" si="6" ref="E56:AH56">E46+SUM(E33:E41)</f>
        <v>107455.896825</v>
      </c>
      <c r="F56" s="92">
        <f t="shared" si="6"/>
        <v>173655.8842417888</v>
      </c>
      <c r="G56" s="92">
        <f t="shared" si="6"/>
        <v>262002.90966715518</v>
      </c>
      <c r="H56" s="92">
        <f t="shared" si="6"/>
        <v>361293.0977592017</v>
      </c>
      <c r="I56" s="92">
        <f t="shared" si="6"/>
        <v>9854.542116662655</v>
      </c>
      <c r="J56" s="92">
        <f t="shared" si="6"/>
        <v>26368.54419008662</v>
      </c>
      <c r="K56" s="92">
        <f t="shared" si="6"/>
        <v>8347.568007768987</v>
      </c>
      <c r="L56" s="92">
        <f t="shared" si="6"/>
        <v>8639.975653630361</v>
      </c>
      <c r="M56" s="92">
        <f t="shared" si="6"/>
        <v>8947.001062164045</v>
      </c>
      <c r="N56" s="92">
        <f t="shared" si="6"/>
        <v>9247.277606292773</v>
      </c>
      <c r="O56" s="92">
        <f t="shared" si="6"/>
        <v>35287.05477202932</v>
      </c>
      <c r="P56" s="92">
        <f t="shared" si="6"/>
        <v>9997.61713855492</v>
      </c>
      <c r="Q56" s="92">
        <f t="shared" si="6"/>
        <v>159136.22932869225</v>
      </c>
      <c r="R56" s="92">
        <f t="shared" si="6"/>
        <v>10711.924083673508</v>
      </c>
      <c r="S56" s="92">
        <f t="shared" si="6"/>
        <v>11069.241822798047</v>
      </c>
      <c r="T56" s="92">
        <f t="shared" si="6"/>
        <v>11444.963070407417</v>
      </c>
      <c r="U56" s="92">
        <f t="shared" si="6"/>
        <v>37565.66661590396</v>
      </c>
      <c r="V56" s="92">
        <f t="shared" si="6"/>
        <v>12363.086250164946</v>
      </c>
      <c r="W56" s="92">
        <f t="shared" si="6"/>
        <v>12804.127411872876</v>
      </c>
      <c r="X56" s="92">
        <f t="shared" si="6"/>
        <v>13271.797175648966</v>
      </c>
      <c r="Y56" s="92">
        <f t="shared" si="6"/>
        <v>13660.947634156215</v>
      </c>
      <c r="Z56" s="92">
        <f t="shared" si="6"/>
        <v>14075.067096821773</v>
      </c>
      <c r="AA56" s="92">
        <f t="shared" si="6"/>
        <v>163041.38388817938</v>
      </c>
      <c r="AB56" s="93">
        <f t="shared" si="6"/>
        <v>14256.829078255472</v>
      </c>
      <c r="AC56" s="92">
        <f t="shared" si="6"/>
        <v>14263.783538319349</v>
      </c>
      <c r="AD56" s="92">
        <f t="shared" si="6"/>
        <v>14271.224946930088</v>
      </c>
      <c r="AE56" s="92">
        <f t="shared" si="6"/>
        <v>14279.190606810678</v>
      </c>
      <c r="AF56" s="92">
        <f t="shared" si="6"/>
        <v>14287.720439374241</v>
      </c>
      <c r="AG56" s="92">
        <f t="shared" si="6"/>
        <v>14296.85715407151</v>
      </c>
      <c r="AH56" s="93">
        <f t="shared" si="6"/>
        <v>14296.840596292603</v>
      </c>
    </row>
    <row r="57" spans="1:34" s="2" customFormat="1" ht="14.25">
      <c r="A57" s="48"/>
      <c r="B57" s="16" t="s">
        <v>82</v>
      </c>
      <c r="C57" s="53"/>
      <c r="D57" s="59"/>
      <c r="E57" s="123">
        <f aca="true" t="shared" si="7" ref="E57:AH57">IF(E46=0,0,E46/E27)</f>
        <v>0</v>
      </c>
      <c r="F57" s="123">
        <f t="shared" si="7"/>
        <v>0</v>
      </c>
      <c r="G57" s="123">
        <f t="shared" si="7"/>
        <v>0</v>
      </c>
      <c r="H57" s="123">
        <f t="shared" si="7"/>
        <v>0</v>
      </c>
      <c r="I57" s="123">
        <f t="shared" si="7"/>
        <v>1.021236116300864</v>
      </c>
      <c r="J57" s="123">
        <f t="shared" si="7"/>
        <v>0.9365321264570862</v>
      </c>
      <c r="K57" s="123">
        <f t="shared" si="7"/>
        <v>0.8672913462558278</v>
      </c>
      <c r="L57" s="123">
        <f t="shared" si="7"/>
        <v>0.8097554171082993</v>
      </c>
      <c r="M57" s="123">
        <f t="shared" si="7"/>
        <v>0.7613108523454956</v>
      </c>
      <c r="N57" s="123">
        <f t="shared" si="7"/>
        <v>0.7227201957197119</v>
      </c>
      <c r="O57" s="123">
        <f t="shared" si="7"/>
        <v>0.6968940477774463</v>
      </c>
      <c r="P57" s="123">
        <f t="shared" si="7"/>
        <v>0.6672544045908777</v>
      </c>
      <c r="Q57" s="123">
        <f t="shared" si="7"/>
        <v>0.641316726560562</v>
      </c>
      <c r="R57" s="123">
        <f t="shared" si="7"/>
        <v>0.6185399236935497</v>
      </c>
      <c r="S57" s="123">
        <f t="shared" si="7"/>
        <v>0.5999496191148568</v>
      </c>
      <c r="T57" s="123">
        <f t="shared" si="7"/>
        <v>0.5834470074658102</v>
      </c>
      <c r="U57" s="123">
        <f t="shared" si="7"/>
        <v>0.5738435685024798</v>
      </c>
      <c r="V57" s="123">
        <f t="shared" si="7"/>
        <v>0.5605776404918607</v>
      </c>
      <c r="W57" s="123">
        <f t="shared" si="7"/>
        <v>0.5488418057507866</v>
      </c>
      <c r="X57" s="123">
        <f t="shared" si="7"/>
        <v>0.5384953846224012</v>
      </c>
      <c r="Y57" s="123">
        <f t="shared" si="7"/>
        <v>0.5313064091146872</v>
      </c>
      <c r="Z57" s="123">
        <f t="shared" si="7"/>
        <v>0.5247816364124067</v>
      </c>
      <c r="AA57" s="123">
        <f t="shared" si="7"/>
        <v>0.5258258683728848</v>
      </c>
      <c r="AB57" s="124">
        <f t="shared" si="7"/>
        <v>0.5260579891427692</v>
      </c>
      <c r="AC57" s="123">
        <f t="shared" si="7"/>
        <v>0.5263145994490789</v>
      </c>
      <c r="AD57" s="123">
        <f t="shared" si="7"/>
        <v>0.5265891775076827</v>
      </c>
      <c r="AE57" s="123">
        <f t="shared" si="7"/>
        <v>0.526883099739336</v>
      </c>
      <c r="AF57" s="123">
        <f t="shared" si="7"/>
        <v>0.5271978391909686</v>
      </c>
      <c r="AG57" s="123">
        <f t="shared" si="7"/>
        <v>0.5275349717843829</v>
      </c>
      <c r="AH57" s="124">
        <f t="shared" si="7"/>
        <v>0.5275343608244123</v>
      </c>
    </row>
    <row r="58" spans="1:34" s="2" customFormat="1" ht="14.25">
      <c r="A58" s="48"/>
      <c r="B58" s="16" t="s">
        <v>46</v>
      </c>
      <c r="C58" s="29" t="s">
        <v>93</v>
      </c>
      <c r="D58" s="127">
        <f>D56/D28</f>
        <v>3.0291825346274317</v>
      </c>
      <c r="E58" s="92"/>
      <c r="F58" s="92"/>
      <c r="G58" s="92"/>
      <c r="H58" s="92"/>
      <c r="I58" s="92"/>
      <c r="J58" s="92"/>
      <c r="K58" s="92"/>
      <c r="L58" s="92"/>
      <c r="M58" s="92"/>
      <c r="N58" s="92"/>
      <c r="O58" s="92"/>
      <c r="P58" s="92"/>
      <c r="Q58" s="92"/>
      <c r="R58" s="92"/>
      <c r="S58" s="92"/>
      <c r="T58" s="92"/>
      <c r="U58" s="92"/>
      <c r="V58" s="92"/>
      <c r="W58" s="92"/>
      <c r="X58" s="92"/>
      <c r="Y58" s="92"/>
      <c r="Z58" s="92"/>
      <c r="AA58" s="92"/>
      <c r="AB58" s="93"/>
      <c r="AC58" s="92"/>
      <c r="AD58" s="92"/>
      <c r="AE58" s="92"/>
      <c r="AF58" s="92"/>
      <c r="AG58" s="92"/>
      <c r="AH58" s="93"/>
    </row>
    <row r="59" spans="1:34" s="2" customFormat="1" ht="14.25">
      <c r="A59" s="48"/>
      <c r="B59" s="16"/>
      <c r="C59" s="29"/>
      <c r="D59" s="127"/>
      <c r="E59" s="92"/>
      <c r="F59" s="92"/>
      <c r="G59" s="92"/>
      <c r="H59" s="92"/>
      <c r="I59" s="92"/>
      <c r="J59" s="92"/>
      <c r="K59" s="92"/>
      <c r="L59" s="92"/>
      <c r="M59" s="92"/>
      <c r="N59" s="92"/>
      <c r="O59" s="92"/>
      <c r="P59" s="92"/>
      <c r="Q59" s="92"/>
      <c r="R59" s="92"/>
      <c r="S59" s="92"/>
      <c r="T59" s="92"/>
      <c r="U59" s="92"/>
      <c r="V59" s="92"/>
      <c r="W59" s="92"/>
      <c r="X59" s="92"/>
      <c r="Y59" s="92"/>
      <c r="Z59" s="92"/>
      <c r="AA59" s="92"/>
      <c r="AB59" s="93"/>
      <c r="AC59" s="92"/>
      <c r="AD59" s="92"/>
      <c r="AE59" s="92"/>
      <c r="AF59" s="92"/>
      <c r="AG59" s="92"/>
      <c r="AH59" s="93"/>
    </row>
    <row r="60" spans="1:34" s="2" customFormat="1" ht="14.25">
      <c r="A60" s="48"/>
      <c r="B60" s="16" t="s">
        <v>47</v>
      </c>
      <c r="C60" s="29" t="s">
        <v>37</v>
      </c>
      <c r="D60" s="138">
        <f>IF(D61&lt;=0,"n/a",IRR(E60:AH60))</f>
        <v>0.046539278979191565</v>
      </c>
      <c r="E60" s="92">
        <f aca="true" t="shared" si="8" ref="E60:AH60">E29-E56</f>
        <v>-107455.896825</v>
      </c>
      <c r="F60" s="92">
        <f t="shared" si="8"/>
        <v>-173655.8842417888</v>
      </c>
      <c r="G60" s="92">
        <f t="shared" si="8"/>
        <v>-262002.90966715518</v>
      </c>
      <c r="H60" s="92">
        <f t="shared" si="8"/>
        <v>-361293.0977592017</v>
      </c>
      <c r="I60" s="92">
        <f t="shared" si="8"/>
        <v>28343.245800016288</v>
      </c>
      <c r="J60" s="92">
        <f t="shared" si="8"/>
        <v>16708.163816770735</v>
      </c>
      <c r="K60" s="92">
        <f t="shared" si="8"/>
        <v>39776.79091617372</v>
      </c>
      <c r="L60" s="92">
        <f t="shared" si="8"/>
        <v>44709.31643560565</v>
      </c>
      <c r="M60" s="92">
        <f t="shared" si="8"/>
        <v>49813.49758697216</v>
      </c>
      <c r="N60" s="92">
        <f t="shared" si="8"/>
        <v>54728.225368852305</v>
      </c>
      <c r="O60" s="92">
        <f t="shared" si="8"/>
        <v>34071.0836914843</v>
      </c>
      <c r="P60" s="92">
        <f t="shared" si="8"/>
        <v>64918.46486681518</v>
      </c>
      <c r="Q60" s="92">
        <f t="shared" si="8"/>
        <v>-78478.86201475422</v>
      </c>
      <c r="R60" s="92">
        <f t="shared" si="8"/>
        <v>75878.47754883807</v>
      </c>
      <c r="S60" s="92">
        <f t="shared" si="8"/>
        <v>81182.18621485277</v>
      </c>
      <c r="T60" s="92">
        <f t="shared" si="8"/>
        <v>86635.60743520176</v>
      </c>
      <c r="U60" s="92">
        <f t="shared" si="8"/>
        <v>66519.02886197466</v>
      </c>
      <c r="V60" s="92">
        <f t="shared" si="8"/>
        <v>97907.867826039</v>
      </c>
      <c r="W60" s="92">
        <f t="shared" si="8"/>
        <v>103842.66659790112</v>
      </c>
      <c r="X60" s="92">
        <f t="shared" si="8"/>
        <v>109958.57354475463</v>
      </c>
      <c r="Y60" s="92">
        <f t="shared" si="8"/>
        <v>114899.0264203576</v>
      </c>
      <c r="Z60" s="92">
        <f t="shared" si="8"/>
        <v>120028.96894609237</v>
      </c>
      <c r="AA60" s="92">
        <f t="shared" si="8"/>
        <v>-27535.133888179378</v>
      </c>
      <c r="AB60" s="93">
        <f t="shared" si="8"/>
        <v>121249.4209217445</v>
      </c>
      <c r="AC60" s="92">
        <f t="shared" si="8"/>
        <v>121242.46646168065</v>
      </c>
      <c r="AD60" s="92">
        <f t="shared" si="8"/>
        <v>121235.02505306991</v>
      </c>
      <c r="AE60" s="92">
        <f t="shared" si="8"/>
        <v>121227.0593931893</v>
      </c>
      <c r="AF60" s="92">
        <f t="shared" si="8"/>
        <v>121218.52956062579</v>
      </c>
      <c r="AG60" s="92">
        <f t="shared" si="8"/>
        <v>121209.39284592852</v>
      </c>
      <c r="AH60" s="93">
        <f t="shared" si="8"/>
        <v>121209.4094037074</v>
      </c>
    </row>
    <row r="61" spans="1:34" s="2" customFormat="1" ht="14.25">
      <c r="A61" s="48"/>
      <c r="B61" s="16" t="s">
        <v>48</v>
      </c>
      <c r="C61" s="53">
        <f>C9</f>
        <v>0</v>
      </c>
      <c r="D61" s="143">
        <f>NPV(C61,E60:AH60)</f>
        <v>1028090.7111225689</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4"/>
      <c r="AC61" s="123"/>
      <c r="AD61" s="123"/>
      <c r="AE61" s="123"/>
      <c r="AF61" s="123"/>
      <c r="AG61" s="123"/>
      <c r="AH61" s="124"/>
    </row>
    <row r="62" spans="1:34" s="2" customFormat="1" ht="15" thickBot="1">
      <c r="A62" s="62"/>
      <c r="B62" s="33"/>
      <c r="C62" s="63"/>
      <c r="D62" s="64"/>
      <c r="E62" s="65"/>
      <c r="F62" s="42"/>
      <c r="G62" s="42"/>
      <c r="H62" s="42"/>
      <c r="I62" s="42"/>
      <c r="J62" s="42"/>
      <c r="K62" s="42"/>
      <c r="L62" s="42"/>
      <c r="M62" s="42"/>
      <c r="N62" s="42"/>
      <c r="O62" s="42"/>
      <c r="P62" s="42"/>
      <c r="Q62" s="42"/>
      <c r="R62" s="42"/>
      <c r="S62" s="42"/>
      <c r="T62" s="42"/>
      <c r="U62" s="42"/>
      <c r="V62" s="42"/>
      <c r="W62" s="42"/>
      <c r="X62" s="42"/>
      <c r="Y62" s="42"/>
      <c r="Z62" s="42"/>
      <c r="AA62" s="42"/>
      <c r="AB62" s="36"/>
      <c r="AC62" s="42"/>
      <c r="AD62" s="42"/>
      <c r="AE62" s="42"/>
      <c r="AF62" s="42"/>
      <c r="AG62" s="42"/>
      <c r="AH62" s="36"/>
    </row>
    <row r="63" spans="1:36" s="2" customFormat="1" ht="14.25">
      <c r="A63" s="21"/>
      <c r="B63" s="21"/>
      <c r="C63" s="66"/>
      <c r="D63" s="67"/>
      <c r="E63" s="55"/>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0"/>
      <c r="AJ63" s="210"/>
    </row>
    <row r="64" spans="1:36" s="2" customFormat="1" ht="14.25">
      <c r="A64" s="4"/>
      <c r="B64" s="21"/>
      <c r="C64" s="66"/>
      <c r="D64" s="67"/>
      <c r="E64" s="55"/>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0"/>
      <c r="AJ64" s="210"/>
    </row>
    <row r="65" spans="1:36" s="2" customFormat="1" ht="14.25">
      <c r="A65" s="69"/>
      <c r="B65" s="21"/>
      <c r="C65" s="66"/>
      <c r="D65" s="67"/>
      <c r="E65" s="55"/>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0"/>
      <c r="AJ65" s="210"/>
    </row>
    <row r="66" spans="1:36" s="2" customFormat="1" ht="15" thickBot="1">
      <c r="A66" s="21"/>
      <c r="B66" s="21"/>
      <c r="C66" s="66"/>
      <c r="D66" s="67"/>
      <c r="E66" s="55"/>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0"/>
      <c r="AJ66" s="210"/>
    </row>
    <row r="67" spans="1:36" s="2" customFormat="1" ht="15">
      <c r="A67" s="211" t="s">
        <v>42</v>
      </c>
      <c r="B67" s="212" t="s">
        <v>183</v>
      </c>
      <c r="C67" s="213"/>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5"/>
      <c r="AC67" s="216"/>
      <c r="AD67" s="217"/>
      <c r="AE67" s="217"/>
      <c r="AF67" s="217"/>
      <c r="AG67" s="217"/>
      <c r="AH67" s="14"/>
      <c r="AI67" s="210"/>
      <c r="AJ67" s="210"/>
    </row>
    <row r="68" spans="1:36" s="2" customFormat="1" ht="15">
      <c r="A68" s="218" t="s">
        <v>184</v>
      </c>
      <c r="B68" s="219"/>
      <c r="C68" s="220"/>
      <c r="D68" s="219"/>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2"/>
      <c r="AC68" s="223"/>
      <c r="AD68" s="224"/>
      <c r="AE68" s="224"/>
      <c r="AF68" s="224"/>
      <c r="AG68" s="224"/>
      <c r="AH68" s="19"/>
      <c r="AI68" s="210"/>
      <c r="AJ68" s="210"/>
    </row>
    <row r="69" spans="1:36" s="2" customFormat="1" ht="15">
      <c r="A69" s="225" t="s">
        <v>185</v>
      </c>
      <c r="B69" s="226" t="s">
        <v>199</v>
      </c>
      <c r="C69" s="227"/>
      <c r="D69" s="60"/>
      <c r="E69" s="221">
        <f>E26</f>
        <v>2007</v>
      </c>
      <c r="F69" s="221">
        <f aca="true" t="shared" si="9" ref="F69:AH69">E69+1</f>
        <v>2008</v>
      </c>
      <c r="G69" s="221">
        <f t="shared" si="9"/>
        <v>2009</v>
      </c>
      <c r="H69" s="221">
        <f t="shared" si="9"/>
        <v>2010</v>
      </c>
      <c r="I69" s="221">
        <f t="shared" si="9"/>
        <v>2011</v>
      </c>
      <c r="J69" s="221">
        <f t="shared" si="9"/>
        <v>2012</v>
      </c>
      <c r="K69" s="221">
        <f t="shared" si="9"/>
        <v>2013</v>
      </c>
      <c r="L69" s="221">
        <f t="shared" si="9"/>
        <v>2014</v>
      </c>
      <c r="M69" s="221">
        <f t="shared" si="9"/>
        <v>2015</v>
      </c>
      <c r="N69" s="221">
        <f t="shared" si="9"/>
        <v>2016</v>
      </c>
      <c r="O69" s="221">
        <f t="shared" si="9"/>
        <v>2017</v>
      </c>
      <c r="P69" s="221">
        <f t="shared" si="9"/>
        <v>2018</v>
      </c>
      <c r="Q69" s="221">
        <f t="shared" si="9"/>
        <v>2019</v>
      </c>
      <c r="R69" s="221">
        <f t="shared" si="9"/>
        <v>2020</v>
      </c>
      <c r="S69" s="221">
        <f t="shared" si="9"/>
        <v>2021</v>
      </c>
      <c r="T69" s="221">
        <f t="shared" si="9"/>
        <v>2022</v>
      </c>
      <c r="U69" s="221">
        <f t="shared" si="9"/>
        <v>2023</v>
      </c>
      <c r="V69" s="221">
        <f t="shared" si="9"/>
        <v>2024</v>
      </c>
      <c r="W69" s="221">
        <f t="shared" si="9"/>
        <v>2025</v>
      </c>
      <c r="X69" s="221">
        <f t="shared" si="9"/>
        <v>2026</v>
      </c>
      <c r="Y69" s="221">
        <f t="shared" si="9"/>
        <v>2027</v>
      </c>
      <c r="Z69" s="221">
        <f t="shared" si="9"/>
        <v>2028</v>
      </c>
      <c r="AA69" s="221">
        <f t="shared" si="9"/>
        <v>2029</v>
      </c>
      <c r="AB69" s="221">
        <f t="shared" si="9"/>
        <v>2030</v>
      </c>
      <c r="AC69" s="246">
        <f t="shared" si="9"/>
        <v>2031</v>
      </c>
      <c r="AD69" s="247">
        <f t="shared" si="9"/>
        <v>2032</v>
      </c>
      <c r="AE69" s="247">
        <f t="shared" si="9"/>
        <v>2033</v>
      </c>
      <c r="AF69" s="247">
        <f t="shared" si="9"/>
        <v>2034</v>
      </c>
      <c r="AG69" s="247">
        <f t="shared" si="9"/>
        <v>2035</v>
      </c>
      <c r="AH69" s="248">
        <f t="shared" si="9"/>
        <v>2036</v>
      </c>
      <c r="AI69" s="210"/>
      <c r="AJ69" s="210"/>
    </row>
    <row r="70" spans="1:36" s="2" customFormat="1" ht="14.25">
      <c r="A70" s="228"/>
      <c r="B70" s="175" t="s">
        <v>186</v>
      </c>
      <c r="C70" s="227"/>
      <c r="D70" s="235">
        <v>0</v>
      </c>
      <c r="E70" s="92">
        <v>0</v>
      </c>
      <c r="F70" s="92">
        <f aca="true" t="shared" si="10" ref="F70:AH70">E70+E71-E72</f>
        <v>0</v>
      </c>
      <c r="G70" s="92">
        <f t="shared" si="10"/>
        <v>6554.1866048664815</v>
      </c>
      <c r="H70" s="92">
        <f t="shared" si="10"/>
        <v>32770.93302433241</v>
      </c>
      <c r="I70" s="92">
        <f t="shared" si="10"/>
        <v>65541.86604866482</v>
      </c>
      <c r="J70" s="92">
        <f t="shared" si="10"/>
        <v>65541.86604866482</v>
      </c>
      <c r="K70" s="92">
        <f t="shared" si="10"/>
        <v>61172.40831208716</v>
      </c>
      <c r="L70" s="92">
        <f t="shared" si="10"/>
        <v>56802.9505755095</v>
      </c>
      <c r="M70" s="92">
        <f t="shared" si="10"/>
        <v>52433.492838931845</v>
      </c>
      <c r="N70" s="92">
        <f t="shared" si="10"/>
        <v>48064.03510235419</v>
      </c>
      <c r="O70" s="92">
        <f t="shared" si="10"/>
        <v>43694.57736577653</v>
      </c>
      <c r="P70" s="92">
        <f t="shared" si="10"/>
        <v>39325.119629198874</v>
      </c>
      <c r="Q70" s="92">
        <f t="shared" si="10"/>
        <v>34955.66189262122</v>
      </c>
      <c r="R70" s="92">
        <f t="shared" si="10"/>
        <v>30586.204156043565</v>
      </c>
      <c r="S70" s="92">
        <f t="shared" si="10"/>
        <v>26216.74641946591</v>
      </c>
      <c r="T70" s="92">
        <f t="shared" si="10"/>
        <v>21847.28868288826</v>
      </c>
      <c r="U70" s="92">
        <f t="shared" si="10"/>
        <v>17477.830946310605</v>
      </c>
      <c r="V70" s="92">
        <f t="shared" si="10"/>
        <v>13108.373209732952</v>
      </c>
      <c r="W70" s="92">
        <f t="shared" si="10"/>
        <v>8738.915473155299</v>
      </c>
      <c r="X70" s="92">
        <f t="shared" si="10"/>
        <v>4369.457736577645</v>
      </c>
      <c r="Y70" s="92">
        <f t="shared" si="10"/>
        <v>-9.094947017729282E-12</v>
      </c>
      <c r="Z70" s="92">
        <f t="shared" si="10"/>
        <v>-9.094947017729282E-12</v>
      </c>
      <c r="AA70" s="92">
        <f t="shared" si="10"/>
        <v>-9.094947017729282E-12</v>
      </c>
      <c r="AB70" s="92">
        <f t="shared" si="10"/>
        <v>-9.094947017729282E-12</v>
      </c>
      <c r="AC70" s="150">
        <f t="shared" si="10"/>
        <v>-9.094947017729282E-12</v>
      </c>
      <c r="AD70" s="92">
        <f t="shared" si="10"/>
        <v>-9.094947017729282E-12</v>
      </c>
      <c r="AE70" s="92">
        <f t="shared" si="10"/>
        <v>-9.094947017729282E-12</v>
      </c>
      <c r="AF70" s="92">
        <f t="shared" si="10"/>
        <v>-9.094947017729282E-12</v>
      </c>
      <c r="AG70" s="92">
        <f t="shared" si="10"/>
        <v>-9.094947017729282E-12</v>
      </c>
      <c r="AH70" s="93">
        <f t="shared" si="10"/>
        <v>-9.094947017729282E-12</v>
      </c>
      <c r="AI70" s="210"/>
      <c r="AJ70" s="210"/>
    </row>
    <row r="71" spans="1:36" s="2" customFormat="1" ht="14.25">
      <c r="A71" s="228"/>
      <c r="B71" s="175" t="s">
        <v>187</v>
      </c>
      <c r="C71" s="227"/>
      <c r="D71" s="235">
        <f>SUM(E71:I71)</f>
        <v>65541.86604866482</v>
      </c>
      <c r="E71" s="92">
        <f>E32*SUM(WACC!$D29:$D30)</f>
        <v>0</v>
      </c>
      <c r="F71" s="92">
        <f>F32*SUM(WACC!$D29:$D30)</f>
        <v>6554.1866048664815</v>
      </c>
      <c r="G71" s="92">
        <f>G32*SUM(WACC!$D29:$D30)</f>
        <v>26216.746419465926</v>
      </c>
      <c r="H71" s="92">
        <f>H32*SUM(WACC!$D29:$D30)</f>
        <v>32770.93302433241</v>
      </c>
      <c r="I71" s="92">
        <f>I32*SUM(WACC!$D29:$D30)</f>
        <v>0</v>
      </c>
      <c r="J71" s="92"/>
      <c r="K71" s="92"/>
      <c r="L71" s="92"/>
      <c r="M71" s="92"/>
      <c r="N71" s="92"/>
      <c r="O71" s="92"/>
      <c r="P71" s="92"/>
      <c r="Q71" s="92"/>
      <c r="R71" s="92"/>
      <c r="S71" s="92"/>
      <c r="T71" s="92"/>
      <c r="U71" s="92"/>
      <c r="V71" s="92"/>
      <c r="W71" s="92"/>
      <c r="X71" s="92"/>
      <c r="Y71" s="92"/>
      <c r="Z71" s="92"/>
      <c r="AA71" s="92"/>
      <c r="AB71" s="92"/>
      <c r="AC71" s="150"/>
      <c r="AD71" s="92"/>
      <c r="AE71" s="92"/>
      <c r="AF71" s="92"/>
      <c r="AG71" s="92"/>
      <c r="AH71" s="93"/>
      <c r="AI71" s="210"/>
      <c r="AJ71" s="210"/>
    </row>
    <row r="72" spans="1:36" s="2" customFormat="1" ht="14.25">
      <c r="A72" s="228"/>
      <c r="B72" s="175" t="s">
        <v>188</v>
      </c>
      <c r="C72" s="234">
        <v>15</v>
      </c>
      <c r="D72" s="235"/>
      <c r="E72" s="92"/>
      <c r="F72" s="92"/>
      <c r="G72" s="92"/>
      <c r="H72" s="92"/>
      <c r="I72" s="92"/>
      <c r="J72" s="92">
        <f aca="true" t="shared" si="11" ref="J72:AH72">IF(J$69&gt;($I$69+$C72),0,$D71/$C72)</f>
        <v>4369.457736577654</v>
      </c>
      <c r="K72" s="92">
        <f t="shared" si="11"/>
        <v>4369.457736577654</v>
      </c>
      <c r="L72" s="92">
        <f t="shared" si="11"/>
        <v>4369.457736577654</v>
      </c>
      <c r="M72" s="92">
        <f t="shared" si="11"/>
        <v>4369.457736577654</v>
      </c>
      <c r="N72" s="92">
        <f t="shared" si="11"/>
        <v>4369.457736577654</v>
      </c>
      <c r="O72" s="92">
        <f t="shared" si="11"/>
        <v>4369.457736577654</v>
      </c>
      <c r="P72" s="92">
        <f t="shared" si="11"/>
        <v>4369.457736577654</v>
      </c>
      <c r="Q72" s="92">
        <f t="shared" si="11"/>
        <v>4369.457736577654</v>
      </c>
      <c r="R72" s="92">
        <f t="shared" si="11"/>
        <v>4369.457736577654</v>
      </c>
      <c r="S72" s="92">
        <f t="shared" si="11"/>
        <v>4369.457736577654</v>
      </c>
      <c r="T72" s="92">
        <f t="shared" si="11"/>
        <v>4369.457736577654</v>
      </c>
      <c r="U72" s="92">
        <f t="shared" si="11"/>
        <v>4369.457736577654</v>
      </c>
      <c r="V72" s="92">
        <f t="shared" si="11"/>
        <v>4369.457736577654</v>
      </c>
      <c r="W72" s="92">
        <f t="shared" si="11"/>
        <v>4369.457736577654</v>
      </c>
      <c r="X72" s="92">
        <f t="shared" si="11"/>
        <v>4369.457736577654</v>
      </c>
      <c r="Y72" s="92">
        <f t="shared" si="11"/>
        <v>0</v>
      </c>
      <c r="Z72" s="92">
        <f t="shared" si="11"/>
        <v>0</v>
      </c>
      <c r="AA72" s="92">
        <f t="shared" si="11"/>
        <v>0</v>
      </c>
      <c r="AB72" s="92">
        <f t="shared" si="11"/>
        <v>0</v>
      </c>
      <c r="AC72" s="150">
        <f t="shared" si="11"/>
        <v>0</v>
      </c>
      <c r="AD72" s="92">
        <f t="shared" si="11"/>
        <v>0</v>
      </c>
      <c r="AE72" s="92">
        <f t="shared" si="11"/>
        <v>0</v>
      </c>
      <c r="AF72" s="92">
        <f t="shared" si="11"/>
        <v>0</v>
      </c>
      <c r="AG72" s="92">
        <f t="shared" si="11"/>
        <v>0</v>
      </c>
      <c r="AH72" s="93">
        <f t="shared" si="11"/>
        <v>0</v>
      </c>
      <c r="AI72" s="210"/>
      <c r="AJ72" s="210"/>
    </row>
    <row r="73" spans="1:36" s="2" customFormat="1" ht="14.25">
      <c r="A73" s="228"/>
      <c r="B73" s="175" t="s">
        <v>189</v>
      </c>
      <c r="C73" s="227"/>
      <c r="D73" s="235"/>
      <c r="E73" s="92">
        <f aca="true" t="shared" si="12" ref="E73:AH73">E70+E71/2-E72</f>
        <v>0</v>
      </c>
      <c r="F73" s="92">
        <f t="shared" si="12"/>
        <v>3277.0933024332408</v>
      </c>
      <c r="G73" s="92">
        <f t="shared" si="12"/>
        <v>19662.559814599445</v>
      </c>
      <c r="H73" s="92">
        <f t="shared" si="12"/>
        <v>49156.39953649861</v>
      </c>
      <c r="I73" s="92">
        <f t="shared" si="12"/>
        <v>65541.86604866482</v>
      </c>
      <c r="J73" s="92">
        <f t="shared" si="12"/>
        <v>61172.40831208716</v>
      </c>
      <c r="K73" s="92">
        <f t="shared" si="12"/>
        <v>56802.9505755095</v>
      </c>
      <c r="L73" s="92">
        <f t="shared" si="12"/>
        <v>52433.492838931845</v>
      </c>
      <c r="M73" s="92">
        <f t="shared" si="12"/>
        <v>48064.03510235419</v>
      </c>
      <c r="N73" s="92">
        <f t="shared" si="12"/>
        <v>43694.57736577653</v>
      </c>
      <c r="O73" s="92">
        <f t="shared" si="12"/>
        <v>39325.119629198874</v>
      </c>
      <c r="P73" s="92">
        <f t="shared" si="12"/>
        <v>34955.66189262122</v>
      </c>
      <c r="Q73" s="92">
        <f t="shared" si="12"/>
        <v>30586.204156043565</v>
      </c>
      <c r="R73" s="92">
        <f t="shared" si="12"/>
        <v>26216.74641946591</v>
      </c>
      <c r="S73" s="92">
        <f t="shared" si="12"/>
        <v>21847.28868288826</v>
      </c>
      <c r="T73" s="92">
        <f t="shared" si="12"/>
        <v>17477.830946310605</v>
      </c>
      <c r="U73" s="92">
        <f t="shared" si="12"/>
        <v>13108.373209732952</v>
      </c>
      <c r="V73" s="92">
        <f t="shared" si="12"/>
        <v>8738.915473155299</v>
      </c>
      <c r="W73" s="92">
        <f t="shared" si="12"/>
        <v>4369.457736577645</v>
      </c>
      <c r="X73" s="92">
        <f t="shared" si="12"/>
        <v>-9.094947017729282E-12</v>
      </c>
      <c r="Y73" s="92">
        <f t="shared" si="12"/>
        <v>-9.094947017729282E-12</v>
      </c>
      <c r="Z73" s="92">
        <f t="shared" si="12"/>
        <v>-9.094947017729282E-12</v>
      </c>
      <c r="AA73" s="92">
        <f t="shared" si="12"/>
        <v>-9.094947017729282E-12</v>
      </c>
      <c r="AB73" s="92">
        <f t="shared" si="12"/>
        <v>-9.094947017729282E-12</v>
      </c>
      <c r="AC73" s="150">
        <f t="shared" si="12"/>
        <v>-9.094947017729282E-12</v>
      </c>
      <c r="AD73" s="92">
        <f t="shared" si="12"/>
        <v>-9.094947017729282E-12</v>
      </c>
      <c r="AE73" s="92">
        <f t="shared" si="12"/>
        <v>-9.094947017729282E-12</v>
      </c>
      <c r="AF73" s="92">
        <f t="shared" si="12"/>
        <v>-9.094947017729282E-12</v>
      </c>
      <c r="AG73" s="92">
        <f t="shared" si="12"/>
        <v>-9.094947017729282E-12</v>
      </c>
      <c r="AH73" s="93">
        <f t="shared" si="12"/>
        <v>-9.094947017729282E-12</v>
      </c>
      <c r="AI73" s="210"/>
      <c r="AJ73" s="210"/>
    </row>
    <row r="74" spans="1:36" s="2" customFormat="1" ht="14.25">
      <c r="A74" s="228"/>
      <c r="B74" s="175" t="s">
        <v>190</v>
      </c>
      <c r="C74" s="149">
        <v>0.02</v>
      </c>
      <c r="D74" s="235"/>
      <c r="E74" s="92">
        <f aca="true" t="shared" si="13" ref="E74:U74">E73*$C74</f>
        <v>0</v>
      </c>
      <c r="F74" s="92">
        <f t="shared" si="13"/>
        <v>65.54186604866482</v>
      </c>
      <c r="G74" s="92">
        <f t="shared" si="13"/>
        <v>393.2511962919889</v>
      </c>
      <c r="H74" s="92">
        <f t="shared" si="13"/>
        <v>983.1279907299722</v>
      </c>
      <c r="I74" s="92">
        <f t="shared" si="13"/>
        <v>1310.8373209732963</v>
      </c>
      <c r="J74" s="92">
        <f t="shared" si="13"/>
        <v>1223.4481662417431</v>
      </c>
      <c r="K74" s="92">
        <f t="shared" si="13"/>
        <v>1136.05901151019</v>
      </c>
      <c r="L74" s="92">
        <f t="shared" si="13"/>
        <v>1048.6698567786368</v>
      </c>
      <c r="M74" s="92">
        <f t="shared" si="13"/>
        <v>961.2807020470838</v>
      </c>
      <c r="N74" s="92">
        <f t="shared" si="13"/>
        <v>873.8915473155306</v>
      </c>
      <c r="O74" s="92">
        <f t="shared" si="13"/>
        <v>786.5023925839776</v>
      </c>
      <c r="P74" s="92">
        <f t="shared" si="13"/>
        <v>699.1132378524244</v>
      </c>
      <c r="Q74" s="92">
        <f t="shared" si="13"/>
        <v>611.7240831208713</v>
      </c>
      <c r="R74" s="92">
        <f t="shared" si="13"/>
        <v>524.3349283893183</v>
      </c>
      <c r="S74" s="92">
        <f t="shared" si="13"/>
        <v>436.9457736577652</v>
      </c>
      <c r="T74" s="92">
        <f t="shared" si="13"/>
        <v>349.55661892621214</v>
      </c>
      <c r="U74" s="92">
        <f t="shared" si="13"/>
        <v>262.16746419465903</v>
      </c>
      <c r="V74" s="92"/>
      <c r="W74" s="92"/>
      <c r="X74" s="92"/>
      <c r="Y74" s="92"/>
      <c r="Z74" s="92"/>
      <c r="AA74" s="92"/>
      <c r="AB74" s="92"/>
      <c r="AC74" s="150"/>
      <c r="AD74" s="92"/>
      <c r="AE74" s="92"/>
      <c r="AF74" s="92"/>
      <c r="AG74" s="92"/>
      <c r="AH74" s="93"/>
      <c r="AI74" s="210"/>
      <c r="AJ74" s="210"/>
    </row>
    <row r="75" spans="1:36" s="2" customFormat="1" ht="14.25">
      <c r="A75" s="228"/>
      <c r="B75" s="175" t="s">
        <v>191</v>
      </c>
      <c r="C75" s="229"/>
      <c r="D75" s="235"/>
      <c r="E75" s="92">
        <f>$D71-E73</f>
        <v>65541.86604866482</v>
      </c>
      <c r="F75" s="92">
        <f>$D71-F73</f>
        <v>62264.772746231574</v>
      </c>
      <c r="G75" s="92">
        <f>$D71-G73</f>
        <v>45879.30623406537</v>
      </c>
      <c r="H75" s="92">
        <f>$D71-H73</f>
        <v>16385.466512166204</v>
      </c>
      <c r="I75" s="92">
        <f>$D71-I73</f>
        <v>0</v>
      </c>
      <c r="J75" s="92"/>
      <c r="K75" s="92"/>
      <c r="L75" s="92"/>
      <c r="M75" s="92"/>
      <c r="N75" s="92"/>
      <c r="O75" s="92"/>
      <c r="P75" s="92"/>
      <c r="Q75" s="92"/>
      <c r="R75" s="92"/>
      <c r="S75" s="92"/>
      <c r="T75" s="92"/>
      <c r="U75" s="92"/>
      <c r="V75" s="92"/>
      <c r="W75" s="92"/>
      <c r="X75" s="92"/>
      <c r="Y75" s="92"/>
      <c r="Z75" s="92"/>
      <c r="AA75" s="92"/>
      <c r="AB75" s="92"/>
      <c r="AC75" s="150"/>
      <c r="AD75" s="92"/>
      <c r="AE75" s="92"/>
      <c r="AF75" s="92"/>
      <c r="AG75" s="92"/>
      <c r="AH75" s="93"/>
      <c r="AI75" s="210"/>
      <c r="AJ75" s="210"/>
    </row>
    <row r="76" spans="1:36" s="2" customFormat="1" ht="14.25">
      <c r="A76" s="228"/>
      <c r="B76" s="175" t="s">
        <v>192</v>
      </c>
      <c r="C76" s="149">
        <v>0</v>
      </c>
      <c r="D76" s="235"/>
      <c r="E76" s="92">
        <f>E75*$C76</f>
        <v>0</v>
      </c>
      <c r="F76" s="92">
        <f>F75*$C76</f>
        <v>0</v>
      </c>
      <c r="G76" s="92">
        <f>G75*$C76</f>
        <v>0</v>
      </c>
      <c r="H76" s="92">
        <f>H75*$C76</f>
        <v>0</v>
      </c>
      <c r="I76" s="92">
        <f>I75*$C76</f>
        <v>0</v>
      </c>
      <c r="J76" s="92"/>
      <c r="K76" s="92"/>
      <c r="L76" s="92"/>
      <c r="M76" s="92"/>
      <c r="N76" s="92"/>
      <c r="O76" s="92"/>
      <c r="P76" s="92"/>
      <c r="Q76" s="92"/>
      <c r="R76" s="92"/>
      <c r="S76" s="92"/>
      <c r="T76" s="92"/>
      <c r="U76" s="92"/>
      <c r="V76" s="92"/>
      <c r="W76" s="92"/>
      <c r="X76" s="92"/>
      <c r="Y76" s="92"/>
      <c r="Z76" s="92"/>
      <c r="AA76" s="92"/>
      <c r="AB76" s="92"/>
      <c r="AC76" s="150"/>
      <c r="AD76" s="92"/>
      <c r="AE76" s="92"/>
      <c r="AF76" s="92"/>
      <c r="AG76" s="92"/>
      <c r="AH76" s="93"/>
      <c r="AI76" s="210"/>
      <c r="AJ76" s="210"/>
    </row>
    <row r="77" spans="1:36" s="2" customFormat="1" ht="15">
      <c r="A77" s="228"/>
      <c r="B77" s="226" t="s">
        <v>200</v>
      </c>
      <c r="C77" s="227"/>
      <c r="D77" s="235"/>
      <c r="E77" s="92"/>
      <c r="F77" s="92"/>
      <c r="G77" s="92"/>
      <c r="H77" s="92"/>
      <c r="I77" s="92"/>
      <c r="J77" s="92"/>
      <c r="K77" s="92"/>
      <c r="L77" s="92"/>
      <c r="M77" s="92"/>
      <c r="N77" s="92"/>
      <c r="O77" s="92"/>
      <c r="P77" s="92"/>
      <c r="Q77" s="92"/>
      <c r="R77" s="92"/>
      <c r="S77" s="92"/>
      <c r="T77" s="92"/>
      <c r="U77" s="92"/>
      <c r="V77" s="92"/>
      <c r="W77" s="92"/>
      <c r="X77" s="92"/>
      <c r="Y77" s="92"/>
      <c r="Z77" s="92"/>
      <c r="AA77" s="92"/>
      <c r="AB77" s="92"/>
      <c r="AC77" s="150"/>
      <c r="AD77" s="92"/>
      <c r="AE77" s="92"/>
      <c r="AF77" s="92"/>
      <c r="AG77" s="92"/>
      <c r="AH77" s="93"/>
      <c r="AI77" s="210"/>
      <c r="AJ77" s="210"/>
    </row>
    <row r="78" spans="1:36" s="2" customFormat="1" ht="14.25">
      <c r="A78" s="228"/>
      <c r="B78" s="175" t="s">
        <v>186</v>
      </c>
      <c r="C78" s="227"/>
      <c r="D78" s="235">
        <v>0</v>
      </c>
      <c r="E78" s="92">
        <v>0</v>
      </c>
      <c r="F78" s="92">
        <f aca="true" t="shared" si="14" ref="F78:AH78">E78+E79-E80</f>
        <v>0</v>
      </c>
      <c r="G78" s="92">
        <f t="shared" si="14"/>
        <v>6508.98531793637</v>
      </c>
      <c r="H78" s="92">
        <f t="shared" si="14"/>
        <v>32544.92658968185</v>
      </c>
      <c r="I78" s="92">
        <f t="shared" si="14"/>
        <v>65089.853179363694</v>
      </c>
      <c r="J78" s="92">
        <f t="shared" si="14"/>
        <v>65089.853179363694</v>
      </c>
      <c r="K78" s="92">
        <f t="shared" si="14"/>
        <v>65089.853179363694</v>
      </c>
      <c r="L78" s="92">
        <f t="shared" si="14"/>
        <v>61835.36052039551</v>
      </c>
      <c r="M78" s="92">
        <f t="shared" si="14"/>
        <v>58580.86786142732</v>
      </c>
      <c r="N78" s="92">
        <f t="shared" si="14"/>
        <v>55326.37520245914</v>
      </c>
      <c r="O78" s="92">
        <f t="shared" si="14"/>
        <v>52071.88254349095</v>
      </c>
      <c r="P78" s="92">
        <f t="shared" si="14"/>
        <v>48817.38988452277</v>
      </c>
      <c r="Q78" s="92">
        <f t="shared" si="14"/>
        <v>45562.89722555458</v>
      </c>
      <c r="R78" s="92">
        <f t="shared" si="14"/>
        <v>42308.404566586396</v>
      </c>
      <c r="S78" s="92">
        <f t="shared" si="14"/>
        <v>39053.91190761821</v>
      </c>
      <c r="T78" s="92">
        <f t="shared" si="14"/>
        <v>35799.419248650025</v>
      </c>
      <c r="U78" s="92">
        <f t="shared" si="14"/>
        <v>32544.92658968184</v>
      </c>
      <c r="V78" s="92">
        <f t="shared" si="14"/>
        <v>29290.433930713654</v>
      </c>
      <c r="W78" s="92">
        <f t="shared" si="14"/>
        <v>26035.94127174547</v>
      </c>
      <c r="X78" s="92">
        <f t="shared" si="14"/>
        <v>22781.448612777283</v>
      </c>
      <c r="Y78" s="92">
        <f t="shared" si="14"/>
        <v>19526.955953809098</v>
      </c>
      <c r="Z78" s="92">
        <f t="shared" si="14"/>
        <v>16272.463294840913</v>
      </c>
      <c r="AA78" s="92">
        <f t="shared" si="14"/>
        <v>13017.970635872727</v>
      </c>
      <c r="AB78" s="92">
        <f t="shared" si="14"/>
        <v>9763.477976904542</v>
      </c>
      <c r="AC78" s="150">
        <f t="shared" si="14"/>
        <v>6508.985317936357</v>
      </c>
      <c r="AD78" s="92">
        <f t="shared" si="14"/>
        <v>3254.4926589681727</v>
      </c>
      <c r="AE78" s="92">
        <f t="shared" si="14"/>
        <v>-1.1823431123048067E-11</v>
      </c>
      <c r="AF78" s="92">
        <f t="shared" si="14"/>
        <v>-1.1823431123048067E-11</v>
      </c>
      <c r="AG78" s="92">
        <f t="shared" si="14"/>
        <v>-1.1823431123048067E-11</v>
      </c>
      <c r="AH78" s="93">
        <f t="shared" si="14"/>
        <v>-1.1823431123048067E-11</v>
      </c>
      <c r="AI78" s="210"/>
      <c r="AJ78" s="210"/>
    </row>
    <row r="79" spans="1:36" s="2" customFormat="1" ht="14.25">
      <c r="A79" s="228"/>
      <c r="B79" s="175" t="s">
        <v>187</v>
      </c>
      <c r="C79" s="227"/>
      <c r="D79" s="235">
        <f>SUM(E79:I79)</f>
        <v>65089.853179363694</v>
      </c>
      <c r="E79" s="92">
        <f>E$32*SUM(WACC!$E$28:$E$30)</f>
        <v>0</v>
      </c>
      <c r="F79" s="92">
        <f>F$32*SUM(WACC!$E$28:$E$30)</f>
        <v>6508.98531793637</v>
      </c>
      <c r="G79" s="92">
        <f>G$32*SUM(WACC!$E$28:$E$30)</f>
        <v>26035.94127174548</v>
      </c>
      <c r="H79" s="92">
        <f>H$32*SUM(WACC!$E$28:$E$30)</f>
        <v>32544.926589681847</v>
      </c>
      <c r="I79" s="92">
        <f>I$32*SUM(WACC!$E$28:$E$30)</f>
        <v>0</v>
      </c>
      <c r="J79" s="92"/>
      <c r="K79" s="92"/>
      <c r="L79" s="92"/>
      <c r="M79" s="92"/>
      <c r="N79" s="92"/>
      <c r="O79" s="92"/>
      <c r="P79" s="92"/>
      <c r="Q79" s="92"/>
      <c r="R79" s="92"/>
      <c r="S79" s="92"/>
      <c r="T79" s="92"/>
      <c r="U79" s="92"/>
      <c r="V79" s="92"/>
      <c r="W79" s="92"/>
      <c r="X79" s="92"/>
      <c r="Y79" s="92"/>
      <c r="Z79" s="92"/>
      <c r="AA79" s="92"/>
      <c r="AB79" s="92"/>
      <c r="AC79" s="150"/>
      <c r="AD79" s="92"/>
      <c r="AE79" s="92"/>
      <c r="AF79" s="92"/>
      <c r="AG79" s="92"/>
      <c r="AH79" s="93"/>
      <c r="AI79" s="210"/>
      <c r="AJ79" s="210"/>
    </row>
    <row r="80" spans="1:36" s="2" customFormat="1" ht="14.25">
      <c r="A80" s="228"/>
      <c r="B80" s="175" t="s">
        <v>188</v>
      </c>
      <c r="C80" s="234">
        <v>20</v>
      </c>
      <c r="D80" s="235"/>
      <c r="E80" s="92"/>
      <c r="F80" s="92"/>
      <c r="G80" s="92"/>
      <c r="H80" s="92"/>
      <c r="I80" s="92"/>
      <c r="J80" s="92"/>
      <c r="K80" s="92">
        <f aca="true" t="shared" si="15" ref="K80:AH80">IF(K$69&gt;($J$69+$C80),0,$D79/$C80)</f>
        <v>3254.4926589681845</v>
      </c>
      <c r="L80" s="92">
        <f t="shared" si="15"/>
        <v>3254.4926589681845</v>
      </c>
      <c r="M80" s="92">
        <f t="shared" si="15"/>
        <v>3254.4926589681845</v>
      </c>
      <c r="N80" s="92">
        <f t="shared" si="15"/>
        <v>3254.4926589681845</v>
      </c>
      <c r="O80" s="92">
        <f t="shared" si="15"/>
        <v>3254.4926589681845</v>
      </c>
      <c r="P80" s="92">
        <f t="shared" si="15"/>
        <v>3254.4926589681845</v>
      </c>
      <c r="Q80" s="92">
        <f t="shared" si="15"/>
        <v>3254.4926589681845</v>
      </c>
      <c r="R80" s="92">
        <f t="shared" si="15"/>
        <v>3254.4926589681845</v>
      </c>
      <c r="S80" s="92">
        <f t="shared" si="15"/>
        <v>3254.4926589681845</v>
      </c>
      <c r="T80" s="92">
        <f t="shared" si="15"/>
        <v>3254.4926589681845</v>
      </c>
      <c r="U80" s="92">
        <f t="shared" si="15"/>
        <v>3254.4926589681845</v>
      </c>
      <c r="V80" s="92">
        <f t="shared" si="15"/>
        <v>3254.4926589681845</v>
      </c>
      <c r="W80" s="92">
        <f t="shared" si="15"/>
        <v>3254.4926589681845</v>
      </c>
      <c r="X80" s="92">
        <f t="shared" si="15"/>
        <v>3254.4926589681845</v>
      </c>
      <c r="Y80" s="92">
        <f t="shared" si="15"/>
        <v>3254.4926589681845</v>
      </c>
      <c r="Z80" s="92">
        <f t="shared" si="15"/>
        <v>3254.4926589681845</v>
      </c>
      <c r="AA80" s="92">
        <f t="shared" si="15"/>
        <v>3254.4926589681845</v>
      </c>
      <c r="AB80" s="92">
        <f t="shared" si="15"/>
        <v>3254.4926589681845</v>
      </c>
      <c r="AC80" s="150">
        <f t="shared" si="15"/>
        <v>3254.4926589681845</v>
      </c>
      <c r="AD80" s="92">
        <f t="shared" si="15"/>
        <v>3254.4926589681845</v>
      </c>
      <c r="AE80" s="92">
        <f t="shared" si="15"/>
        <v>0</v>
      </c>
      <c r="AF80" s="92">
        <f t="shared" si="15"/>
        <v>0</v>
      </c>
      <c r="AG80" s="92">
        <f t="shared" si="15"/>
        <v>0</v>
      </c>
      <c r="AH80" s="93">
        <f t="shared" si="15"/>
        <v>0</v>
      </c>
      <c r="AI80" s="210"/>
      <c r="AJ80" s="210"/>
    </row>
    <row r="81" spans="1:36" s="2" customFormat="1" ht="14.25">
      <c r="A81" s="228"/>
      <c r="B81" s="175" t="s">
        <v>189</v>
      </c>
      <c r="C81" s="227"/>
      <c r="D81" s="235"/>
      <c r="E81" s="92">
        <f aca="true" t="shared" si="16" ref="E81:AH81">E78+E79/2-E80</f>
        <v>0</v>
      </c>
      <c r="F81" s="92">
        <f t="shared" si="16"/>
        <v>3254.492658968185</v>
      </c>
      <c r="G81" s="92">
        <f t="shared" si="16"/>
        <v>19526.95595380911</v>
      </c>
      <c r="H81" s="92">
        <f t="shared" si="16"/>
        <v>48817.389884522774</v>
      </c>
      <c r="I81" s="92">
        <f t="shared" si="16"/>
        <v>65089.853179363694</v>
      </c>
      <c r="J81" s="92">
        <f t="shared" si="16"/>
        <v>65089.853179363694</v>
      </c>
      <c r="K81" s="92">
        <f t="shared" si="16"/>
        <v>61835.36052039551</v>
      </c>
      <c r="L81" s="92">
        <f t="shared" si="16"/>
        <v>58580.86786142732</v>
      </c>
      <c r="M81" s="92">
        <f t="shared" si="16"/>
        <v>55326.37520245914</v>
      </c>
      <c r="N81" s="92">
        <f t="shared" si="16"/>
        <v>52071.88254349095</v>
      </c>
      <c r="O81" s="92">
        <f t="shared" si="16"/>
        <v>48817.38988452277</v>
      </c>
      <c r="P81" s="92">
        <f t="shared" si="16"/>
        <v>45562.89722555458</v>
      </c>
      <c r="Q81" s="92">
        <f t="shared" si="16"/>
        <v>42308.404566586396</v>
      </c>
      <c r="R81" s="92">
        <f t="shared" si="16"/>
        <v>39053.91190761821</v>
      </c>
      <c r="S81" s="92">
        <f t="shared" si="16"/>
        <v>35799.419248650025</v>
      </c>
      <c r="T81" s="92">
        <f t="shared" si="16"/>
        <v>32544.92658968184</v>
      </c>
      <c r="U81" s="92">
        <f t="shared" si="16"/>
        <v>29290.433930713654</v>
      </c>
      <c r="V81" s="92">
        <f t="shared" si="16"/>
        <v>26035.94127174547</v>
      </c>
      <c r="W81" s="92">
        <f t="shared" si="16"/>
        <v>22781.448612777283</v>
      </c>
      <c r="X81" s="92">
        <f t="shared" si="16"/>
        <v>19526.955953809098</v>
      </c>
      <c r="Y81" s="92">
        <f t="shared" si="16"/>
        <v>16272.463294840913</v>
      </c>
      <c r="Z81" s="92">
        <f t="shared" si="16"/>
        <v>13017.970635872727</v>
      </c>
      <c r="AA81" s="92">
        <f t="shared" si="16"/>
        <v>9763.477976904542</v>
      </c>
      <c r="AB81" s="92">
        <f t="shared" si="16"/>
        <v>6508.985317936357</v>
      </c>
      <c r="AC81" s="150">
        <f t="shared" si="16"/>
        <v>3254.4926589681727</v>
      </c>
      <c r="AD81" s="92">
        <f t="shared" si="16"/>
        <v>-1.1823431123048067E-11</v>
      </c>
      <c r="AE81" s="92">
        <f t="shared" si="16"/>
        <v>-1.1823431123048067E-11</v>
      </c>
      <c r="AF81" s="92">
        <f t="shared" si="16"/>
        <v>-1.1823431123048067E-11</v>
      </c>
      <c r="AG81" s="92">
        <f t="shared" si="16"/>
        <v>-1.1823431123048067E-11</v>
      </c>
      <c r="AH81" s="93">
        <f t="shared" si="16"/>
        <v>-1.1823431123048067E-11</v>
      </c>
      <c r="AI81" s="210"/>
      <c r="AJ81" s="210"/>
    </row>
    <row r="82" spans="1:36" s="2" customFormat="1" ht="14.25">
      <c r="A82" s="228"/>
      <c r="B82" s="175" t="s">
        <v>190</v>
      </c>
      <c r="C82" s="149">
        <v>0.02</v>
      </c>
      <c r="D82" s="235"/>
      <c r="E82" s="92">
        <f aca="true" t="shared" si="17" ref="E82:U82">E81*$C82</f>
        <v>0</v>
      </c>
      <c r="F82" s="92">
        <f t="shared" si="17"/>
        <v>65.0898531793637</v>
      </c>
      <c r="G82" s="92">
        <f t="shared" si="17"/>
        <v>390.5391190761822</v>
      </c>
      <c r="H82" s="92">
        <f t="shared" si="17"/>
        <v>976.3477976904555</v>
      </c>
      <c r="I82" s="92">
        <f t="shared" si="17"/>
        <v>1301.797063587274</v>
      </c>
      <c r="J82" s="92">
        <f t="shared" si="17"/>
        <v>1301.797063587274</v>
      </c>
      <c r="K82" s="92">
        <f t="shared" si="17"/>
        <v>1236.7072104079102</v>
      </c>
      <c r="L82" s="92">
        <f t="shared" si="17"/>
        <v>1171.6173572285466</v>
      </c>
      <c r="M82" s="92">
        <f t="shared" si="17"/>
        <v>1106.5275040491829</v>
      </c>
      <c r="N82" s="92">
        <f t="shared" si="17"/>
        <v>1041.437650869819</v>
      </c>
      <c r="O82" s="92">
        <f t="shared" si="17"/>
        <v>976.3477976904553</v>
      </c>
      <c r="P82" s="92">
        <f t="shared" si="17"/>
        <v>911.2579445110916</v>
      </c>
      <c r="Q82" s="92">
        <f t="shared" si="17"/>
        <v>846.168091331728</v>
      </c>
      <c r="R82" s="92">
        <f t="shared" si="17"/>
        <v>781.0782381523642</v>
      </c>
      <c r="S82" s="92">
        <f t="shared" si="17"/>
        <v>715.9883849730005</v>
      </c>
      <c r="T82" s="92">
        <f t="shared" si="17"/>
        <v>650.8985317936368</v>
      </c>
      <c r="U82" s="92">
        <f t="shared" si="17"/>
        <v>585.808678614273</v>
      </c>
      <c r="V82" s="92"/>
      <c r="W82" s="92"/>
      <c r="X82" s="92"/>
      <c r="Y82" s="92"/>
      <c r="Z82" s="92"/>
      <c r="AA82" s="92"/>
      <c r="AB82" s="92"/>
      <c r="AC82" s="150"/>
      <c r="AD82" s="92"/>
      <c r="AE82" s="92"/>
      <c r="AF82" s="92"/>
      <c r="AG82" s="92"/>
      <c r="AH82" s="93"/>
      <c r="AI82" s="210"/>
      <c r="AJ82" s="210"/>
    </row>
    <row r="83" spans="1:36" s="2" customFormat="1" ht="14.25">
      <c r="A83" s="228"/>
      <c r="B83" s="175" t="s">
        <v>191</v>
      </c>
      <c r="C83" s="229"/>
      <c r="D83" s="235"/>
      <c r="E83" s="92">
        <f>$D79-E81</f>
        <v>65089.853179363694</v>
      </c>
      <c r="F83" s="92">
        <f>$D79-F81</f>
        <v>61835.36052039551</v>
      </c>
      <c r="G83" s="92">
        <f>$D79-G81</f>
        <v>45562.89722555458</v>
      </c>
      <c r="H83" s="92">
        <f>$D79-H81</f>
        <v>16272.46329484092</v>
      </c>
      <c r="I83" s="92">
        <f>$D79-I81</f>
        <v>0</v>
      </c>
      <c r="J83" s="92"/>
      <c r="K83" s="92"/>
      <c r="L83" s="92"/>
      <c r="M83" s="92"/>
      <c r="N83" s="92"/>
      <c r="O83" s="92"/>
      <c r="P83" s="92"/>
      <c r="Q83" s="92"/>
      <c r="R83" s="92"/>
      <c r="S83" s="92"/>
      <c r="T83" s="92"/>
      <c r="U83" s="92"/>
      <c r="V83" s="92"/>
      <c r="W83" s="92"/>
      <c r="X83" s="92"/>
      <c r="Y83" s="92"/>
      <c r="Z83" s="92"/>
      <c r="AA83" s="92"/>
      <c r="AB83" s="92"/>
      <c r="AC83" s="150"/>
      <c r="AD83" s="92"/>
      <c r="AE83" s="92"/>
      <c r="AF83" s="92"/>
      <c r="AG83" s="92"/>
      <c r="AH83" s="93"/>
      <c r="AI83" s="210"/>
      <c r="AJ83" s="210"/>
    </row>
    <row r="84" spans="1:36" s="2" customFormat="1" ht="14.25">
      <c r="A84" s="228"/>
      <c r="B84" s="175" t="s">
        <v>192</v>
      </c>
      <c r="C84" s="149">
        <v>0</v>
      </c>
      <c r="D84" s="235"/>
      <c r="E84" s="92">
        <f>E83*$C84</f>
        <v>0</v>
      </c>
      <c r="F84" s="92">
        <f>F83*$C84</f>
        <v>0</v>
      </c>
      <c r="G84" s="92">
        <f>G83*$C84</f>
        <v>0</v>
      </c>
      <c r="H84" s="92">
        <f>H83*$C84</f>
        <v>0</v>
      </c>
      <c r="I84" s="92">
        <f>I83*$C84</f>
        <v>0</v>
      </c>
      <c r="J84" s="92"/>
      <c r="K84" s="92"/>
      <c r="L84" s="92"/>
      <c r="M84" s="92"/>
      <c r="N84" s="92"/>
      <c r="O84" s="92"/>
      <c r="P84" s="92"/>
      <c r="Q84" s="92"/>
      <c r="R84" s="92"/>
      <c r="S84" s="92"/>
      <c r="T84" s="92"/>
      <c r="U84" s="92"/>
      <c r="V84" s="92"/>
      <c r="W84" s="92"/>
      <c r="X84" s="92"/>
      <c r="Y84" s="92"/>
      <c r="Z84" s="92"/>
      <c r="AA84" s="92"/>
      <c r="AB84" s="92"/>
      <c r="AC84" s="150"/>
      <c r="AD84" s="92"/>
      <c r="AE84" s="92"/>
      <c r="AF84" s="92"/>
      <c r="AG84" s="92"/>
      <c r="AH84" s="93"/>
      <c r="AI84" s="210"/>
      <c r="AJ84" s="210"/>
    </row>
    <row r="85" spans="1:36" s="2" customFormat="1" ht="15">
      <c r="A85" s="228"/>
      <c r="B85" s="226" t="s">
        <v>201</v>
      </c>
      <c r="C85" s="230"/>
      <c r="D85" s="235"/>
      <c r="E85" s="92"/>
      <c r="F85" s="92"/>
      <c r="G85" s="92"/>
      <c r="H85" s="92"/>
      <c r="I85" s="92"/>
      <c r="J85" s="92"/>
      <c r="K85" s="92"/>
      <c r="L85" s="92"/>
      <c r="M85" s="92"/>
      <c r="N85" s="92"/>
      <c r="O85" s="92"/>
      <c r="P85" s="92"/>
      <c r="Q85" s="92"/>
      <c r="R85" s="92"/>
      <c r="S85" s="92"/>
      <c r="T85" s="92"/>
      <c r="U85" s="92"/>
      <c r="V85" s="92"/>
      <c r="W85" s="92"/>
      <c r="X85" s="92"/>
      <c r="Y85" s="92"/>
      <c r="Z85" s="92"/>
      <c r="AA85" s="92"/>
      <c r="AB85" s="92"/>
      <c r="AC85" s="150"/>
      <c r="AD85" s="92"/>
      <c r="AE85" s="92"/>
      <c r="AF85" s="92"/>
      <c r="AG85" s="92"/>
      <c r="AH85" s="93"/>
      <c r="AI85" s="210"/>
      <c r="AJ85" s="210"/>
    </row>
    <row r="86" spans="1:36" s="2" customFormat="1" ht="14.25">
      <c r="A86" s="228"/>
      <c r="B86" s="175" t="s">
        <v>186</v>
      </c>
      <c r="C86" s="227"/>
      <c r="D86" s="235">
        <v>0</v>
      </c>
      <c r="E86" s="92">
        <v>0</v>
      </c>
      <c r="F86" s="92">
        <f aca="true" t="shared" si="18" ref="F86:AH86">E86+E87-E88</f>
        <v>0</v>
      </c>
      <c r="G86" s="92">
        <f t="shared" si="18"/>
        <v>3917.4448672765175</v>
      </c>
      <c r="H86" s="92">
        <f t="shared" si="18"/>
        <v>19587.224336382587</v>
      </c>
      <c r="I86" s="92">
        <f t="shared" si="18"/>
        <v>39174.448672765175</v>
      </c>
      <c r="J86" s="92">
        <f t="shared" si="18"/>
        <v>39174.448672765175</v>
      </c>
      <c r="K86" s="92">
        <f t="shared" si="18"/>
        <v>37215.72623912692</v>
      </c>
      <c r="L86" s="92">
        <f t="shared" si="18"/>
        <v>35257.00380548866</v>
      </c>
      <c r="M86" s="92">
        <f t="shared" si="18"/>
        <v>33298.281371850404</v>
      </c>
      <c r="N86" s="92">
        <f t="shared" si="18"/>
        <v>31339.558938212147</v>
      </c>
      <c r="O86" s="92">
        <f t="shared" si="18"/>
        <v>29380.83650457389</v>
      </c>
      <c r="P86" s="92">
        <f t="shared" si="18"/>
        <v>27422.114070935633</v>
      </c>
      <c r="Q86" s="92">
        <f t="shared" si="18"/>
        <v>25463.391637297376</v>
      </c>
      <c r="R86" s="92">
        <f t="shared" si="18"/>
        <v>23504.66920365912</v>
      </c>
      <c r="S86" s="92">
        <f t="shared" si="18"/>
        <v>21545.946770020862</v>
      </c>
      <c r="T86" s="92">
        <f t="shared" si="18"/>
        <v>19587.224336382606</v>
      </c>
      <c r="U86" s="92">
        <f t="shared" si="18"/>
        <v>17628.50190274435</v>
      </c>
      <c r="V86" s="92">
        <f t="shared" si="18"/>
        <v>15669.77946910609</v>
      </c>
      <c r="W86" s="92">
        <f t="shared" si="18"/>
        <v>13711.057035467831</v>
      </c>
      <c r="X86" s="92">
        <f t="shared" si="18"/>
        <v>11752.334601829572</v>
      </c>
      <c r="Y86" s="92">
        <f t="shared" si="18"/>
        <v>9793.612168191314</v>
      </c>
      <c r="Z86" s="92">
        <f t="shared" si="18"/>
        <v>7834.889734553055</v>
      </c>
      <c r="AA86" s="92">
        <f t="shared" si="18"/>
        <v>5876.167300914796</v>
      </c>
      <c r="AB86" s="92">
        <f t="shared" si="18"/>
        <v>3917.4448672765375</v>
      </c>
      <c r="AC86" s="150">
        <f t="shared" si="18"/>
        <v>1958.7224336382787</v>
      </c>
      <c r="AD86" s="92">
        <f t="shared" si="18"/>
        <v>2.000888343900442E-11</v>
      </c>
      <c r="AE86" s="92">
        <f t="shared" si="18"/>
        <v>2.000888343900442E-11</v>
      </c>
      <c r="AF86" s="92">
        <f t="shared" si="18"/>
        <v>2.000888343900442E-11</v>
      </c>
      <c r="AG86" s="92">
        <f t="shared" si="18"/>
        <v>2.000888343900442E-11</v>
      </c>
      <c r="AH86" s="93">
        <f t="shared" si="18"/>
        <v>2.000888343900442E-11</v>
      </c>
      <c r="AI86" s="210"/>
      <c r="AJ86" s="210"/>
    </row>
    <row r="87" spans="1:36" s="2" customFormat="1" ht="14.25">
      <c r="A87" s="228"/>
      <c r="B87" s="175" t="s">
        <v>187</v>
      </c>
      <c r="C87" s="227"/>
      <c r="D87" s="235">
        <f>SUM(E87:I87)</f>
        <v>39174.448672765175</v>
      </c>
      <c r="E87" s="92">
        <f>E$32*SUM(WACC!$F$28:$F$30)</f>
        <v>0</v>
      </c>
      <c r="F87" s="92">
        <f>F$32*SUM(WACC!$F$28:$F$30)</f>
        <v>3917.4448672765175</v>
      </c>
      <c r="G87" s="92">
        <f>G$32*SUM(WACC!$F$28:$F$30)</f>
        <v>15669.77946910607</v>
      </c>
      <c r="H87" s="92">
        <f>H$32*SUM(WACC!$F$28:$F$30)</f>
        <v>19587.224336382587</v>
      </c>
      <c r="I87" s="92">
        <f>I$32*SUM(WACC!$F$28:$F$30)</f>
        <v>0</v>
      </c>
      <c r="J87" s="92"/>
      <c r="K87" s="92"/>
      <c r="L87" s="92"/>
      <c r="M87" s="92"/>
      <c r="N87" s="92"/>
      <c r="O87" s="92"/>
      <c r="P87" s="92"/>
      <c r="Q87" s="92"/>
      <c r="R87" s="92"/>
      <c r="S87" s="92"/>
      <c r="T87" s="92"/>
      <c r="U87" s="92"/>
      <c r="V87" s="92"/>
      <c r="W87" s="92"/>
      <c r="X87" s="92"/>
      <c r="Y87" s="92"/>
      <c r="Z87" s="92"/>
      <c r="AA87" s="92"/>
      <c r="AB87" s="92"/>
      <c r="AC87" s="150"/>
      <c r="AD87" s="92"/>
      <c r="AE87" s="92"/>
      <c r="AF87" s="92"/>
      <c r="AG87" s="92"/>
      <c r="AH87" s="93"/>
      <c r="AI87" s="210"/>
      <c r="AJ87" s="210"/>
    </row>
    <row r="88" spans="1:36" s="2" customFormat="1" ht="14.25">
      <c r="A88" s="228"/>
      <c r="B88" s="175" t="s">
        <v>188</v>
      </c>
      <c r="C88" s="234">
        <v>20</v>
      </c>
      <c r="D88" s="235"/>
      <c r="E88" s="92"/>
      <c r="F88" s="92"/>
      <c r="G88" s="92"/>
      <c r="H88" s="92"/>
      <c r="I88" s="92"/>
      <c r="J88" s="92">
        <f aca="true" t="shared" si="19" ref="J88:AH88">IF(J$69&gt;($I$69+$C88),0,$D87/$C88)</f>
        <v>1958.7224336382587</v>
      </c>
      <c r="K88" s="92">
        <f t="shared" si="19"/>
        <v>1958.7224336382587</v>
      </c>
      <c r="L88" s="92">
        <f t="shared" si="19"/>
        <v>1958.7224336382587</v>
      </c>
      <c r="M88" s="92">
        <f t="shared" si="19"/>
        <v>1958.7224336382587</v>
      </c>
      <c r="N88" s="92">
        <f t="shared" si="19"/>
        <v>1958.7224336382587</v>
      </c>
      <c r="O88" s="92">
        <f t="shared" si="19"/>
        <v>1958.7224336382587</v>
      </c>
      <c r="P88" s="92">
        <f t="shared" si="19"/>
        <v>1958.7224336382587</v>
      </c>
      <c r="Q88" s="92">
        <f t="shared" si="19"/>
        <v>1958.7224336382587</v>
      </c>
      <c r="R88" s="92">
        <f t="shared" si="19"/>
        <v>1958.7224336382587</v>
      </c>
      <c r="S88" s="92">
        <f t="shared" si="19"/>
        <v>1958.7224336382587</v>
      </c>
      <c r="T88" s="92">
        <f t="shared" si="19"/>
        <v>1958.7224336382587</v>
      </c>
      <c r="U88" s="92">
        <f t="shared" si="19"/>
        <v>1958.7224336382587</v>
      </c>
      <c r="V88" s="92">
        <f t="shared" si="19"/>
        <v>1958.7224336382587</v>
      </c>
      <c r="W88" s="92">
        <f t="shared" si="19"/>
        <v>1958.7224336382587</v>
      </c>
      <c r="X88" s="92">
        <f t="shared" si="19"/>
        <v>1958.7224336382587</v>
      </c>
      <c r="Y88" s="92">
        <f t="shared" si="19"/>
        <v>1958.7224336382587</v>
      </c>
      <c r="Z88" s="92">
        <f t="shared" si="19"/>
        <v>1958.7224336382587</v>
      </c>
      <c r="AA88" s="92">
        <f t="shared" si="19"/>
        <v>1958.7224336382587</v>
      </c>
      <c r="AB88" s="92">
        <f t="shared" si="19"/>
        <v>1958.7224336382587</v>
      </c>
      <c r="AC88" s="150">
        <f t="shared" si="19"/>
        <v>1958.7224336382587</v>
      </c>
      <c r="AD88" s="92">
        <f t="shared" si="19"/>
        <v>0</v>
      </c>
      <c r="AE88" s="92">
        <f t="shared" si="19"/>
        <v>0</v>
      </c>
      <c r="AF88" s="92">
        <f t="shared" si="19"/>
        <v>0</v>
      </c>
      <c r="AG88" s="92">
        <f t="shared" si="19"/>
        <v>0</v>
      </c>
      <c r="AH88" s="93">
        <f t="shared" si="19"/>
        <v>0</v>
      </c>
      <c r="AI88" s="210"/>
      <c r="AJ88" s="210"/>
    </row>
    <row r="89" spans="1:36" s="2" customFormat="1" ht="14.25">
      <c r="A89" s="228"/>
      <c r="B89" s="175" t="s">
        <v>189</v>
      </c>
      <c r="C89" s="227"/>
      <c r="D89" s="235"/>
      <c r="E89" s="92">
        <f aca="true" t="shared" si="20" ref="E89:AH89">E86+E87/2-E88</f>
        <v>0</v>
      </c>
      <c r="F89" s="92">
        <f t="shared" si="20"/>
        <v>1958.7224336382587</v>
      </c>
      <c r="G89" s="92">
        <f t="shared" si="20"/>
        <v>11752.334601829552</v>
      </c>
      <c r="H89" s="92">
        <f t="shared" si="20"/>
        <v>29380.836504573883</v>
      </c>
      <c r="I89" s="92">
        <f t="shared" si="20"/>
        <v>39174.448672765175</v>
      </c>
      <c r="J89" s="92">
        <f t="shared" si="20"/>
        <v>37215.72623912692</v>
      </c>
      <c r="K89" s="92">
        <f t="shared" si="20"/>
        <v>35257.00380548866</v>
      </c>
      <c r="L89" s="92">
        <f t="shared" si="20"/>
        <v>33298.281371850404</v>
      </c>
      <c r="M89" s="92">
        <f t="shared" si="20"/>
        <v>31339.558938212147</v>
      </c>
      <c r="N89" s="92">
        <f t="shared" si="20"/>
        <v>29380.83650457389</v>
      </c>
      <c r="O89" s="92">
        <f t="shared" si="20"/>
        <v>27422.114070935633</v>
      </c>
      <c r="P89" s="92">
        <f t="shared" si="20"/>
        <v>25463.391637297376</v>
      </c>
      <c r="Q89" s="92">
        <f t="shared" si="20"/>
        <v>23504.66920365912</v>
      </c>
      <c r="R89" s="92">
        <f t="shared" si="20"/>
        <v>21545.946770020862</v>
      </c>
      <c r="S89" s="92">
        <f t="shared" si="20"/>
        <v>19587.224336382606</v>
      </c>
      <c r="T89" s="92">
        <f t="shared" si="20"/>
        <v>17628.50190274435</v>
      </c>
      <c r="U89" s="92">
        <f t="shared" si="20"/>
        <v>15669.77946910609</v>
      </c>
      <c r="V89" s="92">
        <f t="shared" si="20"/>
        <v>13711.057035467831</v>
      </c>
      <c r="W89" s="92">
        <f t="shared" si="20"/>
        <v>11752.334601829572</v>
      </c>
      <c r="X89" s="92">
        <f t="shared" si="20"/>
        <v>9793.612168191314</v>
      </c>
      <c r="Y89" s="92">
        <f t="shared" si="20"/>
        <v>7834.889734553055</v>
      </c>
      <c r="Z89" s="92">
        <f t="shared" si="20"/>
        <v>5876.167300914796</v>
      </c>
      <c r="AA89" s="92">
        <f t="shared" si="20"/>
        <v>3917.4448672765375</v>
      </c>
      <c r="AB89" s="92">
        <f t="shared" si="20"/>
        <v>1958.7224336382787</v>
      </c>
      <c r="AC89" s="150">
        <f t="shared" si="20"/>
        <v>2.000888343900442E-11</v>
      </c>
      <c r="AD89" s="92">
        <f t="shared" si="20"/>
        <v>2.000888343900442E-11</v>
      </c>
      <c r="AE89" s="92">
        <f t="shared" si="20"/>
        <v>2.000888343900442E-11</v>
      </c>
      <c r="AF89" s="92">
        <f t="shared" si="20"/>
        <v>2.000888343900442E-11</v>
      </c>
      <c r="AG89" s="92">
        <f t="shared" si="20"/>
        <v>2.000888343900442E-11</v>
      </c>
      <c r="AH89" s="93">
        <f t="shared" si="20"/>
        <v>2.000888343900442E-11</v>
      </c>
      <c r="AI89" s="210"/>
      <c r="AJ89" s="210"/>
    </row>
    <row r="90" spans="1:36" s="2" customFormat="1" ht="14.25">
      <c r="A90" s="228"/>
      <c r="B90" s="175" t="s">
        <v>190</v>
      </c>
      <c r="C90" s="149">
        <v>0.02</v>
      </c>
      <c r="D90" s="235"/>
      <c r="E90" s="92">
        <f aca="true" t="shared" si="21" ref="E90:U90">E89*$C90</f>
        <v>0</v>
      </c>
      <c r="F90" s="92">
        <f t="shared" si="21"/>
        <v>39.17444867276517</v>
      </c>
      <c r="G90" s="92">
        <f t="shared" si="21"/>
        <v>235.04669203659105</v>
      </c>
      <c r="H90" s="92">
        <f t="shared" si="21"/>
        <v>587.6167300914776</v>
      </c>
      <c r="I90" s="92">
        <f t="shared" si="21"/>
        <v>783.4889734553035</v>
      </c>
      <c r="J90" s="92">
        <f t="shared" si="21"/>
        <v>744.3145247825383</v>
      </c>
      <c r="K90" s="92">
        <f t="shared" si="21"/>
        <v>705.1400761097732</v>
      </c>
      <c r="L90" s="92">
        <f t="shared" si="21"/>
        <v>665.965627437008</v>
      </c>
      <c r="M90" s="92">
        <f t="shared" si="21"/>
        <v>626.791178764243</v>
      </c>
      <c r="N90" s="92">
        <f t="shared" si="21"/>
        <v>587.6167300914778</v>
      </c>
      <c r="O90" s="92">
        <f t="shared" si="21"/>
        <v>548.4422814187127</v>
      </c>
      <c r="P90" s="92">
        <f t="shared" si="21"/>
        <v>509.26783274594754</v>
      </c>
      <c r="Q90" s="92">
        <f t="shared" si="21"/>
        <v>470.0933840731824</v>
      </c>
      <c r="R90" s="92">
        <f t="shared" si="21"/>
        <v>430.91893540041724</v>
      </c>
      <c r="S90" s="92">
        <f t="shared" si="21"/>
        <v>391.74448672765214</v>
      </c>
      <c r="T90" s="92">
        <f t="shared" si="21"/>
        <v>352.570038054887</v>
      </c>
      <c r="U90" s="92">
        <f t="shared" si="21"/>
        <v>313.3955893821218</v>
      </c>
      <c r="V90" s="92"/>
      <c r="W90" s="92"/>
      <c r="X90" s="92"/>
      <c r="Y90" s="92"/>
      <c r="Z90" s="92"/>
      <c r="AA90" s="92"/>
      <c r="AB90" s="92"/>
      <c r="AC90" s="150"/>
      <c r="AD90" s="92"/>
      <c r="AE90" s="92"/>
      <c r="AF90" s="92"/>
      <c r="AG90" s="92"/>
      <c r="AH90" s="93"/>
      <c r="AI90" s="210"/>
      <c r="AJ90" s="210"/>
    </row>
    <row r="91" spans="1:36" s="2" customFormat="1" ht="14.25">
      <c r="A91" s="228"/>
      <c r="B91" s="175" t="s">
        <v>191</v>
      </c>
      <c r="C91" s="229"/>
      <c r="D91" s="235"/>
      <c r="E91" s="92">
        <f>$D87-E89</f>
        <v>39174.448672765175</v>
      </c>
      <c r="F91" s="92">
        <f>$D87-F89</f>
        <v>37215.72623912692</v>
      </c>
      <c r="G91" s="92">
        <f>$D87-G89</f>
        <v>27422.114070935622</v>
      </c>
      <c r="H91" s="92">
        <f>$D87-H89</f>
        <v>9793.612168191292</v>
      </c>
      <c r="I91" s="92">
        <f>$D87-I89</f>
        <v>0</v>
      </c>
      <c r="J91" s="92"/>
      <c r="K91" s="92"/>
      <c r="L91" s="92"/>
      <c r="M91" s="92"/>
      <c r="N91" s="92"/>
      <c r="O91" s="92"/>
      <c r="P91" s="92"/>
      <c r="Q91" s="92"/>
      <c r="R91" s="92"/>
      <c r="S91" s="92"/>
      <c r="T91" s="92"/>
      <c r="U91" s="92"/>
      <c r="V91" s="92"/>
      <c r="W91" s="92"/>
      <c r="X91" s="92"/>
      <c r="Y91" s="92"/>
      <c r="Z91" s="92"/>
      <c r="AA91" s="92"/>
      <c r="AB91" s="92"/>
      <c r="AC91" s="150"/>
      <c r="AD91" s="92"/>
      <c r="AE91" s="92"/>
      <c r="AF91" s="92"/>
      <c r="AG91" s="92"/>
      <c r="AH91" s="93"/>
      <c r="AI91" s="210"/>
      <c r="AJ91" s="210"/>
    </row>
    <row r="92" spans="1:36" s="2" customFormat="1" ht="14.25">
      <c r="A92" s="228"/>
      <c r="B92" s="175" t="s">
        <v>192</v>
      </c>
      <c r="C92" s="149">
        <v>0</v>
      </c>
      <c r="D92" s="235"/>
      <c r="E92" s="92">
        <f>E91*$C92</f>
        <v>0</v>
      </c>
      <c r="F92" s="92">
        <f>F91*$C92</f>
        <v>0</v>
      </c>
      <c r="G92" s="92">
        <f>G91*$C92</f>
        <v>0</v>
      </c>
      <c r="H92" s="92">
        <f>H91*$C92</f>
        <v>0</v>
      </c>
      <c r="I92" s="92">
        <f>I91*$C92</f>
        <v>0</v>
      </c>
      <c r="J92" s="92"/>
      <c r="K92" s="92"/>
      <c r="L92" s="92"/>
      <c r="M92" s="92"/>
      <c r="N92" s="92"/>
      <c r="O92" s="92"/>
      <c r="P92" s="92"/>
      <c r="Q92" s="92"/>
      <c r="R92" s="92"/>
      <c r="S92" s="92"/>
      <c r="T92" s="92"/>
      <c r="U92" s="92"/>
      <c r="V92" s="92"/>
      <c r="W92" s="92"/>
      <c r="X92" s="92"/>
      <c r="Y92" s="92"/>
      <c r="Z92" s="92"/>
      <c r="AA92" s="92"/>
      <c r="AB92" s="92"/>
      <c r="AC92" s="150"/>
      <c r="AD92" s="92"/>
      <c r="AE92" s="92"/>
      <c r="AF92" s="92"/>
      <c r="AG92" s="92"/>
      <c r="AH92" s="93"/>
      <c r="AI92" s="210"/>
      <c r="AJ92" s="210"/>
    </row>
    <row r="93" spans="1:36" s="2" customFormat="1" ht="15">
      <c r="A93" s="228"/>
      <c r="B93" s="226" t="s">
        <v>202</v>
      </c>
      <c r="C93" s="230"/>
      <c r="D93" s="235"/>
      <c r="E93" s="92"/>
      <c r="F93" s="92"/>
      <c r="G93" s="92"/>
      <c r="H93" s="92"/>
      <c r="I93" s="92"/>
      <c r="J93" s="92"/>
      <c r="K93" s="92"/>
      <c r="L93" s="92"/>
      <c r="M93" s="92"/>
      <c r="N93" s="92"/>
      <c r="O93" s="92"/>
      <c r="P93" s="92"/>
      <c r="Q93" s="92"/>
      <c r="R93" s="92"/>
      <c r="S93" s="92"/>
      <c r="T93" s="92"/>
      <c r="U93" s="92"/>
      <c r="V93" s="92"/>
      <c r="W93" s="92"/>
      <c r="X93" s="92"/>
      <c r="Y93" s="92"/>
      <c r="Z93" s="92"/>
      <c r="AA93" s="92"/>
      <c r="AB93" s="92"/>
      <c r="AC93" s="150"/>
      <c r="AD93" s="92"/>
      <c r="AE93" s="92"/>
      <c r="AF93" s="92"/>
      <c r="AG93" s="92"/>
      <c r="AH93" s="93"/>
      <c r="AI93" s="210"/>
      <c r="AJ93" s="210"/>
    </row>
    <row r="94" spans="1:36" s="2" customFormat="1" ht="14.25">
      <c r="A94" s="228"/>
      <c r="B94" s="175" t="s">
        <v>186</v>
      </c>
      <c r="C94" s="227"/>
      <c r="D94" s="235">
        <v>0</v>
      </c>
      <c r="E94" s="92">
        <v>0</v>
      </c>
      <c r="F94" s="92">
        <f aca="true" t="shared" si="22" ref="F94:AH94">E94+E95-E96</f>
        <v>0</v>
      </c>
      <c r="G94" s="92">
        <f t="shared" si="22"/>
        <v>8746.449020976994</v>
      </c>
      <c r="H94" s="92">
        <f t="shared" si="22"/>
        <v>43732.24510488497</v>
      </c>
      <c r="I94" s="92">
        <f t="shared" si="22"/>
        <v>87464.49020976994</v>
      </c>
      <c r="J94" s="92">
        <f t="shared" si="22"/>
        <v>87464.49020976994</v>
      </c>
      <c r="K94" s="92">
        <f t="shared" si="22"/>
        <v>83091.26569928144</v>
      </c>
      <c r="L94" s="92">
        <f t="shared" si="22"/>
        <v>78718.04118879295</v>
      </c>
      <c r="M94" s="92">
        <f t="shared" si="22"/>
        <v>74344.81667830446</v>
      </c>
      <c r="N94" s="92">
        <f t="shared" si="22"/>
        <v>69971.59216781596</v>
      </c>
      <c r="O94" s="92">
        <f t="shared" si="22"/>
        <v>65598.36765732747</v>
      </c>
      <c r="P94" s="92">
        <f t="shared" si="22"/>
        <v>61225.14314683898</v>
      </c>
      <c r="Q94" s="92">
        <f t="shared" si="22"/>
        <v>56851.918636350485</v>
      </c>
      <c r="R94" s="92">
        <f t="shared" si="22"/>
        <v>52478.69412586199</v>
      </c>
      <c r="S94" s="92">
        <f t="shared" si="22"/>
        <v>48105.4696153735</v>
      </c>
      <c r="T94" s="92">
        <f t="shared" si="22"/>
        <v>43732.245104885005</v>
      </c>
      <c r="U94" s="92">
        <f t="shared" si="22"/>
        <v>39359.02059439651</v>
      </c>
      <c r="V94" s="92">
        <f t="shared" si="22"/>
        <v>34985.79608390802</v>
      </c>
      <c r="W94" s="92">
        <f t="shared" si="22"/>
        <v>30612.571573419522</v>
      </c>
      <c r="X94" s="92">
        <f t="shared" si="22"/>
        <v>26239.347062931025</v>
      </c>
      <c r="Y94" s="92">
        <f t="shared" si="22"/>
        <v>21866.122552442528</v>
      </c>
      <c r="Z94" s="92">
        <f t="shared" si="22"/>
        <v>17492.89804195403</v>
      </c>
      <c r="AA94" s="92">
        <f t="shared" si="22"/>
        <v>13119.673531465534</v>
      </c>
      <c r="AB94" s="92">
        <f t="shared" si="22"/>
        <v>8746.449020977037</v>
      </c>
      <c r="AC94" s="150">
        <f t="shared" si="22"/>
        <v>4373.224510488541</v>
      </c>
      <c r="AD94" s="92">
        <f t="shared" si="22"/>
        <v>4.3655745685100555E-11</v>
      </c>
      <c r="AE94" s="92">
        <f t="shared" si="22"/>
        <v>4.3655745685100555E-11</v>
      </c>
      <c r="AF94" s="92">
        <f t="shared" si="22"/>
        <v>4.3655745685100555E-11</v>
      </c>
      <c r="AG94" s="92">
        <f t="shared" si="22"/>
        <v>4.3655745685100555E-11</v>
      </c>
      <c r="AH94" s="93">
        <f t="shared" si="22"/>
        <v>4.3655745685100555E-11</v>
      </c>
      <c r="AI94" s="210"/>
      <c r="AJ94" s="210"/>
    </row>
    <row r="95" spans="1:36" s="2" customFormat="1" ht="14.25">
      <c r="A95" s="228"/>
      <c r="B95" s="175" t="s">
        <v>187</v>
      </c>
      <c r="C95" s="227"/>
      <c r="D95" s="235">
        <f>SUM(E95:I95)</f>
        <v>87464.49020976994</v>
      </c>
      <c r="E95" s="92">
        <f>E$32*SUM(WACC!$G$28:$G$30)</f>
        <v>0</v>
      </c>
      <c r="F95" s="92">
        <f>F$32*SUM(WACC!$G$28:$G$30)</f>
        <v>8746.449020976994</v>
      </c>
      <c r="G95" s="92">
        <f>G$32*SUM(WACC!$G$28:$G$30)</f>
        <v>34985.796083907975</v>
      </c>
      <c r="H95" s="92">
        <f>H$32*SUM(WACC!$G$28:$G$30)</f>
        <v>43732.24510488497</v>
      </c>
      <c r="I95" s="92">
        <f>I$32*SUM(WACC!$G$28:$G$30)</f>
        <v>0</v>
      </c>
      <c r="J95" s="92"/>
      <c r="K95" s="92"/>
      <c r="L95" s="92"/>
      <c r="M95" s="92"/>
      <c r="N95" s="92"/>
      <c r="O95" s="92"/>
      <c r="P95" s="92"/>
      <c r="Q95" s="92"/>
      <c r="R95" s="92"/>
      <c r="S95" s="92"/>
      <c r="T95" s="92"/>
      <c r="U95" s="92"/>
      <c r="V95" s="92"/>
      <c r="W95" s="92"/>
      <c r="X95" s="92"/>
      <c r="Y95" s="92"/>
      <c r="Z95" s="92"/>
      <c r="AA95" s="92"/>
      <c r="AB95" s="92"/>
      <c r="AC95" s="150"/>
      <c r="AD95" s="92"/>
      <c r="AE95" s="92"/>
      <c r="AF95" s="92"/>
      <c r="AG95" s="92"/>
      <c r="AH95" s="93"/>
      <c r="AI95" s="210"/>
      <c r="AJ95" s="210"/>
    </row>
    <row r="96" spans="1:36" s="2" customFormat="1" ht="14.25">
      <c r="A96" s="228"/>
      <c r="B96" s="175" t="s">
        <v>188</v>
      </c>
      <c r="C96" s="234">
        <v>20</v>
      </c>
      <c r="D96" s="235"/>
      <c r="E96" s="92"/>
      <c r="F96" s="92"/>
      <c r="G96" s="92"/>
      <c r="H96" s="92"/>
      <c r="I96" s="92"/>
      <c r="J96" s="92">
        <f aca="true" t="shared" si="23" ref="J96:AH96">IF(J$69&gt;($I$69+$C96),0,$D95/$C96)</f>
        <v>4373.224510488497</v>
      </c>
      <c r="K96" s="92">
        <f t="shared" si="23"/>
        <v>4373.224510488497</v>
      </c>
      <c r="L96" s="92">
        <f t="shared" si="23"/>
        <v>4373.224510488497</v>
      </c>
      <c r="M96" s="92">
        <f t="shared" si="23"/>
        <v>4373.224510488497</v>
      </c>
      <c r="N96" s="92">
        <f t="shared" si="23"/>
        <v>4373.224510488497</v>
      </c>
      <c r="O96" s="92">
        <f t="shared" si="23"/>
        <v>4373.224510488497</v>
      </c>
      <c r="P96" s="92">
        <f t="shared" si="23"/>
        <v>4373.224510488497</v>
      </c>
      <c r="Q96" s="92">
        <f t="shared" si="23"/>
        <v>4373.224510488497</v>
      </c>
      <c r="R96" s="92">
        <f t="shared" si="23"/>
        <v>4373.224510488497</v>
      </c>
      <c r="S96" s="92">
        <f t="shared" si="23"/>
        <v>4373.224510488497</v>
      </c>
      <c r="T96" s="92">
        <f t="shared" si="23"/>
        <v>4373.224510488497</v>
      </c>
      <c r="U96" s="92">
        <f t="shared" si="23"/>
        <v>4373.224510488497</v>
      </c>
      <c r="V96" s="92">
        <f t="shared" si="23"/>
        <v>4373.224510488497</v>
      </c>
      <c r="W96" s="92">
        <f t="shared" si="23"/>
        <v>4373.224510488497</v>
      </c>
      <c r="X96" s="92">
        <f t="shared" si="23"/>
        <v>4373.224510488497</v>
      </c>
      <c r="Y96" s="92">
        <f t="shared" si="23"/>
        <v>4373.224510488497</v>
      </c>
      <c r="Z96" s="92">
        <f t="shared" si="23"/>
        <v>4373.224510488497</v>
      </c>
      <c r="AA96" s="92">
        <f t="shared" si="23"/>
        <v>4373.224510488497</v>
      </c>
      <c r="AB96" s="92">
        <f t="shared" si="23"/>
        <v>4373.224510488497</v>
      </c>
      <c r="AC96" s="150">
        <f t="shared" si="23"/>
        <v>4373.224510488497</v>
      </c>
      <c r="AD96" s="92">
        <f t="shared" si="23"/>
        <v>0</v>
      </c>
      <c r="AE96" s="92">
        <f t="shared" si="23"/>
        <v>0</v>
      </c>
      <c r="AF96" s="92">
        <f t="shared" si="23"/>
        <v>0</v>
      </c>
      <c r="AG96" s="92">
        <f t="shared" si="23"/>
        <v>0</v>
      </c>
      <c r="AH96" s="93">
        <f t="shared" si="23"/>
        <v>0</v>
      </c>
      <c r="AI96" s="210"/>
      <c r="AJ96" s="210"/>
    </row>
    <row r="97" spans="1:36" s="2" customFormat="1" ht="14.25">
      <c r="A97" s="228"/>
      <c r="B97" s="175" t="s">
        <v>189</v>
      </c>
      <c r="C97" s="227"/>
      <c r="D97" s="235"/>
      <c r="E97" s="92">
        <f aca="true" t="shared" si="24" ref="E97:AH97">E94+E95/2-E96</f>
        <v>0</v>
      </c>
      <c r="F97" s="92">
        <f t="shared" si="24"/>
        <v>4373.224510488497</v>
      </c>
      <c r="G97" s="92">
        <f t="shared" si="24"/>
        <v>26239.34706293098</v>
      </c>
      <c r="H97" s="92">
        <f t="shared" si="24"/>
        <v>65598.36765732746</v>
      </c>
      <c r="I97" s="92">
        <f t="shared" si="24"/>
        <v>87464.49020976994</v>
      </c>
      <c r="J97" s="92">
        <f t="shared" si="24"/>
        <v>83091.26569928144</v>
      </c>
      <c r="K97" s="92">
        <f t="shared" si="24"/>
        <v>78718.04118879295</v>
      </c>
      <c r="L97" s="92">
        <f t="shared" si="24"/>
        <v>74344.81667830446</v>
      </c>
      <c r="M97" s="92">
        <f t="shared" si="24"/>
        <v>69971.59216781596</v>
      </c>
      <c r="N97" s="92">
        <f t="shared" si="24"/>
        <v>65598.36765732747</v>
      </c>
      <c r="O97" s="92">
        <f t="shared" si="24"/>
        <v>61225.14314683898</v>
      </c>
      <c r="P97" s="92">
        <f t="shared" si="24"/>
        <v>56851.918636350485</v>
      </c>
      <c r="Q97" s="92">
        <f t="shared" si="24"/>
        <v>52478.69412586199</v>
      </c>
      <c r="R97" s="92">
        <f t="shared" si="24"/>
        <v>48105.4696153735</v>
      </c>
      <c r="S97" s="92">
        <f t="shared" si="24"/>
        <v>43732.245104885005</v>
      </c>
      <c r="T97" s="92">
        <f t="shared" si="24"/>
        <v>39359.02059439651</v>
      </c>
      <c r="U97" s="92">
        <f t="shared" si="24"/>
        <v>34985.79608390802</v>
      </c>
      <c r="V97" s="92">
        <f t="shared" si="24"/>
        <v>30612.571573419522</v>
      </c>
      <c r="W97" s="92">
        <f t="shared" si="24"/>
        <v>26239.347062931025</v>
      </c>
      <c r="X97" s="92">
        <f t="shared" si="24"/>
        <v>21866.122552442528</v>
      </c>
      <c r="Y97" s="92">
        <f t="shared" si="24"/>
        <v>17492.89804195403</v>
      </c>
      <c r="Z97" s="92">
        <f t="shared" si="24"/>
        <v>13119.673531465534</v>
      </c>
      <c r="AA97" s="92">
        <f t="shared" si="24"/>
        <v>8746.449020977037</v>
      </c>
      <c r="AB97" s="92">
        <f t="shared" si="24"/>
        <v>4373.224510488541</v>
      </c>
      <c r="AC97" s="150">
        <f t="shared" si="24"/>
        <v>4.3655745685100555E-11</v>
      </c>
      <c r="AD97" s="92">
        <f t="shared" si="24"/>
        <v>4.3655745685100555E-11</v>
      </c>
      <c r="AE97" s="92">
        <f t="shared" si="24"/>
        <v>4.3655745685100555E-11</v>
      </c>
      <c r="AF97" s="92">
        <f t="shared" si="24"/>
        <v>4.3655745685100555E-11</v>
      </c>
      <c r="AG97" s="92">
        <f t="shared" si="24"/>
        <v>4.3655745685100555E-11</v>
      </c>
      <c r="AH97" s="93">
        <f t="shared" si="24"/>
        <v>4.3655745685100555E-11</v>
      </c>
      <c r="AI97" s="210"/>
      <c r="AJ97" s="210"/>
    </row>
    <row r="98" spans="1:36" s="2" customFormat="1" ht="14.25">
      <c r="A98" s="228"/>
      <c r="B98" s="175" t="s">
        <v>190</v>
      </c>
      <c r="C98" s="149">
        <v>0.02</v>
      </c>
      <c r="D98" s="235"/>
      <c r="E98" s="92">
        <f aca="true" t="shared" si="25" ref="E98:U98">E97*$C98</f>
        <v>0</v>
      </c>
      <c r="F98" s="92">
        <f t="shared" si="25"/>
        <v>87.46449020976993</v>
      </c>
      <c r="G98" s="92">
        <f t="shared" si="25"/>
        <v>524.7869412586197</v>
      </c>
      <c r="H98" s="92">
        <f t="shared" si="25"/>
        <v>1311.9673531465492</v>
      </c>
      <c r="I98" s="92">
        <f t="shared" si="25"/>
        <v>1749.2898041953988</v>
      </c>
      <c r="J98" s="92">
        <f t="shared" si="25"/>
        <v>1661.825313985629</v>
      </c>
      <c r="K98" s="92">
        <f t="shared" si="25"/>
        <v>1574.360823775859</v>
      </c>
      <c r="L98" s="92">
        <f t="shared" si="25"/>
        <v>1486.8963335660892</v>
      </c>
      <c r="M98" s="92">
        <f t="shared" si="25"/>
        <v>1399.4318433563194</v>
      </c>
      <c r="N98" s="92">
        <f t="shared" si="25"/>
        <v>1311.9673531465494</v>
      </c>
      <c r="O98" s="92">
        <f t="shared" si="25"/>
        <v>1224.5028629367796</v>
      </c>
      <c r="P98" s="92">
        <f t="shared" si="25"/>
        <v>1137.0383727270098</v>
      </c>
      <c r="Q98" s="92">
        <f t="shared" si="25"/>
        <v>1049.5738825172398</v>
      </c>
      <c r="R98" s="92">
        <f t="shared" si="25"/>
        <v>962.10939230747</v>
      </c>
      <c r="S98" s="92">
        <f t="shared" si="25"/>
        <v>874.6449020977001</v>
      </c>
      <c r="T98" s="92">
        <f t="shared" si="25"/>
        <v>787.1804118879303</v>
      </c>
      <c r="U98" s="92">
        <f t="shared" si="25"/>
        <v>699.7159216781604</v>
      </c>
      <c r="V98" s="92"/>
      <c r="W98" s="92"/>
      <c r="X98" s="92"/>
      <c r="Y98" s="92"/>
      <c r="Z98" s="92"/>
      <c r="AA98" s="92"/>
      <c r="AB98" s="92"/>
      <c r="AC98" s="150"/>
      <c r="AD98" s="92"/>
      <c r="AE98" s="92"/>
      <c r="AF98" s="92"/>
      <c r="AG98" s="92"/>
      <c r="AH98" s="93"/>
      <c r="AI98" s="210"/>
      <c r="AJ98" s="210"/>
    </row>
    <row r="99" spans="1:36" s="2" customFormat="1" ht="14.25">
      <c r="A99" s="228"/>
      <c r="B99" s="175" t="s">
        <v>191</v>
      </c>
      <c r="C99" s="229"/>
      <c r="D99" s="235"/>
      <c r="E99" s="92">
        <f>$D95-E97</f>
        <v>87464.49020976994</v>
      </c>
      <c r="F99" s="92">
        <f>$D95-F97</f>
        <v>83091.26569928144</v>
      </c>
      <c r="G99" s="92">
        <f>$D95-G97</f>
        <v>61225.14314683896</v>
      </c>
      <c r="H99" s="92">
        <f>$D95-H97</f>
        <v>21866.12255244248</v>
      </c>
      <c r="I99" s="92">
        <f>$D95-I97</f>
        <v>0</v>
      </c>
      <c r="J99" s="92"/>
      <c r="K99" s="92"/>
      <c r="L99" s="92"/>
      <c r="M99" s="92"/>
      <c r="N99" s="92"/>
      <c r="O99" s="92"/>
      <c r="P99" s="92"/>
      <c r="Q99" s="92"/>
      <c r="R99" s="92"/>
      <c r="S99" s="92"/>
      <c r="T99" s="92"/>
      <c r="U99" s="92"/>
      <c r="V99" s="92"/>
      <c r="W99" s="92"/>
      <c r="X99" s="92"/>
      <c r="Y99" s="92"/>
      <c r="Z99" s="92"/>
      <c r="AA99" s="92"/>
      <c r="AB99" s="92"/>
      <c r="AC99" s="150"/>
      <c r="AD99" s="92"/>
      <c r="AE99" s="92"/>
      <c r="AF99" s="92"/>
      <c r="AG99" s="92"/>
      <c r="AH99" s="93"/>
      <c r="AI99" s="210"/>
      <c r="AJ99" s="210"/>
    </row>
    <row r="100" spans="1:36" s="2" customFormat="1" ht="14.25">
      <c r="A100" s="228"/>
      <c r="B100" s="175" t="s">
        <v>192</v>
      </c>
      <c r="C100" s="149">
        <v>0</v>
      </c>
      <c r="D100" s="235"/>
      <c r="E100" s="92">
        <f>E99*$C100</f>
        <v>0</v>
      </c>
      <c r="F100" s="92">
        <f>F99*$C100</f>
        <v>0</v>
      </c>
      <c r="G100" s="92">
        <f>G99*$C100</f>
        <v>0</v>
      </c>
      <c r="H100" s="92">
        <f>H99*$C100</f>
        <v>0</v>
      </c>
      <c r="I100" s="92">
        <f>I99*$C100</f>
        <v>0</v>
      </c>
      <c r="J100" s="92"/>
      <c r="K100" s="92"/>
      <c r="L100" s="92"/>
      <c r="M100" s="92"/>
      <c r="N100" s="92"/>
      <c r="O100" s="92"/>
      <c r="P100" s="92"/>
      <c r="Q100" s="92"/>
      <c r="R100" s="92"/>
      <c r="S100" s="92"/>
      <c r="T100" s="92"/>
      <c r="U100" s="92"/>
      <c r="V100" s="92"/>
      <c r="W100" s="92"/>
      <c r="X100" s="92"/>
      <c r="Y100" s="92"/>
      <c r="Z100" s="92"/>
      <c r="AA100" s="92"/>
      <c r="AB100" s="92"/>
      <c r="AC100" s="150"/>
      <c r="AD100" s="92"/>
      <c r="AE100" s="92"/>
      <c r="AF100" s="92"/>
      <c r="AG100" s="92"/>
      <c r="AH100" s="93"/>
      <c r="AI100" s="210"/>
      <c r="AJ100" s="210"/>
    </row>
    <row r="101" spans="1:36" s="2" customFormat="1" ht="15">
      <c r="A101" s="228"/>
      <c r="B101" s="226" t="s">
        <v>203</v>
      </c>
      <c r="C101" s="230"/>
      <c r="D101" s="235"/>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50"/>
      <c r="AD101" s="92"/>
      <c r="AE101" s="92"/>
      <c r="AF101" s="92"/>
      <c r="AG101" s="92"/>
      <c r="AH101" s="93"/>
      <c r="AI101" s="210"/>
      <c r="AJ101" s="210"/>
    </row>
    <row r="102" spans="1:36" s="2" customFormat="1" ht="14.25">
      <c r="A102" s="228"/>
      <c r="B102" s="175" t="s">
        <v>186</v>
      </c>
      <c r="C102" s="227"/>
      <c r="D102" s="235">
        <v>0</v>
      </c>
      <c r="E102" s="92">
        <v>0</v>
      </c>
      <c r="F102" s="92">
        <f aca="true" t="shared" si="26" ref="F102:AH102">E102+E103-E104</f>
        <v>0</v>
      </c>
      <c r="G102" s="92">
        <f t="shared" si="26"/>
        <v>0</v>
      </c>
      <c r="H102" s="92">
        <f t="shared" si="26"/>
        <v>0</v>
      </c>
      <c r="I102" s="92">
        <f t="shared" si="26"/>
        <v>0</v>
      </c>
      <c r="J102" s="92">
        <f t="shared" si="26"/>
        <v>0</v>
      </c>
      <c r="K102" s="92">
        <f t="shared" si="26"/>
        <v>0</v>
      </c>
      <c r="L102" s="92">
        <f t="shared" si="26"/>
        <v>0</v>
      </c>
      <c r="M102" s="92">
        <f t="shared" si="26"/>
        <v>0</v>
      </c>
      <c r="N102" s="92">
        <f t="shared" si="26"/>
        <v>0</v>
      </c>
      <c r="O102" s="92">
        <f t="shared" si="26"/>
        <v>0</v>
      </c>
      <c r="P102" s="92">
        <f t="shared" si="26"/>
        <v>0</v>
      </c>
      <c r="Q102" s="92">
        <f t="shared" si="26"/>
        <v>0</v>
      </c>
      <c r="R102" s="92">
        <f t="shared" si="26"/>
        <v>0</v>
      </c>
      <c r="S102" s="92">
        <f t="shared" si="26"/>
        <v>0</v>
      </c>
      <c r="T102" s="92">
        <f t="shared" si="26"/>
        <v>0</v>
      </c>
      <c r="U102" s="92">
        <f t="shared" si="26"/>
        <v>0</v>
      </c>
      <c r="V102" s="92">
        <f t="shared" si="26"/>
        <v>0</v>
      </c>
      <c r="W102" s="92">
        <f t="shared" si="26"/>
        <v>0</v>
      </c>
      <c r="X102" s="92">
        <f t="shared" si="26"/>
        <v>0</v>
      </c>
      <c r="Y102" s="92">
        <f t="shared" si="26"/>
        <v>0</v>
      </c>
      <c r="Z102" s="92">
        <f t="shared" si="26"/>
        <v>0</v>
      </c>
      <c r="AA102" s="92">
        <f t="shared" si="26"/>
        <v>0</v>
      </c>
      <c r="AB102" s="92">
        <f t="shared" si="26"/>
        <v>0</v>
      </c>
      <c r="AC102" s="150">
        <f t="shared" si="26"/>
        <v>0</v>
      </c>
      <c r="AD102" s="92">
        <f t="shared" si="26"/>
        <v>0</v>
      </c>
      <c r="AE102" s="92">
        <f t="shared" si="26"/>
        <v>0</v>
      </c>
      <c r="AF102" s="92">
        <f t="shared" si="26"/>
        <v>0</v>
      </c>
      <c r="AG102" s="92">
        <f t="shared" si="26"/>
        <v>0</v>
      </c>
      <c r="AH102" s="93">
        <f t="shared" si="26"/>
        <v>0</v>
      </c>
      <c r="AI102" s="210"/>
      <c r="AJ102" s="210"/>
    </row>
    <row r="103" spans="1:36" s="2" customFormat="1" ht="14.25">
      <c r="A103" s="228"/>
      <c r="B103" s="175" t="s">
        <v>187</v>
      </c>
      <c r="C103" s="227"/>
      <c r="D103" s="235">
        <f>SUM(E103:I103)</f>
        <v>0</v>
      </c>
      <c r="E103" s="92">
        <f>E$32*SUM(WACC!$I$28:$I$30)</f>
        <v>0</v>
      </c>
      <c r="F103" s="92">
        <f>F$32*SUM(WACC!$I$28:$I$30)</f>
        <v>0</v>
      </c>
      <c r="G103" s="92">
        <f>G$32*SUM(WACC!$I$28:$I$30)</f>
        <v>0</v>
      </c>
      <c r="H103" s="92">
        <f>H$32*SUM(WACC!$I$28:$I$30)</f>
        <v>0</v>
      </c>
      <c r="I103" s="92">
        <f>I$32*SUM(WACC!$I$28:$I$30)</f>
        <v>0</v>
      </c>
      <c r="J103" s="92"/>
      <c r="K103" s="92"/>
      <c r="L103" s="92"/>
      <c r="M103" s="92"/>
      <c r="N103" s="92"/>
      <c r="O103" s="92"/>
      <c r="P103" s="92"/>
      <c r="Q103" s="92"/>
      <c r="R103" s="92"/>
      <c r="S103" s="92"/>
      <c r="T103" s="92"/>
      <c r="U103" s="92"/>
      <c r="V103" s="92"/>
      <c r="W103" s="92"/>
      <c r="X103" s="92"/>
      <c r="Y103" s="92"/>
      <c r="Z103" s="92"/>
      <c r="AA103" s="92"/>
      <c r="AB103" s="92"/>
      <c r="AC103" s="150"/>
      <c r="AD103" s="92"/>
      <c r="AE103" s="92"/>
      <c r="AF103" s="92"/>
      <c r="AG103" s="92"/>
      <c r="AH103" s="93"/>
      <c r="AI103" s="210"/>
      <c r="AJ103" s="210"/>
    </row>
    <row r="104" spans="1:36" s="2" customFormat="1" ht="14.25">
      <c r="A104" s="228"/>
      <c r="B104" s="175" t="s">
        <v>188</v>
      </c>
      <c r="C104" s="234">
        <v>20</v>
      </c>
      <c r="D104" s="235"/>
      <c r="E104" s="92"/>
      <c r="F104" s="92"/>
      <c r="G104" s="92"/>
      <c r="H104" s="92"/>
      <c r="I104" s="92"/>
      <c r="J104" s="92">
        <f aca="true" t="shared" si="27" ref="J104:AH104">IF(J$69&gt;($I$69+$C104),0,$D103/$C104)</f>
        <v>0</v>
      </c>
      <c r="K104" s="92">
        <f t="shared" si="27"/>
        <v>0</v>
      </c>
      <c r="L104" s="92">
        <f t="shared" si="27"/>
        <v>0</v>
      </c>
      <c r="M104" s="92">
        <f t="shared" si="27"/>
        <v>0</v>
      </c>
      <c r="N104" s="92">
        <f t="shared" si="27"/>
        <v>0</v>
      </c>
      <c r="O104" s="92">
        <f t="shared" si="27"/>
        <v>0</v>
      </c>
      <c r="P104" s="92">
        <f t="shared" si="27"/>
        <v>0</v>
      </c>
      <c r="Q104" s="92">
        <f t="shared" si="27"/>
        <v>0</v>
      </c>
      <c r="R104" s="92">
        <f t="shared" si="27"/>
        <v>0</v>
      </c>
      <c r="S104" s="92">
        <f t="shared" si="27"/>
        <v>0</v>
      </c>
      <c r="T104" s="92">
        <f t="shared" si="27"/>
        <v>0</v>
      </c>
      <c r="U104" s="92">
        <f t="shared" si="27"/>
        <v>0</v>
      </c>
      <c r="V104" s="92">
        <f t="shared" si="27"/>
        <v>0</v>
      </c>
      <c r="W104" s="92">
        <f t="shared" si="27"/>
        <v>0</v>
      </c>
      <c r="X104" s="92">
        <f t="shared" si="27"/>
        <v>0</v>
      </c>
      <c r="Y104" s="92">
        <f t="shared" si="27"/>
        <v>0</v>
      </c>
      <c r="Z104" s="92">
        <f t="shared" si="27"/>
        <v>0</v>
      </c>
      <c r="AA104" s="92">
        <f t="shared" si="27"/>
        <v>0</v>
      </c>
      <c r="AB104" s="92">
        <f t="shared" si="27"/>
        <v>0</v>
      </c>
      <c r="AC104" s="150">
        <f t="shared" si="27"/>
        <v>0</v>
      </c>
      <c r="AD104" s="92">
        <f t="shared" si="27"/>
        <v>0</v>
      </c>
      <c r="AE104" s="92">
        <f t="shared" si="27"/>
        <v>0</v>
      </c>
      <c r="AF104" s="92">
        <f t="shared" si="27"/>
        <v>0</v>
      </c>
      <c r="AG104" s="92">
        <f t="shared" si="27"/>
        <v>0</v>
      </c>
      <c r="AH104" s="93">
        <f t="shared" si="27"/>
        <v>0</v>
      </c>
      <c r="AI104" s="210"/>
      <c r="AJ104" s="210"/>
    </row>
    <row r="105" spans="1:36" s="2" customFormat="1" ht="14.25">
      <c r="A105" s="228"/>
      <c r="B105" s="175" t="s">
        <v>189</v>
      </c>
      <c r="C105" s="227"/>
      <c r="D105" s="235"/>
      <c r="E105" s="92">
        <f aca="true" t="shared" si="28" ref="E105:AH105">E102+E103/2-E104</f>
        <v>0</v>
      </c>
      <c r="F105" s="92">
        <f t="shared" si="28"/>
        <v>0</v>
      </c>
      <c r="G105" s="92">
        <f t="shared" si="28"/>
        <v>0</v>
      </c>
      <c r="H105" s="92">
        <f t="shared" si="28"/>
        <v>0</v>
      </c>
      <c r="I105" s="92">
        <f t="shared" si="28"/>
        <v>0</v>
      </c>
      <c r="J105" s="92">
        <f t="shared" si="28"/>
        <v>0</v>
      </c>
      <c r="K105" s="92">
        <f t="shared" si="28"/>
        <v>0</v>
      </c>
      <c r="L105" s="92">
        <f t="shared" si="28"/>
        <v>0</v>
      </c>
      <c r="M105" s="92">
        <f t="shared" si="28"/>
        <v>0</v>
      </c>
      <c r="N105" s="92">
        <f t="shared" si="28"/>
        <v>0</v>
      </c>
      <c r="O105" s="92">
        <f t="shared" si="28"/>
        <v>0</v>
      </c>
      <c r="P105" s="92">
        <f t="shared" si="28"/>
        <v>0</v>
      </c>
      <c r="Q105" s="92">
        <f t="shared" si="28"/>
        <v>0</v>
      </c>
      <c r="R105" s="92">
        <f t="shared" si="28"/>
        <v>0</v>
      </c>
      <c r="S105" s="92">
        <f t="shared" si="28"/>
        <v>0</v>
      </c>
      <c r="T105" s="92">
        <f t="shared" si="28"/>
        <v>0</v>
      </c>
      <c r="U105" s="92">
        <f t="shared" si="28"/>
        <v>0</v>
      </c>
      <c r="V105" s="92">
        <f t="shared" si="28"/>
        <v>0</v>
      </c>
      <c r="W105" s="92">
        <f t="shared" si="28"/>
        <v>0</v>
      </c>
      <c r="X105" s="92">
        <f t="shared" si="28"/>
        <v>0</v>
      </c>
      <c r="Y105" s="92">
        <f t="shared" si="28"/>
        <v>0</v>
      </c>
      <c r="Z105" s="92">
        <f t="shared" si="28"/>
        <v>0</v>
      </c>
      <c r="AA105" s="92">
        <f t="shared" si="28"/>
        <v>0</v>
      </c>
      <c r="AB105" s="92">
        <f t="shared" si="28"/>
        <v>0</v>
      </c>
      <c r="AC105" s="150">
        <f t="shared" si="28"/>
        <v>0</v>
      </c>
      <c r="AD105" s="92">
        <f t="shared" si="28"/>
        <v>0</v>
      </c>
      <c r="AE105" s="92">
        <f t="shared" si="28"/>
        <v>0</v>
      </c>
      <c r="AF105" s="92">
        <f t="shared" si="28"/>
        <v>0</v>
      </c>
      <c r="AG105" s="92">
        <f t="shared" si="28"/>
        <v>0</v>
      </c>
      <c r="AH105" s="93">
        <f t="shared" si="28"/>
        <v>0</v>
      </c>
      <c r="AI105" s="210"/>
      <c r="AJ105" s="210"/>
    </row>
    <row r="106" spans="1:36" s="2" customFormat="1" ht="14.25">
      <c r="A106" s="228"/>
      <c r="B106" s="175" t="s">
        <v>190</v>
      </c>
      <c r="C106" s="149">
        <v>0.0621</v>
      </c>
      <c r="D106" s="235"/>
      <c r="E106" s="92">
        <f aca="true" t="shared" si="29" ref="E106:U106">E105*$C106</f>
        <v>0</v>
      </c>
      <c r="F106" s="92">
        <f t="shared" si="29"/>
        <v>0</v>
      </c>
      <c r="G106" s="92">
        <f t="shared" si="29"/>
        <v>0</v>
      </c>
      <c r="H106" s="92">
        <f t="shared" si="29"/>
        <v>0</v>
      </c>
      <c r="I106" s="92">
        <f t="shared" si="29"/>
        <v>0</v>
      </c>
      <c r="J106" s="92">
        <f t="shared" si="29"/>
        <v>0</v>
      </c>
      <c r="K106" s="92">
        <f t="shared" si="29"/>
        <v>0</v>
      </c>
      <c r="L106" s="92">
        <f t="shared" si="29"/>
        <v>0</v>
      </c>
      <c r="M106" s="92">
        <f t="shared" si="29"/>
        <v>0</v>
      </c>
      <c r="N106" s="92">
        <f t="shared" si="29"/>
        <v>0</v>
      </c>
      <c r="O106" s="92">
        <f t="shared" si="29"/>
        <v>0</v>
      </c>
      <c r="P106" s="92">
        <f t="shared" si="29"/>
        <v>0</v>
      </c>
      <c r="Q106" s="92">
        <f t="shared" si="29"/>
        <v>0</v>
      </c>
      <c r="R106" s="92">
        <f t="shared" si="29"/>
        <v>0</v>
      </c>
      <c r="S106" s="92">
        <f t="shared" si="29"/>
        <v>0</v>
      </c>
      <c r="T106" s="92">
        <f t="shared" si="29"/>
        <v>0</v>
      </c>
      <c r="U106" s="92">
        <f t="shared" si="29"/>
        <v>0</v>
      </c>
      <c r="V106" s="92"/>
      <c r="W106" s="92"/>
      <c r="X106" s="92"/>
      <c r="Y106" s="92"/>
      <c r="Z106" s="92"/>
      <c r="AA106" s="92"/>
      <c r="AB106" s="92"/>
      <c r="AC106" s="150"/>
      <c r="AD106" s="92"/>
      <c r="AE106" s="92"/>
      <c r="AF106" s="92"/>
      <c r="AG106" s="92"/>
      <c r="AH106" s="93"/>
      <c r="AI106" s="210"/>
      <c r="AJ106" s="210"/>
    </row>
    <row r="107" spans="1:36" s="2" customFormat="1" ht="14.25">
      <c r="A107" s="228"/>
      <c r="B107" s="175" t="s">
        <v>191</v>
      </c>
      <c r="C107" s="229"/>
      <c r="D107" s="235"/>
      <c r="E107" s="92">
        <f>$D103-E105</f>
        <v>0</v>
      </c>
      <c r="F107" s="92">
        <f>$D103-F105</f>
        <v>0</v>
      </c>
      <c r="G107" s="92">
        <f>$D103-G105</f>
        <v>0</v>
      </c>
      <c r="H107" s="92">
        <f>$D103-H105</f>
        <v>0</v>
      </c>
      <c r="I107" s="92">
        <f>$D103-I105</f>
        <v>0</v>
      </c>
      <c r="J107" s="92"/>
      <c r="K107" s="92"/>
      <c r="L107" s="92"/>
      <c r="M107" s="92"/>
      <c r="N107" s="92"/>
      <c r="O107" s="92"/>
      <c r="P107" s="92"/>
      <c r="Q107" s="92"/>
      <c r="R107" s="92"/>
      <c r="S107" s="92"/>
      <c r="T107" s="92"/>
      <c r="U107" s="92"/>
      <c r="V107" s="92"/>
      <c r="W107" s="92"/>
      <c r="X107" s="92"/>
      <c r="Y107" s="92"/>
      <c r="Z107" s="92"/>
      <c r="AA107" s="92"/>
      <c r="AB107" s="92"/>
      <c r="AC107" s="150"/>
      <c r="AD107" s="92"/>
      <c r="AE107" s="92"/>
      <c r="AF107" s="92"/>
      <c r="AG107" s="92"/>
      <c r="AH107" s="93"/>
      <c r="AI107" s="210"/>
      <c r="AJ107" s="210"/>
    </row>
    <row r="108" spans="1:36" s="2" customFormat="1" ht="14.25">
      <c r="A108" s="228"/>
      <c r="B108" s="175" t="s">
        <v>192</v>
      </c>
      <c r="C108" s="149">
        <v>0</v>
      </c>
      <c r="D108" s="235"/>
      <c r="E108" s="92">
        <f>E107*$C108</f>
        <v>0</v>
      </c>
      <c r="F108" s="92">
        <f>F107*$C108</f>
        <v>0</v>
      </c>
      <c r="G108" s="92">
        <f>G107*$C108</f>
        <v>0</v>
      </c>
      <c r="H108" s="92">
        <f>H107*$C108</f>
        <v>0</v>
      </c>
      <c r="I108" s="92">
        <f>I107*$C108</f>
        <v>0</v>
      </c>
      <c r="J108" s="92"/>
      <c r="K108" s="92"/>
      <c r="L108" s="92"/>
      <c r="M108" s="92"/>
      <c r="N108" s="92"/>
      <c r="O108" s="92"/>
      <c r="P108" s="92"/>
      <c r="Q108" s="92"/>
      <c r="R108" s="92"/>
      <c r="S108" s="92"/>
      <c r="T108" s="92"/>
      <c r="U108" s="92"/>
      <c r="V108" s="92"/>
      <c r="W108" s="92"/>
      <c r="X108" s="92"/>
      <c r="Y108" s="92"/>
      <c r="Z108" s="92"/>
      <c r="AA108" s="92"/>
      <c r="AB108" s="92"/>
      <c r="AC108" s="150"/>
      <c r="AD108" s="92"/>
      <c r="AE108" s="92"/>
      <c r="AF108" s="92"/>
      <c r="AG108" s="92"/>
      <c r="AH108" s="93"/>
      <c r="AI108" s="210"/>
      <c r="AJ108" s="210"/>
    </row>
    <row r="109" spans="1:36" s="2" customFormat="1" ht="14.25">
      <c r="A109" s="228"/>
      <c r="B109" s="175"/>
      <c r="C109" s="230"/>
      <c r="D109" s="235"/>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150"/>
      <c r="AD109" s="92"/>
      <c r="AE109" s="92"/>
      <c r="AF109" s="92"/>
      <c r="AG109" s="92"/>
      <c r="AH109" s="93"/>
      <c r="AI109" s="210"/>
      <c r="AJ109" s="210"/>
    </row>
    <row r="110" spans="1:36" s="2" customFormat="1" ht="14.25">
      <c r="A110" s="228"/>
      <c r="B110" s="175" t="s">
        <v>193</v>
      </c>
      <c r="C110" s="227">
        <f>C10</f>
        <v>0</v>
      </c>
      <c r="D110" s="235">
        <f>NPV(C110,E110:AG110)</f>
        <v>1617457.6131578581</v>
      </c>
      <c r="E110" s="92">
        <f aca="true" t="shared" si="30" ref="E110:AH110">E56+E74+E76+E82+E84+E90+E92+E98+E100+E106+E108</f>
        <v>107455.896825</v>
      </c>
      <c r="F110" s="92">
        <f t="shared" si="30"/>
        <v>173913.15489989935</v>
      </c>
      <c r="G110" s="92">
        <f t="shared" si="30"/>
        <v>263546.5336158186</v>
      </c>
      <c r="H110" s="92">
        <f t="shared" si="30"/>
        <v>365152.15763086017</v>
      </c>
      <c r="I110" s="92">
        <f t="shared" si="30"/>
        <v>14999.955278873927</v>
      </c>
      <c r="J110" s="92">
        <f t="shared" si="30"/>
        <v>31299.929258683802</v>
      </c>
      <c r="K110" s="92">
        <f t="shared" si="30"/>
        <v>12999.835129572719</v>
      </c>
      <c r="L110" s="92">
        <f t="shared" si="30"/>
        <v>13013.12482864064</v>
      </c>
      <c r="M110" s="92">
        <f t="shared" si="30"/>
        <v>13041.032290380874</v>
      </c>
      <c r="N110" s="92">
        <f t="shared" si="30"/>
        <v>13062.19088771615</v>
      </c>
      <c r="O110" s="92">
        <f t="shared" si="30"/>
        <v>38822.85010665924</v>
      </c>
      <c r="P110" s="92">
        <f t="shared" si="30"/>
        <v>13254.294526391392</v>
      </c>
      <c r="Q110" s="92">
        <f t="shared" si="30"/>
        <v>162113.78876973526</v>
      </c>
      <c r="R110" s="92">
        <f t="shared" si="30"/>
        <v>13410.365577923078</v>
      </c>
      <c r="S110" s="92">
        <f t="shared" si="30"/>
        <v>13488.565370254166</v>
      </c>
      <c r="T110" s="92">
        <f t="shared" si="30"/>
        <v>13585.168671070083</v>
      </c>
      <c r="U110" s="92">
        <f t="shared" si="30"/>
        <v>39426.75426977317</v>
      </c>
      <c r="V110" s="92">
        <f t="shared" si="30"/>
        <v>12363.086250164946</v>
      </c>
      <c r="W110" s="92">
        <f t="shared" si="30"/>
        <v>12804.127411872876</v>
      </c>
      <c r="X110" s="92">
        <f t="shared" si="30"/>
        <v>13271.797175648966</v>
      </c>
      <c r="Y110" s="92">
        <f t="shared" si="30"/>
        <v>13660.947634156215</v>
      </c>
      <c r="Z110" s="92">
        <f t="shared" si="30"/>
        <v>14075.067096821773</v>
      </c>
      <c r="AA110" s="92">
        <f t="shared" si="30"/>
        <v>163041.38388817938</v>
      </c>
      <c r="AB110" s="92">
        <f t="shared" si="30"/>
        <v>14256.829078255472</v>
      </c>
      <c r="AC110" s="150">
        <f t="shared" si="30"/>
        <v>14263.783538319349</v>
      </c>
      <c r="AD110" s="92">
        <f t="shared" si="30"/>
        <v>14271.224946930088</v>
      </c>
      <c r="AE110" s="92">
        <f t="shared" si="30"/>
        <v>14279.190606810678</v>
      </c>
      <c r="AF110" s="92">
        <f t="shared" si="30"/>
        <v>14287.720439374241</v>
      </c>
      <c r="AG110" s="92">
        <f t="shared" si="30"/>
        <v>14296.85715407151</v>
      </c>
      <c r="AH110" s="93">
        <f t="shared" si="30"/>
        <v>14296.840596292603</v>
      </c>
      <c r="AI110" s="210"/>
      <c r="AJ110" s="210"/>
    </row>
    <row r="111" spans="1:36" s="2" customFormat="1" ht="14.25">
      <c r="A111" s="228"/>
      <c r="B111" s="175"/>
      <c r="C111" s="230" t="s">
        <v>46</v>
      </c>
      <c r="D111" s="241">
        <f>D110/D28</f>
        <v>3.1006152268710605</v>
      </c>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50"/>
      <c r="AD111" s="92"/>
      <c r="AE111" s="92"/>
      <c r="AF111" s="92"/>
      <c r="AG111" s="92"/>
      <c r="AH111" s="93"/>
      <c r="AI111" s="210"/>
      <c r="AJ111" s="210"/>
    </row>
    <row r="112" spans="1:36" s="2" customFormat="1" ht="14.25">
      <c r="A112" s="228"/>
      <c r="B112" s="175"/>
      <c r="C112" s="230"/>
      <c r="D112" s="235"/>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50"/>
      <c r="AD112" s="92"/>
      <c r="AE112" s="92"/>
      <c r="AF112" s="92"/>
      <c r="AG112" s="92"/>
      <c r="AH112" s="93"/>
      <c r="AI112" s="210"/>
      <c r="AJ112" s="210"/>
    </row>
    <row r="113" spans="1:36" s="2" customFormat="1" ht="14.25">
      <c r="A113" s="228"/>
      <c r="B113" s="175" t="s">
        <v>194</v>
      </c>
      <c r="C113" s="231" t="s">
        <v>204</v>
      </c>
      <c r="D113" s="240">
        <v>0.025</v>
      </c>
      <c r="E113" s="92"/>
      <c r="F113" s="92"/>
      <c r="G113" s="92"/>
      <c r="H113" s="92"/>
      <c r="I113" s="92">
        <f>+$D33*$D113</f>
        <v>4731.421058227112</v>
      </c>
      <c r="J113" s="92">
        <f aca="true" t="shared" si="31" ref="J113:AH113">I113</f>
        <v>4731.421058227112</v>
      </c>
      <c r="K113" s="92">
        <f t="shared" si="31"/>
        <v>4731.421058227112</v>
      </c>
      <c r="L113" s="92">
        <f t="shared" si="31"/>
        <v>4731.421058227112</v>
      </c>
      <c r="M113" s="92">
        <f t="shared" si="31"/>
        <v>4731.421058227112</v>
      </c>
      <c r="N113" s="92">
        <f t="shared" si="31"/>
        <v>4731.421058227112</v>
      </c>
      <c r="O113" s="92">
        <f t="shared" si="31"/>
        <v>4731.421058227112</v>
      </c>
      <c r="P113" s="92">
        <f t="shared" si="31"/>
        <v>4731.421058227112</v>
      </c>
      <c r="Q113" s="92">
        <f t="shared" si="31"/>
        <v>4731.421058227112</v>
      </c>
      <c r="R113" s="92">
        <f t="shared" si="31"/>
        <v>4731.421058227112</v>
      </c>
      <c r="S113" s="92">
        <f t="shared" si="31"/>
        <v>4731.421058227112</v>
      </c>
      <c r="T113" s="92">
        <f t="shared" si="31"/>
        <v>4731.421058227112</v>
      </c>
      <c r="U113" s="92">
        <f t="shared" si="31"/>
        <v>4731.421058227112</v>
      </c>
      <c r="V113" s="92">
        <f t="shared" si="31"/>
        <v>4731.421058227112</v>
      </c>
      <c r="W113" s="92">
        <f t="shared" si="31"/>
        <v>4731.421058227112</v>
      </c>
      <c r="X113" s="92">
        <f t="shared" si="31"/>
        <v>4731.421058227112</v>
      </c>
      <c r="Y113" s="92">
        <f t="shared" si="31"/>
        <v>4731.421058227112</v>
      </c>
      <c r="Z113" s="92">
        <f t="shared" si="31"/>
        <v>4731.421058227112</v>
      </c>
      <c r="AA113" s="92">
        <f t="shared" si="31"/>
        <v>4731.421058227112</v>
      </c>
      <c r="AB113" s="92">
        <f t="shared" si="31"/>
        <v>4731.421058227112</v>
      </c>
      <c r="AC113" s="150">
        <f t="shared" si="31"/>
        <v>4731.421058227112</v>
      </c>
      <c r="AD113" s="92">
        <f t="shared" si="31"/>
        <v>4731.421058227112</v>
      </c>
      <c r="AE113" s="92">
        <f t="shared" si="31"/>
        <v>4731.421058227112</v>
      </c>
      <c r="AF113" s="92">
        <f t="shared" si="31"/>
        <v>4731.421058227112</v>
      </c>
      <c r="AG113" s="92">
        <f t="shared" si="31"/>
        <v>4731.421058227112</v>
      </c>
      <c r="AH113" s="93">
        <f t="shared" si="31"/>
        <v>4731.421058227112</v>
      </c>
      <c r="AI113" s="210"/>
      <c r="AJ113" s="210"/>
    </row>
    <row r="114" spans="1:36" s="2" customFormat="1" ht="14.25">
      <c r="A114" s="228"/>
      <c r="B114" s="175"/>
      <c r="C114" s="231" t="s">
        <v>196</v>
      </c>
      <c r="D114" s="240">
        <v>0.1</v>
      </c>
      <c r="E114" s="92"/>
      <c r="F114" s="92"/>
      <c r="G114" s="92"/>
      <c r="H114" s="92"/>
      <c r="I114" s="92">
        <f>SUM(D36,D38,D40)*$D114</f>
        <v>14879.084557293874</v>
      </c>
      <c r="J114" s="92">
        <f aca="true" t="shared" si="32" ref="J114:AH114">I114</f>
        <v>14879.084557293874</v>
      </c>
      <c r="K114" s="92">
        <f t="shared" si="32"/>
        <v>14879.084557293874</v>
      </c>
      <c r="L114" s="92">
        <f t="shared" si="32"/>
        <v>14879.084557293874</v>
      </c>
      <c r="M114" s="92">
        <f t="shared" si="32"/>
        <v>14879.084557293874</v>
      </c>
      <c r="N114" s="92">
        <f t="shared" si="32"/>
        <v>14879.084557293874</v>
      </c>
      <c r="O114" s="92">
        <f t="shared" si="32"/>
        <v>14879.084557293874</v>
      </c>
      <c r="P114" s="92">
        <f t="shared" si="32"/>
        <v>14879.084557293874</v>
      </c>
      <c r="Q114" s="92">
        <f t="shared" si="32"/>
        <v>14879.084557293874</v>
      </c>
      <c r="R114" s="92">
        <f t="shared" si="32"/>
        <v>14879.084557293874</v>
      </c>
      <c r="S114" s="92">
        <f t="shared" si="32"/>
        <v>14879.084557293874</v>
      </c>
      <c r="T114" s="92">
        <f t="shared" si="32"/>
        <v>14879.084557293874</v>
      </c>
      <c r="U114" s="92">
        <f t="shared" si="32"/>
        <v>14879.084557293874</v>
      </c>
      <c r="V114" s="92">
        <f t="shared" si="32"/>
        <v>14879.084557293874</v>
      </c>
      <c r="W114" s="92">
        <f t="shared" si="32"/>
        <v>14879.084557293874</v>
      </c>
      <c r="X114" s="92">
        <f t="shared" si="32"/>
        <v>14879.084557293874</v>
      </c>
      <c r="Y114" s="92">
        <f t="shared" si="32"/>
        <v>14879.084557293874</v>
      </c>
      <c r="Z114" s="92">
        <f t="shared" si="32"/>
        <v>14879.084557293874</v>
      </c>
      <c r="AA114" s="92">
        <f t="shared" si="32"/>
        <v>14879.084557293874</v>
      </c>
      <c r="AB114" s="92">
        <f t="shared" si="32"/>
        <v>14879.084557293874</v>
      </c>
      <c r="AC114" s="150">
        <f t="shared" si="32"/>
        <v>14879.084557293874</v>
      </c>
      <c r="AD114" s="92">
        <f t="shared" si="32"/>
        <v>14879.084557293874</v>
      </c>
      <c r="AE114" s="92">
        <f t="shared" si="32"/>
        <v>14879.084557293874</v>
      </c>
      <c r="AF114" s="92">
        <f t="shared" si="32"/>
        <v>14879.084557293874</v>
      </c>
      <c r="AG114" s="92">
        <f t="shared" si="32"/>
        <v>14879.084557293874</v>
      </c>
      <c r="AH114" s="93">
        <f t="shared" si="32"/>
        <v>14879.084557293874</v>
      </c>
      <c r="AI114" s="210"/>
      <c r="AJ114" s="210"/>
    </row>
    <row r="115" spans="1:36" s="2" customFormat="1" ht="14.25">
      <c r="A115" s="228"/>
      <c r="B115" s="175"/>
      <c r="C115" s="231" t="s">
        <v>195</v>
      </c>
      <c r="D115" s="240">
        <v>0.025</v>
      </c>
      <c r="E115" s="92"/>
      <c r="F115" s="92"/>
      <c r="G115" s="92"/>
      <c r="H115" s="92"/>
      <c r="I115" s="92">
        <f>SUM(D34,D35,D37,D39)*$D115</f>
        <v>8085.133690409502</v>
      </c>
      <c r="J115" s="92">
        <f aca="true" t="shared" si="33" ref="J115:AH115">I115</f>
        <v>8085.133690409502</v>
      </c>
      <c r="K115" s="92">
        <f t="shared" si="33"/>
        <v>8085.133690409502</v>
      </c>
      <c r="L115" s="92">
        <f t="shared" si="33"/>
        <v>8085.133690409502</v>
      </c>
      <c r="M115" s="92">
        <f t="shared" si="33"/>
        <v>8085.133690409502</v>
      </c>
      <c r="N115" s="92">
        <f t="shared" si="33"/>
        <v>8085.133690409502</v>
      </c>
      <c r="O115" s="92">
        <f t="shared" si="33"/>
        <v>8085.133690409502</v>
      </c>
      <c r="P115" s="92">
        <f t="shared" si="33"/>
        <v>8085.133690409502</v>
      </c>
      <c r="Q115" s="92">
        <f t="shared" si="33"/>
        <v>8085.133690409502</v>
      </c>
      <c r="R115" s="92">
        <f t="shared" si="33"/>
        <v>8085.133690409502</v>
      </c>
      <c r="S115" s="92">
        <f t="shared" si="33"/>
        <v>8085.133690409502</v>
      </c>
      <c r="T115" s="92">
        <f t="shared" si="33"/>
        <v>8085.133690409502</v>
      </c>
      <c r="U115" s="92">
        <f t="shared" si="33"/>
        <v>8085.133690409502</v>
      </c>
      <c r="V115" s="92">
        <f t="shared" si="33"/>
        <v>8085.133690409502</v>
      </c>
      <c r="W115" s="92">
        <f t="shared" si="33"/>
        <v>8085.133690409502</v>
      </c>
      <c r="X115" s="92">
        <f t="shared" si="33"/>
        <v>8085.133690409502</v>
      </c>
      <c r="Y115" s="92">
        <f t="shared" si="33"/>
        <v>8085.133690409502</v>
      </c>
      <c r="Z115" s="92">
        <f t="shared" si="33"/>
        <v>8085.133690409502</v>
      </c>
      <c r="AA115" s="92">
        <f t="shared" si="33"/>
        <v>8085.133690409502</v>
      </c>
      <c r="AB115" s="92">
        <f t="shared" si="33"/>
        <v>8085.133690409502</v>
      </c>
      <c r="AC115" s="150">
        <f t="shared" si="33"/>
        <v>8085.133690409502</v>
      </c>
      <c r="AD115" s="92">
        <f t="shared" si="33"/>
        <v>8085.133690409502</v>
      </c>
      <c r="AE115" s="92">
        <f t="shared" si="33"/>
        <v>8085.133690409502</v>
      </c>
      <c r="AF115" s="92">
        <f t="shared" si="33"/>
        <v>8085.133690409502</v>
      </c>
      <c r="AG115" s="92">
        <f t="shared" si="33"/>
        <v>8085.133690409502</v>
      </c>
      <c r="AH115" s="93">
        <f t="shared" si="33"/>
        <v>8085.133690409502</v>
      </c>
      <c r="AI115" s="210"/>
      <c r="AJ115" s="210"/>
    </row>
    <row r="116" spans="1:36" s="2" customFormat="1" ht="14.25">
      <c r="A116" s="228"/>
      <c r="B116" s="175"/>
      <c r="C116" s="231" t="s">
        <v>166</v>
      </c>
      <c r="D116" s="240">
        <v>0.025</v>
      </c>
      <c r="E116" s="92"/>
      <c r="F116" s="92"/>
      <c r="G116" s="92"/>
      <c r="H116" s="92"/>
      <c r="I116" s="92">
        <f>+$D41*$D116</f>
        <v>6073.868824368557</v>
      </c>
      <c r="J116" s="92">
        <f aca="true" t="shared" si="34" ref="J116:AH116">I116</f>
        <v>6073.868824368557</v>
      </c>
      <c r="K116" s="92">
        <f t="shared" si="34"/>
        <v>6073.868824368557</v>
      </c>
      <c r="L116" s="92">
        <f t="shared" si="34"/>
        <v>6073.868824368557</v>
      </c>
      <c r="M116" s="92">
        <f t="shared" si="34"/>
        <v>6073.868824368557</v>
      </c>
      <c r="N116" s="92">
        <f t="shared" si="34"/>
        <v>6073.868824368557</v>
      </c>
      <c r="O116" s="92">
        <f t="shared" si="34"/>
        <v>6073.868824368557</v>
      </c>
      <c r="P116" s="92">
        <f t="shared" si="34"/>
        <v>6073.868824368557</v>
      </c>
      <c r="Q116" s="92">
        <f t="shared" si="34"/>
        <v>6073.868824368557</v>
      </c>
      <c r="R116" s="92">
        <f t="shared" si="34"/>
        <v>6073.868824368557</v>
      </c>
      <c r="S116" s="92">
        <f t="shared" si="34"/>
        <v>6073.868824368557</v>
      </c>
      <c r="T116" s="92">
        <f t="shared" si="34"/>
        <v>6073.868824368557</v>
      </c>
      <c r="U116" s="92">
        <f t="shared" si="34"/>
        <v>6073.868824368557</v>
      </c>
      <c r="V116" s="92">
        <f t="shared" si="34"/>
        <v>6073.868824368557</v>
      </c>
      <c r="W116" s="92">
        <f t="shared" si="34"/>
        <v>6073.868824368557</v>
      </c>
      <c r="X116" s="92">
        <f t="shared" si="34"/>
        <v>6073.868824368557</v>
      </c>
      <c r="Y116" s="92">
        <f t="shared" si="34"/>
        <v>6073.868824368557</v>
      </c>
      <c r="Z116" s="92">
        <f t="shared" si="34"/>
        <v>6073.868824368557</v>
      </c>
      <c r="AA116" s="92">
        <f t="shared" si="34"/>
        <v>6073.868824368557</v>
      </c>
      <c r="AB116" s="92">
        <f t="shared" si="34"/>
        <v>6073.868824368557</v>
      </c>
      <c r="AC116" s="150">
        <f t="shared" si="34"/>
        <v>6073.868824368557</v>
      </c>
      <c r="AD116" s="92">
        <f t="shared" si="34"/>
        <v>6073.868824368557</v>
      </c>
      <c r="AE116" s="92">
        <f t="shared" si="34"/>
        <v>6073.868824368557</v>
      </c>
      <c r="AF116" s="92">
        <f t="shared" si="34"/>
        <v>6073.868824368557</v>
      </c>
      <c r="AG116" s="92">
        <f t="shared" si="34"/>
        <v>6073.868824368557</v>
      </c>
      <c r="AH116" s="93">
        <f t="shared" si="34"/>
        <v>6073.868824368557</v>
      </c>
      <c r="AI116" s="210"/>
      <c r="AJ116" s="210"/>
    </row>
    <row r="117" spans="1:36" s="2" customFormat="1" ht="14.25">
      <c r="A117" s="228"/>
      <c r="B117" s="175"/>
      <c r="C117" s="227"/>
      <c r="D117" s="235"/>
      <c r="E117" s="92"/>
      <c r="F117" s="92"/>
      <c r="G117" s="92"/>
      <c r="H117" s="92"/>
      <c r="I117" s="92">
        <f aca="true" t="shared" si="35" ref="I117:AH117">SUM(I113:I116)</f>
        <v>33769.508130299044</v>
      </c>
      <c r="J117" s="92">
        <f t="shared" si="35"/>
        <v>33769.508130299044</v>
      </c>
      <c r="K117" s="92">
        <f t="shared" si="35"/>
        <v>33769.508130299044</v>
      </c>
      <c r="L117" s="92">
        <f t="shared" si="35"/>
        <v>33769.508130299044</v>
      </c>
      <c r="M117" s="92">
        <f t="shared" si="35"/>
        <v>33769.508130299044</v>
      </c>
      <c r="N117" s="92">
        <f t="shared" si="35"/>
        <v>33769.508130299044</v>
      </c>
      <c r="O117" s="92">
        <f t="shared" si="35"/>
        <v>33769.508130299044</v>
      </c>
      <c r="P117" s="92">
        <f t="shared" si="35"/>
        <v>33769.508130299044</v>
      </c>
      <c r="Q117" s="92">
        <f t="shared" si="35"/>
        <v>33769.508130299044</v>
      </c>
      <c r="R117" s="92">
        <f t="shared" si="35"/>
        <v>33769.508130299044</v>
      </c>
      <c r="S117" s="92">
        <f t="shared" si="35"/>
        <v>33769.508130299044</v>
      </c>
      <c r="T117" s="92">
        <f t="shared" si="35"/>
        <v>33769.508130299044</v>
      </c>
      <c r="U117" s="92">
        <f t="shared" si="35"/>
        <v>33769.508130299044</v>
      </c>
      <c r="V117" s="92">
        <f t="shared" si="35"/>
        <v>33769.508130299044</v>
      </c>
      <c r="W117" s="92">
        <f t="shared" si="35"/>
        <v>33769.508130299044</v>
      </c>
      <c r="X117" s="92">
        <f t="shared" si="35"/>
        <v>33769.508130299044</v>
      </c>
      <c r="Y117" s="92">
        <f t="shared" si="35"/>
        <v>33769.508130299044</v>
      </c>
      <c r="Z117" s="92">
        <f t="shared" si="35"/>
        <v>33769.508130299044</v>
      </c>
      <c r="AA117" s="92">
        <f t="shared" si="35"/>
        <v>33769.508130299044</v>
      </c>
      <c r="AB117" s="92">
        <f t="shared" si="35"/>
        <v>33769.508130299044</v>
      </c>
      <c r="AC117" s="150">
        <f t="shared" si="35"/>
        <v>33769.508130299044</v>
      </c>
      <c r="AD117" s="92">
        <f t="shared" si="35"/>
        <v>33769.508130299044</v>
      </c>
      <c r="AE117" s="92">
        <f t="shared" si="35"/>
        <v>33769.508130299044</v>
      </c>
      <c r="AF117" s="92">
        <f t="shared" si="35"/>
        <v>33769.508130299044</v>
      </c>
      <c r="AG117" s="92">
        <f t="shared" si="35"/>
        <v>33769.508130299044</v>
      </c>
      <c r="AH117" s="93">
        <f t="shared" si="35"/>
        <v>33769.508130299044</v>
      </c>
      <c r="AI117" s="210"/>
      <c r="AJ117" s="210"/>
    </row>
    <row r="118" spans="1:36" s="2" customFormat="1" ht="14.25">
      <c r="A118" s="228"/>
      <c r="B118" s="175"/>
      <c r="C118" s="227"/>
      <c r="D118" s="235"/>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50"/>
      <c r="AD118" s="92"/>
      <c r="AE118" s="92"/>
      <c r="AF118" s="92"/>
      <c r="AG118" s="92"/>
      <c r="AH118" s="93"/>
      <c r="AI118" s="210"/>
      <c r="AJ118" s="210"/>
    </row>
    <row r="119" spans="1:36" s="2" customFormat="1" ht="14.25">
      <c r="A119" s="228"/>
      <c r="B119" s="175" t="s">
        <v>97</v>
      </c>
      <c r="C119" s="227"/>
      <c r="D119" s="235"/>
      <c r="E119" s="92">
        <f aca="true" t="shared" si="36" ref="E119:AH119">E29-E46-E74-E76-E82-E84-E90-E92-E98-E100-E106-E108-E117</f>
        <v>0</v>
      </c>
      <c r="F119" s="92">
        <f t="shared" si="36"/>
        <v>-257.27065811056366</v>
      </c>
      <c r="G119" s="92">
        <f t="shared" si="36"/>
        <v>-1543.6239486633817</v>
      </c>
      <c r="H119" s="92">
        <f t="shared" si="36"/>
        <v>-3859.0598716584545</v>
      </c>
      <c r="I119" s="92">
        <f t="shared" si="36"/>
        <v>-8518.925492494029</v>
      </c>
      <c r="J119" s="92">
        <f t="shared" si="36"/>
        <v>-3692.7293821254934</v>
      </c>
      <c r="K119" s="92">
        <f t="shared" si="36"/>
        <v>1355.0156640709392</v>
      </c>
      <c r="L119" s="92">
        <f t="shared" si="36"/>
        <v>6566.659130296328</v>
      </c>
      <c r="M119" s="92">
        <f t="shared" si="36"/>
        <v>11949.958228456286</v>
      </c>
      <c r="N119" s="92">
        <f t="shared" si="36"/>
        <v>17143.803957129887</v>
      </c>
      <c r="O119" s="92">
        <f t="shared" si="36"/>
        <v>22385.780226555333</v>
      </c>
      <c r="P119" s="92">
        <f t="shared" si="36"/>
        <v>27892.279348679658</v>
      </c>
      <c r="Q119" s="92">
        <f t="shared" si="36"/>
        <v>33564.91598684242</v>
      </c>
      <c r="R119" s="92">
        <f t="shared" si="36"/>
        <v>39410.52792428946</v>
      </c>
      <c r="S119" s="92">
        <f t="shared" si="36"/>
        <v>44993.35453709762</v>
      </c>
      <c r="T119" s="92">
        <f t="shared" si="36"/>
        <v>50725.89370424005</v>
      </c>
      <c r="U119" s="92">
        <f t="shared" si="36"/>
        <v>56508.4330778064</v>
      </c>
      <c r="V119" s="92">
        <f t="shared" si="36"/>
        <v>64138.35969573996</v>
      </c>
      <c r="W119" s="92">
        <f t="shared" si="36"/>
        <v>70073.15846760207</v>
      </c>
      <c r="X119" s="92">
        <f t="shared" si="36"/>
        <v>76189.06541445559</v>
      </c>
      <c r="Y119" s="92">
        <f t="shared" si="36"/>
        <v>81129.51829005855</v>
      </c>
      <c r="Z119" s="92">
        <f t="shared" si="36"/>
        <v>86259.46081579333</v>
      </c>
      <c r="AA119" s="92">
        <f t="shared" si="36"/>
        <v>87486.20355446031</v>
      </c>
      <c r="AB119" s="92">
        <f t="shared" si="36"/>
        <v>87479.91279144546</v>
      </c>
      <c r="AC119" s="150">
        <f t="shared" si="36"/>
        <v>87472.95833138161</v>
      </c>
      <c r="AD119" s="92">
        <f t="shared" si="36"/>
        <v>87465.51692277087</v>
      </c>
      <c r="AE119" s="92">
        <f t="shared" si="36"/>
        <v>87457.55126289025</v>
      </c>
      <c r="AF119" s="92">
        <f t="shared" si="36"/>
        <v>87449.02143032674</v>
      </c>
      <c r="AG119" s="92">
        <f t="shared" si="36"/>
        <v>87439.88471562948</v>
      </c>
      <c r="AH119" s="93">
        <f t="shared" si="36"/>
        <v>87439.90127340835</v>
      </c>
      <c r="AI119" s="210"/>
      <c r="AJ119" s="210"/>
    </row>
    <row r="120" spans="1:36" s="2" customFormat="1" ht="14.25">
      <c r="A120" s="228"/>
      <c r="B120" s="175" t="s">
        <v>197</v>
      </c>
      <c r="C120" s="149">
        <v>0.25</v>
      </c>
      <c r="D120" s="235"/>
      <c r="E120" s="92">
        <f aca="true" t="shared" si="37" ref="E120:AH120">IF(E119&lt;0,0,E119*$C120)</f>
        <v>0</v>
      </c>
      <c r="F120" s="92">
        <f t="shared" si="37"/>
        <v>0</v>
      </c>
      <c r="G120" s="92">
        <f t="shared" si="37"/>
        <v>0</v>
      </c>
      <c r="H120" s="92">
        <f t="shared" si="37"/>
        <v>0</v>
      </c>
      <c r="I120" s="92">
        <f t="shared" si="37"/>
        <v>0</v>
      </c>
      <c r="J120" s="92">
        <f t="shared" si="37"/>
        <v>0</v>
      </c>
      <c r="K120" s="92">
        <f t="shared" si="37"/>
        <v>338.7539160177348</v>
      </c>
      <c r="L120" s="92">
        <f t="shared" si="37"/>
        <v>1641.664782574082</v>
      </c>
      <c r="M120" s="92">
        <f t="shared" si="37"/>
        <v>2987.4895571140714</v>
      </c>
      <c r="N120" s="92">
        <f t="shared" si="37"/>
        <v>4285.950989282472</v>
      </c>
      <c r="O120" s="92">
        <f t="shared" si="37"/>
        <v>5596.445056638833</v>
      </c>
      <c r="P120" s="92">
        <f t="shared" si="37"/>
        <v>6973.0698371699145</v>
      </c>
      <c r="Q120" s="92">
        <f t="shared" si="37"/>
        <v>8391.228996710604</v>
      </c>
      <c r="R120" s="92">
        <f t="shared" si="37"/>
        <v>9852.631981072365</v>
      </c>
      <c r="S120" s="92">
        <f t="shared" si="37"/>
        <v>11248.338634274405</v>
      </c>
      <c r="T120" s="92">
        <f t="shared" si="37"/>
        <v>12681.473426060013</v>
      </c>
      <c r="U120" s="92">
        <f t="shared" si="37"/>
        <v>14127.1082694516</v>
      </c>
      <c r="V120" s="92">
        <f t="shared" si="37"/>
        <v>16034.58992393499</v>
      </c>
      <c r="W120" s="92">
        <f t="shared" si="37"/>
        <v>17518.289616900518</v>
      </c>
      <c r="X120" s="92">
        <f t="shared" si="37"/>
        <v>19047.266353613897</v>
      </c>
      <c r="Y120" s="92">
        <f t="shared" si="37"/>
        <v>20282.379572514637</v>
      </c>
      <c r="Z120" s="92">
        <f t="shared" si="37"/>
        <v>21564.86520394833</v>
      </c>
      <c r="AA120" s="92">
        <f t="shared" si="37"/>
        <v>21871.55088861508</v>
      </c>
      <c r="AB120" s="92">
        <f t="shared" si="37"/>
        <v>21869.978197861365</v>
      </c>
      <c r="AC120" s="150">
        <f t="shared" si="37"/>
        <v>21868.239582845403</v>
      </c>
      <c r="AD120" s="92">
        <f t="shared" si="37"/>
        <v>21866.379230692717</v>
      </c>
      <c r="AE120" s="92">
        <f t="shared" si="37"/>
        <v>21864.387815722563</v>
      </c>
      <c r="AF120" s="92">
        <f t="shared" si="37"/>
        <v>21862.255357581686</v>
      </c>
      <c r="AG120" s="92">
        <f t="shared" si="37"/>
        <v>21859.97117890737</v>
      </c>
      <c r="AH120" s="93">
        <f t="shared" si="37"/>
        <v>21859.975318352088</v>
      </c>
      <c r="AI120" s="210"/>
      <c r="AJ120" s="210"/>
    </row>
    <row r="121" spans="1:36" s="2" customFormat="1" ht="14.25">
      <c r="A121" s="228"/>
      <c r="B121" s="175" t="s">
        <v>198</v>
      </c>
      <c r="C121" s="231" t="s">
        <v>37</v>
      </c>
      <c r="D121" s="138">
        <f>IF(D122&lt;=0,"n/a",IRR(E121:AH121))</f>
        <v>0.034247725130905314</v>
      </c>
      <c r="E121" s="92">
        <f aca="true" t="shared" si="38" ref="E121:AH121">E60-E120</f>
        <v>-107455.896825</v>
      </c>
      <c r="F121" s="92">
        <f t="shared" si="38"/>
        <v>-173655.8842417888</v>
      </c>
      <c r="G121" s="92">
        <f t="shared" si="38"/>
        <v>-262002.90966715518</v>
      </c>
      <c r="H121" s="92">
        <f t="shared" si="38"/>
        <v>-361293.0977592017</v>
      </c>
      <c r="I121" s="92">
        <f t="shared" si="38"/>
        <v>28343.245800016288</v>
      </c>
      <c r="J121" s="92">
        <f t="shared" si="38"/>
        <v>16708.163816770735</v>
      </c>
      <c r="K121" s="92">
        <f t="shared" si="38"/>
        <v>39438.037000155986</v>
      </c>
      <c r="L121" s="92">
        <f t="shared" si="38"/>
        <v>43067.65165303157</v>
      </c>
      <c r="M121" s="92">
        <f t="shared" si="38"/>
        <v>46826.00802985809</v>
      </c>
      <c r="N121" s="92">
        <f t="shared" si="38"/>
        <v>50442.27437956983</v>
      </c>
      <c r="O121" s="92">
        <f t="shared" si="38"/>
        <v>28474.63863484547</v>
      </c>
      <c r="P121" s="92">
        <f t="shared" si="38"/>
        <v>57945.39502964527</v>
      </c>
      <c r="Q121" s="92">
        <f t="shared" si="38"/>
        <v>-86870.09101146483</v>
      </c>
      <c r="R121" s="92">
        <f t="shared" si="38"/>
        <v>66025.8455677657</v>
      </c>
      <c r="S121" s="92">
        <f t="shared" si="38"/>
        <v>69933.84758057837</v>
      </c>
      <c r="T121" s="92">
        <f t="shared" si="38"/>
        <v>73954.13400914175</v>
      </c>
      <c r="U121" s="92">
        <f t="shared" si="38"/>
        <v>52391.920592523056</v>
      </c>
      <c r="V121" s="92">
        <f t="shared" si="38"/>
        <v>81873.27790210402</v>
      </c>
      <c r="W121" s="92">
        <f t="shared" si="38"/>
        <v>86324.37698100059</v>
      </c>
      <c r="X121" s="92">
        <f t="shared" si="38"/>
        <v>90911.30719114073</v>
      </c>
      <c r="Y121" s="92">
        <f t="shared" si="38"/>
        <v>94616.64684784296</v>
      </c>
      <c r="Z121" s="92">
        <f t="shared" si="38"/>
        <v>98464.10374214404</v>
      </c>
      <c r="AA121" s="92">
        <f t="shared" si="38"/>
        <v>-49406.68477679446</v>
      </c>
      <c r="AB121" s="92">
        <f t="shared" si="38"/>
        <v>99379.44272388314</v>
      </c>
      <c r="AC121" s="150">
        <f t="shared" si="38"/>
        <v>99374.22687883525</v>
      </c>
      <c r="AD121" s="92">
        <f t="shared" si="38"/>
        <v>99368.64582237719</v>
      </c>
      <c r="AE121" s="92">
        <f t="shared" si="38"/>
        <v>99362.67157746674</v>
      </c>
      <c r="AF121" s="92">
        <f t="shared" si="38"/>
        <v>99356.2742030441</v>
      </c>
      <c r="AG121" s="92">
        <f t="shared" si="38"/>
        <v>99349.42166702115</v>
      </c>
      <c r="AH121" s="93">
        <f t="shared" si="38"/>
        <v>99349.43408535531</v>
      </c>
      <c r="AI121" s="210"/>
      <c r="AJ121" s="210"/>
    </row>
    <row r="122" spans="1:36" s="2" customFormat="1" ht="15" thickBot="1">
      <c r="A122" s="232"/>
      <c r="B122" s="185" t="s">
        <v>48</v>
      </c>
      <c r="C122" s="233">
        <f>C9</f>
        <v>0</v>
      </c>
      <c r="D122" s="236">
        <f>NPV(C122,E121:AG121)</f>
        <v>581246.9933493573</v>
      </c>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8"/>
      <c r="AC122" s="239"/>
      <c r="AD122" s="237"/>
      <c r="AE122" s="237"/>
      <c r="AF122" s="237"/>
      <c r="AG122" s="237"/>
      <c r="AH122" s="238"/>
      <c r="AI122" s="210"/>
      <c r="AJ122" s="210"/>
    </row>
  </sheetData>
  <mergeCells count="1">
    <mergeCell ref="A2:D2"/>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17"/>
  <dimension ref="A1:AW237"/>
  <sheetViews>
    <sheetView zoomScale="75" zoomScaleNormal="75" workbookViewId="0" topLeftCell="A4">
      <selection activeCell="E39" sqref="E39"/>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311" customFormat="1" ht="12.75">
      <c r="G1" s="312" t="s">
        <v>209</v>
      </c>
    </row>
    <row r="2" spans="1:4" s="311" customFormat="1" ht="39" customHeight="1">
      <c r="A2" s="371" t="s">
        <v>4</v>
      </c>
      <c r="B2" s="371"/>
      <c r="C2" s="371"/>
      <c r="D2" s="371"/>
    </row>
    <row r="3" ht="12.75">
      <c r="A3" s="165" t="s">
        <v>7</v>
      </c>
    </row>
    <row r="4" ht="12.75">
      <c r="A4" s="165"/>
    </row>
    <row r="5" spans="1:34" ht="15.75">
      <c r="A5" s="320">
        <f>IF('ERR &amp; Sensitivity Analysis'!$J$10="Y",IF('ERR &amp; Sensitivity Analysis'!$J$11="Y","","Note: Current calculations are based on user input and are not the original MCC estimates"),"Note: Current calculations are based on user input and are not the original MCC estimates")</f>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12.75">
      <c r="A6" s="165"/>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 t="s">
        <v>34</v>
      </c>
      <c r="B9" s="8"/>
      <c r="C9" s="321">
        <v>0.05</v>
      </c>
      <c r="D9" s="10" t="s">
        <v>35</v>
      </c>
      <c r="E9" s="11"/>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ht="14.25">
      <c r="A10" s="15"/>
      <c r="B10" s="16"/>
      <c r="C10" s="322"/>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15"/>
      <c r="B11" s="16"/>
      <c r="C11" s="22"/>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15"/>
      <c r="B12" s="16" t="s">
        <v>38</v>
      </c>
      <c r="C12" s="28">
        <f>D56</f>
        <v>5.187263126822971</v>
      </c>
      <c r="D12" s="29" t="s">
        <v>93</v>
      </c>
      <c r="E12" s="19"/>
      <c r="F12" s="5"/>
      <c r="G12" s="5"/>
      <c r="H12" s="30">
        <f aca="true" t="shared" si="0" ref="H12:H20">C31</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
      <c r="B13" s="16"/>
      <c r="C13" s="22"/>
      <c r="D13" s="23"/>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5" thickBot="1">
      <c r="A14" s="32"/>
      <c r="B14" s="33"/>
      <c r="C14" s="34"/>
      <c r="D14" s="35"/>
      <c r="E14" s="36"/>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s="164"/>
      <c r="B15" s="164"/>
      <c r="C15" s="164"/>
      <c r="D15" s="164"/>
      <c r="E15" s="164"/>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s="164"/>
      <c r="B16" s="164"/>
      <c r="C16" s="164"/>
      <c r="D16" s="164"/>
      <c r="E16" s="164"/>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s="164"/>
      <c r="B17" s="119" t="s">
        <v>90</v>
      </c>
      <c r="C17" s="323">
        <f>'AIC Maseru'!C17</f>
        <v>0.12</v>
      </c>
      <c r="D17" s="164"/>
      <c r="E17" s="164"/>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4.25">
      <c r="A18" s="164"/>
      <c r="B18" s="119" t="s">
        <v>91</v>
      </c>
      <c r="C18" s="323">
        <f>'AIC Maseru'!C18</f>
        <v>0.1</v>
      </c>
      <c r="D18" s="164"/>
      <c r="E18" s="164"/>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4" ht="15.75">
      <c r="A19" s="164"/>
      <c r="B19" s="324" t="s">
        <v>40</v>
      </c>
      <c r="C19" s="325">
        <f>'AIC Maseru'!C19</f>
        <v>1000</v>
      </c>
      <c r="D19" s="164"/>
      <c r="E19" s="164"/>
      <c r="F19" s="5"/>
      <c r="G19" s="5"/>
      <c r="H19" s="30">
        <f t="shared" si="0"/>
        <v>8</v>
      </c>
      <c r="I19" s="31" t="s">
        <v>19</v>
      </c>
      <c r="J19" s="21"/>
      <c r="K19" s="21"/>
      <c r="L19" s="21"/>
      <c r="M19" s="19"/>
      <c r="N19" s="5"/>
      <c r="O19" s="5"/>
      <c r="P19" s="5"/>
      <c r="Q19" s="5"/>
      <c r="R19" s="5"/>
      <c r="S19" s="5"/>
      <c r="T19" s="5"/>
      <c r="U19" s="5"/>
      <c r="V19" s="5"/>
      <c r="W19" s="5"/>
      <c r="X19" s="210"/>
      <c r="Y19" s="38" t="s">
        <v>41</v>
      </c>
      <c r="Z19" s="38" t="s">
        <v>92</v>
      </c>
      <c r="AA19" s="39">
        <f>C19</f>
        <v>1000</v>
      </c>
      <c r="AB19" s="38"/>
      <c r="AC19" s="210"/>
      <c r="AD19" s="1"/>
      <c r="AE19" s="1"/>
      <c r="AF19" s="210"/>
      <c r="AG19" s="210"/>
      <c r="AH19" s="210"/>
    </row>
    <row r="20" spans="1:34" ht="14.25">
      <c r="A20" s="164"/>
      <c r="B20" s="324" t="s">
        <v>40</v>
      </c>
      <c r="C20" s="325">
        <f>'AIC Maseru'!C20</f>
        <v>365</v>
      </c>
      <c r="D20" s="164"/>
      <c r="E20" s="164"/>
      <c r="F20" s="5"/>
      <c r="G20" s="5"/>
      <c r="H20" s="30">
        <f t="shared" si="0"/>
        <v>9</v>
      </c>
      <c r="I20" s="31" t="s">
        <v>180</v>
      </c>
      <c r="J20" s="21"/>
      <c r="K20" s="21"/>
      <c r="L20" s="21"/>
      <c r="M20" s="19"/>
      <c r="N20" s="5"/>
      <c r="O20" s="5"/>
      <c r="P20" s="5"/>
      <c r="Q20" s="5"/>
      <c r="R20" s="5"/>
      <c r="S20" s="5"/>
      <c r="T20" s="5"/>
      <c r="U20" s="5"/>
      <c r="V20" s="5"/>
      <c r="W20" s="5"/>
      <c r="X20" s="5"/>
      <c r="Y20" s="5"/>
      <c r="Z20" s="5"/>
      <c r="AA20" s="5"/>
      <c r="AB20" s="5"/>
      <c r="AC20" s="5"/>
      <c r="AD20" s="5"/>
      <c r="AE20" s="5"/>
      <c r="AF20" s="5"/>
      <c r="AG20" s="5"/>
      <c r="AH20" s="5"/>
    </row>
    <row r="21" spans="1:34" ht="15" thickBot="1">
      <c r="A21" s="164"/>
      <c r="B21" s="164"/>
      <c r="C21" s="164"/>
      <c r="D21" s="164"/>
      <c r="E21" s="164"/>
      <c r="F21" s="5"/>
      <c r="G21" s="5"/>
      <c r="H21" s="40"/>
      <c r="I21" s="41"/>
      <c r="J21" s="42"/>
      <c r="K21" s="42"/>
      <c r="L21" s="42"/>
      <c r="M21" s="36"/>
      <c r="N21" s="5"/>
      <c r="O21" s="5"/>
      <c r="P21" s="5"/>
      <c r="Q21" s="5"/>
      <c r="R21" s="5"/>
      <c r="S21" s="5"/>
      <c r="T21" s="5"/>
      <c r="U21" s="5"/>
      <c r="V21" s="5"/>
      <c r="W21" s="5"/>
      <c r="X21" s="5"/>
      <c r="Y21" s="5"/>
      <c r="Z21" s="5"/>
      <c r="AA21" s="5"/>
      <c r="AB21" s="5"/>
      <c r="AC21" s="5"/>
      <c r="AD21" s="5"/>
      <c r="AE21" s="5"/>
      <c r="AF21" s="5"/>
      <c r="AG21" s="5"/>
      <c r="AH21" s="5"/>
    </row>
    <row r="22" spans="1:34"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4.25">
      <c r="A24" s="12"/>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row>
    <row r="25" spans="1:34"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row>
    <row r="26" spans="1:49"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34" ht="14.25">
      <c r="A27" s="15" t="s">
        <v>83</v>
      </c>
      <c r="B27" s="16"/>
      <c r="C27" s="29" t="s">
        <v>85</v>
      </c>
      <c r="D27" s="16"/>
      <c r="E27" s="92">
        <f>'AIC Maseru'!E27+'AIC Roma'!E27+'AIC Mazenod'!E27+'AIC Morija'!E27</f>
        <v>0</v>
      </c>
      <c r="F27" s="92">
        <f>'AIC Maseru'!F27+'AIC Roma'!F27+'AIC Mazenod'!F27+'AIC Morija'!F27</f>
        <v>0</v>
      </c>
      <c r="G27" s="92">
        <f>'AIC Maseru'!G27+'AIC Roma'!G27+'AIC Mazenod'!G27+'AIC Morija'!G27</f>
        <v>0</v>
      </c>
      <c r="H27" s="92">
        <f>'AIC Maseru'!H27+'AIC Roma'!H27+'AIC Mazenod'!H27+'AIC Morija'!H27</f>
        <v>0</v>
      </c>
      <c r="I27" s="92">
        <f>'AIC Maseru'!I27+'AIC Roma'!I27+'AIC Mazenod'!I27+'AIC Morija'!I27</f>
        <v>7639.557583335788</v>
      </c>
      <c r="J27" s="92">
        <f>'AIC Maseru'!J27+'AIC Roma'!J27+'AIC Mazenod'!J27+'AIC Morija'!J27</f>
        <v>8615.34160137147</v>
      </c>
      <c r="K27" s="92">
        <f>'AIC Maseru'!K27+'AIC Roma'!K27+'AIC Mazenod'!K27+'AIC Morija'!K27</f>
        <v>9624.871784788542</v>
      </c>
      <c r="L27" s="92">
        <f>'AIC Maseru'!L27+'AIC Roma'!L27+'AIC Mazenod'!L27+'AIC Morija'!L27</f>
        <v>10669.858417847203</v>
      </c>
      <c r="M27" s="92">
        <f>'AIC Maseru'!M27+'AIC Roma'!M27+'AIC Mazenod'!M27+'AIC Morija'!M27</f>
        <v>11752.099729827241</v>
      </c>
      <c r="N27" s="92">
        <f>'AIC Maseru'!N27+'AIC Roma'!N27+'AIC Mazenod'!N27+'AIC Morija'!N27</f>
        <v>12795.100595029016</v>
      </c>
      <c r="O27" s="92">
        <f>'AIC Maseru'!O27+'AIC Roma'!O27+'AIC Mazenod'!O27+'AIC Morija'!O27</f>
        <v>13871.627692702723</v>
      </c>
      <c r="P27" s="92">
        <f>'AIC Maseru'!P27+'AIC Roma'!P27+'AIC Mazenod'!P27+'AIC Morija'!P27</f>
        <v>14983.216401074022</v>
      </c>
      <c r="Q27" s="92">
        <f>'AIC Maseru'!Q27+'AIC Roma'!Q27+'AIC Mazenod'!Q27+'AIC Morija'!Q27</f>
        <v>16131.473462787606</v>
      </c>
      <c r="R27" s="92">
        <f>'AIC Maseru'!R27+'AIC Roma'!R27+'AIC Mazenod'!R27+'AIC Morija'!R27</f>
        <v>17318.080326502317</v>
      </c>
      <c r="S27" s="92">
        <f>'AIC Maseru'!S27+'AIC Roma'!S27+'AIC Mazenod'!S27+'AIC Morija'!S27</f>
        <v>18450.285607530164</v>
      </c>
      <c r="T27" s="92">
        <f>'AIC Maseru'!T27+'AIC Roma'!T27+'AIC Mazenod'!T27+'AIC Morija'!T27</f>
        <v>19616.114101121835</v>
      </c>
      <c r="U27" s="92">
        <f>'AIC Maseru'!U27+'AIC Roma'!U27+'AIC Mazenod'!U27+'AIC Morija'!U27</f>
        <v>20816.939095575723</v>
      </c>
      <c r="V27" s="92">
        <f>'AIC Maseru'!V27+'AIC Roma'!V27+'AIC Mazenod'!V27+'AIC Morija'!V27</f>
        <v>22054.19081524079</v>
      </c>
      <c r="W27" s="92">
        <f>'AIC Maseru'!W27+'AIC Roma'!W27+'AIC Mazenod'!W27+'AIC Morija'!W27</f>
        <v>23329.358801954797</v>
      </c>
      <c r="X27" s="92">
        <f>'AIC Maseru'!X27+'AIC Roma'!X27+'AIC Mazenod'!X27+'AIC Morija'!X27</f>
        <v>24646.07414408072</v>
      </c>
      <c r="Y27" s="92">
        <f>'AIC Maseru'!Y27+'AIC Roma'!Y27+'AIC Mazenod'!Y27+'AIC Morija'!Y27</f>
        <v>25711.99481090276</v>
      </c>
      <c r="Z27" s="92">
        <f>'AIC Maseru'!Z27+'AIC Roma'!Z27+'AIC Mazenod'!Z27+'AIC Morija'!Z27</f>
        <v>26820.80720858283</v>
      </c>
      <c r="AA27" s="92">
        <f>'AIC Maseru'!AA27+'AIC Roma'!AA27+'AIC Mazenod'!AA27+'AIC Morija'!AA27</f>
        <v>27101.25</v>
      </c>
      <c r="AB27" s="93">
        <f>'AIC Maseru'!AB27+'AIC Roma'!AB27+'AIC Mazenod'!AB27+'AIC Morija'!AB27</f>
        <v>27101.249999999996</v>
      </c>
      <c r="AC27" s="92">
        <f>'AIC Maseru'!AC27+'AIC Roma'!AC27+'AIC Mazenod'!AC27+'AIC Morija'!AC27</f>
        <v>27101.25</v>
      </c>
      <c r="AD27" s="92">
        <f>'AIC Maseru'!AD27+'AIC Roma'!AD27+'AIC Mazenod'!AD27+'AIC Morija'!AD27</f>
        <v>27101.25</v>
      </c>
      <c r="AE27" s="92">
        <f>'AIC Maseru'!AE27+'AIC Roma'!AE27+'AIC Mazenod'!AE27+'AIC Morija'!AE27</f>
        <v>27101.249999999996</v>
      </c>
      <c r="AF27" s="92">
        <f>'AIC Maseru'!AF27+'AIC Roma'!AF27+'AIC Mazenod'!AF27+'AIC Morija'!AF27</f>
        <v>27101.250000000004</v>
      </c>
      <c r="AG27" s="92">
        <f>'AIC Maseru'!AG27+'AIC Roma'!AG27+'AIC Mazenod'!AG27+'AIC Morija'!AG27</f>
        <v>27101.250000000004</v>
      </c>
      <c r="AH27" s="93">
        <f>'AIC Maseru'!AH27+'AIC Roma'!AH27+'AIC Mazenod'!AH27+'AIC Morija'!AH27</f>
        <v>27101.25</v>
      </c>
    </row>
    <row r="28" spans="1:34" ht="14.25">
      <c r="A28" s="15"/>
      <c r="B28" s="16" t="s">
        <v>84</v>
      </c>
      <c r="C28" s="53">
        <f>C9</f>
        <v>0.05</v>
      </c>
      <c r="D28" s="54">
        <f>NPV(C28,E27:AH27)</f>
        <v>208567.92009543144</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row>
    <row r="29" spans="1:34" ht="14.25">
      <c r="A29" s="15"/>
      <c r="B29" s="16"/>
      <c r="C29" s="29"/>
      <c r="D29" s="16"/>
      <c r="E29" s="21"/>
      <c r="F29" s="21"/>
      <c r="G29" s="21" t="s">
        <v>87</v>
      </c>
      <c r="H29" s="55"/>
      <c r="I29" s="55"/>
      <c r="J29" s="55"/>
      <c r="K29" s="55"/>
      <c r="L29" s="55"/>
      <c r="M29" s="55"/>
      <c r="N29" s="55"/>
      <c r="O29" s="55"/>
      <c r="P29" s="55"/>
      <c r="Q29" s="55"/>
      <c r="R29" s="55"/>
      <c r="S29" s="55"/>
      <c r="T29" s="55"/>
      <c r="U29" s="55"/>
      <c r="V29" s="55"/>
      <c r="W29" s="55"/>
      <c r="X29" s="55"/>
      <c r="Y29" s="55"/>
      <c r="Z29" s="55"/>
      <c r="AA29" s="55"/>
      <c r="AB29" s="56"/>
      <c r="AC29" s="55"/>
      <c r="AD29" s="55"/>
      <c r="AE29" s="55"/>
      <c r="AF29" s="55"/>
      <c r="AG29" s="55"/>
      <c r="AH29" s="56"/>
    </row>
    <row r="30" spans="1:34" ht="14.25">
      <c r="A30" s="48"/>
      <c r="B30" s="16"/>
      <c r="C30" s="29" t="s">
        <v>86</v>
      </c>
      <c r="D30" s="29" t="s">
        <v>43</v>
      </c>
      <c r="E30" s="203">
        <f>'AIC Maseru'!E30</f>
        <v>0</v>
      </c>
      <c r="F30" s="203">
        <f>'AIC Maseru'!F30</f>
        <v>0.1</v>
      </c>
      <c r="G30" s="203">
        <f>'AIC Maseru'!G30</f>
        <v>0.4</v>
      </c>
      <c r="H30" s="203">
        <f>'AIC Maseru'!H30</f>
        <v>0.5</v>
      </c>
      <c r="I30" s="203">
        <f>'AIC Maseru'!I30</f>
        <v>0</v>
      </c>
      <c r="J30" s="203">
        <f>'AIC Maseru'!J30</f>
        <v>0</v>
      </c>
      <c r="K30" s="21"/>
      <c r="L30" s="21"/>
      <c r="M30" s="21"/>
      <c r="N30" s="21"/>
      <c r="O30" s="21"/>
      <c r="P30" s="21"/>
      <c r="Q30" s="21"/>
      <c r="R30" s="21"/>
      <c r="S30" s="21"/>
      <c r="T30" s="21"/>
      <c r="U30" s="21"/>
      <c r="V30" s="21"/>
      <c r="W30" s="21"/>
      <c r="X30" s="21"/>
      <c r="Y30" s="21"/>
      <c r="Z30" s="21"/>
      <c r="AA30" s="21"/>
      <c r="AB30" s="19"/>
      <c r="AC30" s="21"/>
      <c r="AD30" s="21"/>
      <c r="AE30" s="21"/>
      <c r="AF30" s="21"/>
      <c r="AG30" s="21"/>
      <c r="AH30" s="19"/>
    </row>
    <row r="31" spans="1:34" ht="14.25">
      <c r="A31" s="15" t="s">
        <v>44</v>
      </c>
      <c r="B31" s="57" t="s">
        <v>78</v>
      </c>
      <c r="C31" s="58">
        <v>1</v>
      </c>
      <c r="D31" s="144">
        <f aca="true" t="shared" si="2" ref="D31:D39">SUM(E31:AG31)</f>
        <v>189256.84232908447</v>
      </c>
      <c r="E31" s="92">
        <f>'AIC Maseru'!E31+'AIC Roma'!E31+'AIC Mazenod'!E31+'AIC Morija'!E31</f>
        <v>0</v>
      </c>
      <c r="F31" s="92">
        <f>'AIC Maseru'!F31+'AIC Roma'!F31+'AIC Mazenod'!F31+'AIC Morija'!F31</f>
        <v>18925.684232908447</v>
      </c>
      <c r="G31" s="92">
        <f>'AIC Maseru'!G31+'AIC Roma'!G31+'AIC Mazenod'!G31+'AIC Morija'!G31</f>
        <v>75702.73693163379</v>
      </c>
      <c r="H31" s="92">
        <f>'AIC Maseru'!H31+'AIC Roma'!H31+'AIC Mazenod'!H31+'AIC Morija'!H31</f>
        <v>94628.42116454223</v>
      </c>
      <c r="I31" s="92">
        <f>'AIC Maseru'!I31+'AIC Roma'!I31+'AIC Mazenod'!I31+'AIC Morija'!I31</f>
        <v>0</v>
      </c>
      <c r="J31" s="92">
        <f>'AIC Maseru'!J31+'AIC Roma'!J31+'AIC Mazenod'!J31+'AIC Morija'!J31</f>
        <v>0</v>
      </c>
      <c r="K31" s="92">
        <f>'AIC Maseru'!K31+'AIC Roma'!K31+'AIC Mazenod'!K31+'AIC Morija'!K31</f>
        <v>0</v>
      </c>
      <c r="L31" s="92">
        <f>'AIC Maseru'!L31+'AIC Roma'!L31+'AIC Mazenod'!L31+'AIC Morija'!L31</f>
        <v>0</v>
      </c>
      <c r="M31" s="92">
        <f>'AIC Maseru'!M31+'AIC Roma'!M31+'AIC Mazenod'!M31+'AIC Morija'!M31</f>
        <v>0</v>
      </c>
      <c r="N31" s="92">
        <f>'AIC Maseru'!N31+'AIC Roma'!N31+'AIC Mazenod'!N31+'AIC Morija'!N31</f>
        <v>0</v>
      </c>
      <c r="O31" s="92">
        <f>'AIC Maseru'!O31+'AIC Roma'!O31+'AIC Mazenod'!O31+'AIC Morija'!O31</f>
        <v>0</v>
      </c>
      <c r="P31" s="92">
        <f>'AIC Maseru'!P31+'AIC Roma'!P31+'AIC Mazenod'!P31+'AIC Morija'!P31</f>
        <v>0</v>
      </c>
      <c r="Q31" s="92">
        <f>'AIC Maseru'!Q31+'AIC Roma'!Q31+'AIC Mazenod'!Q31+'AIC Morija'!Q31</f>
        <v>0</v>
      </c>
      <c r="R31" s="92">
        <f>'AIC Maseru'!R31+'AIC Roma'!R31+'AIC Mazenod'!R31+'AIC Morija'!R31</f>
        <v>0</v>
      </c>
      <c r="S31" s="92">
        <f>'AIC Maseru'!S31+'AIC Roma'!S31+'AIC Mazenod'!S31+'AIC Morija'!S31</f>
        <v>0</v>
      </c>
      <c r="T31" s="92">
        <f>'AIC Maseru'!T31+'AIC Roma'!T31+'AIC Mazenod'!T31+'AIC Morija'!T31</f>
        <v>0</v>
      </c>
      <c r="U31" s="92">
        <f>'AIC Maseru'!U31+'AIC Roma'!U31+'AIC Mazenod'!U31+'AIC Morija'!U31</f>
        <v>0</v>
      </c>
      <c r="V31" s="92">
        <f>'AIC Maseru'!V31+'AIC Roma'!V31+'AIC Mazenod'!V31+'AIC Morija'!V31</f>
        <v>0</v>
      </c>
      <c r="W31" s="92">
        <f>'AIC Maseru'!W31+'AIC Roma'!W31+'AIC Mazenod'!W31+'AIC Morija'!W31</f>
        <v>0</v>
      </c>
      <c r="X31" s="92">
        <f>'AIC Maseru'!X31+'AIC Roma'!X31+'AIC Mazenod'!X31+'AIC Morija'!X31</f>
        <v>0</v>
      </c>
      <c r="Y31" s="92">
        <f>'AIC Maseru'!Y31+'AIC Roma'!Y31+'AIC Mazenod'!Y31+'AIC Morija'!Y31</f>
        <v>0</v>
      </c>
      <c r="Z31" s="92">
        <f>'AIC Maseru'!Z31+'AIC Roma'!Z31+'AIC Mazenod'!Z31+'AIC Morija'!Z31</f>
        <v>0</v>
      </c>
      <c r="AA31" s="92">
        <f>'AIC Maseru'!AA31+'AIC Roma'!AA31+'AIC Mazenod'!AA31+'AIC Morija'!AA31</f>
        <v>0</v>
      </c>
      <c r="AB31" s="93">
        <f>'AIC Maseru'!AB31+'AIC Roma'!AB31+'AIC Mazenod'!AB31+'AIC Morija'!AB31</f>
        <v>0</v>
      </c>
      <c r="AC31" s="92">
        <f>'AIC Maseru'!AC31+'AIC Roma'!AC31+'AIC Mazenod'!AC31+'AIC Morija'!AC31</f>
        <v>0</v>
      </c>
      <c r="AD31" s="92">
        <f>'AIC Maseru'!AD31+'AIC Roma'!AD31+'AIC Mazenod'!AD31+'AIC Morija'!AD31</f>
        <v>0</v>
      </c>
      <c r="AE31" s="92">
        <f>'AIC Maseru'!AE31+'AIC Roma'!AE31+'AIC Mazenod'!AE31+'AIC Morija'!AE31</f>
        <v>0</v>
      </c>
      <c r="AF31" s="92">
        <f>'AIC Maseru'!AF31+'AIC Roma'!AF31+'AIC Mazenod'!AF31+'AIC Morija'!AF31</f>
        <v>0</v>
      </c>
      <c r="AG31" s="92">
        <f>'AIC Maseru'!AG31+'AIC Roma'!AG31+'AIC Mazenod'!AG31+'AIC Morija'!AG31</f>
        <v>0</v>
      </c>
      <c r="AH31" s="93">
        <f>'AIC Maseru'!AH31+'AIC Roma'!AH31+'AIC Mazenod'!AH31+'AIC Morija'!AH31</f>
        <v>0</v>
      </c>
    </row>
    <row r="32" spans="1:34" ht="14.25">
      <c r="A32" s="48"/>
      <c r="B32" s="16"/>
      <c r="C32" s="58">
        <f aca="true" t="shared" si="3" ref="C32:C39">C31+1</f>
        <v>2</v>
      </c>
      <c r="D32" s="144">
        <f t="shared" si="2"/>
        <v>102480</v>
      </c>
      <c r="E32" s="92">
        <f>'AIC Maseru'!E32+'AIC Roma'!E32+'AIC Mazenod'!E32+'AIC Morija'!E32</f>
        <v>0</v>
      </c>
      <c r="F32" s="92">
        <f>'AIC Maseru'!F32+'AIC Roma'!F32+'AIC Mazenod'!F32+'AIC Morija'!F32</f>
        <v>0</v>
      </c>
      <c r="G32" s="92">
        <f>'AIC Maseru'!G32+'AIC Roma'!G32+'AIC Mazenod'!G32+'AIC Morija'!G32</f>
        <v>0</v>
      </c>
      <c r="H32" s="92">
        <f>'AIC Maseru'!H32+'AIC Roma'!H32+'AIC Mazenod'!H32+'AIC Morija'!H32</f>
        <v>51240</v>
      </c>
      <c r="I32" s="92">
        <f>'AIC Maseru'!I32+'AIC Roma'!I32+'AIC Mazenod'!I32+'AIC Morija'!I32</f>
        <v>0</v>
      </c>
      <c r="J32" s="92">
        <f>'AIC Maseru'!J32+'AIC Roma'!J32+'AIC Mazenod'!J32+'AIC Morija'!J32</f>
        <v>0</v>
      </c>
      <c r="K32" s="92">
        <f>'AIC Maseru'!K32+'AIC Roma'!K32+'AIC Mazenod'!K32+'AIC Morija'!K32</f>
        <v>0</v>
      </c>
      <c r="L32" s="92">
        <f>'AIC Maseru'!L32+'AIC Roma'!L32+'AIC Mazenod'!L32+'AIC Morija'!L32</f>
        <v>0</v>
      </c>
      <c r="M32" s="92">
        <f>'AIC Maseru'!M32+'AIC Roma'!M32+'AIC Mazenod'!M32+'AIC Morija'!M32</f>
        <v>0</v>
      </c>
      <c r="N32" s="92">
        <f>'AIC Maseru'!N32+'AIC Roma'!N32+'AIC Mazenod'!N32+'AIC Morija'!N32</f>
        <v>0</v>
      </c>
      <c r="O32" s="92">
        <f>'AIC Maseru'!O32+'AIC Roma'!O32+'AIC Mazenod'!O32+'AIC Morija'!O32</f>
        <v>25620</v>
      </c>
      <c r="P32" s="92">
        <f>'AIC Maseru'!P32+'AIC Roma'!P32+'AIC Mazenod'!P32+'AIC Morija'!P32</f>
        <v>0</v>
      </c>
      <c r="Q32" s="92">
        <f>'AIC Maseru'!Q32+'AIC Roma'!Q32+'AIC Mazenod'!Q32+'AIC Morija'!Q32</f>
        <v>0</v>
      </c>
      <c r="R32" s="92">
        <f>'AIC Maseru'!R32+'AIC Roma'!R32+'AIC Mazenod'!R32+'AIC Morija'!R32</f>
        <v>0</v>
      </c>
      <c r="S32" s="92">
        <f>'AIC Maseru'!S32+'AIC Roma'!S32+'AIC Mazenod'!S32+'AIC Morija'!S32</f>
        <v>0</v>
      </c>
      <c r="T32" s="92">
        <f>'AIC Maseru'!T32+'AIC Roma'!T32+'AIC Mazenod'!T32+'AIC Morija'!T32</f>
        <v>0</v>
      </c>
      <c r="U32" s="92">
        <f>'AIC Maseru'!U32+'AIC Roma'!U32+'AIC Mazenod'!U32+'AIC Morija'!U32</f>
        <v>25620</v>
      </c>
      <c r="V32" s="92">
        <f>'AIC Maseru'!V32+'AIC Roma'!V32+'AIC Mazenod'!V32+'AIC Morija'!V32</f>
        <v>0</v>
      </c>
      <c r="W32" s="92">
        <f>'AIC Maseru'!W32+'AIC Roma'!W32+'AIC Mazenod'!W32+'AIC Morija'!W32</f>
        <v>0</v>
      </c>
      <c r="X32" s="92">
        <f>'AIC Maseru'!X32+'AIC Roma'!X32+'AIC Mazenod'!X32+'AIC Morija'!X32</f>
        <v>0</v>
      </c>
      <c r="Y32" s="92">
        <f>'AIC Maseru'!Y32+'AIC Roma'!Y32+'AIC Mazenod'!Y32+'AIC Morija'!Y32</f>
        <v>0</v>
      </c>
      <c r="Z32" s="92">
        <f>'AIC Maseru'!Z32+'AIC Roma'!Z32+'AIC Mazenod'!Z32+'AIC Morija'!Z32</f>
        <v>0</v>
      </c>
      <c r="AA32" s="92">
        <f>'AIC Maseru'!AA32+'AIC Roma'!AA32+'AIC Mazenod'!AA32+'AIC Morija'!AA32</f>
        <v>0</v>
      </c>
      <c r="AB32" s="93">
        <f>'AIC Maseru'!AB32+'AIC Roma'!AB32+'AIC Mazenod'!AB32+'AIC Morija'!AB32</f>
        <v>0</v>
      </c>
      <c r="AC32" s="92">
        <f>'AIC Maseru'!AC32+'AIC Roma'!AC32+'AIC Mazenod'!AC32+'AIC Morija'!AC32</f>
        <v>0</v>
      </c>
      <c r="AD32" s="92">
        <f>'AIC Maseru'!AD32+'AIC Roma'!AD32+'AIC Mazenod'!AD32+'AIC Morija'!AD32</f>
        <v>0</v>
      </c>
      <c r="AE32" s="92">
        <f>'AIC Maseru'!AE32+'AIC Roma'!AE32+'AIC Mazenod'!AE32+'AIC Morija'!AE32</f>
        <v>0</v>
      </c>
      <c r="AF32" s="92">
        <f>'AIC Maseru'!AF32+'AIC Roma'!AF32+'AIC Mazenod'!AF32+'AIC Morija'!AF32</f>
        <v>0</v>
      </c>
      <c r="AG32" s="92">
        <f>'AIC Maseru'!AG32+'AIC Roma'!AG32+'AIC Mazenod'!AG32+'AIC Morija'!AG32</f>
        <v>0</v>
      </c>
      <c r="AH32" s="93">
        <f>'AIC Maseru'!AH32+'AIC Roma'!AH32+'AIC Mazenod'!AH32+'AIC Morija'!AH32</f>
        <v>0</v>
      </c>
    </row>
    <row r="33" spans="1:34" ht="14.25">
      <c r="A33" s="48"/>
      <c r="B33" s="16"/>
      <c r="C33" s="58">
        <f t="shared" si="3"/>
        <v>3</v>
      </c>
      <c r="D33" s="144">
        <f t="shared" si="2"/>
        <v>4733.6</v>
      </c>
      <c r="E33" s="92">
        <f>'AIC Maseru'!E33+'AIC Roma'!E33+'AIC Mazenod'!E33+'AIC Morija'!E33</f>
        <v>0</v>
      </c>
      <c r="F33" s="92">
        <f>'AIC Maseru'!F33+'AIC Roma'!F33+'AIC Mazenod'!F33+'AIC Morija'!F33</f>
        <v>473.36</v>
      </c>
      <c r="G33" s="92">
        <f>'AIC Maseru'!G33+'AIC Roma'!G33+'AIC Mazenod'!G33+'AIC Morija'!G33</f>
        <v>1893.44</v>
      </c>
      <c r="H33" s="92">
        <f>'AIC Maseru'!H33+'AIC Roma'!H33+'AIC Mazenod'!H33+'AIC Morija'!H33</f>
        <v>2366.8</v>
      </c>
      <c r="I33" s="92">
        <f>'AIC Maseru'!I33+'AIC Roma'!I33+'AIC Mazenod'!I33+'AIC Morija'!I33</f>
        <v>0</v>
      </c>
      <c r="J33" s="92">
        <f>'AIC Maseru'!J33+'AIC Roma'!J33+'AIC Mazenod'!J33+'AIC Morija'!J33</f>
        <v>0</v>
      </c>
      <c r="K33" s="92">
        <f>'AIC Maseru'!K33+'AIC Roma'!K33+'AIC Mazenod'!K33+'AIC Morija'!K33</f>
        <v>0</v>
      </c>
      <c r="L33" s="92">
        <f>'AIC Maseru'!L33+'AIC Roma'!L33+'AIC Mazenod'!L33+'AIC Morija'!L33</f>
        <v>0</v>
      </c>
      <c r="M33" s="92">
        <f>'AIC Maseru'!M33+'AIC Roma'!M33+'AIC Mazenod'!M33+'AIC Morija'!M33</f>
        <v>0</v>
      </c>
      <c r="N33" s="92">
        <f>'AIC Maseru'!N33+'AIC Roma'!N33+'AIC Mazenod'!N33+'AIC Morija'!N33</f>
        <v>0</v>
      </c>
      <c r="O33" s="92">
        <f>'AIC Maseru'!O33+'AIC Roma'!O33+'AIC Mazenod'!O33+'AIC Morija'!O33</f>
        <v>0</v>
      </c>
      <c r="P33" s="92">
        <f>'AIC Maseru'!P33+'AIC Roma'!P33+'AIC Mazenod'!P33+'AIC Morija'!P33</f>
        <v>0</v>
      </c>
      <c r="Q33" s="92">
        <f>'AIC Maseru'!Q33+'AIC Roma'!Q33+'AIC Mazenod'!Q33+'AIC Morija'!Q33</f>
        <v>0</v>
      </c>
      <c r="R33" s="92">
        <f>'AIC Maseru'!R33+'AIC Roma'!R33+'AIC Mazenod'!R33+'AIC Morija'!R33</f>
        <v>0</v>
      </c>
      <c r="S33" s="92">
        <f>'AIC Maseru'!S33+'AIC Roma'!S33+'AIC Mazenod'!S33+'AIC Morija'!S33</f>
        <v>0</v>
      </c>
      <c r="T33" s="92">
        <f>'AIC Maseru'!T33+'AIC Roma'!T33+'AIC Mazenod'!T33+'AIC Morija'!T33</f>
        <v>0</v>
      </c>
      <c r="U33" s="92">
        <f>'AIC Maseru'!U33+'AIC Roma'!U33+'AIC Mazenod'!U33+'AIC Morija'!U33</f>
        <v>0</v>
      </c>
      <c r="V33" s="92">
        <f>'AIC Maseru'!V33+'AIC Roma'!V33+'AIC Mazenod'!V33+'AIC Morija'!V33</f>
        <v>0</v>
      </c>
      <c r="W33" s="92">
        <f>'AIC Maseru'!W33+'AIC Roma'!W33+'AIC Mazenod'!W33+'AIC Morija'!W33</f>
        <v>0</v>
      </c>
      <c r="X33" s="92">
        <f>'AIC Maseru'!X33+'AIC Roma'!X33+'AIC Mazenod'!X33+'AIC Morija'!X33</f>
        <v>0</v>
      </c>
      <c r="Y33" s="92">
        <f>'AIC Maseru'!Y33+'AIC Roma'!Y33+'AIC Mazenod'!Y33+'AIC Morija'!Y33</f>
        <v>0</v>
      </c>
      <c r="Z33" s="92">
        <f>'AIC Maseru'!Z33+'AIC Roma'!Z33+'AIC Mazenod'!Z33+'AIC Morija'!Z33</f>
        <v>0</v>
      </c>
      <c r="AA33" s="92">
        <f>'AIC Maseru'!AA33+'AIC Roma'!AA33+'AIC Mazenod'!AA33+'AIC Morija'!AA33</f>
        <v>0</v>
      </c>
      <c r="AB33" s="93">
        <f>'AIC Maseru'!AB33+'AIC Roma'!AB33+'AIC Mazenod'!AB33+'AIC Morija'!AB33</f>
        <v>0</v>
      </c>
      <c r="AC33" s="92">
        <f>'AIC Maseru'!AC33+'AIC Roma'!AC33+'AIC Mazenod'!AC33+'AIC Morija'!AC33</f>
        <v>0</v>
      </c>
      <c r="AD33" s="92">
        <f>'AIC Maseru'!AD33+'AIC Roma'!AD33+'AIC Mazenod'!AD33+'AIC Morija'!AD33</f>
        <v>0</v>
      </c>
      <c r="AE33" s="92">
        <f>'AIC Maseru'!AE33+'AIC Roma'!AE33+'AIC Mazenod'!AE33+'AIC Morija'!AE33</f>
        <v>0</v>
      </c>
      <c r="AF33" s="92">
        <f>'AIC Maseru'!AF33+'AIC Roma'!AF33+'AIC Mazenod'!AF33+'AIC Morija'!AF33</f>
        <v>0</v>
      </c>
      <c r="AG33" s="92">
        <f>'AIC Maseru'!AG33+'AIC Roma'!AG33+'AIC Mazenod'!AG33+'AIC Morija'!AG33</f>
        <v>0</v>
      </c>
      <c r="AH33" s="93">
        <f>'AIC Maseru'!AH33+'AIC Roma'!AH33+'AIC Mazenod'!AH33+'AIC Morija'!AH33</f>
        <v>0</v>
      </c>
    </row>
    <row r="34" spans="1:34" ht="14.25">
      <c r="A34" s="48"/>
      <c r="B34" s="16"/>
      <c r="C34" s="58">
        <f t="shared" si="3"/>
        <v>4</v>
      </c>
      <c r="D34" s="144">
        <f t="shared" si="2"/>
        <v>136443.78551995274</v>
      </c>
      <c r="E34" s="92">
        <f>'AIC Maseru'!E34+'AIC Roma'!E34+'AIC Mazenod'!E34+'AIC Morija'!E34</f>
        <v>0</v>
      </c>
      <c r="F34" s="92">
        <f>'AIC Maseru'!F34+'AIC Roma'!F34+'AIC Mazenod'!F34+'AIC Morija'!F34</f>
        <v>4548.126183998425</v>
      </c>
      <c r="G34" s="92">
        <f>'AIC Maseru'!G34+'AIC Roma'!G34+'AIC Mazenod'!G34+'AIC Morija'!G34</f>
        <v>18192.5047359937</v>
      </c>
      <c r="H34" s="92">
        <f>'AIC Maseru'!H34+'AIC Roma'!H34+'AIC Mazenod'!H34+'AIC Morija'!H34</f>
        <v>22740.630919992123</v>
      </c>
      <c r="I34" s="92">
        <f>'AIC Maseru'!I34+'AIC Roma'!I34+'AIC Mazenod'!I34+'AIC Morija'!I34</f>
        <v>0</v>
      </c>
      <c r="J34" s="92">
        <f>'AIC Maseru'!J34+'AIC Roma'!J34+'AIC Mazenod'!J34+'AIC Morija'!J34</f>
        <v>0</v>
      </c>
      <c r="K34" s="92">
        <f>'AIC Maseru'!K34+'AIC Roma'!K34+'AIC Mazenod'!K34+'AIC Morija'!K34</f>
        <v>0</v>
      </c>
      <c r="L34" s="92">
        <f>'AIC Maseru'!L34+'AIC Roma'!L34+'AIC Mazenod'!L34+'AIC Morija'!L34</f>
        <v>0</v>
      </c>
      <c r="M34" s="92">
        <f>'AIC Maseru'!M34+'AIC Roma'!M34+'AIC Mazenod'!M34+'AIC Morija'!M34</f>
        <v>0</v>
      </c>
      <c r="N34" s="92">
        <f>'AIC Maseru'!N34+'AIC Roma'!N34+'AIC Mazenod'!N34+'AIC Morija'!N34</f>
        <v>0</v>
      </c>
      <c r="O34" s="92">
        <f>'AIC Maseru'!O34+'AIC Roma'!O34+'AIC Mazenod'!O34+'AIC Morija'!O34</f>
        <v>0</v>
      </c>
      <c r="P34" s="92">
        <f>'AIC Maseru'!P34+'AIC Roma'!P34+'AIC Mazenod'!P34+'AIC Morija'!P34</f>
        <v>0</v>
      </c>
      <c r="Q34" s="92">
        <f>'AIC Maseru'!Q34+'AIC Roma'!Q34+'AIC Mazenod'!Q34+'AIC Morija'!Q34</f>
        <v>45481.261839984254</v>
      </c>
      <c r="R34" s="92">
        <f>'AIC Maseru'!R34+'AIC Roma'!R34+'AIC Mazenod'!R34+'AIC Morija'!R34</f>
        <v>0</v>
      </c>
      <c r="S34" s="92">
        <f>'AIC Maseru'!S34+'AIC Roma'!S34+'AIC Mazenod'!S34+'AIC Morija'!S34</f>
        <v>0</v>
      </c>
      <c r="T34" s="92">
        <f>'AIC Maseru'!T34+'AIC Roma'!T34+'AIC Mazenod'!T34+'AIC Morija'!T34</f>
        <v>0</v>
      </c>
      <c r="U34" s="92">
        <f>'AIC Maseru'!U34+'AIC Roma'!U34+'AIC Mazenod'!U34+'AIC Morija'!U34</f>
        <v>0</v>
      </c>
      <c r="V34" s="92">
        <f>'AIC Maseru'!V34+'AIC Roma'!V34+'AIC Mazenod'!V34+'AIC Morija'!V34</f>
        <v>0</v>
      </c>
      <c r="W34" s="92">
        <f>'AIC Maseru'!W34+'AIC Roma'!W34+'AIC Mazenod'!W34+'AIC Morija'!W34</f>
        <v>0</v>
      </c>
      <c r="X34" s="92">
        <f>'AIC Maseru'!X34+'AIC Roma'!X34+'AIC Mazenod'!X34+'AIC Morija'!X34</f>
        <v>0</v>
      </c>
      <c r="Y34" s="92">
        <f>'AIC Maseru'!Y34+'AIC Roma'!Y34+'AIC Mazenod'!Y34+'AIC Morija'!Y34</f>
        <v>0</v>
      </c>
      <c r="Z34" s="92">
        <f>'AIC Maseru'!Z34+'AIC Roma'!Z34+'AIC Mazenod'!Z34+'AIC Morija'!Z34</f>
        <v>0</v>
      </c>
      <c r="AA34" s="92">
        <f>'AIC Maseru'!AA34+'AIC Roma'!AA34+'AIC Mazenod'!AA34+'AIC Morija'!AA34</f>
        <v>45481.261839984254</v>
      </c>
      <c r="AB34" s="93">
        <f>'AIC Maseru'!AB34+'AIC Roma'!AB34+'AIC Mazenod'!AB34+'AIC Morija'!AB34</f>
        <v>0</v>
      </c>
      <c r="AC34" s="92">
        <f>'AIC Maseru'!AC34+'AIC Roma'!AC34+'AIC Mazenod'!AC34+'AIC Morija'!AC34</f>
        <v>0</v>
      </c>
      <c r="AD34" s="92">
        <f>'AIC Maseru'!AD34+'AIC Roma'!AD34+'AIC Mazenod'!AD34+'AIC Morija'!AD34</f>
        <v>0</v>
      </c>
      <c r="AE34" s="92">
        <f>'AIC Maseru'!AE34+'AIC Roma'!AE34+'AIC Mazenod'!AE34+'AIC Morija'!AE34</f>
        <v>0</v>
      </c>
      <c r="AF34" s="92">
        <f>'AIC Maseru'!AF34+'AIC Roma'!AF34+'AIC Mazenod'!AF34+'AIC Morija'!AF34</f>
        <v>0</v>
      </c>
      <c r="AG34" s="92">
        <f>'AIC Maseru'!AG34+'AIC Roma'!AG34+'AIC Mazenod'!AG34+'AIC Morija'!AG34</f>
        <v>0</v>
      </c>
      <c r="AH34" s="93">
        <f>'AIC Maseru'!AH34+'AIC Roma'!AH34+'AIC Mazenod'!AH34+'AIC Morija'!AH34</f>
        <v>0</v>
      </c>
    </row>
    <row r="35" spans="1:34" ht="14.25">
      <c r="A35" s="48"/>
      <c r="B35" s="16"/>
      <c r="C35" s="58">
        <f t="shared" si="3"/>
        <v>5</v>
      </c>
      <c r="D35" s="144">
        <f t="shared" si="2"/>
        <v>221081.8371505636</v>
      </c>
      <c r="E35" s="92">
        <f>'AIC Maseru'!E35+'AIC Roma'!E35+'AIC Mazenod'!E35+'AIC Morija'!E35</f>
        <v>0</v>
      </c>
      <c r="F35" s="92">
        <f>'AIC Maseru'!F35+'AIC Roma'!F35+'AIC Mazenod'!F35+'AIC Morija'!F35</f>
        <v>22108.18371505636</v>
      </c>
      <c r="G35" s="92">
        <f>'AIC Maseru'!G35+'AIC Roma'!G35+'AIC Mazenod'!G35+'AIC Morija'!G35</f>
        <v>88432.73486022544</v>
      </c>
      <c r="H35" s="92">
        <f>'AIC Maseru'!H35+'AIC Roma'!H35+'AIC Mazenod'!H35+'AIC Morija'!H35</f>
        <v>110540.91857528179</v>
      </c>
      <c r="I35" s="92">
        <f>'AIC Maseru'!I35+'AIC Roma'!I35+'AIC Mazenod'!I35+'AIC Morija'!I35</f>
        <v>0</v>
      </c>
      <c r="J35" s="92">
        <f>'AIC Maseru'!J35+'AIC Roma'!J35+'AIC Mazenod'!J35+'AIC Morija'!J35</f>
        <v>0</v>
      </c>
      <c r="K35" s="92">
        <f>'AIC Maseru'!K35+'AIC Roma'!K35+'AIC Mazenod'!K35+'AIC Morija'!K35</f>
        <v>0</v>
      </c>
      <c r="L35" s="92">
        <f>'AIC Maseru'!L35+'AIC Roma'!L35+'AIC Mazenod'!L35+'AIC Morija'!L35</f>
        <v>0</v>
      </c>
      <c r="M35" s="92">
        <f>'AIC Maseru'!M35+'AIC Roma'!M35+'AIC Mazenod'!M35+'AIC Morija'!M35</f>
        <v>0</v>
      </c>
      <c r="N35" s="92">
        <f>'AIC Maseru'!N35+'AIC Roma'!N35+'AIC Mazenod'!N35+'AIC Morija'!N35</f>
        <v>0</v>
      </c>
      <c r="O35" s="92">
        <f>'AIC Maseru'!O35+'AIC Roma'!O35+'AIC Mazenod'!O35+'AIC Morija'!O35</f>
        <v>0</v>
      </c>
      <c r="P35" s="92">
        <f>'AIC Maseru'!P35+'AIC Roma'!P35+'AIC Mazenod'!P35+'AIC Morija'!P35</f>
        <v>0</v>
      </c>
      <c r="Q35" s="92">
        <f>'AIC Maseru'!Q35+'AIC Roma'!Q35+'AIC Mazenod'!Q35+'AIC Morija'!Q35</f>
        <v>0</v>
      </c>
      <c r="R35" s="92">
        <f>'AIC Maseru'!R35+'AIC Roma'!R35+'AIC Mazenod'!R35+'AIC Morija'!R35</f>
        <v>0</v>
      </c>
      <c r="S35" s="92">
        <f>'AIC Maseru'!S35+'AIC Roma'!S35+'AIC Mazenod'!S35+'AIC Morija'!S35</f>
        <v>0</v>
      </c>
      <c r="T35" s="92">
        <f>'AIC Maseru'!T35+'AIC Roma'!T35+'AIC Mazenod'!T35+'AIC Morija'!T35</f>
        <v>0</v>
      </c>
      <c r="U35" s="92">
        <f>'AIC Maseru'!U35+'AIC Roma'!U35+'AIC Mazenod'!U35+'AIC Morija'!U35</f>
        <v>0</v>
      </c>
      <c r="V35" s="92">
        <f>'AIC Maseru'!V35+'AIC Roma'!V35+'AIC Mazenod'!V35+'AIC Morija'!V35</f>
        <v>0</v>
      </c>
      <c r="W35" s="92">
        <f>'AIC Maseru'!W35+'AIC Roma'!W35+'AIC Mazenod'!W35+'AIC Morija'!W35</f>
        <v>0</v>
      </c>
      <c r="X35" s="92">
        <f>'AIC Maseru'!X35+'AIC Roma'!X35+'AIC Mazenod'!X35+'AIC Morija'!X35</f>
        <v>0</v>
      </c>
      <c r="Y35" s="92">
        <f>'AIC Maseru'!Y35+'AIC Roma'!Y35+'AIC Mazenod'!Y35+'AIC Morija'!Y35</f>
        <v>0</v>
      </c>
      <c r="Z35" s="92">
        <f>'AIC Maseru'!Z35+'AIC Roma'!Z35+'AIC Mazenod'!Z35+'AIC Morija'!Z35</f>
        <v>0</v>
      </c>
      <c r="AA35" s="92">
        <f>'AIC Maseru'!AA35+'AIC Roma'!AA35+'AIC Mazenod'!AA35+'AIC Morija'!AA35</f>
        <v>0</v>
      </c>
      <c r="AB35" s="93">
        <f>'AIC Maseru'!AB35+'AIC Roma'!AB35+'AIC Mazenod'!AB35+'AIC Morija'!AB35</f>
        <v>0</v>
      </c>
      <c r="AC35" s="92">
        <f>'AIC Maseru'!AC35+'AIC Roma'!AC35+'AIC Mazenod'!AC35+'AIC Morija'!AC35</f>
        <v>0</v>
      </c>
      <c r="AD35" s="92">
        <f>'AIC Maseru'!AD35+'AIC Roma'!AD35+'AIC Mazenod'!AD35+'AIC Morija'!AD35</f>
        <v>0</v>
      </c>
      <c r="AE35" s="92">
        <f>'AIC Maseru'!AE35+'AIC Roma'!AE35+'AIC Mazenod'!AE35+'AIC Morija'!AE35</f>
        <v>0</v>
      </c>
      <c r="AF35" s="92">
        <f>'AIC Maseru'!AF35+'AIC Roma'!AF35+'AIC Mazenod'!AF35+'AIC Morija'!AF35</f>
        <v>0</v>
      </c>
      <c r="AG35" s="92">
        <f>'AIC Maseru'!AG35+'AIC Roma'!AG35+'AIC Mazenod'!AG35+'AIC Morija'!AG35</f>
        <v>0</v>
      </c>
      <c r="AH35" s="93">
        <f>'AIC Maseru'!AH35+'AIC Roma'!AH35+'AIC Mazenod'!AH35+'AIC Morija'!AH35</f>
        <v>0</v>
      </c>
    </row>
    <row r="36" spans="1:34" ht="14.25">
      <c r="A36" s="48"/>
      <c r="B36" s="16"/>
      <c r="C36" s="58">
        <f t="shared" si="3"/>
        <v>6</v>
      </c>
      <c r="D36" s="144">
        <f t="shared" si="2"/>
        <v>36188.82096</v>
      </c>
      <c r="E36" s="92">
        <f>'AIC Maseru'!E36+'AIC Roma'!E36+'AIC Mazenod'!E36+'AIC Morija'!E36</f>
        <v>0</v>
      </c>
      <c r="F36" s="92">
        <f>'AIC Maseru'!F36+'AIC Roma'!F36+'AIC Mazenod'!F36+'AIC Morija'!F36</f>
        <v>1206.294032</v>
      </c>
      <c r="G36" s="92">
        <f>'AIC Maseru'!G36+'AIC Roma'!G36+'AIC Mazenod'!G36+'AIC Morija'!G36</f>
        <v>4825.176128</v>
      </c>
      <c r="H36" s="92">
        <f>'AIC Maseru'!H36+'AIC Roma'!H36+'AIC Mazenod'!H36+'AIC Morija'!H36</f>
        <v>6031.470159999999</v>
      </c>
      <c r="I36" s="92">
        <f>'AIC Maseru'!I36+'AIC Roma'!I36+'AIC Mazenod'!I36+'AIC Morija'!I36</f>
        <v>0</v>
      </c>
      <c r="J36" s="92">
        <f>'AIC Maseru'!J36+'AIC Roma'!J36+'AIC Mazenod'!J36+'AIC Morija'!J36</f>
        <v>0</v>
      </c>
      <c r="K36" s="92">
        <f>'AIC Maseru'!K36+'AIC Roma'!K36+'AIC Mazenod'!K36+'AIC Morija'!K36</f>
        <v>0</v>
      </c>
      <c r="L36" s="92">
        <f>'AIC Maseru'!L36+'AIC Roma'!L36+'AIC Mazenod'!L36+'AIC Morija'!L36</f>
        <v>0</v>
      </c>
      <c r="M36" s="92">
        <f>'AIC Maseru'!M36+'AIC Roma'!M36+'AIC Mazenod'!M36+'AIC Morija'!M36</f>
        <v>0</v>
      </c>
      <c r="N36" s="92">
        <f>'AIC Maseru'!N36+'AIC Roma'!N36+'AIC Mazenod'!N36+'AIC Morija'!N36</f>
        <v>0</v>
      </c>
      <c r="O36" s="92">
        <f>'AIC Maseru'!O36+'AIC Roma'!O36+'AIC Mazenod'!O36+'AIC Morija'!O36</f>
        <v>0</v>
      </c>
      <c r="P36" s="92">
        <f>'AIC Maseru'!P36+'AIC Roma'!P36+'AIC Mazenod'!P36+'AIC Morija'!P36</f>
        <v>0</v>
      </c>
      <c r="Q36" s="92">
        <f>'AIC Maseru'!Q36+'AIC Roma'!Q36+'AIC Mazenod'!Q36+'AIC Morija'!Q36</f>
        <v>12062.940319999998</v>
      </c>
      <c r="R36" s="92">
        <f>'AIC Maseru'!R36+'AIC Roma'!R36+'AIC Mazenod'!R36+'AIC Morija'!R36</f>
        <v>0</v>
      </c>
      <c r="S36" s="92">
        <f>'AIC Maseru'!S36+'AIC Roma'!S36+'AIC Mazenod'!S36+'AIC Morija'!S36</f>
        <v>0</v>
      </c>
      <c r="T36" s="92">
        <f>'AIC Maseru'!T36+'AIC Roma'!T36+'AIC Mazenod'!T36+'AIC Morija'!T36</f>
        <v>0</v>
      </c>
      <c r="U36" s="92">
        <f>'AIC Maseru'!U36+'AIC Roma'!U36+'AIC Mazenod'!U36+'AIC Morija'!U36</f>
        <v>0</v>
      </c>
      <c r="V36" s="92">
        <f>'AIC Maseru'!V36+'AIC Roma'!V36+'AIC Mazenod'!V36+'AIC Morija'!V36</f>
        <v>0</v>
      </c>
      <c r="W36" s="92">
        <f>'AIC Maseru'!W36+'AIC Roma'!W36+'AIC Mazenod'!W36+'AIC Morija'!W36</f>
        <v>0</v>
      </c>
      <c r="X36" s="92">
        <f>'AIC Maseru'!X36+'AIC Roma'!X36+'AIC Mazenod'!X36+'AIC Morija'!X36</f>
        <v>0</v>
      </c>
      <c r="Y36" s="92">
        <f>'AIC Maseru'!Y36+'AIC Roma'!Y36+'AIC Mazenod'!Y36+'AIC Morija'!Y36</f>
        <v>0</v>
      </c>
      <c r="Z36" s="92">
        <f>'AIC Maseru'!Z36+'AIC Roma'!Z36+'AIC Mazenod'!Z36+'AIC Morija'!Z36</f>
        <v>0</v>
      </c>
      <c r="AA36" s="92">
        <f>'AIC Maseru'!AA36+'AIC Roma'!AA36+'AIC Mazenod'!AA36+'AIC Morija'!AA36</f>
        <v>12062.940319999998</v>
      </c>
      <c r="AB36" s="93">
        <f>'AIC Maseru'!AB36+'AIC Roma'!AB36+'AIC Mazenod'!AB36+'AIC Morija'!AB36</f>
        <v>0</v>
      </c>
      <c r="AC36" s="92">
        <f>'AIC Maseru'!AC36+'AIC Roma'!AC36+'AIC Mazenod'!AC36+'AIC Morija'!AC36</f>
        <v>0</v>
      </c>
      <c r="AD36" s="92">
        <f>'AIC Maseru'!AD36+'AIC Roma'!AD36+'AIC Mazenod'!AD36+'AIC Morija'!AD36</f>
        <v>0</v>
      </c>
      <c r="AE36" s="92">
        <f>'AIC Maseru'!AE36+'AIC Roma'!AE36+'AIC Mazenod'!AE36+'AIC Morija'!AE36</f>
        <v>0</v>
      </c>
      <c r="AF36" s="92">
        <f>'AIC Maseru'!AF36+'AIC Roma'!AF36+'AIC Mazenod'!AF36+'AIC Morija'!AF36</f>
        <v>0</v>
      </c>
      <c r="AG36" s="92">
        <f>'AIC Maseru'!AG36+'AIC Roma'!AG36+'AIC Mazenod'!AG36+'AIC Morija'!AG36</f>
        <v>0</v>
      </c>
      <c r="AH36" s="93">
        <f>'AIC Maseru'!AH36+'AIC Roma'!AH36+'AIC Mazenod'!AH36+'AIC Morija'!AH36</f>
        <v>0</v>
      </c>
    </row>
    <row r="37" spans="1:34" ht="14.25">
      <c r="A37" s="48"/>
      <c r="B37" s="16"/>
      <c r="C37" s="58">
        <f t="shared" si="3"/>
        <v>7</v>
      </c>
      <c r="D37" s="144">
        <f t="shared" si="2"/>
        <v>46349.91046581653</v>
      </c>
      <c r="E37" s="92">
        <f>'AIC Maseru'!E37+'AIC Roma'!E37+'AIC Mazenod'!E37+'AIC Morija'!E37</f>
        <v>0</v>
      </c>
      <c r="F37" s="92">
        <f>'AIC Maseru'!F37+'AIC Roma'!F37+'AIC Mazenod'!F37+'AIC Morija'!F37</f>
        <v>4634.991046581654</v>
      </c>
      <c r="G37" s="92">
        <f>'AIC Maseru'!G37+'AIC Roma'!G37+'AIC Mazenod'!G37+'AIC Morija'!G37</f>
        <v>18539.964186326615</v>
      </c>
      <c r="H37" s="92">
        <f>'AIC Maseru'!H37+'AIC Roma'!H37+'AIC Mazenod'!H37+'AIC Morija'!H37</f>
        <v>23174.955232908265</v>
      </c>
      <c r="I37" s="92">
        <f>'AIC Maseru'!I37+'AIC Roma'!I37+'AIC Mazenod'!I37+'AIC Morija'!I37</f>
        <v>0</v>
      </c>
      <c r="J37" s="92">
        <f>'AIC Maseru'!J37+'AIC Roma'!J37+'AIC Mazenod'!J37+'AIC Morija'!J37</f>
        <v>0</v>
      </c>
      <c r="K37" s="92">
        <f>'AIC Maseru'!K37+'AIC Roma'!K37+'AIC Mazenod'!K37+'AIC Morija'!K37</f>
        <v>0</v>
      </c>
      <c r="L37" s="92">
        <f>'AIC Maseru'!L37+'AIC Roma'!L37+'AIC Mazenod'!L37+'AIC Morija'!L37</f>
        <v>0</v>
      </c>
      <c r="M37" s="92">
        <f>'AIC Maseru'!M37+'AIC Roma'!M37+'AIC Mazenod'!M37+'AIC Morija'!M37</f>
        <v>0</v>
      </c>
      <c r="N37" s="92">
        <f>'AIC Maseru'!N37+'AIC Roma'!N37+'AIC Mazenod'!N37+'AIC Morija'!N37</f>
        <v>0</v>
      </c>
      <c r="O37" s="92">
        <f>'AIC Maseru'!O37+'AIC Roma'!O37+'AIC Mazenod'!O37+'AIC Morija'!O37</f>
        <v>0</v>
      </c>
      <c r="P37" s="92">
        <f>'AIC Maseru'!P37+'AIC Roma'!P37+'AIC Mazenod'!P37+'AIC Morija'!P37</f>
        <v>0</v>
      </c>
      <c r="Q37" s="92">
        <f>'AIC Maseru'!Q37+'AIC Roma'!Q37+'AIC Mazenod'!Q37+'AIC Morija'!Q37</f>
        <v>0</v>
      </c>
      <c r="R37" s="92">
        <f>'AIC Maseru'!R37+'AIC Roma'!R37+'AIC Mazenod'!R37+'AIC Morija'!R37</f>
        <v>0</v>
      </c>
      <c r="S37" s="92">
        <f>'AIC Maseru'!S37+'AIC Roma'!S37+'AIC Mazenod'!S37+'AIC Morija'!S37</f>
        <v>0</v>
      </c>
      <c r="T37" s="92">
        <f>'AIC Maseru'!T37+'AIC Roma'!T37+'AIC Mazenod'!T37+'AIC Morija'!T37</f>
        <v>0</v>
      </c>
      <c r="U37" s="92">
        <f>'AIC Maseru'!U37+'AIC Roma'!U37+'AIC Mazenod'!U37+'AIC Morija'!U37</f>
        <v>0</v>
      </c>
      <c r="V37" s="92">
        <f>'AIC Maseru'!V37+'AIC Roma'!V37+'AIC Mazenod'!V37+'AIC Morija'!V37</f>
        <v>0</v>
      </c>
      <c r="W37" s="92">
        <f>'AIC Maseru'!W37+'AIC Roma'!W37+'AIC Mazenod'!W37+'AIC Morija'!W37</f>
        <v>0</v>
      </c>
      <c r="X37" s="92">
        <f>'AIC Maseru'!X37+'AIC Roma'!X37+'AIC Mazenod'!X37+'AIC Morija'!X37</f>
        <v>0</v>
      </c>
      <c r="Y37" s="92">
        <f>'AIC Maseru'!Y37+'AIC Roma'!Y37+'AIC Mazenod'!Y37+'AIC Morija'!Y37</f>
        <v>0</v>
      </c>
      <c r="Z37" s="92">
        <f>'AIC Maseru'!Z37+'AIC Roma'!Z37+'AIC Mazenod'!Z37+'AIC Morija'!Z37</f>
        <v>0</v>
      </c>
      <c r="AA37" s="92">
        <f>'AIC Maseru'!AA37+'AIC Roma'!AA37+'AIC Mazenod'!AA37+'AIC Morija'!AA37</f>
        <v>0</v>
      </c>
      <c r="AB37" s="93">
        <f>'AIC Maseru'!AB37+'AIC Roma'!AB37+'AIC Mazenod'!AB37+'AIC Morija'!AB37</f>
        <v>0</v>
      </c>
      <c r="AC37" s="92">
        <f>'AIC Maseru'!AC37+'AIC Roma'!AC37+'AIC Mazenod'!AC37+'AIC Morija'!AC37</f>
        <v>0</v>
      </c>
      <c r="AD37" s="92">
        <f>'AIC Maseru'!AD37+'AIC Roma'!AD37+'AIC Mazenod'!AD37+'AIC Morija'!AD37</f>
        <v>0</v>
      </c>
      <c r="AE37" s="92">
        <f>'AIC Maseru'!AE37+'AIC Roma'!AE37+'AIC Mazenod'!AE37+'AIC Morija'!AE37</f>
        <v>0</v>
      </c>
      <c r="AF37" s="92">
        <f>'AIC Maseru'!AF37+'AIC Roma'!AF37+'AIC Mazenod'!AF37+'AIC Morija'!AF37</f>
        <v>0</v>
      </c>
      <c r="AG37" s="92">
        <f>'AIC Maseru'!AG37+'AIC Roma'!AG37+'AIC Mazenod'!AG37+'AIC Morija'!AG37</f>
        <v>0</v>
      </c>
      <c r="AH37" s="93">
        <f>'AIC Maseru'!AH37+'AIC Roma'!AH37+'AIC Mazenod'!AH37+'AIC Morija'!AH37</f>
        <v>0</v>
      </c>
    </row>
    <row r="38" spans="1:34" ht="14.25">
      <c r="A38" s="48"/>
      <c r="B38" s="16"/>
      <c r="C38" s="58">
        <f t="shared" si="3"/>
        <v>8</v>
      </c>
      <c r="D38" s="144">
        <f t="shared" si="2"/>
        <v>273739.93023886345</v>
      </c>
      <c r="E38" s="92">
        <f>'AIC Maseru'!E38+'AIC Roma'!E38+'AIC Mazenod'!E38+'AIC Morija'!E38</f>
        <v>0</v>
      </c>
      <c r="F38" s="92">
        <f>'AIC Maseru'!F38+'AIC Roma'!F38+'AIC Mazenod'!F38+'AIC Morija'!F38</f>
        <v>9124.664341295449</v>
      </c>
      <c r="G38" s="92">
        <f>'AIC Maseru'!G38+'AIC Roma'!G38+'AIC Mazenod'!G38+'AIC Morija'!G38</f>
        <v>36498.657365181796</v>
      </c>
      <c r="H38" s="92">
        <f>'AIC Maseru'!H38+'AIC Roma'!H38+'AIC Mazenod'!H38+'AIC Morija'!H38</f>
        <v>45623.321706477254</v>
      </c>
      <c r="I38" s="92">
        <f>'AIC Maseru'!I38+'AIC Roma'!I38+'AIC Mazenod'!I38+'AIC Morija'!I38</f>
        <v>0</v>
      </c>
      <c r="J38" s="92">
        <f>'AIC Maseru'!J38+'AIC Roma'!J38+'AIC Mazenod'!J38+'AIC Morija'!J38</f>
        <v>0</v>
      </c>
      <c r="K38" s="92">
        <f>'AIC Maseru'!K38+'AIC Roma'!K38+'AIC Mazenod'!K38+'AIC Morija'!K38</f>
        <v>0</v>
      </c>
      <c r="L38" s="92">
        <f>'AIC Maseru'!L38+'AIC Roma'!L38+'AIC Mazenod'!L38+'AIC Morija'!L38</f>
        <v>0</v>
      </c>
      <c r="M38" s="92">
        <f>'AIC Maseru'!M38+'AIC Roma'!M38+'AIC Mazenod'!M38+'AIC Morija'!M38</f>
        <v>0</v>
      </c>
      <c r="N38" s="92">
        <f>'AIC Maseru'!N38+'AIC Roma'!N38+'AIC Mazenod'!N38+'AIC Morija'!N38</f>
        <v>0</v>
      </c>
      <c r="O38" s="92">
        <f>'AIC Maseru'!O38+'AIC Roma'!O38+'AIC Mazenod'!O38+'AIC Morija'!O38</f>
        <v>0</v>
      </c>
      <c r="P38" s="92">
        <f>'AIC Maseru'!P38+'AIC Roma'!P38+'AIC Mazenod'!P38+'AIC Morija'!P38</f>
        <v>0</v>
      </c>
      <c r="Q38" s="92">
        <f>'AIC Maseru'!Q38+'AIC Roma'!Q38+'AIC Mazenod'!Q38+'AIC Morija'!Q38</f>
        <v>91246.6434129545</v>
      </c>
      <c r="R38" s="92">
        <f>'AIC Maseru'!R38+'AIC Roma'!R38+'AIC Mazenod'!R38+'AIC Morija'!R38</f>
        <v>0</v>
      </c>
      <c r="S38" s="92">
        <f>'AIC Maseru'!S38+'AIC Roma'!S38+'AIC Mazenod'!S38+'AIC Morija'!S38</f>
        <v>0</v>
      </c>
      <c r="T38" s="92">
        <f>'AIC Maseru'!T38+'AIC Roma'!T38+'AIC Mazenod'!T38+'AIC Morija'!T38</f>
        <v>0</v>
      </c>
      <c r="U38" s="92">
        <f>'AIC Maseru'!U38+'AIC Roma'!U38+'AIC Mazenod'!U38+'AIC Morija'!U38</f>
        <v>0</v>
      </c>
      <c r="V38" s="92">
        <f>'AIC Maseru'!V38+'AIC Roma'!V38+'AIC Mazenod'!V38+'AIC Morija'!V38</f>
        <v>0</v>
      </c>
      <c r="W38" s="92">
        <f>'AIC Maseru'!W38+'AIC Roma'!W38+'AIC Mazenod'!W38+'AIC Morija'!W38</f>
        <v>0</v>
      </c>
      <c r="X38" s="92">
        <f>'AIC Maseru'!X38+'AIC Roma'!X38+'AIC Mazenod'!X38+'AIC Morija'!X38</f>
        <v>0</v>
      </c>
      <c r="Y38" s="92">
        <f>'AIC Maseru'!Y38+'AIC Roma'!Y38+'AIC Mazenod'!Y38+'AIC Morija'!Y38</f>
        <v>0</v>
      </c>
      <c r="Z38" s="92">
        <f>'AIC Maseru'!Z38+'AIC Roma'!Z38+'AIC Mazenod'!Z38+'AIC Morija'!Z38</f>
        <v>0</v>
      </c>
      <c r="AA38" s="92">
        <f>'AIC Maseru'!AA38+'AIC Roma'!AA38+'AIC Mazenod'!AA38+'AIC Morija'!AA38</f>
        <v>91246.6434129545</v>
      </c>
      <c r="AB38" s="93">
        <f>'AIC Maseru'!AB38+'AIC Roma'!AB38+'AIC Mazenod'!AB38+'AIC Morija'!AB38</f>
        <v>0</v>
      </c>
      <c r="AC38" s="92">
        <f>'AIC Maseru'!AC38+'AIC Roma'!AC38+'AIC Mazenod'!AC38+'AIC Morija'!AC38</f>
        <v>0</v>
      </c>
      <c r="AD38" s="92">
        <f>'AIC Maseru'!AD38+'AIC Roma'!AD38+'AIC Mazenod'!AD38+'AIC Morija'!AD38</f>
        <v>0</v>
      </c>
      <c r="AE38" s="92">
        <f>'AIC Maseru'!AE38+'AIC Roma'!AE38+'AIC Mazenod'!AE38+'AIC Morija'!AE38</f>
        <v>0</v>
      </c>
      <c r="AF38" s="92">
        <f>'AIC Maseru'!AF38+'AIC Roma'!AF38+'AIC Mazenod'!AF38+'AIC Morija'!AF38</f>
        <v>0</v>
      </c>
      <c r="AG38" s="92">
        <f>'AIC Maseru'!AG38+'AIC Roma'!AG38+'AIC Mazenod'!AG38+'AIC Morija'!AG38</f>
        <v>0</v>
      </c>
      <c r="AH38" s="93">
        <f>'AIC Maseru'!AH38+'AIC Roma'!AH38+'AIC Mazenod'!AH38+'AIC Morija'!AH38</f>
        <v>0</v>
      </c>
    </row>
    <row r="39" spans="1:34" ht="14.25">
      <c r="A39" s="48"/>
      <c r="B39" s="16"/>
      <c r="C39" s="58">
        <f t="shared" si="3"/>
        <v>9</v>
      </c>
      <c r="D39" s="144">
        <f t="shared" si="2"/>
        <v>263307.50297474227</v>
      </c>
      <c r="E39" s="92">
        <f>'AIC Maseru'!E39+'AIC Roma'!E39+'AIC Mazenod'!E39+'AIC Morija'!E39+SUM('Add Costs and Benefits'!E29:E37)+(WACC!C43)</f>
        <v>107455.896825</v>
      </c>
      <c r="F39" s="92">
        <f>'AIC Maseru'!F39+'AIC Roma'!F39+'AIC Mazenod'!F39+'AIC Morija'!F39+SUM('Add Costs and Benefits'!F29:F37)+(WACC!D43)</f>
        <v>112634.58068994845</v>
      </c>
      <c r="G39" s="92">
        <f>'AIC Maseru'!G39+'AIC Roma'!G39+'AIC Mazenod'!G39+'AIC Morija'!G39+SUM('Add Costs and Benefits'!G29:G37)+(WACC!E43)</f>
        <v>17917.695459793817</v>
      </c>
      <c r="H39" s="92">
        <f>'AIC Maseru'!H39+'AIC Roma'!H39+'AIC Mazenod'!H39+'AIC Morija'!H39+SUM('Add Costs and Benefits'!H29:H37)+(WACC!F43)</f>
        <v>4946.58</v>
      </c>
      <c r="I39" s="92">
        <f>'AIC Maseru'!I39+'AIC Roma'!I39+'AIC Mazenod'!I39+'AIC Morija'!I39+SUM('Add Costs and Benefits'!I29:I37)+(WACC!G43)</f>
        <v>2052.75</v>
      </c>
      <c r="J39" s="92">
        <f>'AIC Maseru'!J39+'AIC Roma'!J39+'AIC Mazenod'!J39+'AIC Morija'!J39+SUM('Add Costs and Benefits'!J29:J37)</f>
        <v>18300</v>
      </c>
      <c r="K39" s="92">
        <f>'AIC Maseru'!K39+'AIC Roma'!K39+'AIC Mazenod'!K39+'AIC Morija'!K39+SUM('Add Costs and Benefits'!K29:K37)</f>
        <v>0</v>
      </c>
      <c r="L39" s="92">
        <f>'AIC Maseru'!L39+'AIC Roma'!L39+'AIC Mazenod'!L39+'AIC Morija'!L39+SUM('Add Costs and Benefits'!L29:L37)</f>
        <v>0</v>
      </c>
      <c r="M39" s="92">
        <f>'AIC Maseru'!M39+'AIC Roma'!M39+'AIC Mazenod'!M39+'AIC Morija'!M39+SUM('Add Costs and Benefits'!M29:M37)</f>
        <v>0</v>
      </c>
      <c r="N39" s="92">
        <f>'AIC Maseru'!N39+'AIC Roma'!N39+'AIC Mazenod'!N39+'AIC Morija'!N39+SUM('Add Costs and Benefits'!N29:N37)</f>
        <v>0</v>
      </c>
      <c r="O39" s="92">
        <f>'AIC Maseru'!O39+'AIC Roma'!O39+'AIC Mazenod'!O39+'AIC Morija'!O39+SUM('Add Costs and Benefits'!O29:O37)</f>
        <v>0</v>
      </c>
      <c r="P39" s="92">
        <f>'AIC Maseru'!P39+'AIC Roma'!P39+'AIC Mazenod'!P39+'AIC Morija'!P39+SUM('Add Costs and Benefits'!P29:P37)</f>
        <v>0</v>
      </c>
      <c r="Q39" s="92">
        <f>'AIC Maseru'!Q39+'AIC Roma'!Q39+'AIC Mazenod'!Q39+'AIC Morija'!Q39+SUM('Add Costs and Benefits'!Q29:Q37)</f>
        <v>0</v>
      </c>
      <c r="R39" s="92">
        <f>'AIC Maseru'!R39+'AIC Roma'!R39+'AIC Mazenod'!R39+'AIC Morija'!R39+SUM('Add Costs and Benefits'!R29:R37)</f>
        <v>0</v>
      </c>
      <c r="S39" s="92">
        <f>'AIC Maseru'!S39+'AIC Roma'!S39+'AIC Mazenod'!S39+'AIC Morija'!S39+SUM('Add Costs and Benefits'!S29:S37)</f>
        <v>0</v>
      </c>
      <c r="T39" s="92">
        <f>'AIC Maseru'!T39+'AIC Roma'!T39+'AIC Mazenod'!T39+'AIC Morija'!T39+SUM('Add Costs and Benefits'!T29:T37)</f>
        <v>0</v>
      </c>
      <c r="U39" s="92">
        <f>'AIC Maseru'!U39+'AIC Roma'!U39+'AIC Mazenod'!U39+'AIC Morija'!U39+SUM('Add Costs and Benefits'!U29:U37)</f>
        <v>0</v>
      </c>
      <c r="V39" s="92">
        <f>'AIC Maseru'!V39+'AIC Roma'!V39+'AIC Mazenod'!V39+'AIC Morija'!V39+SUM('Add Costs and Benefits'!V29:V37)</f>
        <v>0</v>
      </c>
      <c r="W39" s="92">
        <f>'AIC Maseru'!W39+'AIC Roma'!W39+'AIC Mazenod'!W39+'AIC Morija'!W39+SUM('Add Costs and Benefits'!W29:W37)</f>
        <v>0</v>
      </c>
      <c r="X39" s="92">
        <f>'AIC Maseru'!X39+'AIC Roma'!X39+'AIC Mazenod'!X39+'AIC Morija'!X39+SUM('Add Costs and Benefits'!X29:X37)</f>
        <v>0</v>
      </c>
      <c r="Y39" s="92">
        <f>'AIC Maseru'!Y39+'AIC Roma'!Y39+'AIC Mazenod'!Y39+'AIC Morija'!Y39+SUM('Add Costs and Benefits'!Y29:Y37)</f>
        <v>0</v>
      </c>
      <c r="Z39" s="92">
        <f>'AIC Maseru'!Z39+'AIC Roma'!Z39+'AIC Mazenod'!Z39+'AIC Morija'!Z39+SUM('Add Costs and Benefits'!Z29:Z37)</f>
        <v>0</v>
      </c>
      <c r="AA39" s="92">
        <f>'AIC Maseru'!AA39+'AIC Roma'!AA39+'AIC Mazenod'!AA39+'AIC Morija'!AA39+SUM('Add Costs and Benefits'!AA29:AA37)</f>
        <v>0</v>
      </c>
      <c r="AB39" s="93">
        <f>'AIC Maseru'!AB39+'AIC Roma'!AB39+'AIC Mazenod'!AB39+'AIC Morija'!AB39+SUM('Add Costs and Benefits'!AB29:AB37)</f>
        <v>0</v>
      </c>
      <c r="AC39" s="92">
        <f>'AIC Maseru'!AC39+'AIC Roma'!AC39+'AIC Mazenod'!AC39+'AIC Morija'!AC39+SUM('Add Costs and Benefits'!AC29:AC37)</f>
        <v>0</v>
      </c>
      <c r="AD39" s="92">
        <f>'AIC Maseru'!AD39+'AIC Roma'!AD39+'AIC Mazenod'!AD39+'AIC Morija'!AD39+SUM('Add Costs and Benefits'!AD29:AD37)</f>
        <v>0</v>
      </c>
      <c r="AE39" s="92">
        <f>'AIC Maseru'!AE39+'AIC Roma'!AE39+'AIC Mazenod'!AE39+'AIC Morija'!AE39+SUM('Add Costs and Benefits'!AE29:AE37)</f>
        <v>0</v>
      </c>
      <c r="AF39" s="92">
        <f>'AIC Maseru'!AF39+'AIC Roma'!AF39+'AIC Mazenod'!AF39+'AIC Morija'!AF39+SUM('Add Costs and Benefits'!AF29:AF37)</f>
        <v>0</v>
      </c>
      <c r="AG39" s="92">
        <f>'AIC Maseru'!AG39+'AIC Roma'!AG39+'AIC Mazenod'!AG39+'AIC Morija'!AG39+SUM('Add Costs and Benefits'!AG29:AG37)</f>
        <v>0</v>
      </c>
      <c r="AH39" s="93">
        <f>'AIC Maseru'!AH39+'AIC Roma'!AH39+'AIC Mazenod'!AH39+'AIC Morija'!AH39+SUM('Add Costs and Benefits'!AH29:AH37)</f>
        <v>0</v>
      </c>
    </row>
    <row r="40" spans="1:34" ht="14.25">
      <c r="A40" s="48"/>
      <c r="B40" s="16"/>
      <c r="C40" s="58"/>
      <c r="D40" s="144"/>
      <c r="E40" s="92"/>
      <c r="F40" s="92"/>
      <c r="G40" s="92"/>
      <c r="H40" s="92"/>
      <c r="I40" s="92"/>
      <c r="J40" s="92"/>
      <c r="K40" s="92"/>
      <c r="L40" s="92"/>
      <c r="M40" s="92"/>
      <c r="N40" s="92"/>
      <c r="O40" s="92"/>
      <c r="P40" s="92"/>
      <c r="Q40" s="92"/>
      <c r="R40" s="92"/>
      <c r="S40" s="92"/>
      <c r="T40" s="92"/>
      <c r="U40" s="92"/>
      <c r="V40" s="92"/>
      <c r="W40" s="92"/>
      <c r="X40" s="92"/>
      <c r="Y40" s="92"/>
      <c r="Z40" s="92"/>
      <c r="AA40" s="92"/>
      <c r="AB40" s="93"/>
      <c r="AC40" s="92"/>
      <c r="AD40" s="92"/>
      <c r="AE40" s="92"/>
      <c r="AF40" s="92"/>
      <c r="AG40" s="92"/>
      <c r="AH40" s="93"/>
    </row>
    <row r="41" spans="1:34" ht="14.25">
      <c r="A41" s="48"/>
      <c r="B41" s="16"/>
      <c r="C41" s="29"/>
      <c r="D41" s="144">
        <f>SUM(D31:D39)</f>
        <v>1273582.229639023</v>
      </c>
      <c r="E41" s="92"/>
      <c r="F41" s="92"/>
      <c r="G41" s="92"/>
      <c r="H41" s="92"/>
      <c r="I41" s="92"/>
      <c r="J41" s="92"/>
      <c r="K41" s="92"/>
      <c r="L41" s="92"/>
      <c r="M41" s="92"/>
      <c r="N41" s="92"/>
      <c r="O41" s="92"/>
      <c r="P41" s="92"/>
      <c r="Q41" s="92"/>
      <c r="R41" s="92"/>
      <c r="S41" s="92"/>
      <c r="T41" s="92"/>
      <c r="U41" s="92"/>
      <c r="V41" s="92"/>
      <c r="W41" s="92"/>
      <c r="X41" s="92"/>
      <c r="Y41" s="92"/>
      <c r="Z41" s="92"/>
      <c r="AA41" s="92"/>
      <c r="AB41" s="93"/>
      <c r="AC41" s="92"/>
      <c r="AD41" s="92"/>
      <c r="AE41" s="92"/>
      <c r="AF41" s="92"/>
      <c r="AG41" s="92"/>
      <c r="AH41" s="93"/>
    </row>
    <row r="42" spans="1:34" ht="14.25">
      <c r="A42" s="48"/>
      <c r="B42" s="57"/>
      <c r="C42" s="29"/>
      <c r="D42" s="145"/>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row>
    <row r="43" spans="1:34" ht="14.25">
      <c r="A43" s="48"/>
      <c r="B43" s="16"/>
      <c r="C43" s="29"/>
      <c r="D43" s="145"/>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row>
    <row r="44" spans="1:34" ht="14.25">
      <c r="A44" s="48"/>
      <c r="B44" s="57" t="s">
        <v>79</v>
      </c>
      <c r="C44" s="29"/>
      <c r="D44" s="145"/>
      <c r="E44" s="92">
        <f aca="true" t="shared" si="4" ref="E44:AH44">SUM(E45:E52)</f>
        <v>0</v>
      </c>
      <c r="F44" s="92">
        <f t="shared" si="4"/>
        <v>0</v>
      </c>
      <c r="G44" s="92">
        <f t="shared" si="4"/>
        <v>0</v>
      </c>
      <c r="H44" s="92">
        <f t="shared" si="4"/>
        <v>0</v>
      </c>
      <c r="I44" s="92">
        <f t="shared" si="4"/>
        <v>7801.792116662655</v>
      </c>
      <c r="J44" s="92">
        <f t="shared" si="4"/>
        <v>8068.544190086621</v>
      </c>
      <c r="K44" s="92">
        <f t="shared" si="4"/>
        <v>8347.568007768987</v>
      </c>
      <c r="L44" s="92">
        <f t="shared" si="4"/>
        <v>8639.975653630361</v>
      </c>
      <c r="M44" s="92">
        <f t="shared" si="4"/>
        <v>8947.001062164045</v>
      </c>
      <c r="N44" s="92">
        <f t="shared" si="4"/>
        <v>9247.277606292773</v>
      </c>
      <c r="O44" s="92">
        <f t="shared" si="4"/>
        <v>9667.05477202932</v>
      </c>
      <c r="P44" s="92">
        <f t="shared" si="4"/>
        <v>9997.61713855492</v>
      </c>
      <c r="Q44" s="92">
        <f t="shared" si="4"/>
        <v>10345.383755753523</v>
      </c>
      <c r="R44" s="92">
        <f t="shared" si="4"/>
        <v>10711.924083673508</v>
      </c>
      <c r="S44" s="92">
        <f t="shared" si="4"/>
        <v>11069.241822798047</v>
      </c>
      <c r="T44" s="92">
        <f t="shared" si="4"/>
        <v>11444.963070407417</v>
      </c>
      <c r="U44" s="92">
        <f t="shared" si="4"/>
        <v>11945.666615903956</v>
      </c>
      <c r="V44" s="92">
        <f t="shared" si="4"/>
        <v>12363.086250164946</v>
      </c>
      <c r="W44" s="92">
        <f t="shared" si="4"/>
        <v>12804.127411872876</v>
      </c>
      <c r="X44" s="92">
        <f t="shared" si="4"/>
        <v>13271.797175648966</v>
      </c>
      <c r="Y44" s="92">
        <f t="shared" si="4"/>
        <v>13660.947634156215</v>
      </c>
      <c r="Z44" s="92">
        <f t="shared" si="4"/>
        <v>14075.067096821773</v>
      </c>
      <c r="AA44" s="92">
        <f t="shared" si="4"/>
        <v>14250.538315240643</v>
      </c>
      <c r="AB44" s="93">
        <f t="shared" si="4"/>
        <v>14256.829078255472</v>
      </c>
      <c r="AC44" s="92">
        <f t="shared" si="4"/>
        <v>14263.783538319349</v>
      </c>
      <c r="AD44" s="92">
        <f t="shared" si="4"/>
        <v>14271.224946930088</v>
      </c>
      <c r="AE44" s="92">
        <f t="shared" si="4"/>
        <v>14279.190606810678</v>
      </c>
      <c r="AF44" s="92">
        <f t="shared" si="4"/>
        <v>14287.720439374241</v>
      </c>
      <c r="AG44" s="92">
        <f t="shared" si="4"/>
        <v>14296.85715407151</v>
      </c>
      <c r="AH44" s="93">
        <f t="shared" si="4"/>
        <v>14296.840596292603</v>
      </c>
    </row>
    <row r="45" spans="1:34" ht="14.25">
      <c r="A45" s="48"/>
      <c r="B45" s="16" t="s">
        <v>21</v>
      </c>
      <c r="C45" s="29" t="s">
        <v>80</v>
      </c>
      <c r="D45" s="145"/>
      <c r="E45" s="142">
        <f>'AIC Maseru'!E45+'AIC Roma'!E45+'AIC Mazenod'!E45+'AIC Morija'!E45</f>
        <v>0</v>
      </c>
      <c r="F45" s="142">
        <f>'AIC Maseru'!F45+'AIC Roma'!F45+'AIC Mazenod'!F45+'AIC Morija'!F45</f>
        <v>0</v>
      </c>
      <c r="G45" s="142">
        <f>'AIC Maseru'!G45+'AIC Roma'!G45+'AIC Mazenod'!G45+'AIC Morija'!G45</f>
        <v>0</v>
      </c>
      <c r="H45" s="142">
        <f>'AIC Maseru'!H45+'AIC Roma'!H45+'AIC Mazenod'!H45+'AIC Morija'!H45</f>
        <v>0</v>
      </c>
      <c r="I45" s="142">
        <f>'AIC Maseru'!I45+'AIC Roma'!I45+'AIC Mazenod'!I45+'AIC Morija'!I45</f>
        <v>959.4899142222276</v>
      </c>
      <c r="J45" s="142">
        <f>'AIC Maseru'!J45+'AIC Roma'!J45+'AIC Mazenod'!J45+'AIC Morija'!J45</f>
        <v>1089.877770988882</v>
      </c>
      <c r="K45" s="142">
        <f>'AIC Maseru'!K45+'AIC Roma'!K45+'AIC Mazenod'!K45+'AIC Morija'!K45</f>
        <v>1227.8214007309857</v>
      </c>
      <c r="L45" s="92">
        <f>'AIC Maseru'!L45+'AIC Roma'!L45+'AIC Mazenod'!L45+'AIC Morija'!L45</f>
        <v>1374.1938779479026</v>
      </c>
      <c r="M45" s="92">
        <f>'AIC Maseru'!M45+'AIC Roma'!M45+'AIC Mazenod'!M45+'AIC Morija'!M45</f>
        <v>1529.9778375394071</v>
      </c>
      <c r="N45" s="92">
        <f>'AIC Maseru'!N45+'AIC Roma'!N45+'AIC Mazenod'!N45+'AIC Morija'!N45</f>
        <v>1684.49672082588</v>
      </c>
      <c r="O45" s="92">
        <f>'AIC Maseru'!O45+'AIC Roma'!O45+'AIC Mazenod'!O45+'AIC Morija'!O45</f>
        <v>1848.8309897007196</v>
      </c>
      <c r="P45" s="92">
        <f>'AIC Maseru'!P45+'AIC Roma'!P45+'AIC Mazenod'!P45+'AIC Morija'!P45</f>
        <v>2024.0506567554824</v>
      </c>
      <c r="Q45" s="92">
        <f>'AIC Maseru'!Q45+'AIC Roma'!Q45+'AIC Mazenod'!Q45+'AIC Morija'!Q45</f>
        <v>2211.350232223879</v>
      </c>
      <c r="R45" s="92">
        <f>'AIC Maseru'!R45+'AIC Roma'!R45+'AIC Mazenod'!R45+'AIC Morija'!R45</f>
        <v>2412.064196461069</v>
      </c>
      <c r="S45" s="92">
        <f>'AIC Maseru'!S45+'AIC Roma'!S45+'AIC Mazenod'!S45+'AIC Morija'!S45</f>
        <v>2611.158103888265</v>
      </c>
      <c r="T45" s="92">
        <f>'AIC Maseru'!T45+'AIC Roma'!T45+'AIC Mazenod'!T45+'AIC Morija'!T45</f>
        <v>2823.9567309720082</v>
      </c>
      <c r="U45" s="92">
        <f>'AIC Maseru'!U45+'AIC Roma'!U45+'AIC Mazenod'!U45+'AIC Morija'!U45</f>
        <v>3051.8469523265235</v>
      </c>
      <c r="V45" s="92">
        <f>'AIC Maseru'!V45+'AIC Roma'!V45+'AIC Mazenod'!V45+'AIC Morija'!V45</f>
        <v>3296.3626873212884</v>
      </c>
      <c r="W45" s="92">
        <f>'AIC Maseru'!W45+'AIC Roma'!W45+'AIC Mazenod'!W45+'AIC Morija'!W45</f>
        <v>3559.2012136091553</v>
      </c>
      <c r="X45" s="92">
        <f>'AIC Maseru'!X45+'AIC Roma'!X45+'AIC Mazenod'!X45+'AIC Morija'!X45</f>
        <v>3842.862167166035</v>
      </c>
      <c r="Y45" s="92">
        <f>'AIC Maseru'!Y45+'AIC Roma'!Y45+'AIC Mazenod'!Y45+'AIC Morija'!Y45</f>
        <v>4083.051960133147</v>
      </c>
      <c r="Z45" s="92">
        <f>'AIC Maseru'!Z45+'AIC Roma'!Z45+'AIC Mazenod'!Z45+'AIC Morija'!Z45</f>
        <v>4342.2167081950165</v>
      </c>
      <c r="AA45" s="92">
        <f>'AIC Maseru'!AA45+'AIC Roma'!AA45+'AIC Mazenod'!AA45+'AIC Morija'!AA45</f>
        <v>4478.496506318055</v>
      </c>
      <c r="AB45" s="93">
        <f>'AIC Maseru'!AB45+'AIC Roma'!AB45+'AIC Mazenod'!AB45+'AIC Morija'!AB45</f>
        <v>4484.7872693328845</v>
      </c>
      <c r="AC45" s="92">
        <f>'AIC Maseru'!AC45+'AIC Roma'!AC45+'AIC Mazenod'!AC45+'AIC Morija'!AC45</f>
        <v>4491.741729396761</v>
      </c>
      <c r="AD45" s="92">
        <f>'AIC Maseru'!AD45+'AIC Roma'!AD45+'AIC Mazenod'!AD45+'AIC Morija'!AD45</f>
        <v>4499.183138007501</v>
      </c>
      <c r="AE45" s="92">
        <f>'AIC Maseru'!AE45+'AIC Roma'!AE45+'AIC Mazenod'!AE45+'AIC Morija'!AE45</f>
        <v>4507.14879788809</v>
      </c>
      <c r="AF45" s="92">
        <f>'AIC Maseru'!AF45+'AIC Roma'!AF45+'AIC Mazenod'!AF45+'AIC Morija'!AF45</f>
        <v>4515.678630451654</v>
      </c>
      <c r="AG45" s="92">
        <f>'AIC Maseru'!AG45+'AIC Roma'!AG45+'AIC Mazenod'!AG45+'AIC Morija'!AG45</f>
        <v>4524.815345148922</v>
      </c>
      <c r="AH45" s="93">
        <f>'AIC Maseru'!AH45+'AIC Roma'!AH45+'AIC Mazenod'!AH45+'AIC Morija'!AH45</f>
        <v>4524.798787370015</v>
      </c>
    </row>
    <row r="46" spans="1:34" ht="14.25">
      <c r="A46" s="48"/>
      <c r="B46" s="16" t="s">
        <v>22</v>
      </c>
      <c r="C46" s="29" t="s">
        <v>80</v>
      </c>
      <c r="D46" s="145"/>
      <c r="E46" s="142">
        <f>'AIC Maseru'!E46+'AIC Roma'!E46+'AIC Mazenod'!E46+'AIC Morija'!E46</f>
        <v>0</v>
      </c>
      <c r="F46" s="142">
        <f>'AIC Maseru'!F46+'AIC Roma'!F46+'AIC Mazenod'!F46+'AIC Morija'!F46</f>
        <v>0</v>
      </c>
      <c r="G46" s="142">
        <f>'AIC Maseru'!G46+'AIC Roma'!G46+'AIC Mazenod'!G46+'AIC Morija'!G46</f>
        <v>0</v>
      </c>
      <c r="H46" s="142">
        <f>'AIC Maseru'!H46+'AIC Roma'!H46+'AIC Mazenod'!H46+'AIC Morija'!H46</f>
        <v>0</v>
      </c>
      <c r="I46" s="142">
        <f>'AIC Maseru'!I46+'AIC Roma'!I46+'AIC Mazenod'!I46+'AIC Morija'!I46</f>
        <v>3051.6200543104856</v>
      </c>
      <c r="J46" s="142">
        <f>'AIC Maseru'!J46+'AIC Roma'!J46+'AIC Mazenod'!J46+'AIC Morija'!J46</f>
        <v>3187.9842709677964</v>
      </c>
      <c r="K46" s="142">
        <f>'AIC Maseru'!K46+'AIC Roma'!K46+'AIC Mazenod'!K46+'AIC Morija'!K46</f>
        <v>3329.0644589080603</v>
      </c>
      <c r="L46" s="92">
        <f>'AIC Maseru'!L46+'AIC Roma'!L46+'AIC Mazenod'!L46+'AIC Morija'!L46</f>
        <v>3475.099627552516</v>
      </c>
      <c r="M46" s="92">
        <f>'AIC Maseru'!M46+'AIC Roma'!M46+'AIC Mazenod'!M46+'AIC Morija'!M46</f>
        <v>3626.3410764946966</v>
      </c>
      <c r="N46" s="92">
        <f>'AIC Maseru'!N46+'AIC Roma'!N46+'AIC Mazenod'!N46+'AIC Morija'!N46</f>
        <v>3772.0987373369517</v>
      </c>
      <c r="O46" s="92">
        <f>'AIC Maseru'!O46+'AIC Roma'!O46+'AIC Mazenod'!O46+'AIC Morija'!O46</f>
        <v>3922.541634198658</v>
      </c>
      <c r="P46" s="92">
        <f>'AIC Maseru'!P46+'AIC Roma'!P46+'AIC Mazenod'!P46+'AIC Morija'!P46</f>
        <v>4077.8843336694963</v>
      </c>
      <c r="Q46" s="92">
        <f>'AIC Maseru'!Q46+'AIC Roma'!Q46+'AIC Mazenod'!Q46+'AIC Morija'!Q46</f>
        <v>4238.351375399702</v>
      </c>
      <c r="R46" s="92">
        <f>'AIC Maseru'!R46+'AIC Roma'!R46+'AIC Mazenod'!R46+'AIC Morija'!R46</f>
        <v>4404.177739082498</v>
      </c>
      <c r="S46" s="92">
        <f>'AIC Maseru'!S46+'AIC Roma'!S46+'AIC Mazenod'!S46+'AIC Morija'!S46</f>
        <v>4562.401570779841</v>
      </c>
      <c r="T46" s="92">
        <f>'AIC Maseru'!T46+'AIC Roma'!T46+'AIC Mazenod'!T46+'AIC Morija'!T46</f>
        <v>4725.324191305468</v>
      </c>
      <c r="U46" s="92">
        <f>'AIC Maseru'!U46+'AIC Roma'!U46+'AIC Mazenod'!U46+'AIC Morija'!U46</f>
        <v>4893.137515447489</v>
      </c>
      <c r="V46" s="92">
        <f>'AIC Maseru'!V46+'AIC Roma'!V46+'AIC Mazenod'!V46+'AIC Morija'!V46</f>
        <v>5066.041414713717</v>
      </c>
      <c r="W46" s="92">
        <f>'AIC Maseru'!W46+'AIC Roma'!W46+'AIC Mazenod'!W46+'AIC Morija'!W46</f>
        <v>5244.244050133781</v>
      </c>
      <c r="X46" s="92">
        <f>'AIC Maseru'!X46+'AIC Roma'!X46+'AIC Mazenod'!X46+'AIC Morija'!X46</f>
        <v>5428.25286035299</v>
      </c>
      <c r="Y46" s="92">
        <f>'AIC Maseru'!Y46+'AIC Roma'!Y46+'AIC Mazenod'!Y46+'AIC Morija'!Y46</f>
        <v>5577.213525893128</v>
      </c>
      <c r="Z46" s="92">
        <f>'AIC Maseru'!Z46+'AIC Roma'!Z46+'AIC Mazenod'!Z46+'AIC Morija'!Z46</f>
        <v>5732.168240496815</v>
      </c>
      <c r="AA46" s="92">
        <f>'AIC Maseru'!AA46+'AIC Roma'!AA46+'AIC Mazenod'!AA46+'AIC Morija'!AA46</f>
        <v>5771.359660792647</v>
      </c>
      <c r="AB46" s="93">
        <f>'AIC Maseru'!AB46+'AIC Roma'!AB46+'AIC Mazenod'!AB46+'AIC Morija'!AB46</f>
        <v>5771.3596607926465</v>
      </c>
      <c r="AC46" s="92">
        <f>'AIC Maseru'!AC46+'AIC Roma'!AC46+'AIC Mazenod'!AC46+'AIC Morija'!AC46</f>
        <v>5771.3596607926465</v>
      </c>
      <c r="AD46" s="92">
        <f>'AIC Maseru'!AD46+'AIC Roma'!AD46+'AIC Mazenod'!AD46+'AIC Morija'!AD46</f>
        <v>5771.3596607926465</v>
      </c>
      <c r="AE46" s="92">
        <f>'AIC Maseru'!AE46+'AIC Roma'!AE46+'AIC Mazenod'!AE46+'AIC Morija'!AE46</f>
        <v>5771.359660792647</v>
      </c>
      <c r="AF46" s="92">
        <f>'AIC Maseru'!AF46+'AIC Roma'!AF46+'AIC Mazenod'!AF46+'AIC Morija'!AF46</f>
        <v>5771.3596607926465</v>
      </c>
      <c r="AG46" s="92">
        <f>'AIC Maseru'!AG46+'AIC Roma'!AG46+'AIC Mazenod'!AG46+'AIC Morija'!AG46</f>
        <v>5771.359660792647</v>
      </c>
      <c r="AH46" s="93">
        <f>'AIC Maseru'!AH46+'AIC Roma'!AH46+'AIC Mazenod'!AH46+'AIC Morija'!AH46</f>
        <v>5771.3596607926465</v>
      </c>
    </row>
    <row r="47" spans="1:34" ht="14.25">
      <c r="A47" s="48"/>
      <c r="B47" s="16" t="s">
        <v>23</v>
      </c>
      <c r="C47" s="29" t="s">
        <v>80</v>
      </c>
      <c r="D47" s="145"/>
      <c r="E47" s="142">
        <f>'AIC Maseru'!E47+'AIC Roma'!E47+'AIC Mazenod'!E47+'AIC Morija'!E47</f>
        <v>0</v>
      </c>
      <c r="F47" s="142">
        <f>'AIC Maseru'!F47+'AIC Roma'!F47+'AIC Mazenod'!F47+'AIC Morija'!F47</f>
        <v>0</v>
      </c>
      <c r="G47" s="142">
        <f>'AIC Maseru'!G47+'AIC Roma'!G47+'AIC Mazenod'!G47+'AIC Morija'!G47</f>
        <v>0</v>
      </c>
      <c r="H47" s="142">
        <f>'AIC Maseru'!H47+'AIC Roma'!H47+'AIC Mazenod'!H47+'AIC Morija'!H47</f>
        <v>0</v>
      </c>
      <c r="I47" s="142">
        <f>'AIC Maseru'!I47+'AIC Roma'!I47+'AIC Mazenod'!I47+'AIC Morija'!I47</f>
        <v>3790.6821481299417</v>
      </c>
      <c r="J47" s="142">
        <f>'AIC Maseru'!J47+'AIC Roma'!J47+'AIC Mazenod'!J47+'AIC Morija'!J47</f>
        <v>3790.682148129942</v>
      </c>
      <c r="K47" s="142">
        <f>'AIC Maseru'!K47+'AIC Roma'!K47+'AIC Mazenod'!K47+'AIC Morija'!K47</f>
        <v>3790.682148129941</v>
      </c>
      <c r="L47" s="92">
        <f>'AIC Maseru'!L47+'AIC Roma'!L47+'AIC Mazenod'!L47+'AIC Morija'!L47</f>
        <v>3790.682148129942</v>
      </c>
      <c r="M47" s="92">
        <f>'AIC Maseru'!M47+'AIC Roma'!M47+'AIC Mazenod'!M47+'AIC Morija'!M47</f>
        <v>3790.682148129941</v>
      </c>
      <c r="N47" s="92">
        <f>'AIC Maseru'!N47+'AIC Roma'!N47+'AIC Mazenod'!N47+'AIC Morija'!N47</f>
        <v>3790.682148129941</v>
      </c>
      <c r="O47" s="92">
        <f>'AIC Maseru'!O47+'AIC Roma'!O47+'AIC Mazenod'!O47+'AIC Morija'!O47</f>
        <v>3895.6821481299417</v>
      </c>
      <c r="P47" s="92">
        <f>'AIC Maseru'!P47+'AIC Roma'!P47+'AIC Mazenod'!P47+'AIC Morija'!P47</f>
        <v>3895.682148129941</v>
      </c>
      <c r="Q47" s="92">
        <f>'AIC Maseru'!Q47+'AIC Roma'!Q47+'AIC Mazenod'!Q47+'AIC Morija'!Q47</f>
        <v>3895.682148129942</v>
      </c>
      <c r="R47" s="92">
        <f>'AIC Maseru'!R47+'AIC Roma'!R47+'AIC Mazenod'!R47+'AIC Morija'!R47</f>
        <v>3895.682148129941</v>
      </c>
      <c r="S47" s="92">
        <f>'AIC Maseru'!S47+'AIC Roma'!S47+'AIC Mazenod'!S47+'AIC Morija'!S47</f>
        <v>3895.6821481299417</v>
      </c>
      <c r="T47" s="92">
        <f>'AIC Maseru'!T47+'AIC Roma'!T47+'AIC Mazenod'!T47+'AIC Morija'!T47</f>
        <v>3895.6821481299417</v>
      </c>
      <c r="U47" s="92">
        <f>'AIC Maseru'!U47+'AIC Roma'!U47+'AIC Mazenod'!U47+'AIC Morija'!U47</f>
        <v>4000.682148129942</v>
      </c>
      <c r="V47" s="92">
        <f>'AIC Maseru'!V47+'AIC Roma'!V47+'AIC Mazenod'!V47+'AIC Morija'!V47</f>
        <v>4000.682148129941</v>
      </c>
      <c r="W47" s="92">
        <f>'AIC Maseru'!W47+'AIC Roma'!W47+'AIC Mazenod'!W47+'AIC Morija'!W47</f>
        <v>4000.682148129941</v>
      </c>
      <c r="X47" s="92">
        <f>'AIC Maseru'!X47+'AIC Roma'!X47+'AIC Mazenod'!X47+'AIC Morija'!X47</f>
        <v>4000.6821481299417</v>
      </c>
      <c r="Y47" s="92">
        <f>'AIC Maseru'!Y47+'AIC Roma'!Y47+'AIC Mazenod'!Y47+'AIC Morija'!Y47</f>
        <v>4000.682148129942</v>
      </c>
      <c r="Z47" s="92">
        <f>'AIC Maseru'!Z47+'AIC Roma'!Z47+'AIC Mazenod'!Z47+'AIC Morija'!Z47</f>
        <v>4000.682148129941</v>
      </c>
      <c r="AA47" s="92">
        <f>'AIC Maseru'!AA47+'AIC Roma'!AA47+'AIC Mazenod'!AA47+'AIC Morija'!AA47</f>
        <v>4000.682148129942</v>
      </c>
      <c r="AB47" s="93">
        <f>'AIC Maseru'!AB47+'AIC Roma'!AB47+'AIC Mazenod'!AB47+'AIC Morija'!AB47</f>
        <v>4000.682148129942</v>
      </c>
      <c r="AC47" s="92">
        <f>'AIC Maseru'!AC47+'AIC Roma'!AC47+'AIC Mazenod'!AC47+'AIC Morija'!AC47</f>
        <v>4000.682148129942</v>
      </c>
      <c r="AD47" s="92">
        <f>'AIC Maseru'!AD47+'AIC Roma'!AD47+'AIC Mazenod'!AD47+'AIC Morija'!AD47</f>
        <v>4000.6821481299417</v>
      </c>
      <c r="AE47" s="92">
        <f>'AIC Maseru'!AE47+'AIC Roma'!AE47+'AIC Mazenod'!AE47+'AIC Morija'!AE47</f>
        <v>4000.682148129941</v>
      </c>
      <c r="AF47" s="92">
        <f>'AIC Maseru'!AF47+'AIC Roma'!AF47+'AIC Mazenod'!AF47+'AIC Morija'!AF47</f>
        <v>4000.6821481299417</v>
      </c>
      <c r="AG47" s="92">
        <f>'AIC Maseru'!AG47+'AIC Roma'!AG47+'AIC Mazenod'!AG47+'AIC Morija'!AG47</f>
        <v>4000.682148129942</v>
      </c>
      <c r="AH47" s="93">
        <f>'AIC Maseru'!AH47+'AIC Roma'!AH47+'AIC Mazenod'!AH47+'AIC Morija'!AH47</f>
        <v>4000.682148129941</v>
      </c>
    </row>
    <row r="48" spans="1:34" ht="14.25">
      <c r="A48" s="48"/>
      <c r="B48" s="16" t="s">
        <v>24</v>
      </c>
      <c r="C48" s="29" t="s">
        <v>80</v>
      </c>
      <c r="D48" s="145"/>
      <c r="E48" s="142"/>
      <c r="F48" s="142"/>
      <c r="G48" s="142"/>
      <c r="H48" s="142"/>
      <c r="I48" s="142"/>
      <c r="J48" s="142"/>
      <c r="K48" s="142"/>
      <c r="L48" s="92"/>
      <c r="M48" s="92"/>
      <c r="N48" s="92"/>
      <c r="O48" s="92"/>
      <c r="P48" s="92"/>
      <c r="Q48" s="92"/>
      <c r="R48" s="92"/>
      <c r="S48" s="92"/>
      <c r="T48" s="92"/>
      <c r="U48" s="92"/>
      <c r="V48" s="92"/>
      <c r="W48" s="92"/>
      <c r="X48" s="92"/>
      <c r="Y48" s="92"/>
      <c r="Z48" s="92"/>
      <c r="AA48" s="92"/>
      <c r="AB48" s="93"/>
      <c r="AC48" s="92"/>
      <c r="AD48" s="92"/>
      <c r="AE48" s="92"/>
      <c r="AF48" s="92"/>
      <c r="AG48" s="92"/>
      <c r="AH48" s="93"/>
    </row>
    <row r="49" spans="1:34" ht="14.25">
      <c r="A49" s="48"/>
      <c r="B49" s="16" t="s">
        <v>25</v>
      </c>
      <c r="C49" s="29" t="s">
        <v>80</v>
      </c>
      <c r="D49" s="145"/>
      <c r="E49" s="142"/>
      <c r="F49" s="142"/>
      <c r="G49" s="142"/>
      <c r="H49" s="142"/>
      <c r="I49" s="142"/>
      <c r="J49" s="142"/>
      <c r="K49" s="142"/>
      <c r="L49" s="92"/>
      <c r="M49" s="92"/>
      <c r="N49" s="92"/>
      <c r="O49" s="92"/>
      <c r="P49" s="92"/>
      <c r="Q49" s="92"/>
      <c r="R49" s="92"/>
      <c r="S49" s="92"/>
      <c r="T49" s="92"/>
      <c r="U49" s="92"/>
      <c r="V49" s="92"/>
      <c r="W49" s="92"/>
      <c r="X49" s="92"/>
      <c r="Y49" s="92"/>
      <c r="Z49" s="92"/>
      <c r="AA49" s="92"/>
      <c r="AB49" s="93"/>
      <c r="AC49" s="92"/>
      <c r="AD49" s="92"/>
      <c r="AE49" s="92"/>
      <c r="AF49" s="92"/>
      <c r="AG49" s="92"/>
      <c r="AH49" s="93"/>
    </row>
    <row r="50" spans="1:34" ht="14.25">
      <c r="A50" s="48"/>
      <c r="B50" s="16" t="s">
        <v>132</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row>
    <row r="51" spans="1:34" ht="14.25">
      <c r="A51" s="48"/>
      <c r="B51" s="16" t="str">
        <f>B50</f>
        <v>Others</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row>
    <row r="52" spans="1:34" ht="14.25">
      <c r="A52" s="48"/>
      <c r="B52" s="16" t="str">
        <f>B51</f>
        <v>Others</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row>
    <row r="53" spans="1:34" ht="14.25">
      <c r="A53" s="48"/>
      <c r="B53" s="16"/>
      <c r="C53" s="29"/>
      <c r="D53" s="145"/>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row>
    <row r="54" spans="1:34" ht="14.25">
      <c r="A54" s="48"/>
      <c r="B54" s="16" t="s">
        <v>45</v>
      </c>
      <c r="C54" s="53">
        <f>C9</f>
        <v>0.05</v>
      </c>
      <c r="D54" s="147">
        <f>NPV(C54,E54:AH54)</f>
        <v>1081896.6813491913</v>
      </c>
      <c r="E54" s="92">
        <f aca="true" t="shared" si="5" ref="E54:AH54">E44+SUM(E31:E39)</f>
        <v>107455.896825</v>
      </c>
      <c r="F54" s="92">
        <f t="shared" si="5"/>
        <v>173655.8842417888</v>
      </c>
      <c r="G54" s="92">
        <f t="shared" si="5"/>
        <v>262002.90966715518</v>
      </c>
      <c r="H54" s="92">
        <f t="shared" si="5"/>
        <v>361293.0977592017</v>
      </c>
      <c r="I54" s="92">
        <f t="shared" si="5"/>
        <v>9854.542116662655</v>
      </c>
      <c r="J54" s="92">
        <f t="shared" si="5"/>
        <v>26368.54419008662</v>
      </c>
      <c r="K54" s="92">
        <f t="shared" si="5"/>
        <v>8347.568007768987</v>
      </c>
      <c r="L54" s="92">
        <f t="shared" si="5"/>
        <v>8639.975653630361</v>
      </c>
      <c r="M54" s="92">
        <f t="shared" si="5"/>
        <v>8947.001062164045</v>
      </c>
      <c r="N54" s="92">
        <f t="shared" si="5"/>
        <v>9247.277606292773</v>
      </c>
      <c r="O54" s="92">
        <f t="shared" si="5"/>
        <v>35287.05477202932</v>
      </c>
      <c r="P54" s="92">
        <f t="shared" si="5"/>
        <v>9997.61713855492</v>
      </c>
      <c r="Q54" s="92">
        <f t="shared" si="5"/>
        <v>159136.22932869225</v>
      </c>
      <c r="R54" s="92">
        <f t="shared" si="5"/>
        <v>10711.924083673508</v>
      </c>
      <c r="S54" s="92">
        <f t="shared" si="5"/>
        <v>11069.241822798047</v>
      </c>
      <c r="T54" s="92">
        <f t="shared" si="5"/>
        <v>11444.963070407417</v>
      </c>
      <c r="U54" s="92">
        <f t="shared" si="5"/>
        <v>37565.66661590396</v>
      </c>
      <c r="V54" s="92">
        <f t="shared" si="5"/>
        <v>12363.086250164946</v>
      </c>
      <c r="W54" s="92">
        <f t="shared" si="5"/>
        <v>12804.127411872876</v>
      </c>
      <c r="X54" s="92">
        <f t="shared" si="5"/>
        <v>13271.797175648966</v>
      </c>
      <c r="Y54" s="92">
        <f t="shared" si="5"/>
        <v>13660.947634156215</v>
      </c>
      <c r="Z54" s="92">
        <f t="shared" si="5"/>
        <v>14075.067096821773</v>
      </c>
      <c r="AA54" s="92">
        <f t="shared" si="5"/>
        <v>163041.38388817938</v>
      </c>
      <c r="AB54" s="93">
        <f t="shared" si="5"/>
        <v>14256.829078255472</v>
      </c>
      <c r="AC54" s="92">
        <f t="shared" si="5"/>
        <v>14263.783538319349</v>
      </c>
      <c r="AD54" s="92">
        <f t="shared" si="5"/>
        <v>14271.224946930088</v>
      </c>
      <c r="AE54" s="92">
        <f t="shared" si="5"/>
        <v>14279.190606810678</v>
      </c>
      <c r="AF54" s="92">
        <f t="shared" si="5"/>
        <v>14287.720439374241</v>
      </c>
      <c r="AG54" s="92">
        <f t="shared" si="5"/>
        <v>14296.85715407151</v>
      </c>
      <c r="AH54" s="93">
        <f t="shared" si="5"/>
        <v>14296.840596292603</v>
      </c>
    </row>
    <row r="55" spans="1:34" ht="14.25">
      <c r="A55" s="48"/>
      <c r="B55" s="16" t="s">
        <v>82</v>
      </c>
      <c r="C55" s="53"/>
      <c r="D55" s="60"/>
      <c r="E55" s="123">
        <f aca="true" t="shared" si="6" ref="E55:AH55">IF(E44=0,0,E44/E27)</f>
        <v>0</v>
      </c>
      <c r="F55" s="123">
        <f t="shared" si="6"/>
        <v>0</v>
      </c>
      <c r="G55" s="123">
        <f t="shared" si="6"/>
        <v>0</v>
      </c>
      <c r="H55" s="123">
        <f t="shared" si="6"/>
        <v>0</v>
      </c>
      <c r="I55" s="123">
        <f t="shared" si="6"/>
        <v>1.021236116300864</v>
      </c>
      <c r="J55" s="123">
        <f t="shared" si="6"/>
        <v>0.9365321264570862</v>
      </c>
      <c r="K55" s="123">
        <f t="shared" si="6"/>
        <v>0.8672913462558278</v>
      </c>
      <c r="L55" s="123">
        <f t="shared" si="6"/>
        <v>0.8097554171082993</v>
      </c>
      <c r="M55" s="123">
        <f t="shared" si="6"/>
        <v>0.7613108523454956</v>
      </c>
      <c r="N55" s="123">
        <f t="shared" si="6"/>
        <v>0.7227201957197119</v>
      </c>
      <c r="O55" s="123">
        <f t="shared" si="6"/>
        <v>0.6968940477774463</v>
      </c>
      <c r="P55" s="123">
        <f t="shared" si="6"/>
        <v>0.6672544045908777</v>
      </c>
      <c r="Q55" s="123">
        <f t="shared" si="6"/>
        <v>0.641316726560562</v>
      </c>
      <c r="R55" s="123">
        <f t="shared" si="6"/>
        <v>0.6185399236935497</v>
      </c>
      <c r="S55" s="123">
        <f t="shared" si="6"/>
        <v>0.5999496191148568</v>
      </c>
      <c r="T55" s="123">
        <f t="shared" si="6"/>
        <v>0.5834470074658102</v>
      </c>
      <c r="U55" s="123">
        <f t="shared" si="6"/>
        <v>0.5738435685024798</v>
      </c>
      <c r="V55" s="123">
        <f t="shared" si="6"/>
        <v>0.5605776404918607</v>
      </c>
      <c r="W55" s="123">
        <f t="shared" si="6"/>
        <v>0.5488418057507866</v>
      </c>
      <c r="X55" s="123">
        <f t="shared" si="6"/>
        <v>0.5384953846224012</v>
      </c>
      <c r="Y55" s="123">
        <f t="shared" si="6"/>
        <v>0.5313064091146872</v>
      </c>
      <c r="Z55" s="123">
        <f t="shared" si="6"/>
        <v>0.5247816364124067</v>
      </c>
      <c r="AA55" s="123">
        <f t="shared" si="6"/>
        <v>0.5258258683728848</v>
      </c>
      <c r="AB55" s="124">
        <f t="shared" si="6"/>
        <v>0.5260579891427692</v>
      </c>
      <c r="AC55" s="123">
        <f t="shared" si="6"/>
        <v>0.5263145994490789</v>
      </c>
      <c r="AD55" s="123">
        <f t="shared" si="6"/>
        <v>0.5265891775076827</v>
      </c>
      <c r="AE55" s="123">
        <f t="shared" si="6"/>
        <v>0.526883099739336</v>
      </c>
      <c r="AF55" s="123">
        <f t="shared" si="6"/>
        <v>0.5271978391909686</v>
      </c>
      <c r="AG55" s="123">
        <f t="shared" si="6"/>
        <v>0.5275349717843829</v>
      </c>
      <c r="AH55" s="124">
        <f t="shared" si="6"/>
        <v>0.5275343608244123</v>
      </c>
    </row>
    <row r="56" spans="1:34" ht="14.25">
      <c r="A56" s="48"/>
      <c r="B56" s="16" t="s">
        <v>46</v>
      </c>
      <c r="C56" s="29" t="s">
        <v>93</v>
      </c>
      <c r="D56" s="61">
        <f>D54/D28</f>
        <v>5.187263126822971</v>
      </c>
      <c r="E56" s="21"/>
      <c r="F56" s="21"/>
      <c r="G56" s="21"/>
      <c r="H56" s="21"/>
      <c r="I56" s="21"/>
      <c r="J56" s="21"/>
      <c r="K56" s="21"/>
      <c r="L56" s="21"/>
      <c r="M56" s="21"/>
      <c r="N56" s="21"/>
      <c r="O56" s="21"/>
      <c r="P56" s="21"/>
      <c r="Q56" s="21"/>
      <c r="R56" s="21"/>
      <c r="S56" s="21"/>
      <c r="T56" s="21"/>
      <c r="U56" s="21"/>
      <c r="V56" s="21"/>
      <c r="W56" s="21"/>
      <c r="X56" s="21"/>
      <c r="Y56" s="21"/>
      <c r="Z56" s="21"/>
      <c r="AA56" s="21"/>
      <c r="AB56" s="19"/>
      <c r="AC56" s="21"/>
      <c r="AD56" s="21"/>
      <c r="AE56" s="21"/>
      <c r="AF56" s="21"/>
      <c r="AG56" s="21"/>
      <c r="AH56" s="19"/>
    </row>
    <row r="57" spans="1:34" ht="15" thickBot="1">
      <c r="A57" s="62"/>
      <c r="B57" s="33"/>
      <c r="C57" s="63"/>
      <c r="D57" s="64"/>
      <c r="E57" s="65"/>
      <c r="F57" s="42"/>
      <c r="G57" s="42"/>
      <c r="H57" s="42"/>
      <c r="I57" s="42"/>
      <c r="J57" s="42"/>
      <c r="K57" s="42"/>
      <c r="L57" s="42"/>
      <c r="M57" s="42"/>
      <c r="N57" s="42"/>
      <c r="O57" s="42"/>
      <c r="P57" s="42"/>
      <c r="Q57" s="42"/>
      <c r="R57" s="42"/>
      <c r="S57" s="42"/>
      <c r="T57" s="42"/>
      <c r="U57" s="42"/>
      <c r="V57" s="42"/>
      <c r="W57" s="42"/>
      <c r="X57" s="42"/>
      <c r="Y57" s="42"/>
      <c r="Z57" s="42"/>
      <c r="AA57" s="42"/>
      <c r="AB57" s="36"/>
      <c r="AC57" s="42"/>
      <c r="AD57" s="42"/>
      <c r="AE57" s="42"/>
      <c r="AF57" s="42"/>
      <c r="AG57" s="42"/>
      <c r="AH57" s="36"/>
    </row>
    <row r="58" spans="1:34" ht="14.25">
      <c r="A58" s="21"/>
      <c r="B58" s="21"/>
      <c r="C58" s="66"/>
      <c r="D58" s="67"/>
      <c r="E58" s="55"/>
      <c r="F58" s="21"/>
      <c r="G58" s="21"/>
      <c r="H58" s="21"/>
      <c r="I58" s="21"/>
      <c r="J58" s="21"/>
      <c r="K58" s="21"/>
      <c r="L58" s="21"/>
      <c r="M58" s="21"/>
      <c r="N58" s="21"/>
      <c r="O58" s="21"/>
      <c r="P58" s="21"/>
      <c r="Q58" s="21"/>
      <c r="R58" s="21"/>
      <c r="S58" s="21"/>
      <c r="T58" s="21"/>
      <c r="U58" s="21"/>
      <c r="V58" s="21"/>
      <c r="W58" s="21"/>
      <c r="X58" s="21"/>
      <c r="Y58" s="21"/>
      <c r="Z58" s="21"/>
      <c r="AA58" s="21"/>
      <c r="AB58" s="21"/>
      <c r="AC58" s="5"/>
      <c r="AD58" s="5"/>
      <c r="AE58" s="5"/>
      <c r="AF58" s="5"/>
      <c r="AG58" s="5"/>
      <c r="AH58" s="5"/>
    </row>
    <row r="59" spans="1:34"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t="14.25">
      <c r="A60" s="5"/>
      <c r="B60" s="5" t="s">
        <v>121</v>
      </c>
      <c r="C60" s="6"/>
      <c r="D60" s="5"/>
      <c r="E60" s="5"/>
      <c r="F60" s="5"/>
      <c r="G60" s="5"/>
      <c r="H60" s="132">
        <f>SUM(H45:H46)/SUM($D37:$D39,$D31:$D34)</f>
        <v>0</v>
      </c>
      <c r="I60" s="132">
        <f aca="true" t="shared" si="7" ref="I60:AH60">SUM(I45:I46)/SUM($D37:$D39,$D31:$D34)</f>
        <v>0.003946732558107444</v>
      </c>
      <c r="J60" s="132">
        <f t="shared" si="7"/>
        <v>0.004209203320909829</v>
      </c>
      <c r="K60" s="132">
        <f t="shared" si="7"/>
        <v>0.004483748869242744</v>
      </c>
      <c r="L60" s="132">
        <f t="shared" si="7"/>
        <v>0.004771463438330658</v>
      </c>
      <c r="M60" s="132">
        <f t="shared" si="7"/>
        <v>0.005073561158296536</v>
      </c>
      <c r="N60" s="132">
        <f t="shared" si="7"/>
        <v>0.005369018331609179</v>
      </c>
      <c r="O60" s="132">
        <f t="shared" si="7"/>
        <v>0.005678743394822956</v>
      </c>
      <c r="P60" s="132">
        <f t="shared" si="7"/>
        <v>0.006004000309912941</v>
      </c>
      <c r="Q60" s="132">
        <f t="shared" si="7"/>
        <v>0.00634618535133246</v>
      </c>
      <c r="R60" s="132">
        <f t="shared" si="7"/>
        <v>0.006706842789650057</v>
      </c>
      <c r="S60" s="132">
        <f t="shared" si="7"/>
        <v>0.007058425659642533</v>
      </c>
      <c r="T60" s="132">
        <f t="shared" si="7"/>
        <v>0.0074281166659589445</v>
      </c>
      <c r="U60" s="132">
        <f t="shared" si="7"/>
        <v>0.007817469258787764</v>
      </c>
      <c r="V60" s="132">
        <f t="shared" si="7"/>
        <v>0.008228189402053694</v>
      </c>
      <c r="W60" s="132">
        <f t="shared" si="7"/>
        <v>0.008662151952578074</v>
      </c>
      <c r="X60" s="132">
        <f t="shared" si="7"/>
        <v>0.009122315722112594</v>
      </c>
      <c r="Y60" s="132">
        <f t="shared" si="7"/>
        <v>0.009505220403520477</v>
      </c>
      <c r="Z60" s="132">
        <f t="shared" si="7"/>
        <v>0.009912693342200839</v>
      </c>
      <c r="AA60" s="132">
        <f t="shared" si="7"/>
        <v>0.010085348287135663</v>
      </c>
      <c r="AB60" s="132">
        <f t="shared" si="7"/>
        <v>0.010091538084822773</v>
      </c>
      <c r="AC60" s="132">
        <f t="shared" si="7"/>
        <v>0.010098380927370965</v>
      </c>
      <c r="AD60" s="132">
        <f t="shared" si="7"/>
        <v>0.010105702903051659</v>
      </c>
      <c r="AE60" s="132">
        <f t="shared" si="7"/>
        <v>0.01011354071588755</v>
      </c>
      <c r="AF60" s="132">
        <f t="shared" si="7"/>
        <v>0.010121933646562083</v>
      </c>
      <c r="AG60" s="132">
        <f t="shared" si="7"/>
        <v>0.010130923719048935</v>
      </c>
      <c r="AH60" s="132">
        <f t="shared" si="7"/>
        <v>0.010130907427018646</v>
      </c>
    </row>
    <row r="61" spans="1:34"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4"/>
  <headerFooter alignWithMargins="0">
    <oddHeader>&amp;LUpdated Feasibility Study for Metolong Dam - Financial and Economic Analysis&amp;RDecember 2006</oddHeader>
    <oddFooter>&amp;L&amp;F, &amp;A&amp;C&amp;P of &amp;N&amp;R&amp;D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2"/>
  <dimension ref="A1:AW237"/>
  <sheetViews>
    <sheetView zoomScale="75" zoomScaleNormal="75" workbookViewId="0" topLeftCell="A1">
      <selection activeCell="C9" sqref="C9"/>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311" customFormat="1" ht="12.75">
      <c r="G1" s="312" t="s">
        <v>209</v>
      </c>
    </row>
    <row r="2" spans="1:4" s="311" customFormat="1" ht="39" customHeight="1">
      <c r="A2" s="371" t="s">
        <v>4</v>
      </c>
      <c r="B2" s="371"/>
      <c r="C2" s="371"/>
      <c r="D2" s="371"/>
    </row>
    <row r="3" ht="12.75">
      <c r="A3" s="165" t="s">
        <v>8</v>
      </c>
    </row>
    <row r="4" ht="12.75">
      <c r="A4" s="165"/>
    </row>
    <row r="5" spans="1:34" ht="15.75">
      <c r="A5" s="320">
        <f>IF('ERR &amp; Sensitivity Analysis'!$J$10="Y",IF('ERR &amp; Sensitivity Analysis'!$J$11="Y","","Note: Current calculations are based on user input and are not the original MCC estimates"),"Note: Current calculations are based on user input and are not the original MCC estimates")</f>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12.75">
      <c r="A6" s="165"/>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 t="s">
        <v>34</v>
      </c>
      <c r="B9" s="8"/>
      <c r="C9" s="9">
        <v>0.05</v>
      </c>
      <c r="D9" s="10" t="s">
        <v>35</v>
      </c>
      <c r="E9" s="11"/>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ht="14.25">
      <c r="A10" s="15"/>
      <c r="B10" s="16"/>
      <c r="C10" s="17"/>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15"/>
      <c r="B11" s="16"/>
      <c r="C11" s="22"/>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15"/>
      <c r="B12" s="16" t="s">
        <v>38</v>
      </c>
      <c r="C12" s="28">
        <f>D56</f>
        <v>4.898518035726213</v>
      </c>
      <c r="D12" s="29" t="s">
        <v>93</v>
      </c>
      <c r="E12" s="19"/>
      <c r="F12" s="5"/>
      <c r="G12" s="5"/>
      <c r="H12" s="30">
        <f aca="true" t="shared" si="0" ref="H12:H20">C31</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
      <c r="B13" s="16"/>
      <c r="C13" s="22"/>
      <c r="D13" s="23"/>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5" thickBot="1">
      <c r="A14" s="32"/>
      <c r="B14" s="33"/>
      <c r="C14" s="34"/>
      <c r="D14" s="35"/>
      <c r="E14" s="36"/>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c r="C15"/>
      <c r="D15"/>
      <c r="E15"/>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c r="B16"/>
      <c r="C16"/>
      <c r="D16"/>
      <c r="E16"/>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c r="B17" s="119" t="s">
        <v>90</v>
      </c>
      <c r="C17" s="120">
        <v>0.12</v>
      </c>
      <c r="D17"/>
      <c r="E17"/>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4.25">
      <c r="A18"/>
      <c r="B18" s="119" t="s">
        <v>91</v>
      </c>
      <c r="C18" s="120">
        <v>0.1</v>
      </c>
      <c r="D18"/>
      <c r="E18"/>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1" ht="15.75">
      <c r="A19"/>
      <c r="B19" s="37" t="s">
        <v>40</v>
      </c>
      <c r="C19" s="121">
        <v>1000</v>
      </c>
      <c r="D19"/>
      <c r="E19"/>
      <c r="F19" s="5"/>
      <c r="G19" s="5"/>
      <c r="H19" s="30">
        <f t="shared" si="0"/>
        <v>8</v>
      </c>
      <c r="I19" s="31" t="s">
        <v>19</v>
      </c>
      <c r="J19" s="21"/>
      <c r="K19" s="21"/>
      <c r="L19" s="21"/>
      <c r="M19" s="19"/>
      <c r="N19" s="5"/>
      <c r="O19" s="5"/>
      <c r="P19" s="5"/>
      <c r="Q19" s="5"/>
      <c r="R19" s="5"/>
      <c r="S19" s="5"/>
      <c r="T19" s="5"/>
      <c r="U19" s="5"/>
      <c r="V19" s="5"/>
      <c r="W19" s="5"/>
      <c r="Y19" s="38" t="s">
        <v>41</v>
      </c>
      <c r="Z19" s="38" t="s">
        <v>92</v>
      </c>
      <c r="AA19" s="39">
        <f>C19</f>
        <v>1000</v>
      </c>
      <c r="AB19" s="38"/>
      <c r="AD19" s="1"/>
      <c r="AE19" s="1"/>
    </row>
    <row r="20" spans="1:34" ht="14.25">
      <c r="A20"/>
      <c r="B20" s="37" t="s">
        <v>40</v>
      </c>
      <c r="C20" s="121">
        <v>365</v>
      </c>
      <c r="D20"/>
      <c r="E20"/>
      <c r="F20" s="5"/>
      <c r="G20" s="5"/>
      <c r="H20" s="30">
        <f t="shared" si="0"/>
        <v>9</v>
      </c>
      <c r="I20" s="31" t="s">
        <v>20</v>
      </c>
      <c r="J20" s="21"/>
      <c r="K20" s="21"/>
      <c r="L20" s="206">
        <f>E26</f>
        <v>2007</v>
      </c>
      <c r="M20" s="207">
        <f>F26</f>
        <v>2008</v>
      </c>
      <c r="N20" s="5"/>
      <c r="O20" s="5"/>
      <c r="P20" s="5"/>
      <c r="Q20" s="5"/>
      <c r="R20" s="5"/>
      <c r="S20" s="5"/>
      <c r="T20" s="5"/>
      <c r="U20" s="5"/>
      <c r="V20" s="5"/>
      <c r="W20" s="5"/>
      <c r="X20" s="5"/>
      <c r="Y20" s="5"/>
      <c r="Z20" s="5"/>
      <c r="AA20" s="5"/>
      <c r="AB20" s="5"/>
      <c r="AC20" s="5"/>
      <c r="AD20" s="5"/>
      <c r="AE20" s="5"/>
      <c r="AF20" s="5"/>
      <c r="AG20" s="5"/>
      <c r="AH20" s="5"/>
    </row>
    <row r="21" spans="1:34" ht="15" thickBot="1">
      <c r="A21"/>
      <c r="B21"/>
      <c r="C21"/>
      <c r="D21"/>
      <c r="E21"/>
      <c r="F21" s="5"/>
      <c r="G21" s="5"/>
      <c r="H21" s="40"/>
      <c r="I21" s="41"/>
      <c r="J21" s="42"/>
      <c r="K21" s="42"/>
      <c r="L21" s="208">
        <v>0.5</v>
      </c>
      <c r="M21" s="209">
        <v>0.5</v>
      </c>
      <c r="N21" s="5"/>
      <c r="O21" s="5"/>
      <c r="P21" s="5"/>
      <c r="Q21" s="5"/>
      <c r="R21" s="5"/>
      <c r="S21" s="5"/>
      <c r="T21" s="5"/>
      <c r="U21" s="5"/>
      <c r="V21" s="5"/>
      <c r="W21" s="5"/>
      <c r="X21" s="5"/>
      <c r="Y21" s="5"/>
      <c r="Z21" s="5"/>
      <c r="AA21" s="5"/>
      <c r="AB21" s="5"/>
      <c r="AC21" s="5"/>
      <c r="AD21" s="5"/>
      <c r="AE21" s="5"/>
      <c r="AF21" s="5"/>
      <c r="AG21" s="5"/>
      <c r="AH21" s="5"/>
    </row>
    <row r="22" spans="1:34"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4.25">
      <c r="A24" s="12"/>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row>
    <row r="25" spans="1:34"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row>
    <row r="26" spans="1:49"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35" ht="14.25">
      <c r="A27" s="15" t="s">
        <v>83</v>
      </c>
      <c r="B27" s="16"/>
      <c r="C27" s="29" t="s">
        <v>85</v>
      </c>
      <c r="D27" s="16"/>
      <c r="E27" s="92">
        <v>0</v>
      </c>
      <c r="F27" s="92">
        <v>0</v>
      </c>
      <c r="G27" s="92">
        <v>0</v>
      </c>
      <c r="H27" s="92">
        <v>0</v>
      </c>
      <c r="I27" s="92">
        <v>6713.421093677006</v>
      </c>
      <c r="J27" s="92">
        <v>7643.528282768653</v>
      </c>
      <c r="K27" s="92">
        <v>8606.468330932248</v>
      </c>
      <c r="L27" s="92">
        <v>9603.935537820626</v>
      </c>
      <c r="M27" s="92">
        <v>10637.711880979772</v>
      </c>
      <c r="N27" s="92">
        <v>11632.867214789618</v>
      </c>
      <c r="O27" s="92">
        <v>12660.679601810485</v>
      </c>
      <c r="P27" s="92">
        <v>13722.671087633591</v>
      </c>
      <c r="Q27" s="92">
        <v>14820.43489412192</v>
      </c>
      <c r="R27" s="92">
        <v>15955.638758479345</v>
      </c>
      <c r="S27" s="92">
        <v>17033.720884687733</v>
      </c>
      <c r="T27" s="92">
        <v>18144.38127533007</v>
      </c>
      <c r="U27" s="92">
        <v>19288.975933683927</v>
      </c>
      <c r="V27" s="92">
        <v>20468.91753470948</v>
      </c>
      <c r="W27" s="92">
        <v>21685.677802631937</v>
      </c>
      <c r="X27" s="92">
        <v>22940.78998862896</v>
      </c>
      <c r="Y27" s="92">
        <v>23943.851452851635</v>
      </c>
      <c r="Z27" s="92">
        <v>24988.52635518703</v>
      </c>
      <c r="AA27" s="92">
        <v>25203.53074610807</v>
      </c>
      <c r="AB27" s="93">
        <v>25136.768456163263</v>
      </c>
      <c r="AC27" s="92">
        <v>25066.256060750322</v>
      </c>
      <c r="AD27" s="92">
        <v>24994.233050648414</v>
      </c>
      <c r="AE27" s="92">
        <v>24920.67094907574</v>
      </c>
      <c r="AF27" s="92">
        <v>24845.540777981103</v>
      </c>
      <c r="AG27" s="92">
        <v>24768.813049589804</v>
      </c>
      <c r="AH27" s="93">
        <v>24690.457757811055</v>
      </c>
      <c r="AI27" s="210"/>
    </row>
    <row r="28" spans="1:35" ht="14.25">
      <c r="A28" s="15"/>
      <c r="B28" s="16" t="s">
        <v>84</v>
      </c>
      <c r="C28" s="53">
        <f>C9</f>
        <v>0.05</v>
      </c>
      <c r="D28" s="54">
        <f>NPV(C28,E27:AH27)</f>
        <v>191507.09511126918</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c r="AI28" s="210"/>
    </row>
    <row r="29" spans="1:35" ht="14.25">
      <c r="A29" s="15"/>
      <c r="B29" s="16"/>
      <c r="C29" s="29"/>
      <c r="D29" s="16"/>
      <c r="E29" s="21"/>
      <c r="F29" s="21"/>
      <c r="G29" s="21" t="s">
        <v>87</v>
      </c>
      <c r="H29" s="55"/>
      <c r="I29" s="55"/>
      <c r="J29" s="55"/>
      <c r="K29" s="55"/>
      <c r="L29" s="55"/>
      <c r="M29" s="55"/>
      <c r="N29" s="55"/>
      <c r="O29" s="55"/>
      <c r="P29" s="55"/>
      <c r="Q29" s="55"/>
      <c r="R29" s="55"/>
      <c r="S29" s="55"/>
      <c r="T29" s="55"/>
      <c r="U29" s="55"/>
      <c r="V29" s="55"/>
      <c r="W29" s="55"/>
      <c r="X29" s="55"/>
      <c r="Y29" s="55"/>
      <c r="Z29" s="55"/>
      <c r="AA29" s="55"/>
      <c r="AB29" s="56"/>
      <c r="AC29" s="55"/>
      <c r="AD29" s="55"/>
      <c r="AE29" s="55"/>
      <c r="AF29" s="55"/>
      <c r="AG29" s="55"/>
      <c r="AH29" s="56"/>
      <c r="AI29" s="210"/>
    </row>
    <row r="30" spans="1:35" ht="14.25">
      <c r="A30" s="48"/>
      <c r="B30" s="16"/>
      <c r="C30" s="29" t="s">
        <v>86</v>
      </c>
      <c r="D30" s="29" t="s">
        <v>43</v>
      </c>
      <c r="E30" s="122">
        <v>0</v>
      </c>
      <c r="F30" s="122">
        <v>0.1</v>
      </c>
      <c r="G30" s="122">
        <v>0.4</v>
      </c>
      <c r="H30" s="122">
        <v>0.5</v>
      </c>
      <c r="I30" s="122">
        <v>0</v>
      </c>
      <c r="J30" s="122">
        <v>0</v>
      </c>
      <c r="K30" s="21"/>
      <c r="L30" s="21"/>
      <c r="M30" s="21"/>
      <c r="N30" s="21"/>
      <c r="O30" s="21"/>
      <c r="P30" s="21"/>
      <c r="Q30" s="21"/>
      <c r="R30" s="21"/>
      <c r="S30" s="21"/>
      <c r="T30" s="21"/>
      <c r="U30" s="21"/>
      <c r="V30" s="21"/>
      <c r="W30" s="21"/>
      <c r="X30" s="21"/>
      <c r="Y30" s="21"/>
      <c r="Z30" s="21"/>
      <c r="AA30" s="21"/>
      <c r="AB30" s="19"/>
      <c r="AC30" s="21"/>
      <c r="AD30" s="21"/>
      <c r="AE30" s="21"/>
      <c r="AF30" s="21"/>
      <c r="AG30" s="21"/>
      <c r="AH30" s="19"/>
      <c r="AI30" s="210"/>
    </row>
    <row r="31" spans="1:35" ht="14.25">
      <c r="A31" s="15" t="s">
        <v>44</v>
      </c>
      <c r="B31" s="57" t="s">
        <v>78</v>
      </c>
      <c r="C31" s="58">
        <v>1</v>
      </c>
      <c r="D31" s="144">
        <f aca="true" t="shared" si="2" ref="D31:D39">SUM(E31:AG31)</f>
        <v>143407.74487883665</v>
      </c>
      <c r="E31" s="92">
        <v>0</v>
      </c>
      <c r="F31" s="92">
        <v>14340.774487883666</v>
      </c>
      <c r="G31" s="92">
        <v>57363.09795153466</v>
      </c>
      <c r="H31" s="92">
        <v>71703.87243941832</v>
      </c>
      <c r="I31" s="92">
        <v>0</v>
      </c>
      <c r="J31" s="92">
        <v>0</v>
      </c>
      <c r="K31" s="92"/>
      <c r="L31" s="92"/>
      <c r="M31" s="92"/>
      <c r="N31" s="92"/>
      <c r="O31" s="92"/>
      <c r="P31" s="92"/>
      <c r="Q31" s="92"/>
      <c r="R31" s="92"/>
      <c r="S31" s="92"/>
      <c r="T31" s="92"/>
      <c r="U31" s="92"/>
      <c r="V31" s="92"/>
      <c r="W31" s="92"/>
      <c r="X31" s="92"/>
      <c r="Y31" s="92"/>
      <c r="Z31" s="92"/>
      <c r="AA31" s="92"/>
      <c r="AB31" s="93"/>
      <c r="AC31" s="92"/>
      <c r="AD31" s="92"/>
      <c r="AE31" s="92"/>
      <c r="AF31" s="92"/>
      <c r="AG31" s="92"/>
      <c r="AH31" s="93"/>
      <c r="AI31" s="210"/>
    </row>
    <row r="32" spans="1:35" ht="14.25">
      <c r="A32" s="48"/>
      <c r="B32" s="16"/>
      <c r="C32" s="58">
        <f aca="true" t="shared" si="3" ref="C32:C39">C31+1</f>
        <v>2</v>
      </c>
      <c r="D32" s="144">
        <f t="shared" si="2"/>
        <v>102480</v>
      </c>
      <c r="E32" s="92">
        <v>0</v>
      </c>
      <c r="F32" s="92">
        <v>0</v>
      </c>
      <c r="G32" s="92">
        <v>0</v>
      </c>
      <c r="H32" s="92">
        <v>51240</v>
      </c>
      <c r="I32" s="92">
        <v>0</v>
      </c>
      <c r="J32" s="92">
        <v>0</v>
      </c>
      <c r="K32" s="92">
        <v>0</v>
      </c>
      <c r="L32" s="92">
        <v>0</v>
      </c>
      <c r="M32" s="92">
        <v>0</v>
      </c>
      <c r="N32" s="92">
        <v>0</v>
      </c>
      <c r="O32" s="92">
        <v>25620</v>
      </c>
      <c r="P32" s="92">
        <v>0</v>
      </c>
      <c r="Q32" s="92">
        <v>0</v>
      </c>
      <c r="R32" s="92">
        <v>0</v>
      </c>
      <c r="S32" s="92">
        <v>0</v>
      </c>
      <c r="T32" s="92">
        <v>0</v>
      </c>
      <c r="U32" s="92">
        <v>25620</v>
      </c>
      <c r="V32" s="92">
        <v>0</v>
      </c>
      <c r="W32" s="92">
        <v>0</v>
      </c>
      <c r="X32" s="92">
        <v>0</v>
      </c>
      <c r="Y32" s="92">
        <v>0</v>
      </c>
      <c r="Z32" s="92">
        <v>0</v>
      </c>
      <c r="AA32" s="92">
        <v>0</v>
      </c>
      <c r="AB32" s="93">
        <v>0</v>
      </c>
      <c r="AC32" s="92">
        <v>0</v>
      </c>
      <c r="AD32" s="92">
        <v>0</v>
      </c>
      <c r="AE32" s="92">
        <v>0</v>
      </c>
      <c r="AF32" s="92">
        <v>0</v>
      </c>
      <c r="AG32" s="92">
        <v>0</v>
      </c>
      <c r="AH32" s="93">
        <v>0</v>
      </c>
      <c r="AI32" s="210"/>
    </row>
    <row r="33" spans="1:35" ht="14.25">
      <c r="A33" s="48"/>
      <c r="B33" s="16"/>
      <c r="C33" s="58">
        <f t="shared" si="3"/>
        <v>3</v>
      </c>
      <c r="D33" s="144">
        <f t="shared" si="2"/>
        <v>3476.0483082364026</v>
      </c>
      <c r="E33" s="92">
        <v>0</v>
      </c>
      <c r="F33" s="92">
        <v>347.60483082364027</v>
      </c>
      <c r="G33" s="92">
        <v>1390.419323294561</v>
      </c>
      <c r="H33" s="92">
        <v>1738.0241541182013</v>
      </c>
      <c r="I33" s="92">
        <v>0</v>
      </c>
      <c r="J33" s="92">
        <v>0</v>
      </c>
      <c r="K33" s="92"/>
      <c r="L33" s="92"/>
      <c r="M33" s="92"/>
      <c r="N33" s="92"/>
      <c r="O33" s="92"/>
      <c r="P33" s="92"/>
      <c r="Q33" s="92"/>
      <c r="R33" s="92"/>
      <c r="S33" s="92"/>
      <c r="T33" s="92"/>
      <c r="U33" s="92"/>
      <c r="V33" s="92"/>
      <c r="W33" s="92"/>
      <c r="X33" s="92"/>
      <c r="Y33" s="92"/>
      <c r="Z33" s="92"/>
      <c r="AA33" s="92"/>
      <c r="AB33" s="93"/>
      <c r="AC33" s="92"/>
      <c r="AD33" s="92"/>
      <c r="AE33" s="92"/>
      <c r="AF33" s="92"/>
      <c r="AG33" s="92"/>
      <c r="AH33" s="93"/>
      <c r="AI33" s="210"/>
    </row>
    <row r="34" spans="1:35" ht="14.25">
      <c r="A34" s="48"/>
      <c r="B34" s="16"/>
      <c r="C34" s="58">
        <f t="shared" si="3"/>
        <v>4</v>
      </c>
      <c r="D34" s="144">
        <f t="shared" si="2"/>
        <v>117466.55761679413</v>
      </c>
      <c r="E34" s="92">
        <v>0</v>
      </c>
      <c r="F34" s="92">
        <v>3915.5519205598043</v>
      </c>
      <c r="G34" s="92">
        <v>15662.207682239217</v>
      </c>
      <c r="H34" s="92">
        <v>19577.75960279902</v>
      </c>
      <c r="I34" s="92">
        <v>0</v>
      </c>
      <c r="J34" s="92">
        <v>0</v>
      </c>
      <c r="K34" s="92"/>
      <c r="L34" s="92"/>
      <c r="M34" s="92"/>
      <c r="N34" s="92"/>
      <c r="O34" s="92"/>
      <c r="P34" s="92"/>
      <c r="Q34" s="92">
        <f>SUM(E34:J34)</f>
        <v>39155.519205598044</v>
      </c>
      <c r="R34" s="92"/>
      <c r="S34" s="92"/>
      <c r="T34" s="92"/>
      <c r="U34" s="92"/>
      <c r="V34" s="92"/>
      <c r="W34" s="92"/>
      <c r="X34" s="92"/>
      <c r="Y34" s="92"/>
      <c r="Z34" s="92"/>
      <c r="AA34" s="92">
        <f>SUM(E34:J34)</f>
        <v>39155.519205598044</v>
      </c>
      <c r="AB34" s="93"/>
      <c r="AC34" s="92"/>
      <c r="AD34" s="92"/>
      <c r="AE34" s="92"/>
      <c r="AF34" s="92"/>
      <c r="AG34" s="92"/>
      <c r="AH34" s="93"/>
      <c r="AI34" s="210"/>
    </row>
    <row r="35" spans="1:35" ht="14.25">
      <c r="A35" s="48"/>
      <c r="B35" s="16"/>
      <c r="C35" s="58">
        <f t="shared" si="3"/>
        <v>5</v>
      </c>
      <c r="D35" s="144">
        <f t="shared" si="2"/>
        <v>202935.1724926621</v>
      </c>
      <c r="E35" s="92">
        <v>0</v>
      </c>
      <c r="F35" s="92">
        <v>20293.517249266213</v>
      </c>
      <c r="G35" s="92">
        <v>81174.06899706485</v>
      </c>
      <c r="H35" s="92">
        <v>101467.58624633105</v>
      </c>
      <c r="I35" s="92">
        <v>0</v>
      </c>
      <c r="J35" s="92">
        <v>0</v>
      </c>
      <c r="K35" s="92"/>
      <c r="L35" s="92"/>
      <c r="M35" s="92"/>
      <c r="N35" s="92"/>
      <c r="O35" s="92"/>
      <c r="P35" s="92"/>
      <c r="Q35" s="92"/>
      <c r="R35" s="92"/>
      <c r="S35" s="92"/>
      <c r="T35" s="92"/>
      <c r="U35" s="92"/>
      <c r="V35" s="92"/>
      <c r="W35" s="92"/>
      <c r="X35" s="92"/>
      <c r="Y35" s="92"/>
      <c r="Z35" s="92"/>
      <c r="AA35" s="92"/>
      <c r="AB35" s="93"/>
      <c r="AC35" s="92"/>
      <c r="AD35" s="92"/>
      <c r="AE35" s="92"/>
      <c r="AF35" s="92"/>
      <c r="AG35" s="92"/>
      <c r="AH35" s="93"/>
      <c r="AI35" s="210"/>
    </row>
    <row r="36" spans="1:35" ht="14.25">
      <c r="A36" s="48"/>
      <c r="B36" s="16"/>
      <c r="C36" s="58">
        <f t="shared" si="3"/>
        <v>6</v>
      </c>
      <c r="D36" s="144">
        <f t="shared" si="2"/>
        <v>33218.39875440417</v>
      </c>
      <c r="E36" s="92">
        <v>0</v>
      </c>
      <c r="F36" s="92">
        <v>1107.279958480139</v>
      </c>
      <c r="G36" s="92">
        <v>4429.119833920556</v>
      </c>
      <c r="H36" s="92">
        <v>5536.399792400694</v>
      </c>
      <c r="I36" s="92">
        <v>0</v>
      </c>
      <c r="J36" s="92">
        <v>0</v>
      </c>
      <c r="K36" s="92"/>
      <c r="L36" s="92"/>
      <c r="M36" s="92"/>
      <c r="N36" s="92"/>
      <c r="O36" s="92"/>
      <c r="P36" s="92"/>
      <c r="Q36" s="92">
        <f>SUM(E36:J36)</f>
        <v>11072.799584801389</v>
      </c>
      <c r="R36" s="92"/>
      <c r="S36" s="92"/>
      <c r="T36" s="92"/>
      <c r="U36" s="92"/>
      <c r="V36" s="92"/>
      <c r="W36" s="92"/>
      <c r="X36" s="92"/>
      <c r="Y36" s="92"/>
      <c r="Z36" s="92"/>
      <c r="AA36" s="92">
        <f>SUM(E36:J36)</f>
        <v>11072.799584801389</v>
      </c>
      <c r="AB36" s="93"/>
      <c r="AC36" s="92"/>
      <c r="AD36" s="92"/>
      <c r="AE36" s="92"/>
      <c r="AF36" s="92"/>
      <c r="AG36" s="92"/>
      <c r="AH36" s="93"/>
      <c r="AI36" s="210"/>
    </row>
    <row r="37" spans="1:35" ht="14.25">
      <c r="A37" s="48"/>
      <c r="B37" s="16"/>
      <c r="C37" s="58">
        <f t="shared" si="3"/>
        <v>7</v>
      </c>
      <c r="D37" s="144">
        <f t="shared" si="2"/>
        <v>42545.45374070746</v>
      </c>
      <c r="E37" s="92">
        <v>0</v>
      </c>
      <c r="F37" s="92">
        <v>4254.545374070746</v>
      </c>
      <c r="G37" s="92">
        <v>17018.181496282985</v>
      </c>
      <c r="H37" s="92">
        <v>21272.72687035373</v>
      </c>
      <c r="I37" s="92">
        <v>0</v>
      </c>
      <c r="J37" s="92">
        <v>0</v>
      </c>
      <c r="K37" s="92"/>
      <c r="L37" s="92"/>
      <c r="M37" s="92"/>
      <c r="N37" s="92"/>
      <c r="O37" s="92"/>
      <c r="P37" s="92"/>
      <c r="Q37" s="92"/>
      <c r="R37" s="92"/>
      <c r="S37" s="92"/>
      <c r="T37" s="92"/>
      <c r="U37" s="92"/>
      <c r="V37" s="92"/>
      <c r="W37" s="92"/>
      <c r="X37" s="92"/>
      <c r="Y37" s="92"/>
      <c r="Z37" s="92"/>
      <c r="AA37" s="92"/>
      <c r="AB37" s="93"/>
      <c r="AC37" s="92"/>
      <c r="AD37" s="92"/>
      <c r="AE37" s="92"/>
      <c r="AF37" s="92"/>
      <c r="AG37" s="92"/>
      <c r="AH37" s="93"/>
      <c r="AI37" s="210"/>
    </row>
    <row r="38" spans="1:35" ht="14.25">
      <c r="A38" s="48"/>
      <c r="B38" s="16"/>
      <c r="C38" s="58">
        <f t="shared" si="3"/>
        <v>8</v>
      </c>
      <c r="D38" s="144">
        <f t="shared" si="2"/>
        <v>251271.02559456654</v>
      </c>
      <c r="E38" s="92">
        <v>0</v>
      </c>
      <c r="F38" s="92">
        <v>8375.700853152219</v>
      </c>
      <c r="G38" s="92">
        <v>33502.803412608875</v>
      </c>
      <c r="H38" s="92">
        <v>41878.5042657611</v>
      </c>
      <c r="I38" s="92">
        <v>0</v>
      </c>
      <c r="J38" s="92">
        <v>0</v>
      </c>
      <c r="K38" s="92"/>
      <c r="L38" s="92"/>
      <c r="M38" s="92"/>
      <c r="N38" s="92"/>
      <c r="O38" s="92"/>
      <c r="P38" s="92"/>
      <c r="Q38" s="92">
        <f>SUM(E38:J38)</f>
        <v>83757.00853152218</v>
      </c>
      <c r="R38" s="92"/>
      <c r="S38" s="92"/>
      <c r="T38" s="92"/>
      <c r="U38" s="92"/>
      <c r="V38" s="92"/>
      <c r="W38" s="92"/>
      <c r="X38" s="92"/>
      <c r="Y38" s="92"/>
      <c r="Z38" s="92"/>
      <c r="AA38" s="92">
        <f>SUM(E38:J38)</f>
        <v>83757.00853152218</v>
      </c>
      <c r="AB38" s="93"/>
      <c r="AC38" s="92"/>
      <c r="AD38" s="92"/>
      <c r="AE38" s="92"/>
      <c r="AF38" s="92"/>
      <c r="AG38" s="92"/>
      <c r="AH38" s="93"/>
      <c r="AI38" s="210"/>
    </row>
    <row r="39" spans="1:35" ht="14.25">
      <c r="A39" s="48"/>
      <c r="B39" s="16"/>
      <c r="C39" s="58">
        <f t="shared" si="3"/>
        <v>9</v>
      </c>
      <c r="D39" s="144">
        <f t="shared" si="2"/>
        <v>210508.02031518854</v>
      </c>
      <c r="E39" s="92">
        <v>95982.01015759427</v>
      </c>
      <c r="F39" s="92">
        <v>95982.01015759427</v>
      </c>
      <c r="G39" s="92">
        <v>244</v>
      </c>
      <c r="H39" s="92">
        <v>0</v>
      </c>
      <c r="I39" s="92">
        <v>0</v>
      </c>
      <c r="J39" s="92">
        <v>18300</v>
      </c>
      <c r="K39" s="92">
        <v>0</v>
      </c>
      <c r="L39" s="92">
        <v>0</v>
      </c>
      <c r="M39" s="92">
        <v>0</v>
      </c>
      <c r="N39" s="92">
        <v>0</v>
      </c>
      <c r="O39" s="92">
        <v>0</v>
      </c>
      <c r="P39" s="92">
        <v>0</v>
      </c>
      <c r="Q39" s="92">
        <v>0</v>
      </c>
      <c r="R39" s="92">
        <v>0</v>
      </c>
      <c r="S39" s="92">
        <v>0</v>
      </c>
      <c r="T39" s="92">
        <v>0</v>
      </c>
      <c r="U39" s="92">
        <v>0</v>
      </c>
      <c r="V39" s="92">
        <v>0</v>
      </c>
      <c r="W39" s="92">
        <v>0</v>
      </c>
      <c r="X39" s="92">
        <v>0</v>
      </c>
      <c r="Y39" s="92">
        <v>0</v>
      </c>
      <c r="Z39" s="92">
        <v>0</v>
      </c>
      <c r="AA39" s="92">
        <v>0</v>
      </c>
      <c r="AB39" s="93">
        <v>0</v>
      </c>
      <c r="AC39" s="92">
        <v>0</v>
      </c>
      <c r="AD39" s="92">
        <v>0</v>
      </c>
      <c r="AE39" s="92">
        <v>0</v>
      </c>
      <c r="AF39" s="92">
        <v>0</v>
      </c>
      <c r="AG39" s="92">
        <v>0</v>
      </c>
      <c r="AH39" s="93">
        <v>0</v>
      </c>
      <c r="AI39" s="210"/>
    </row>
    <row r="40" spans="1:35" ht="14.25">
      <c r="A40" s="48"/>
      <c r="B40" s="16"/>
      <c r="C40" s="58"/>
      <c r="D40" s="144"/>
      <c r="E40" s="92"/>
      <c r="F40" s="92"/>
      <c r="G40" s="92"/>
      <c r="H40" s="92"/>
      <c r="I40" s="92"/>
      <c r="J40" s="92"/>
      <c r="K40" s="92"/>
      <c r="L40" s="92"/>
      <c r="M40" s="92"/>
      <c r="N40" s="92"/>
      <c r="O40" s="92"/>
      <c r="P40" s="92"/>
      <c r="Q40" s="92"/>
      <c r="R40" s="92"/>
      <c r="S40" s="92"/>
      <c r="T40" s="92"/>
      <c r="U40" s="92"/>
      <c r="V40" s="92"/>
      <c r="W40" s="92"/>
      <c r="X40" s="92"/>
      <c r="Y40" s="92"/>
      <c r="Z40" s="92"/>
      <c r="AA40" s="92"/>
      <c r="AB40" s="93"/>
      <c r="AC40" s="92"/>
      <c r="AD40" s="92"/>
      <c r="AE40" s="92"/>
      <c r="AF40" s="92"/>
      <c r="AG40" s="92"/>
      <c r="AH40" s="93"/>
      <c r="AI40" s="210"/>
    </row>
    <row r="41" spans="1:35" ht="14.25">
      <c r="A41" s="48"/>
      <c r="B41" s="16"/>
      <c r="C41" s="29"/>
      <c r="D41" s="144">
        <f>SUM(D31:D39)</f>
        <v>1107308.421701396</v>
      </c>
      <c r="E41" s="92"/>
      <c r="F41" s="92"/>
      <c r="G41" s="92"/>
      <c r="H41" s="92"/>
      <c r="I41" s="92"/>
      <c r="J41" s="92"/>
      <c r="K41" s="92"/>
      <c r="L41" s="92"/>
      <c r="M41" s="92"/>
      <c r="N41" s="92"/>
      <c r="O41" s="92"/>
      <c r="P41" s="92"/>
      <c r="Q41" s="92"/>
      <c r="R41" s="92"/>
      <c r="S41" s="92"/>
      <c r="T41" s="92"/>
      <c r="U41" s="92"/>
      <c r="V41" s="92"/>
      <c r="W41" s="92"/>
      <c r="X41" s="92"/>
      <c r="Y41" s="92"/>
      <c r="Z41" s="92"/>
      <c r="AA41" s="92"/>
      <c r="AB41" s="93"/>
      <c r="AC41" s="92"/>
      <c r="AD41" s="92"/>
      <c r="AE41" s="92"/>
      <c r="AF41" s="92"/>
      <c r="AG41" s="92"/>
      <c r="AH41" s="93"/>
      <c r="AI41" s="210"/>
    </row>
    <row r="42" spans="1:35" ht="14.25">
      <c r="A42" s="48"/>
      <c r="B42" s="57"/>
      <c r="C42" s="29"/>
      <c r="D42" s="145"/>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c r="AI42" s="210"/>
    </row>
    <row r="43" spans="1:35" ht="14.25">
      <c r="A43" s="48"/>
      <c r="B43" s="16"/>
      <c r="C43" s="29"/>
      <c r="D43" s="145"/>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c r="AI43" s="210"/>
    </row>
    <row r="44" spans="1:35" ht="14.25">
      <c r="A44" s="48"/>
      <c r="B44" s="57" t="s">
        <v>79</v>
      </c>
      <c r="C44" s="29"/>
      <c r="D44" s="145"/>
      <c r="E44" s="92">
        <f aca="true" t="shared" si="4" ref="E44:AH44">SUM(E45:E52)</f>
        <v>0</v>
      </c>
      <c r="F44" s="92">
        <f t="shared" si="4"/>
        <v>0</v>
      </c>
      <c r="G44" s="92">
        <f t="shared" si="4"/>
        <v>0</v>
      </c>
      <c r="H44" s="92">
        <f t="shared" si="4"/>
        <v>0</v>
      </c>
      <c r="I44" s="92">
        <f t="shared" si="4"/>
        <v>6745.418479852704</v>
      </c>
      <c r="J44" s="92">
        <f t="shared" si="4"/>
        <v>7034.231827623946</v>
      </c>
      <c r="K44" s="92">
        <f t="shared" si="4"/>
        <v>7328.362715601743</v>
      </c>
      <c r="L44" s="92">
        <f t="shared" si="4"/>
        <v>7630.4542437454</v>
      </c>
      <c r="M44" s="92">
        <f t="shared" si="4"/>
        <v>7942.787025130866</v>
      </c>
      <c r="N44" s="92">
        <f t="shared" si="4"/>
        <v>8243.57041384049</v>
      </c>
      <c r="O44" s="92">
        <f t="shared" si="4"/>
        <v>8661.145775986364</v>
      </c>
      <c r="P44" s="92">
        <f t="shared" si="4"/>
        <v>8987.10336648575</v>
      </c>
      <c r="Q44" s="92">
        <f t="shared" si="4"/>
        <v>9328.081822207714</v>
      </c>
      <c r="R44" s="92">
        <f t="shared" si="4"/>
        <v>9685.804894396828</v>
      </c>
      <c r="S44" s="92">
        <f t="shared" si="4"/>
        <v>10029.866639155887</v>
      </c>
      <c r="T44" s="92">
        <f t="shared" si="4"/>
        <v>10390.678070695874</v>
      </c>
      <c r="U44" s="92">
        <f t="shared" si="4"/>
        <v>10874.82650129079</v>
      </c>
      <c r="V44" s="92">
        <f t="shared" si="4"/>
        <v>11274.03279756424</v>
      </c>
      <c r="W44" s="92">
        <f t="shared" si="4"/>
        <v>11695.170301498325</v>
      </c>
      <c r="X44" s="92">
        <f t="shared" si="4"/>
        <v>12140.061630319959</v>
      </c>
      <c r="Y44" s="92">
        <f t="shared" si="4"/>
        <v>12502.529528837433</v>
      </c>
      <c r="Z44" s="92">
        <f t="shared" si="4"/>
        <v>12888.617720913177</v>
      </c>
      <c r="AA44" s="92">
        <f t="shared" si="4"/>
        <v>13025.063203195878</v>
      </c>
      <c r="AB44" s="93">
        <f t="shared" si="4"/>
        <v>12993.99457798229</v>
      </c>
      <c r="AC44" s="92">
        <f t="shared" si="4"/>
        <v>12961.183097573134</v>
      </c>
      <c r="AD44" s="92">
        <f t="shared" si="4"/>
        <v>12927.668396795641</v>
      </c>
      <c r="AE44" s="92">
        <f t="shared" si="4"/>
        <v>12893.437281278913</v>
      </c>
      <c r="AF44" s="92">
        <f t="shared" si="4"/>
        <v>12858.476320980117</v>
      </c>
      <c r="AG44" s="92">
        <f t="shared" si="4"/>
        <v>12822.771846406024</v>
      </c>
      <c r="AH44" s="93">
        <f t="shared" si="4"/>
        <v>12786.309944758139</v>
      </c>
      <c r="AI44" s="210"/>
    </row>
    <row r="45" spans="1:35" ht="14.25">
      <c r="A45" s="48"/>
      <c r="B45" s="16" t="s">
        <v>21</v>
      </c>
      <c r="C45" s="29" t="s">
        <v>80</v>
      </c>
      <c r="D45" s="145"/>
      <c r="E45" s="142">
        <v>0</v>
      </c>
      <c r="F45" s="142">
        <v>0</v>
      </c>
      <c r="G45" s="142">
        <v>0</v>
      </c>
      <c r="H45" s="142">
        <v>0</v>
      </c>
      <c r="I45" s="142">
        <v>823.0746647623268</v>
      </c>
      <c r="J45" s="142">
        <v>944.5715875276758</v>
      </c>
      <c r="K45" s="142">
        <v>1073.1673327941335</v>
      </c>
      <c r="L45" s="92">
        <v>1209.6895016045726</v>
      </c>
      <c r="M45" s="92">
        <v>1355.0702703102208</v>
      </c>
      <c r="N45" s="92">
        <v>1499.1070463131534</v>
      </c>
      <c r="O45" s="92">
        <v>1652.3778412190875</v>
      </c>
      <c r="P45" s="92">
        <v>1815.8987622602915</v>
      </c>
      <c r="Q45" s="92">
        <v>1990.805143054874</v>
      </c>
      <c r="R45" s="92">
        <v>2178.3664882924513</v>
      </c>
      <c r="S45" s="92">
        <v>2363.3774133412676</v>
      </c>
      <c r="T45" s="92">
        <v>2561.2212575330154</v>
      </c>
      <c r="U45" s="92">
        <v>2773.2087791025824</v>
      </c>
      <c r="V45" s="92">
        <v>3000.7909333596986</v>
      </c>
      <c r="W45" s="92">
        <v>3245.574562175853</v>
      </c>
      <c r="X45" s="92">
        <v>3509.4645672075635</v>
      </c>
      <c r="Y45" s="92">
        <v>3729.8797097249126</v>
      </c>
      <c r="Z45" s="92">
        <v>3967.9758820728516</v>
      </c>
      <c r="AA45" s="92">
        <v>4081.9390060890505</v>
      </c>
      <c r="AB45" s="93">
        <v>4071.112200409759</v>
      </c>
      <c r="AC45" s="92">
        <v>4059.6795430466627</v>
      </c>
      <c r="AD45" s="92">
        <v>4048.0016722222</v>
      </c>
      <c r="AE45" s="92">
        <v>4036.074027509557</v>
      </c>
      <c r="AF45" s="92">
        <v>4023.8919647910507</v>
      </c>
      <c r="AG45" s="92">
        <v>4011.4507550429107</v>
      </c>
      <c r="AH45" s="93">
        <v>3998.745583085603</v>
      </c>
      <c r="AI45" s="210"/>
    </row>
    <row r="46" spans="1:35" ht="14.25">
      <c r="A46" s="48"/>
      <c r="B46" s="16" t="s">
        <v>22</v>
      </c>
      <c r="C46" s="29" t="s">
        <v>80</v>
      </c>
      <c r="D46" s="145"/>
      <c r="E46" s="142">
        <v>0</v>
      </c>
      <c r="F46" s="142">
        <v>0</v>
      </c>
      <c r="G46" s="142">
        <v>0</v>
      </c>
      <c r="H46" s="142">
        <v>0</v>
      </c>
      <c r="I46" s="142">
        <v>2681.6749817010063</v>
      </c>
      <c r="J46" s="142">
        <v>2828.378614294866</v>
      </c>
      <c r="K46" s="142">
        <v>2976.8176114829976</v>
      </c>
      <c r="L46" s="92">
        <v>3127.935864143607</v>
      </c>
      <c r="M46" s="92">
        <v>3282.4748292431045</v>
      </c>
      <c r="N46" s="92">
        <v>3429.4629734731548</v>
      </c>
      <c r="O46" s="92">
        <v>3580.116476271665</v>
      </c>
      <c r="P46" s="92">
        <v>3734.809933089474</v>
      </c>
      <c r="Q46" s="92">
        <v>3893.891699504352</v>
      </c>
      <c r="R46" s="92">
        <v>4057.6939076439285</v>
      </c>
      <c r="S46" s="92">
        <v>4212.112298619744</v>
      </c>
      <c r="T46" s="92">
        <v>4370.798586030035</v>
      </c>
      <c r="U46" s="92">
        <v>4533.981261237977</v>
      </c>
      <c r="V46" s="92">
        <v>4701.890212790646</v>
      </c>
      <c r="W46" s="92">
        <v>4874.75835726962</v>
      </c>
      <c r="X46" s="92">
        <v>5052.667136621454</v>
      </c>
      <c r="Y46" s="92">
        <v>5193.683849383575</v>
      </c>
      <c r="Z46" s="92">
        <v>5340.571446491867</v>
      </c>
      <c r="AA46" s="92">
        <v>5367.229949084833</v>
      </c>
      <c r="AB46" s="93">
        <v>5353.0125536861115</v>
      </c>
      <c r="AC46" s="92">
        <v>5337.996552783123</v>
      </c>
      <c r="AD46" s="92">
        <v>5322.658858206267</v>
      </c>
      <c r="AE46" s="92">
        <v>5306.99340566885</v>
      </c>
      <c r="AF46" s="92">
        <v>5290.994024136115</v>
      </c>
      <c r="AG46" s="92">
        <v>5274.654434024891</v>
      </c>
      <c r="AH46" s="93">
        <v>5257.968245373759</v>
      </c>
      <c r="AI46" s="210"/>
    </row>
    <row r="47" spans="1:35" ht="14.25">
      <c r="A47" s="48"/>
      <c r="B47" s="16" t="s">
        <v>23</v>
      </c>
      <c r="C47" s="29" t="s">
        <v>80</v>
      </c>
      <c r="D47" s="145"/>
      <c r="E47" s="142">
        <v>0</v>
      </c>
      <c r="F47" s="142">
        <v>0</v>
      </c>
      <c r="G47" s="142">
        <v>0</v>
      </c>
      <c r="H47" s="142">
        <v>0</v>
      </c>
      <c r="I47" s="142">
        <v>3240.6688333893703</v>
      </c>
      <c r="J47" s="142">
        <v>3261.281625801403</v>
      </c>
      <c r="K47" s="142">
        <v>3278.3777713246122</v>
      </c>
      <c r="L47" s="92">
        <v>3292.828877997221</v>
      </c>
      <c r="M47" s="92">
        <v>3305.2419255775403</v>
      </c>
      <c r="N47" s="92">
        <v>3315.0003940541833</v>
      </c>
      <c r="O47" s="92">
        <v>3428.6514584956117</v>
      </c>
      <c r="P47" s="92">
        <v>3436.394671135984</v>
      </c>
      <c r="Q47" s="92">
        <v>3443.3849796484883</v>
      </c>
      <c r="R47" s="92">
        <v>3449.744498460447</v>
      </c>
      <c r="S47" s="92">
        <v>3454.376927194876</v>
      </c>
      <c r="T47" s="92">
        <v>3458.6582271328252</v>
      </c>
      <c r="U47" s="92">
        <v>3567.6364609502307</v>
      </c>
      <c r="V47" s="92">
        <v>3571.3516514138955</v>
      </c>
      <c r="W47" s="92">
        <v>3574.837382052852</v>
      </c>
      <c r="X47" s="92">
        <v>3577.9299264909405</v>
      </c>
      <c r="Y47" s="92">
        <v>3578.9659697289467</v>
      </c>
      <c r="Z47" s="92">
        <v>3580.0703923484584</v>
      </c>
      <c r="AA47" s="92">
        <v>3575.894248021995</v>
      </c>
      <c r="AB47" s="93">
        <v>3569.8698238864195</v>
      </c>
      <c r="AC47" s="92">
        <v>3563.507001743348</v>
      </c>
      <c r="AD47" s="92">
        <v>3557.007866367173</v>
      </c>
      <c r="AE47" s="92">
        <v>3550.369848100507</v>
      </c>
      <c r="AF47" s="92">
        <v>3543.590332052951</v>
      </c>
      <c r="AG47" s="92">
        <v>3536.66665733822</v>
      </c>
      <c r="AH47" s="93">
        <v>3529.5961162987765</v>
      </c>
      <c r="AI47" s="210"/>
    </row>
    <row r="48" spans="1:35" ht="14.25">
      <c r="A48" s="48"/>
      <c r="B48" s="16" t="s">
        <v>24</v>
      </c>
      <c r="C48" s="29" t="s">
        <v>80</v>
      </c>
      <c r="D48" s="145"/>
      <c r="E48" s="142"/>
      <c r="F48" s="142"/>
      <c r="G48" s="142"/>
      <c r="H48" s="142"/>
      <c r="I48" s="142"/>
      <c r="J48" s="142"/>
      <c r="K48" s="142"/>
      <c r="L48" s="92"/>
      <c r="M48" s="92"/>
      <c r="N48" s="92"/>
      <c r="O48" s="92"/>
      <c r="P48" s="92"/>
      <c r="Q48" s="92"/>
      <c r="R48" s="92"/>
      <c r="S48" s="92"/>
      <c r="T48" s="92"/>
      <c r="U48" s="92"/>
      <c r="V48" s="92"/>
      <c r="W48" s="92"/>
      <c r="X48" s="92"/>
      <c r="Y48" s="92"/>
      <c r="Z48" s="92"/>
      <c r="AA48" s="92"/>
      <c r="AB48" s="93"/>
      <c r="AC48" s="92"/>
      <c r="AD48" s="92"/>
      <c r="AE48" s="92"/>
      <c r="AF48" s="92"/>
      <c r="AG48" s="92"/>
      <c r="AH48" s="93"/>
      <c r="AI48" s="210"/>
    </row>
    <row r="49" spans="1:35" ht="14.25">
      <c r="A49" s="48"/>
      <c r="B49" s="16" t="s">
        <v>25</v>
      </c>
      <c r="C49" s="29" t="s">
        <v>80</v>
      </c>
      <c r="D49" s="145"/>
      <c r="E49" s="142"/>
      <c r="F49" s="142"/>
      <c r="G49" s="142"/>
      <c r="H49" s="142"/>
      <c r="I49" s="142"/>
      <c r="J49" s="142"/>
      <c r="K49" s="142"/>
      <c r="L49" s="92"/>
      <c r="M49" s="92"/>
      <c r="N49" s="92"/>
      <c r="O49" s="92"/>
      <c r="P49" s="92"/>
      <c r="Q49" s="92"/>
      <c r="R49" s="92"/>
      <c r="S49" s="92"/>
      <c r="T49" s="92"/>
      <c r="U49" s="92"/>
      <c r="V49" s="92"/>
      <c r="W49" s="92"/>
      <c r="X49" s="92"/>
      <c r="Y49" s="92"/>
      <c r="Z49" s="92"/>
      <c r="AA49" s="92"/>
      <c r="AB49" s="93"/>
      <c r="AC49" s="92"/>
      <c r="AD49" s="92"/>
      <c r="AE49" s="92"/>
      <c r="AF49" s="92"/>
      <c r="AG49" s="92"/>
      <c r="AH49" s="93"/>
      <c r="AI49" s="210"/>
    </row>
    <row r="50" spans="1:35" ht="14.25">
      <c r="A50" s="48"/>
      <c r="B50" s="16" t="s">
        <v>132</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c r="AI50" s="210"/>
    </row>
    <row r="51" spans="1:35" ht="14.25">
      <c r="A51" s="48"/>
      <c r="B51" s="16" t="str">
        <f>B50</f>
        <v>Others</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c r="AI51" s="210"/>
    </row>
    <row r="52" spans="1:35" ht="14.25">
      <c r="A52" s="48"/>
      <c r="B52" s="16" t="str">
        <f>B51</f>
        <v>Others</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c r="AI52" s="210"/>
    </row>
    <row r="53" spans="1:35" ht="14.25">
      <c r="A53" s="48"/>
      <c r="B53" s="16"/>
      <c r="C53" s="29"/>
      <c r="D53" s="145"/>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c r="AI53" s="210"/>
    </row>
    <row r="54" spans="1:35" ht="14.25">
      <c r="A54" s="48"/>
      <c r="B54" s="16" t="s">
        <v>45</v>
      </c>
      <c r="C54" s="53">
        <f>C9</f>
        <v>0.05</v>
      </c>
      <c r="D54" s="147">
        <f>NPV(C54,E54:AH54)</f>
        <v>938100.9593720875</v>
      </c>
      <c r="E54" s="92">
        <f aca="true" t="shared" si="5" ref="E54:AH54">E44+SUM(E31:E39)</f>
        <v>95982.01015759427</v>
      </c>
      <c r="F54" s="92">
        <f t="shared" si="5"/>
        <v>148616.9848318307</v>
      </c>
      <c r="G54" s="92">
        <f t="shared" si="5"/>
        <v>210783.8986969457</v>
      </c>
      <c r="H54" s="92">
        <f t="shared" si="5"/>
        <v>314414.8733711821</v>
      </c>
      <c r="I54" s="92">
        <f t="shared" si="5"/>
        <v>6745.418479852704</v>
      </c>
      <c r="J54" s="92">
        <f t="shared" si="5"/>
        <v>25334.231827623946</v>
      </c>
      <c r="K54" s="92">
        <f t="shared" si="5"/>
        <v>7328.362715601743</v>
      </c>
      <c r="L54" s="92">
        <f t="shared" si="5"/>
        <v>7630.4542437454</v>
      </c>
      <c r="M54" s="92">
        <f t="shared" si="5"/>
        <v>7942.787025130866</v>
      </c>
      <c r="N54" s="92">
        <f t="shared" si="5"/>
        <v>8243.57041384049</v>
      </c>
      <c r="O54" s="92">
        <f t="shared" si="5"/>
        <v>34281.14577598636</v>
      </c>
      <c r="P54" s="92">
        <f t="shared" si="5"/>
        <v>8987.10336648575</v>
      </c>
      <c r="Q54" s="92">
        <f t="shared" si="5"/>
        <v>143313.40914412934</v>
      </c>
      <c r="R54" s="92">
        <f t="shared" si="5"/>
        <v>9685.804894396828</v>
      </c>
      <c r="S54" s="92">
        <f t="shared" si="5"/>
        <v>10029.866639155887</v>
      </c>
      <c r="T54" s="92">
        <f t="shared" si="5"/>
        <v>10390.678070695874</v>
      </c>
      <c r="U54" s="92">
        <f t="shared" si="5"/>
        <v>36494.826501290794</v>
      </c>
      <c r="V54" s="92">
        <f t="shared" si="5"/>
        <v>11274.03279756424</v>
      </c>
      <c r="W54" s="92">
        <f t="shared" si="5"/>
        <v>11695.170301498325</v>
      </c>
      <c r="X54" s="92">
        <f t="shared" si="5"/>
        <v>12140.061630319959</v>
      </c>
      <c r="Y54" s="92">
        <f t="shared" si="5"/>
        <v>12502.529528837433</v>
      </c>
      <c r="Z54" s="92">
        <f t="shared" si="5"/>
        <v>12888.617720913177</v>
      </c>
      <c r="AA54" s="92">
        <f t="shared" si="5"/>
        <v>147010.3905251175</v>
      </c>
      <c r="AB54" s="93">
        <f t="shared" si="5"/>
        <v>12993.99457798229</v>
      </c>
      <c r="AC54" s="92">
        <f t="shared" si="5"/>
        <v>12961.183097573134</v>
      </c>
      <c r="AD54" s="92">
        <f t="shared" si="5"/>
        <v>12927.668396795641</v>
      </c>
      <c r="AE54" s="92">
        <f t="shared" si="5"/>
        <v>12893.437281278913</v>
      </c>
      <c r="AF54" s="92">
        <f t="shared" si="5"/>
        <v>12858.476320980117</v>
      </c>
      <c r="AG54" s="92">
        <f t="shared" si="5"/>
        <v>12822.771846406024</v>
      </c>
      <c r="AH54" s="93">
        <f t="shared" si="5"/>
        <v>12786.309944758139</v>
      </c>
      <c r="AI54" s="210"/>
    </row>
    <row r="55" spans="1:35" ht="14.25">
      <c r="A55" s="48"/>
      <c r="B55" s="16" t="s">
        <v>82</v>
      </c>
      <c r="C55" s="53"/>
      <c r="D55" s="60"/>
      <c r="E55" s="123">
        <f aca="true" t="shared" si="6" ref="E55:AH55">IF(E44=0,0,E44/E27)</f>
        <v>0</v>
      </c>
      <c r="F55" s="123">
        <f t="shared" si="6"/>
        <v>0</v>
      </c>
      <c r="G55" s="123">
        <f t="shared" si="6"/>
        <v>0</v>
      </c>
      <c r="H55" s="123">
        <f t="shared" si="6"/>
        <v>0</v>
      </c>
      <c r="I55" s="123">
        <f t="shared" si="6"/>
        <v>1.0047661819107154</v>
      </c>
      <c r="J55" s="123">
        <f t="shared" si="6"/>
        <v>0.9202859683899793</v>
      </c>
      <c r="K55" s="123">
        <f t="shared" si="6"/>
        <v>0.8514947634517047</v>
      </c>
      <c r="L55" s="123">
        <f t="shared" si="6"/>
        <v>0.7945132715329473</v>
      </c>
      <c r="M55" s="123">
        <f t="shared" si="6"/>
        <v>0.7466631089466306</v>
      </c>
      <c r="N55" s="123">
        <f t="shared" si="6"/>
        <v>0.7086447615734757</v>
      </c>
      <c r="O55" s="123">
        <f t="shared" si="6"/>
        <v>0.6840980143552338</v>
      </c>
      <c r="P55" s="123">
        <f t="shared" si="6"/>
        <v>0.6549091870739818</v>
      </c>
      <c r="Q55" s="123">
        <f t="shared" si="6"/>
        <v>0.6294067541774646</v>
      </c>
      <c r="R55" s="123">
        <f t="shared" si="6"/>
        <v>0.6070458877272762</v>
      </c>
      <c r="S55" s="123">
        <f t="shared" si="6"/>
        <v>0.5888241745332413</v>
      </c>
      <c r="T55" s="123">
        <f t="shared" si="6"/>
        <v>0.5726664311680617</v>
      </c>
      <c r="U55" s="123">
        <f t="shared" si="6"/>
        <v>0.563784544015129</v>
      </c>
      <c r="V55" s="123">
        <f t="shared" si="6"/>
        <v>0.5507879338732338</v>
      </c>
      <c r="W55" s="123">
        <f t="shared" si="6"/>
        <v>0.5393038856308614</v>
      </c>
      <c r="X55" s="123">
        <f t="shared" si="6"/>
        <v>0.5291910887261254</v>
      </c>
      <c r="Y55" s="123">
        <f t="shared" si="6"/>
        <v>0.522160336379318</v>
      </c>
      <c r="Z55" s="123">
        <f t="shared" si="6"/>
        <v>0.5157814245511841</v>
      </c>
      <c r="AA55" s="123">
        <f t="shared" si="6"/>
        <v>0.516795179786753</v>
      </c>
      <c r="AB55" s="124">
        <f t="shared" si="6"/>
        <v>0.5169317846342457</v>
      </c>
      <c r="AC55" s="123">
        <f t="shared" si="6"/>
        <v>0.5170769446446467</v>
      </c>
      <c r="AD55" s="123">
        <f t="shared" si="6"/>
        <v>0.5172260485288331</v>
      </c>
      <c r="AE55" s="123">
        <f t="shared" si="6"/>
        <v>0.5173792193487112</v>
      </c>
      <c r="AF55" s="123">
        <f t="shared" si="6"/>
        <v>0.5175365847691954</v>
      </c>
      <c r="AG55" s="123">
        <f t="shared" si="6"/>
        <v>0.5176982772946555</v>
      </c>
      <c r="AH55" s="124">
        <f t="shared" si="6"/>
        <v>0.5178644345187594</v>
      </c>
      <c r="AI55" s="210"/>
    </row>
    <row r="56" spans="1:35" ht="14.25">
      <c r="A56" s="48"/>
      <c r="B56" s="16" t="s">
        <v>46</v>
      </c>
      <c r="C56" s="29" t="s">
        <v>93</v>
      </c>
      <c r="D56" s="61">
        <f>D54/D28</f>
        <v>4.898518035726213</v>
      </c>
      <c r="E56" s="21"/>
      <c r="F56" s="21"/>
      <c r="G56" s="21"/>
      <c r="H56" s="21"/>
      <c r="I56" s="21"/>
      <c r="J56" s="21"/>
      <c r="K56" s="21"/>
      <c r="L56" s="21"/>
      <c r="M56" s="21"/>
      <c r="N56" s="21"/>
      <c r="O56" s="21"/>
      <c r="P56" s="21"/>
      <c r="Q56" s="21"/>
      <c r="R56" s="21"/>
      <c r="S56" s="21"/>
      <c r="T56" s="21"/>
      <c r="U56" s="21"/>
      <c r="V56" s="21"/>
      <c r="W56" s="21"/>
      <c r="X56" s="21"/>
      <c r="Y56" s="21"/>
      <c r="Z56" s="21"/>
      <c r="AA56" s="21"/>
      <c r="AB56" s="19"/>
      <c r="AC56" s="21"/>
      <c r="AD56" s="21"/>
      <c r="AE56" s="21"/>
      <c r="AF56" s="21"/>
      <c r="AG56" s="21"/>
      <c r="AH56" s="19"/>
      <c r="AI56" s="210"/>
    </row>
    <row r="57" spans="1:35" ht="15" thickBot="1">
      <c r="A57" s="62"/>
      <c r="B57" s="33"/>
      <c r="C57" s="63"/>
      <c r="D57" s="64"/>
      <c r="E57" s="65"/>
      <c r="F57" s="42"/>
      <c r="G57" s="42"/>
      <c r="H57" s="42"/>
      <c r="I57" s="42"/>
      <c r="J57" s="42"/>
      <c r="K57" s="42"/>
      <c r="L57" s="42"/>
      <c r="M57" s="42"/>
      <c r="N57" s="42"/>
      <c r="O57" s="42"/>
      <c r="P57" s="42"/>
      <c r="Q57" s="42"/>
      <c r="R57" s="42"/>
      <c r="S57" s="42"/>
      <c r="T57" s="42"/>
      <c r="U57" s="42"/>
      <c r="V57" s="42"/>
      <c r="W57" s="42"/>
      <c r="X57" s="42"/>
      <c r="Y57" s="42"/>
      <c r="Z57" s="42"/>
      <c r="AA57" s="42"/>
      <c r="AB57" s="36"/>
      <c r="AC57" s="42"/>
      <c r="AD57" s="42"/>
      <c r="AE57" s="42"/>
      <c r="AF57" s="42"/>
      <c r="AG57" s="42"/>
      <c r="AH57" s="36"/>
      <c r="AI57" s="210"/>
    </row>
    <row r="58" spans="1:35" ht="14.25">
      <c r="A58" s="21"/>
      <c r="B58" s="21"/>
      <c r="C58" s="66"/>
      <c r="D58" s="67"/>
      <c r="E58" s="55"/>
      <c r="F58" s="21"/>
      <c r="G58" s="21"/>
      <c r="H58" s="21"/>
      <c r="I58" s="21"/>
      <c r="J58" s="21"/>
      <c r="K58" s="21"/>
      <c r="L58" s="21"/>
      <c r="M58" s="21"/>
      <c r="N58" s="21"/>
      <c r="O58" s="21"/>
      <c r="P58" s="21"/>
      <c r="Q58" s="21"/>
      <c r="R58" s="21"/>
      <c r="S58" s="21"/>
      <c r="T58" s="21"/>
      <c r="U58" s="21"/>
      <c r="V58" s="21"/>
      <c r="W58" s="21"/>
      <c r="X58" s="21"/>
      <c r="Y58" s="21"/>
      <c r="Z58" s="21"/>
      <c r="AA58" s="21"/>
      <c r="AB58" s="21"/>
      <c r="AC58" s="5"/>
      <c r="AD58" s="5"/>
      <c r="AE58" s="5"/>
      <c r="AF58" s="5"/>
      <c r="AG58" s="5"/>
      <c r="AH58" s="5"/>
      <c r="AI58" s="210"/>
    </row>
    <row r="59" spans="1:35"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210"/>
    </row>
    <row r="60" spans="1:35" ht="14.25">
      <c r="A60" s="5"/>
      <c r="B60" s="5" t="s">
        <v>121</v>
      </c>
      <c r="C60" s="6"/>
      <c r="D60" s="5"/>
      <c r="E60" s="5"/>
      <c r="F60" s="5"/>
      <c r="G60" s="5"/>
      <c r="H60" s="132">
        <f>SUM(H45:H46)/SUM($D37:$D39,$D31:$D34)</f>
        <v>0</v>
      </c>
      <c r="I60" s="132">
        <f aca="true" t="shared" si="7" ref="I60:AH60">SUM(I45:I46)/SUM($D37:$D39,$D31:$D34)</f>
        <v>0.004023107538958792</v>
      </c>
      <c r="J60" s="132">
        <f t="shared" si="7"/>
        <v>0.004330975371203927</v>
      </c>
      <c r="K60" s="132">
        <f t="shared" si="7"/>
        <v>0.004648983980477132</v>
      </c>
      <c r="L60" s="132">
        <f t="shared" si="7"/>
        <v>0.004979166865094071</v>
      </c>
      <c r="M60" s="132">
        <f t="shared" si="7"/>
        <v>0.005323445191328185</v>
      </c>
      <c r="N60" s="132">
        <f t="shared" si="7"/>
        <v>0.005657513147307774</v>
      </c>
      <c r="O60" s="132">
        <f t="shared" si="7"/>
        <v>0.006006388318634593</v>
      </c>
      <c r="P60" s="132">
        <f t="shared" si="7"/>
        <v>0.00637166709506918</v>
      </c>
      <c r="Q60" s="132">
        <f t="shared" si="7"/>
        <v>0.006755052605733876</v>
      </c>
      <c r="R60" s="132">
        <f t="shared" si="7"/>
        <v>0.007158383372007989</v>
      </c>
      <c r="S60" s="132">
        <f t="shared" si="7"/>
        <v>0.007548014808769904</v>
      </c>
      <c r="T60" s="132">
        <f t="shared" si="7"/>
        <v>0.007957276298178013</v>
      </c>
      <c r="U60" s="132">
        <f t="shared" si="7"/>
        <v>0.00838793474722625</v>
      </c>
      <c r="V60" s="132">
        <f t="shared" si="7"/>
        <v>0.008841919599177111</v>
      </c>
      <c r="W60" s="132">
        <f t="shared" si="7"/>
        <v>0.009321342715603902</v>
      </c>
      <c r="X60" s="132">
        <f t="shared" si="7"/>
        <v>0.00982848422340029</v>
      </c>
      <c r="Y60" s="132">
        <f t="shared" si="7"/>
        <v>0.010243372408997801</v>
      </c>
      <c r="Z60" s="132">
        <f t="shared" si="7"/>
        <v>0.01068529587329976</v>
      </c>
      <c r="AA60" s="132">
        <f t="shared" si="7"/>
        <v>0.010846715655943254</v>
      </c>
      <c r="AB60" s="132">
        <f t="shared" si="7"/>
        <v>0.010817967378797175</v>
      </c>
      <c r="AC60" s="132">
        <f t="shared" si="7"/>
        <v>0.010787606923073038</v>
      </c>
      <c r="AD60" s="132">
        <f t="shared" si="7"/>
        <v>0.010756595713771697</v>
      </c>
      <c r="AE60" s="132">
        <f t="shared" si="7"/>
        <v>0.010724921554768082</v>
      </c>
      <c r="AF60" s="132">
        <f t="shared" si="7"/>
        <v>0.010692572031331986</v>
      </c>
      <c r="AG60" s="132">
        <f t="shared" si="7"/>
        <v>0.010659534506666478</v>
      </c>
      <c r="AH60" s="132">
        <f t="shared" si="7"/>
        <v>0.010625796118372924</v>
      </c>
      <c r="AI60" s="210"/>
    </row>
    <row r="61" spans="1:35"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210"/>
    </row>
    <row r="62" spans="1:35" ht="14.25">
      <c r="A62" s="5"/>
      <c r="B62" s="5" t="s">
        <v>136</v>
      </c>
      <c r="C62" s="6"/>
      <c r="D62" s="5"/>
      <c r="E62" s="5"/>
      <c r="F62" s="5"/>
      <c r="G62" s="5"/>
      <c r="H62" s="5">
        <f>H27/$C20</f>
        <v>0</v>
      </c>
      <c r="I62" s="5">
        <f aca="true" t="shared" si="8" ref="I62:AH62">I27/$C20</f>
        <v>18.392934503224673</v>
      </c>
      <c r="J62" s="5">
        <f t="shared" si="8"/>
        <v>20.941173377448365</v>
      </c>
      <c r="K62" s="326">
        <f t="shared" si="8"/>
        <v>23.579365290225336</v>
      </c>
      <c r="L62" s="326">
        <f t="shared" si="8"/>
        <v>26.312152158412673</v>
      </c>
      <c r="M62" s="326">
        <f t="shared" si="8"/>
        <v>29.144416112273348</v>
      </c>
      <c r="N62" s="326">
        <f t="shared" si="8"/>
        <v>31.870869081615393</v>
      </c>
      <c r="O62" s="326">
        <f t="shared" si="8"/>
        <v>34.686793429617765</v>
      </c>
      <c r="P62" s="326">
        <f t="shared" si="8"/>
        <v>37.59635914420162</v>
      </c>
      <c r="Q62" s="326">
        <f t="shared" si="8"/>
        <v>40.60393121677238</v>
      </c>
      <c r="R62" s="326">
        <f t="shared" si="8"/>
        <v>43.71407879035437</v>
      </c>
      <c r="S62" s="326">
        <f t="shared" si="8"/>
        <v>46.66772845119927</v>
      </c>
      <c r="T62" s="326">
        <f t="shared" si="8"/>
        <v>49.71063363104129</v>
      </c>
      <c r="U62" s="326">
        <f t="shared" si="8"/>
        <v>52.846509407353224</v>
      </c>
      <c r="V62" s="326">
        <f t="shared" si="8"/>
        <v>56.079226122491725</v>
      </c>
      <c r="W62" s="326">
        <f t="shared" si="8"/>
        <v>59.41281589762175</v>
      </c>
      <c r="X62" s="326">
        <f t="shared" si="8"/>
        <v>62.851479420901256</v>
      </c>
      <c r="Y62" s="326">
        <f t="shared" si="8"/>
        <v>65.59959302151132</v>
      </c>
      <c r="Z62" s="326">
        <f t="shared" si="8"/>
        <v>68.4617160416083</v>
      </c>
      <c r="AA62" s="326">
        <f t="shared" si="8"/>
        <v>69.05076916741938</v>
      </c>
      <c r="AB62" s="326">
        <f t="shared" si="8"/>
        <v>68.86785878400894</v>
      </c>
      <c r="AC62" s="326">
        <f t="shared" si="8"/>
        <v>68.67467413904198</v>
      </c>
      <c r="AD62" s="326">
        <f t="shared" si="8"/>
        <v>68.47735082369428</v>
      </c>
      <c r="AE62" s="326">
        <f t="shared" si="8"/>
        <v>68.27581081938558</v>
      </c>
      <c r="AF62" s="326">
        <f t="shared" si="8"/>
        <v>68.0699747341948</v>
      </c>
      <c r="AG62" s="326">
        <f t="shared" si="8"/>
        <v>67.85976177969809</v>
      </c>
      <c r="AH62" s="326">
        <f t="shared" si="8"/>
        <v>67.64508974742755</v>
      </c>
      <c r="AI62" s="210"/>
    </row>
    <row r="63" spans="1:35"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210"/>
    </row>
    <row r="64" spans="1:35"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210"/>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sheetData>
  <mergeCells count="1">
    <mergeCell ref="A2:D2"/>
  </mergeCells>
  <conditionalFormatting sqref="H62:AH62">
    <cfRule type="cellIs" priority="1" dxfId="2" operator="greaterThan" stopIfTrue="1">
      <formula>22.5</formula>
    </cfRule>
  </conditionalFormatting>
  <printOptions horizontalCentered="1"/>
  <pageMargins left="0.5511811023622047" right="0.5905511811023623" top="0.984251968503937" bottom="0.7480314960629921" header="0.5118110236220472" footer="0.5118110236220472"/>
  <pageSetup horizontalDpi="300" verticalDpi="300" orientation="landscape" paperSize="9" scale="48" r:id="rId4"/>
  <headerFooter alignWithMargins="0">
    <oddHeader>&amp;LUpdated Feasibility Study for Metolong Dam - Financial and Economic Analysis&amp;RDecember 2006</oddHeader>
    <oddFooter>&amp;L&amp;F, &amp;A&amp;C&amp;P of &amp;N&amp;R&amp;D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4"/>
  <dimension ref="A1:AW237"/>
  <sheetViews>
    <sheetView zoomScale="75" zoomScaleNormal="75" workbookViewId="0" topLeftCell="A1">
      <selection activeCell="A6" sqref="A6:IV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311" customFormat="1" ht="12.75">
      <c r="G1" s="312" t="s">
        <v>209</v>
      </c>
    </row>
    <row r="2" spans="1:4" s="311" customFormat="1" ht="39" customHeight="1">
      <c r="A2" s="371" t="s">
        <v>4</v>
      </c>
      <c r="B2" s="371"/>
      <c r="C2" s="371"/>
      <c r="D2" s="371"/>
    </row>
    <row r="3" ht="12.75">
      <c r="A3" s="165" t="s">
        <v>9</v>
      </c>
    </row>
    <row r="4" ht="12.75">
      <c r="A4" s="165"/>
    </row>
    <row r="5" ht="15.75">
      <c r="A5" s="313">
        <f>IF('ERR &amp; Sensitivity Analysis'!$J$10="Y",IF('ERR &amp; Sensitivity Analysis'!$J$11="Y","","Note: Current calculations are based on user input and are not the original MCC estimates"),"Note: Current calculations are based on user input and are not the original MCC estimates")</f>
      </c>
    </row>
    <row r="6" ht="12.75">
      <c r="A6" s="165"/>
    </row>
    <row r="7" spans="1:34" ht="15" thickBot="1">
      <c r="A7" s="4"/>
      <c r="B7" s="5"/>
      <c r="C7" s="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5" hidden="1" thickBot="1">
      <c r="A8" s="4"/>
      <c r="B8" s="5"/>
      <c r="C8" s="6"/>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ht="14.25">
      <c r="A9" s="7" t="s">
        <v>34</v>
      </c>
      <c r="B9" s="8"/>
      <c r="C9" s="9">
        <v>0.05</v>
      </c>
      <c r="D9" s="10" t="s">
        <v>35</v>
      </c>
      <c r="E9" s="11"/>
      <c r="F9" s="5"/>
      <c r="G9" s="5"/>
      <c r="H9" s="12" t="s">
        <v>36</v>
      </c>
      <c r="I9" s="13"/>
      <c r="J9" s="13"/>
      <c r="K9" s="13"/>
      <c r="L9" s="13"/>
      <c r="M9" s="14"/>
      <c r="N9" s="5"/>
      <c r="O9" s="5"/>
      <c r="P9" s="5"/>
      <c r="Q9" s="5"/>
      <c r="R9" s="5"/>
      <c r="S9" s="5"/>
      <c r="T9" s="5"/>
      <c r="U9" s="5"/>
      <c r="V9" s="5"/>
      <c r="W9" s="5"/>
      <c r="X9" s="5"/>
      <c r="Y9" s="5"/>
      <c r="Z9" s="5"/>
      <c r="AA9" s="5"/>
      <c r="AB9" s="5"/>
      <c r="AC9" s="5"/>
      <c r="AD9" s="5"/>
      <c r="AE9" s="5"/>
      <c r="AF9" s="5"/>
      <c r="AG9" s="5"/>
      <c r="AH9" s="5"/>
    </row>
    <row r="10" spans="1:34" ht="14.25">
      <c r="A10" s="15"/>
      <c r="B10" s="16"/>
      <c r="C10" s="17"/>
      <c r="D10" s="18"/>
      <c r="E10" s="19"/>
      <c r="F10" s="5"/>
      <c r="G10" s="5"/>
      <c r="H10" s="20"/>
      <c r="I10" s="21"/>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15"/>
      <c r="B11" s="16"/>
      <c r="C11" s="22"/>
      <c r="D11" s="23"/>
      <c r="E11" s="19"/>
      <c r="F11" s="5"/>
      <c r="G11" s="5"/>
      <c r="H11" s="24"/>
      <c r="I11" s="25"/>
      <c r="J11" s="26"/>
      <c r="K11" s="26"/>
      <c r="L11" s="26"/>
      <c r="M11" s="27"/>
      <c r="N11" s="5"/>
      <c r="O11" s="5"/>
      <c r="P11" s="5"/>
      <c r="Q11" s="5"/>
      <c r="R11" s="5"/>
      <c r="S11" s="5"/>
      <c r="T11" s="5"/>
      <c r="U11" s="5"/>
      <c r="V11" s="5"/>
      <c r="W11" s="5"/>
      <c r="X11" s="5"/>
      <c r="Y11" s="5"/>
      <c r="Z11" s="5"/>
      <c r="AA11" s="5"/>
      <c r="AB11" s="5"/>
      <c r="AC11" s="5"/>
      <c r="AD11" s="5"/>
      <c r="AE11" s="5"/>
      <c r="AF11" s="5"/>
      <c r="AG11" s="5"/>
      <c r="AH11" s="5"/>
    </row>
    <row r="12" spans="1:34" ht="14.25">
      <c r="A12" s="15"/>
      <c r="B12" s="16" t="s">
        <v>38</v>
      </c>
      <c r="C12" s="28">
        <f>D56</f>
        <v>7.745393005136893</v>
      </c>
      <c r="D12" s="29" t="s">
        <v>93</v>
      </c>
      <c r="E12" s="19"/>
      <c r="F12" s="5"/>
      <c r="G12" s="5"/>
      <c r="H12" s="30">
        <f aca="true" t="shared" si="0" ref="H12:H20">C31</f>
        <v>1</v>
      </c>
      <c r="I12" s="31" t="s">
        <v>204</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
      <c r="B13" s="16"/>
      <c r="C13" s="22"/>
      <c r="D13" s="23"/>
      <c r="E13" s="19"/>
      <c r="F13" s="5"/>
      <c r="G13" s="5"/>
      <c r="H13" s="30">
        <f t="shared" si="0"/>
        <v>2</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5" thickBot="1">
      <c r="A14" s="32"/>
      <c r="B14" s="33"/>
      <c r="C14" s="34"/>
      <c r="D14" s="35"/>
      <c r="E14" s="36"/>
      <c r="F14" s="5"/>
      <c r="G14" s="5"/>
      <c r="H14" s="30">
        <f t="shared" si="0"/>
        <v>3</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c r="C15"/>
      <c r="D15"/>
      <c r="E15"/>
      <c r="F15" s="5"/>
      <c r="G15" s="5"/>
      <c r="H15" s="30">
        <f t="shared" si="0"/>
        <v>4</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c r="B16"/>
      <c r="C16"/>
      <c r="D16"/>
      <c r="E16"/>
      <c r="F16" s="5"/>
      <c r="G16" s="5"/>
      <c r="H16" s="30">
        <f t="shared" si="0"/>
        <v>5</v>
      </c>
      <c r="I16" s="31" t="s">
        <v>16</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c r="B17" s="119" t="s">
        <v>90</v>
      </c>
      <c r="C17" s="125">
        <f>'AIC Maseru'!C17</f>
        <v>0.12</v>
      </c>
      <c r="D17"/>
      <c r="E17"/>
      <c r="F17" s="5"/>
      <c r="G17" s="5"/>
      <c r="H17" s="30">
        <f t="shared" si="0"/>
        <v>6</v>
      </c>
      <c r="I17" s="31" t="s">
        <v>17</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4.25">
      <c r="A18"/>
      <c r="B18" s="119" t="s">
        <v>91</v>
      </c>
      <c r="C18" s="125">
        <f>'AIC Maseru'!C18</f>
        <v>0.1</v>
      </c>
      <c r="D18"/>
      <c r="E18"/>
      <c r="F18" s="5"/>
      <c r="G18" s="5"/>
      <c r="H18" s="30">
        <f t="shared" si="0"/>
        <v>7</v>
      </c>
      <c r="I18" s="31" t="s">
        <v>18</v>
      </c>
      <c r="J18" s="21"/>
      <c r="K18" s="21"/>
      <c r="L18" s="21"/>
      <c r="M18" s="19"/>
      <c r="N18" s="5"/>
      <c r="O18" s="5"/>
      <c r="P18" s="5"/>
      <c r="Q18" s="5"/>
      <c r="R18" s="5"/>
      <c r="S18" s="5"/>
      <c r="T18" s="5"/>
      <c r="U18" s="5"/>
      <c r="V18" s="5"/>
      <c r="W18" s="5"/>
      <c r="X18" s="5"/>
      <c r="Y18" s="5"/>
      <c r="Z18" s="5"/>
      <c r="AA18" s="5"/>
      <c r="AB18" s="5"/>
      <c r="AC18" s="5"/>
      <c r="AD18" s="5"/>
      <c r="AE18" s="5"/>
      <c r="AF18" s="5"/>
      <c r="AG18" s="5"/>
      <c r="AH18" s="5"/>
    </row>
    <row r="19" spans="1:31" ht="15.75">
      <c r="A19"/>
      <c r="B19" s="37" t="s">
        <v>40</v>
      </c>
      <c r="C19" s="126">
        <f>'AIC Maseru'!C19</f>
        <v>1000</v>
      </c>
      <c r="D19"/>
      <c r="E19"/>
      <c r="F19" s="5"/>
      <c r="G19" s="5"/>
      <c r="H19" s="30">
        <f t="shared" si="0"/>
        <v>8</v>
      </c>
      <c r="I19" s="31" t="s">
        <v>19</v>
      </c>
      <c r="J19" s="21"/>
      <c r="K19" s="21"/>
      <c r="L19" s="21"/>
      <c r="M19" s="19"/>
      <c r="N19" s="5"/>
      <c r="O19" s="5"/>
      <c r="P19" s="5"/>
      <c r="Q19" s="5"/>
      <c r="R19" s="5"/>
      <c r="S19" s="5"/>
      <c r="T19" s="5"/>
      <c r="U19" s="5"/>
      <c r="V19" s="5"/>
      <c r="W19" s="5"/>
      <c r="Y19" s="38" t="s">
        <v>41</v>
      </c>
      <c r="Z19" s="38" t="s">
        <v>92</v>
      </c>
      <c r="AA19" s="39">
        <f>C19</f>
        <v>1000</v>
      </c>
      <c r="AB19" s="38"/>
      <c r="AD19" s="1"/>
      <c r="AE19" s="1"/>
    </row>
    <row r="20" spans="1:34" ht="14.25">
      <c r="A20"/>
      <c r="B20" s="37" t="s">
        <v>40</v>
      </c>
      <c r="C20" s="126">
        <f>'AIC Maseru'!C20</f>
        <v>365</v>
      </c>
      <c r="D20"/>
      <c r="E20"/>
      <c r="F20" s="5"/>
      <c r="G20" s="5"/>
      <c r="H20" s="30">
        <f t="shared" si="0"/>
        <v>9</v>
      </c>
      <c r="I20" s="31" t="s">
        <v>20</v>
      </c>
      <c r="J20" s="21"/>
      <c r="K20" s="21"/>
      <c r="L20" s="206">
        <f>E26</f>
        <v>2007</v>
      </c>
      <c r="M20" s="207">
        <f>F26</f>
        <v>2008</v>
      </c>
      <c r="N20" s="5"/>
      <c r="O20" s="5"/>
      <c r="P20" s="5"/>
      <c r="Q20" s="5"/>
      <c r="R20" s="5"/>
      <c r="S20" s="5"/>
      <c r="T20" s="5"/>
      <c r="U20" s="5"/>
      <c r="V20" s="5"/>
      <c r="W20" s="5"/>
      <c r="X20" s="5"/>
      <c r="Y20" s="5"/>
      <c r="Z20" s="5"/>
      <c r="AA20" s="5"/>
      <c r="AB20" s="5"/>
      <c r="AC20" s="5"/>
      <c r="AD20" s="5"/>
      <c r="AE20" s="5"/>
      <c r="AF20" s="5"/>
      <c r="AG20" s="5"/>
      <c r="AH20" s="5"/>
    </row>
    <row r="21" spans="1:34" ht="15" thickBot="1">
      <c r="A21"/>
      <c r="B21"/>
      <c r="C21"/>
      <c r="D21"/>
      <c r="E21"/>
      <c r="F21" s="5"/>
      <c r="G21" s="5"/>
      <c r="H21" s="40"/>
      <c r="I21" s="41"/>
      <c r="J21" s="42"/>
      <c r="K21" s="42"/>
      <c r="L21" s="208">
        <v>0.5</v>
      </c>
      <c r="M21" s="209">
        <v>0.5</v>
      </c>
      <c r="N21" s="5"/>
      <c r="O21" s="5"/>
      <c r="P21" s="5"/>
      <c r="Q21" s="5"/>
      <c r="R21" s="5"/>
      <c r="S21" s="5"/>
      <c r="T21" s="5"/>
      <c r="U21" s="5"/>
      <c r="V21" s="5"/>
      <c r="W21" s="5"/>
      <c r="X21" s="5"/>
      <c r="Y21" s="5"/>
      <c r="Z21" s="5"/>
      <c r="AA21" s="5"/>
      <c r="AB21" s="5"/>
      <c r="AC21" s="5"/>
      <c r="AD21" s="5"/>
      <c r="AE21" s="5"/>
      <c r="AF21" s="5"/>
      <c r="AG21" s="5"/>
      <c r="AH21" s="5"/>
    </row>
    <row r="22" spans="1:34" ht="14.25" hidden="1">
      <c r="A22" s="4"/>
      <c r="B22" s="5"/>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5" thickBot="1">
      <c r="A23" s="5"/>
      <c r="B23" s="5"/>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4.25">
      <c r="A24" s="12"/>
      <c r="B24" s="43" t="s">
        <v>89</v>
      </c>
      <c r="C24" s="44"/>
      <c r="D24" s="13"/>
      <c r="E24" s="13"/>
      <c r="F24" s="13"/>
      <c r="G24" s="13"/>
      <c r="H24" s="13"/>
      <c r="I24" s="13"/>
      <c r="J24" s="13"/>
      <c r="K24" s="13"/>
      <c r="L24" s="13"/>
      <c r="M24" s="13"/>
      <c r="N24" s="13"/>
      <c r="O24" s="13"/>
      <c r="P24" s="13"/>
      <c r="Q24" s="13"/>
      <c r="R24" s="13"/>
      <c r="S24" s="13"/>
      <c r="T24" s="13"/>
      <c r="U24" s="13"/>
      <c r="V24" s="13"/>
      <c r="W24" s="13"/>
      <c r="X24" s="13"/>
      <c r="Y24" s="13"/>
      <c r="Z24" s="13"/>
      <c r="AA24" s="13"/>
      <c r="AB24" s="14"/>
      <c r="AC24" s="13"/>
      <c r="AD24" s="13"/>
      <c r="AE24" s="13"/>
      <c r="AF24" s="13"/>
      <c r="AG24" s="13"/>
      <c r="AH24" s="14"/>
    </row>
    <row r="25" spans="1:42" ht="14.25">
      <c r="A25" s="45"/>
      <c r="B25" s="46"/>
      <c r="C25" s="47"/>
      <c r="D25" s="46"/>
      <c r="E25" s="46"/>
      <c r="F25" s="46"/>
      <c r="G25" s="46"/>
      <c r="H25" s="46"/>
      <c r="I25" s="46"/>
      <c r="J25" s="46"/>
      <c r="K25" s="46"/>
      <c r="L25" s="46"/>
      <c r="M25" s="46"/>
      <c r="N25" s="46"/>
      <c r="O25" s="46"/>
      <c r="P25" s="46"/>
      <c r="Q25" s="46"/>
      <c r="R25" s="46"/>
      <c r="S25" s="46"/>
      <c r="T25" s="46"/>
      <c r="U25" s="46"/>
      <c r="V25" s="46"/>
      <c r="W25" s="46"/>
      <c r="X25" s="46"/>
      <c r="Y25" s="46"/>
      <c r="Z25" s="46"/>
      <c r="AA25" s="46"/>
      <c r="AB25" s="19"/>
      <c r="AC25" s="21"/>
      <c r="AD25" s="21"/>
      <c r="AE25" s="21"/>
      <c r="AF25" s="21"/>
      <c r="AG25" s="21"/>
      <c r="AH25" s="19"/>
      <c r="AI25" s="210"/>
      <c r="AJ25" s="210"/>
      <c r="AK25" s="210"/>
      <c r="AL25" s="210"/>
      <c r="AM25" s="210"/>
      <c r="AN25" s="210"/>
      <c r="AO25" s="210"/>
      <c r="AP25" s="210"/>
    </row>
    <row r="26" spans="1:49" ht="14.25">
      <c r="A26" s="48"/>
      <c r="B26" s="16"/>
      <c r="C26" s="29"/>
      <c r="D26" s="16"/>
      <c r="E26" s="49">
        <v>2007</v>
      </c>
      <c r="F26" s="49">
        <f aca="true" t="shared" si="1" ref="F26:AH26">+E26+1</f>
        <v>2008</v>
      </c>
      <c r="G26" s="49">
        <f t="shared" si="1"/>
        <v>2009</v>
      </c>
      <c r="H26" s="49">
        <f t="shared" si="1"/>
        <v>2010</v>
      </c>
      <c r="I26" s="49">
        <f t="shared" si="1"/>
        <v>2011</v>
      </c>
      <c r="J26" s="49">
        <f t="shared" si="1"/>
        <v>2012</v>
      </c>
      <c r="K26" s="49">
        <f t="shared" si="1"/>
        <v>2013</v>
      </c>
      <c r="L26" s="49">
        <f t="shared" si="1"/>
        <v>2014</v>
      </c>
      <c r="M26" s="49">
        <f t="shared" si="1"/>
        <v>2015</v>
      </c>
      <c r="N26" s="49">
        <f t="shared" si="1"/>
        <v>2016</v>
      </c>
      <c r="O26" s="49">
        <f t="shared" si="1"/>
        <v>2017</v>
      </c>
      <c r="P26" s="49">
        <f t="shared" si="1"/>
        <v>2018</v>
      </c>
      <c r="Q26" s="49">
        <f t="shared" si="1"/>
        <v>2019</v>
      </c>
      <c r="R26" s="49">
        <f t="shared" si="1"/>
        <v>2020</v>
      </c>
      <c r="S26" s="49">
        <f t="shared" si="1"/>
        <v>2021</v>
      </c>
      <c r="T26" s="49">
        <f t="shared" si="1"/>
        <v>2022</v>
      </c>
      <c r="U26" s="49">
        <f t="shared" si="1"/>
        <v>2023</v>
      </c>
      <c r="V26" s="49">
        <f t="shared" si="1"/>
        <v>2024</v>
      </c>
      <c r="W26" s="49">
        <f t="shared" si="1"/>
        <v>2025</v>
      </c>
      <c r="X26" s="49">
        <f t="shared" si="1"/>
        <v>2026</v>
      </c>
      <c r="Y26" s="49">
        <f t="shared" si="1"/>
        <v>2027</v>
      </c>
      <c r="Z26" s="49">
        <f t="shared" si="1"/>
        <v>2028</v>
      </c>
      <c r="AA26" s="49">
        <f t="shared" si="1"/>
        <v>2029</v>
      </c>
      <c r="AB26" s="50">
        <f t="shared" si="1"/>
        <v>2030</v>
      </c>
      <c r="AC26" s="51">
        <f t="shared" si="1"/>
        <v>2031</v>
      </c>
      <c r="AD26" s="51">
        <f t="shared" si="1"/>
        <v>2032</v>
      </c>
      <c r="AE26" s="51">
        <f t="shared" si="1"/>
        <v>2033</v>
      </c>
      <c r="AF26" s="51">
        <f t="shared" si="1"/>
        <v>2034</v>
      </c>
      <c r="AG26" s="51">
        <f t="shared" si="1"/>
        <v>2035</v>
      </c>
      <c r="AH26" s="50">
        <f t="shared" si="1"/>
        <v>2036</v>
      </c>
      <c r="AI26" s="52"/>
      <c r="AJ26" s="52"/>
      <c r="AK26" s="52"/>
      <c r="AL26" s="52"/>
      <c r="AM26" s="52"/>
      <c r="AN26" s="52"/>
      <c r="AO26" s="52"/>
      <c r="AP26" s="52"/>
      <c r="AQ26" s="52"/>
      <c r="AR26" s="52"/>
      <c r="AS26" s="52"/>
      <c r="AT26" s="52"/>
      <c r="AU26" s="52"/>
      <c r="AV26" s="52"/>
      <c r="AW26" s="52"/>
    </row>
    <row r="27" spans="1:42" ht="14.25">
      <c r="A27" s="15" t="s">
        <v>83</v>
      </c>
      <c r="B27" s="16"/>
      <c r="C27" s="29" t="s">
        <v>85</v>
      </c>
      <c r="D27" s="16"/>
      <c r="E27" s="92">
        <v>0</v>
      </c>
      <c r="F27" s="92">
        <v>0</v>
      </c>
      <c r="G27" s="92">
        <v>0</v>
      </c>
      <c r="H27" s="92">
        <v>0</v>
      </c>
      <c r="I27" s="92">
        <v>129.2210321490829</v>
      </c>
      <c r="J27" s="92">
        <v>149.10838300323022</v>
      </c>
      <c r="K27" s="92">
        <v>169.47294215076838</v>
      </c>
      <c r="L27" s="92">
        <v>190.32455118655704</v>
      </c>
      <c r="M27" s="92">
        <v>211.6732395814354</v>
      </c>
      <c r="N27" s="92">
        <v>231.0266498653091</v>
      </c>
      <c r="O27" s="92">
        <v>250.73164121343854</v>
      </c>
      <c r="P27" s="92">
        <v>270.7936066465932</v>
      </c>
      <c r="Q27" s="92">
        <v>291.2180152906905</v>
      </c>
      <c r="R27" s="92">
        <v>312.01041339855357</v>
      </c>
      <c r="S27" s="92">
        <v>333.90310829827786</v>
      </c>
      <c r="T27" s="92">
        <v>356.21848237606605</v>
      </c>
      <c r="U27" s="92">
        <v>378.9635273841262</v>
      </c>
      <c r="V27" s="92">
        <v>402.14534201091783</v>
      </c>
      <c r="W27" s="92">
        <v>425.77113344080897</v>
      </c>
      <c r="X27" s="92">
        <v>450.6894721165345</v>
      </c>
      <c r="Y27" s="92">
        <v>476.1158787762773</v>
      </c>
      <c r="Z27" s="92">
        <v>502.0593519883859</v>
      </c>
      <c r="AA27" s="92">
        <v>528.5290384204959</v>
      </c>
      <c r="AB27" s="93">
        <v>555.5342351693547</v>
      </c>
      <c r="AC27" s="92">
        <v>584.0563411806096</v>
      </c>
      <c r="AD27" s="92">
        <v>613.1894874500867</v>
      </c>
      <c r="AE27" s="92">
        <v>642.9451927722376</v>
      </c>
      <c r="AF27" s="92">
        <v>673.3351787038686</v>
      </c>
      <c r="AG27" s="92">
        <v>704.3713729838015</v>
      </c>
      <c r="AH27" s="93">
        <v>736.065913008547</v>
      </c>
      <c r="AI27" s="210"/>
      <c r="AJ27" s="210"/>
      <c r="AK27" s="210"/>
      <c r="AL27" s="210"/>
      <c r="AM27" s="210"/>
      <c r="AN27" s="210"/>
      <c r="AO27" s="210"/>
      <c r="AP27" s="210"/>
    </row>
    <row r="28" spans="1:42" ht="14.25">
      <c r="A28" s="15"/>
      <c r="B28" s="16" t="s">
        <v>84</v>
      </c>
      <c r="C28" s="53">
        <f>C9</f>
        <v>0.05</v>
      </c>
      <c r="D28" s="54">
        <f>NPV(C28,E27:AH27)</f>
        <v>4061.2471844200454</v>
      </c>
      <c r="E28" s="21"/>
      <c r="F28" s="21"/>
      <c r="G28" s="21"/>
      <c r="H28" s="21"/>
      <c r="I28" s="21"/>
      <c r="J28" s="21"/>
      <c r="K28" s="21"/>
      <c r="L28" s="21"/>
      <c r="M28" s="21"/>
      <c r="N28" s="21"/>
      <c r="O28" s="21"/>
      <c r="P28" s="21"/>
      <c r="Q28" s="21"/>
      <c r="R28" s="21"/>
      <c r="S28" s="21"/>
      <c r="T28" s="21"/>
      <c r="U28" s="21"/>
      <c r="V28" s="21"/>
      <c r="W28" s="21"/>
      <c r="X28" s="21"/>
      <c r="Y28" s="21"/>
      <c r="Z28" s="21"/>
      <c r="AA28" s="21"/>
      <c r="AB28" s="19"/>
      <c r="AC28" s="21"/>
      <c r="AD28" s="21"/>
      <c r="AE28" s="21"/>
      <c r="AF28" s="21"/>
      <c r="AG28" s="21"/>
      <c r="AH28" s="19"/>
      <c r="AI28" s="210"/>
      <c r="AJ28" s="210"/>
      <c r="AK28" s="210"/>
      <c r="AL28" s="210"/>
      <c r="AM28" s="210"/>
      <c r="AN28" s="210"/>
      <c r="AO28" s="210"/>
      <c r="AP28" s="210"/>
    </row>
    <row r="29" spans="1:42" ht="14.25">
      <c r="A29" s="15"/>
      <c r="B29" s="16"/>
      <c r="C29" s="29"/>
      <c r="D29" s="16"/>
      <c r="E29" s="21"/>
      <c r="F29" s="21"/>
      <c r="G29" s="21" t="s">
        <v>87</v>
      </c>
      <c r="H29" s="55"/>
      <c r="I29" s="55"/>
      <c r="J29" s="55"/>
      <c r="K29" s="55"/>
      <c r="L29" s="55"/>
      <c r="M29" s="55"/>
      <c r="N29" s="55"/>
      <c r="O29" s="55"/>
      <c r="P29" s="55"/>
      <c r="Q29" s="55"/>
      <c r="R29" s="55"/>
      <c r="S29" s="55"/>
      <c r="T29" s="55"/>
      <c r="U29" s="55"/>
      <c r="V29" s="55"/>
      <c r="W29" s="55"/>
      <c r="X29" s="55"/>
      <c r="Y29" s="55"/>
      <c r="Z29" s="55"/>
      <c r="AA29" s="55"/>
      <c r="AB29" s="56"/>
      <c r="AC29" s="55"/>
      <c r="AD29" s="55"/>
      <c r="AE29" s="55"/>
      <c r="AF29" s="55"/>
      <c r="AG29" s="55"/>
      <c r="AH29" s="56"/>
      <c r="AI29" s="210"/>
      <c r="AJ29" s="210"/>
      <c r="AK29" s="210"/>
      <c r="AL29" s="210"/>
      <c r="AM29" s="210"/>
      <c r="AN29" s="210"/>
      <c r="AO29" s="210"/>
      <c r="AP29" s="210"/>
    </row>
    <row r="30" spans="1:42" ht="14.25">
      <c r="A30" s="48"/>
      <c r="B30" s="16"/>
      <c r="C30" s="29" t="s">
        <v>86</v>
      </c>
      <c r="D30" s="29" t="s">
        <v>43</v>
      </c>
      <c r="E30" s="203">
        <f>'AIC Maseru'!E30</f>
        <v>0</v>
      </c>
      <c r="F30" s="203">
        <f>'AIC Maseru'!F30</f>
        <v>0.1</v>
      </c>
      <c r="G30" s="203">
        <f>'AIC Maseru'!G30</f>
        <v>0.4</v>
      </c>
      <c r="H30" s="203">
        <f>'AIC Maseru'!H30</f>
        <v>0.5</v>
      </c>
      <c r="I30" s="203">
        <f>'AIC Maseru'!I30</f>
        <v>0</v>
      </c>
      <c r="J30" s="203">
        <f>'AIC Maseru'!J30</f>
        <v>0</v>
      </c>
      <c r="K30" s="21"/>
      <c r="L30" s="21"/>
      <c r="M30" s="21"/>
      <c r="N30" s="21"/>
      <c r="O30" s="21"/>
      <c r="P30" s="21"/>
      <c r="Q30" s="21"/>
      <c r="R30" s="21"/>
      <c r="S30" s="21"/>
      <c r="T30" s="21"/>
      <c r="U30" s="21"/>
      <c r="V30" s="21"/>
      <c r="W30" s="21"/>
      <c r="X30" s="21"/>
      <c r="Y30" s="21"/>
      <c r="Z30" s="21"/>
      <c r="AA30" s="21"/>
      <c r="AB30" s="19"/>
      <c r="AC30" s="21"/>
      <c r="AD30" s="21"/>
      <c r="AE30" s="21"/>
      <c r="AF30" s="21"/>
      <c r="AG30" s="21"/>
      <c r="AH30" s="19"/>
      <c r="AI30" s="210"/>
      <c r="AJ30" s="210"/>
      <c r="AK30" s="210"/>
      <c r="AL30" s="210"/>
      <c r="AM30" s="210"/>
      <c r="AN30" s="210"/>
      <c r="AO30" s="210"/>
      <c r="AP30" s="210"/>
    </row>
    <row r="31" spans="1:42" ht="14.25">
      <c r="A31" s="15" t="s">
        <v>44</v>
      </c>
      <c r="B31" s="57" t="s">
        <v>78</v>
      </c>
      <c r="C31" s="58">
        <v>1</v>
      </c>
      <c r="D31" s="144">
        <f aca="true" t="shared" si="2" ref="D31:D39">SUM(E31:AG31)</f>
        <v>12977.913864804945</v>
      </c>
      <c r="E31" s="92">
        <v>0</v>
      </c>
      <c r="F31" s="92">
        <v>1297.7913864804946</v>
      </c>
      <c r="G31" s="92">
        <v>5191.165545921978</v>
      </c>
      <c r="H31" s="92">
        <v>6488.956932402473</v>
      </c>
      <c r="I31" s="92">
        <v>0</v>
      </c>
      <c r="J31" s="92">
        <v>0</v>
      </c>
      <c r="K31" s="92"/>
      <c r="L31" s="92"/>
      <c r="M31" s="92"/>
      <c r="N31" s="92"/>
      <c r="O31" s="92"/>
      <c r="P31" s="92"/>
      <c r="Q31" s="92"/>
      <c r="R31" s="92"/>
      <c r="S31" s="92"/>
      <c r="T31" s="92"/>
      <c r="U31" s="92"/>
      <c r="V31" s="92"/>
      <c r="W31" s="92"/>
      <c r="X31" s="92"/>
      <c r="Y31" s="92"/>
      <c r="Z31" s="92"/>
      <c r="AA31" s="92"/>
      <c r="AB31" s="93"/>
      <c r="AC31" s="92"/>
      <c r="AD31" s="92"/>
      <c r="AE31" s="92"/>
      <c r="AF31" s="92"/>
      <c r="AG31" s="92"/>
      <c r="AH31" s="93"/>
      <c r="AI31" s="210"/>
      <c r="AJ31" s="210"/>
      <c r="AK31" s="210"/>
      <c r="AL31" s="210"/>
      <c r="AM31" s="210"/>
      <c r="AN31" s="210"/>
      <c r="AO31" s="210"/>
      <c r="AP31" s="210"/>
    </row>
    <row r="32" spans="1:42" ht="14.25">
      <c r="A32" s="48"/>
      <c r="B32" s="16"/>
      <c r="C32" s="58">
        <f aca="true" t="shared" si="3" ref="C32:C39">C31+1</f>
        <v>2</v>
      </c>
      <c r="D32" s="144">
        <f t="shared" si="2"/>
        <v>0</v>
      </c>
      <c r="E32" s="332">
        <v>0</v>
      </c>
      <c r="F32" s="332">
        <v>0</v>
      </c>
      <c r="G32" s="332">
        <v>0</v>
      </c>
      <c r="H32" s="332">
        <v>0</v>
      </c>
      <c r="I32" s="332">
        <v>0</v>
      </c>
      <c r="J32" s="332">
        <v>0</v>
      </c>
      <c r="K32" s="92"/>
      <c r="L32" s="92"/>
      <c r="M32" s="92"/>
      <c r="N32" s="92"/>
      <c r="O32" s="92"/>
      <c r="P32" s="92"/>
      <c r="Q32" s="92"/>
      <c r="R32" s="92"/>
      <c r="S32" s="92"/>
      <c r="T32" s="92"/>
      <c r="U32" s="92"/>
      <c r="V32" s="92"/>
      <c r="W32" s="92"/>
      <c r="X32" s="92"/>
      <c r="Y32" s="92"/>
      <c r="Z32" s="92"/>
      <c r="AA32" s="92"/>
      <c r="AB32" s="93"/>
      <c r="AC32" s="92"/>
      <c r="AD32" s="92"/>
      <c r="AE32" s="92"/>
      <c r="AF32" s="92"/>
      <c r="AG32" s="92"/>
      <c r="AH32" s="93"/>
      <c r="AI32" s="210"/>
      <c r="AJ32" s="210"/>
      <c r="AK32" s="210"/>
      <c r="AL32" s="210"/>
      <c r="AM32" s="210"/>
      <c r="AN32" s="210"/>
      <c r="AO32" s="210"/>
      <c r="AP32" s="210"/>
    </row>
    <row r="33" spans="1:42" ht="14.25">
      <c r="A33" s="48"/>
      <c r="B33" s="16"/>
      <c r="C33" s="58">
        <f t="shared" si="3"/>
        <v>3</v>
      </c>
      <c r="D33" s="144">
        <f t="shared" si="2"/>
        <v>548.0346383718542</v>
      </c>
      <c r="E33" s="92">
        <v>0</v>
      </c>
      <c r="F33" s="92">
        <v>54.80346383718541</v>
      </c>
      <c r="G33" s="92">
        <v>219.21385534874165</v>
      </c>
      <c r="H33" s="92">
        <v>274.0173191859271</v>
      </c>
      <c r="I33" s="92">
        <v>0</v>
      </c>
      <c r="J33" s="92">
        <v>0</v>
      </c>
      <c r="K33" s="92"/>
      <c r="L33" s="92"/>
      <c r="M33" s="92"/>
      <c r="N33" s="92"/>
      <c r="O33" s="92"/>
      <c r="P33" s="92"/>
      <c r="Q33" s="92"/>
      <c r="R33" s="92"/>
      <c r="S33" s="92"/>
      <c r="T33" s="92"/>
      <c r="U33" s="92"/>
      <c r="V33" s="92"/>
      <c r="W33" s="92"/>
      <c r="X33" s="92"/>
      <c r="Y33" s="92"/>
      <c r="Z33" s="92"/>
      <c r="AA33" s="92"/>
      <c r="AB33" s="93"/>
      <c r="AC33" s="92"/>
      <c r="AD33" s="92"/>
      <c r="AE33" s="92"/>
      <c r="AF33" s="92"/>
      <c r="AG33" s="92"/>
      <c r="AH33" s="93"/>
      <c r="AI33" s="210"/>
      <c r="AJ33" s="210"/>
      <c r="AK33" s="210"/>
      <c r="AL33" s="210"/>
      <c r="AM33" s="210"/>
      <c r="AN33" s="210"/>
      <c r="AO33" s="210"/>
      <c r="AP33" s="210"/>
    </row>
    <row r="34" spans="1:42" ht="14.25">
      <c r="A34" s="48"/>
      <c r="B34" s="16"/>
      <c r="C34" s="58">
        <f t="shared" si="3"/>
        <v>4</v>
      </c>
      <c r="D34" s="144">
        <f t="shared" si="2"/>
        <v>7350.141264927014</v>
      </c>
      <c r="E34" s="92">
        <v>0</v>
      </c>
      <c r="F34" s="92">
        <v>245.0047088309005</v>
      </c>
      <c r="G34" s="92">
        <v>980.018835323602</v>
      </c>
      <c r="H34" s="92">
        <v>1225.0235441545024</v>
      </c>
      <c r="I34" s="92">
        <v>0</v>
      </c>
      <c r="J34" s="92">
        <v>0</v>
      </c>
      <c r="K34" s="92"/>
      <c r="L34" s="92"/>
      <c r="M34" s="92"/>
      <c r="N34" s="92"/>
      <c r="O34" s="92"/>
      <c r="P34" s="92"/>
      <c r="Q34" s="92">
        <f>SUM(E34:J34)</f>
        <v>2450.0470883090047</v>
      </c>
      <c r="R34" s="92"/>
      <c r="S34" s="92"/>
      <c r="T34" s="92"/>
      <c r="U34" s="92"/>
      <c r="V34" s="92"/>
      <c r="W34" s="92"/>
      <c r="X34" s="92"/>
      <c r="Y34" s="92"/>
      <c r="Z34" s="92"/>
      <c r="AA34" s="92">
        <f>SUM(E34:J34)</f>
        <v>2450.0470883090047</v>
      </c>
      <c r="AB34" s="93"/>
      <c r="AC34" s="92"/>
      <c r="AD34" s="92"/>
      <c r="AE34" s="92"/>
      <c r="AF34" s="92"/>
      <c r="AG34" s="92"/>
      <c r="AH34" s="93"/>
      <c r="AI34" s="210"/>
      <c r="AJ34" s="210"/>
      <c r="AK34" s="210"/>
      <c r="AL34" s="210"/>
      <c r="AM34" s="210"/>
      <c r="AN34" s="210"/>
      <c r="AO34" s="210"/>
      <c r="AP34" s="210"/>
    </row>
    <row r="35" spans="1:42" ht="14.25">
      <c r="A35" s="48"/>
      <c r="B35" s="16"/>
      <c r="C35" s="58">
        <f t="shared" si="3"/>
        <v>5</v>
      </c>
      <c r="D35" s="144">
        <f t="shared" si="2"/>
        <v>4359.579981357603</v>
      </c>
      <c r="E35" s="92">
        <v>0</v>
      </c>
      <c r="F35" s="92">
        <v>435.95799813576036</v>
      </c>
      <c r="G35" s="92">
        <v>1743.8319925430415</v>
      </c>
      <c r="H35" s="92">
        <v>2179.7899906788016</v>
      </c>
      <c r="I35" s="92">
        <v>0</v>
      </c>
      <c r="J35" s="92">
        <v>0</v>
      </c>
      <c r="K35" s="92"/>
      <c r="L35" s="92"/>
      <c r="M35" s="92"/>
      <c r="N35" s="92"/>
      <c r="O35" s="92"/>
      <c r="P35" s="92"/>
      <c r="Q35" s="92"/>
      <c r="R35" s="92"/>
      <c r="S35" s="92"/>
      <c r="T35" s="92"/>
      <c r="U35" s="92"/>
      <c r="V35" s="92"/>
      <c r="W35" s="92"/>
      <c r="X35" s="92"/>
      <c r="Y35" s="92"/>
      <c r="Z35" s="92"/>
      <c r="AA35" s="92"/>
      <c r="AB35" s="93"/>
      <c r="AC35" s="92"/>
      <c r="AD35" s="92"/>
      <c r="AE35" s="92"/>
      <c r="AF35" s="92"/>
      <c r="AG35" s="92"/>
      <c r="AH35" s="93"/>
      <c r="AI35" s="210"/>
      <c r="AJ35" s="210"/>
      <c r="AK35" s="210"/>
      <c r="AL35" s="210"/>
      <c r="AM35" s="210"/>
      <c r="AN35" s="210"/>
      <c r="AO35" s="210"/>
      <c r="AP35" s="210"/>
    </row>
    <row r="36" spans="1:42" ht="14.25">
      <c r="A36" s="48"/>
      <c r="B36" s="16"/>
      <c r="C36" s="58">
        <f t="shared" si="3"/>
        <v>6</v>
      </c>
      <c r="D36" s="144">
        <f t="shared" si="2"/>
        <v>713.6183661198071</v>
      </c>
      <c r="E36" s="92">
        <v>0</v>
      </c>
      <c r="F36" s="92">
        <v>23.787278870660234</v>
      </c>
      <c r="G36" s="92">
        <v>95.14911548264094</v>
      </c>
      <c r="H36" s="92">
        <v>118.93639435330118</v>
      </c>
      <c r="I36" s="92">
        <v>0</v>
      </c>
      <c r="J36" s="92">
        <v>0</v>
      </c>
      <c r="K36" s="92"/>
      <c r="L36" s="92"/>
      <c r="M36" s="92"/>
      <c r="N36" s="92"/>
      <c r="O36" s="92"/>
      <c r="P36" s="92"/>
      <c r="Q36" s="92">
        <f>SUM(E36:J36)</f>
        <v>237.87278870660236</v>
      </c>
      <c r="R36" s="92"/>
      <c r="S36" s="92"/>
      <c r="T36" s="92"/>
      <c r="U36" s="92"/>
      <c r="V36" s="92"/>
      <c r="W36" s="92"/>
      <c r="X36" s="92"/>
      <c r="Y36" s="92"/>
      <c r="Z36" s="92"/>
      <c r="AA36" s="92">
        <f>SUM(E36:J36)</f>
        <v>237.87278870660236</v>
      </c>
      <c r="AB36" s="93"/>
      <c r="AC36" s="92"/>
      <c r="AD36" s="92"/>
      <c r="AE36" s="92"/>
      <c r="AF36" s="92"/>
      <c r="AG36" s="92"/>
      <c r="AH36" s="93"/>
      <c r="AI36" s="210"/>
      <c r="AJ36" s="210"/>
      <c r="AK36" s="210"/>
      <c r="AL36" s="210"/>
      <c r="AM36" s="210"/>
      <c r="AN36" s="210"/>
      <c r="AO36" s="210"/>
      <c r="AP36" s="210"/>
    </row>
    <row r="37" spans="1:42" ht="14.25">
      <c r="A37" s="48"/>
      <c r="B37" s="16"/>
      <c r="C37" s="58">
        <f t="shared" si="3"/>
        <v>7</v>
      </c>
      <c r="D37" s="144">
        <f t="shared" si="2"/>
        <v>913.987980237733</v>
      </c>
      <c r="E37" s="92">
        <v>0</v>
      </c>
      <c r="F37" s="92">
        <v>91.39879802377331</v>
      </c>
      <c r="G37" s="92">
        <v>365.59519209509324</v>
      </c>
      <c r="H37" s="92">
        <v>456.99399011886646</v>
      </c>
      <c r="I37" s="92">
        <v>0</v>
      </c>
      <c r="J37" s="92">
        <v>0</v>
      </c>
      <c r="K37" s="92"/>
      <c r="L37" s="92"/>
      <c r="M37" s="92"/>
      <c r="N37" s="92"/>
      <c r="O37" s="92"/>
      <c r="P37" s="92"/>
      <c r="Q37" s="92"/>
      <c r="R37" s="92"/>
      <c r="S37" s="92"/>
      <c r="T37" s="92"/>
      <c r="U37" s="92"/>
      <c r="V37" s="92"/>
      <c r="W37" s="92"/>
      <c r="X37" s="92"/>
      <c r="Y37" s="92"/>
      <c r="Z37" s="92"/>
      <c r="AA37" s="92"/>
      <c r="AB37" s="93"/>
      <c r="AC37" s="92"/>
      <c r="AD37" s="92"/>
      <c r="AE37" s="92"/>
      <c r="AF37" s="92"/>
      <c r="AG37" s="92"/>
      <c r="AH37" s="93"/>
      <c r="AI37" s="210"/>
      <c r="AJ37" s="210"/>
      <c r="AK37" s="210"/>
      <c r="AL37" s="210"/>
      <c r="AM37" s="210"/>
      <c r="AN37" s="210"/>
      <c r="AO37" s="210"/>
      <c r="AP37" s="210"/>
    </row>
    <row r="38" spans="1:42" ht="14.25">
      <c r="A38" s="48"/>
      <c r="B38" s="16"/>
      <c r="C38" s="58">
        <f t="shared" si="3"/>
        <v>8</v>
      </c>
      <c r="D38" s="144">
        <f t="shared" si="2"/>
        <v>5397.960933149112</v>
      </c>
      <c r="E38" s="92">
        <v>0</v>
      </c>
      <c r="F38" s="92">
        <v>179.9320311049704</v>
      </c>
      <c r="G38" s="92">
        <v>719.7281244198816</v>
      </c>
      <c r="H38" s="92">
        <v>899.6601555248519</v>
      </c>
      <c r="I38" s="92">
        <v>0</v>
      </c>
      <c r="J38" s="92">
        <v>0</v>
      </c>
      <c r="K38" s="92"/>
      <c r="L38" s="92"/>
      <c r="M38" s="92"/>
      <c r="N38" s="92"/>
      <c r="O38" s="92"/>
      <c r="P38" s="92"/>
      <c r="Q38" s="92">
        <f>SUM(E38:J38)</f>
        <v>1799.3203110497038</v>
      </c>
      <c r="R38" s="92"/>
      <c r="S38" s="92"/>
      <c r="T38" s="92"/>
      <c r="U38" s="92"/>
      <c r="V38" s="92"/>
      <c r="W38" s="92"/>
      <c r="X38" s="92"/>
      <c r="Y38" s="92"/>
      <c r="Z38" s="92"/>
      <c r="AA38" s="92">
        <f>SUM(E38:J38)</f>
        <v>1799.3203110497038</v>
      </c>
      <c r="AB38" s="93"/>
      <c r="AC38" s="92"/>
      <c r="AD38" s="92"/>
      <c r="AE38" s="92"/>
      <c r="AF38" s="92"/>
      <c r="AG38" s="92"/>
      <c r="AH38" s="93"/>
      <c r="AI38" s="210"/>
      <c r="AJ38" s="210"/>
      <c r="AK38" s="210"/>
      <c r="AL38" s="210"/>
      <c r="AM38" s="210"/>
      <c r="AN38" s="210"/>
      <c r="AO38" s="210"/>
      <c r="AP38" s="210"/>
    </row>
    <row r="39" spans="1:42" ht="14.25">
      <c r="A39" s="48"/>
      <c r="B39" s="16"/>
      <c r="C39" s="58">
        <f t="shared" si="3"/>
        <v>9</v>
      </c>
      <c r="D39" s="144">
        <f t="shared" si="2"/>
        <v>4611.8908456703375</v>
      </c>
      <c r="E39" s="92">
        <v>2305.9454228351688</v>
      </c>
      <c r="F39" s="92">
        <v>2305.9454228351688</v>
      </c>
      <c r="G39" s="92">
        <v>0</v>
      </c>
      <c r="H39" s="92">
        <v>0</v>
      </c>
      <c r="I39" s="92">
        <v>0</v>
      </c>
      <c r="J39" s="92">
        <v>0</v>
      </c>
      <c r="K39" s="92"/>
      <c r="L39" s="92"/>
      <c r="M39" s="92"/>
      <c r="N39" s="92"/>
      <c r="O39" s="92"/>
      <c r="P39" s="92"/>
      <c r="Q39" s="92"/>
      <c r="R39" s="92"/>
      <c r="S39" s="92"/>
      <c r="T39" s="92"/>
      <c r="U39" s="92"/>
      <c r="V39" s="92"/>
      <c r="W39" s="92"/>
      <c r="X39" s="92"/>
      <c r="Y39" s="92"/>
      <c r="Z39" s="92"/>
      <c r="AA39" s="92"/>
      <c r="AB39" s="93"/>
      <c r="AC39" s="92"/>
      <c r="AD39" s="92"/>
      <c r="AE39" s="92"/>
      <c r="AF39" s="92"/>
      <c r="AG39" s="92"/>
      <c r="AH39" s="93"/>
      <c r="AI39" s="210"/>
      <c r="AJ39" s="210"/>
      <c r="AK39" s="210"/>
      <c r="AL39" s="210"/>
      <c r="AM39" s="210"/>
      <c r="AN39" s="210"/>
      <c r="AO39" s="210"/>
      <c r="AP39" s="210"/>
    </row>
    <row r="40" spans="1:42" ht="14.25">
      <c r="A40" s="48"/>
      <c r="B40" s="16"/>
      <c r="C40" s="58"/>
      <c r="D40" s="144"/>
      <c r="E40" s="92"/>
      <c r="F40" s="92"/>
      <c r="G40" s="92"/>
      <c r="H40" s="92"/>
      <c r="I40" s="92"/>
      <c r="J40" s="92"/>
      <c r="K40" s="92"/>
      <c r="L40" s="92"/>
      <c r="M40" s="92"/>
      <c r="N40" s="92"/>
      <c r="O40" s="92"/>
      <c r="P40" s="92"/>
      <c r="Q40" s="92"/>
      <c r="R40" s="92"/>
      <c r="S40" s="92"/>
      <c r="T40" s="92"/>
      <c r="U40" s="92"/>
      <c r="V40" s="92"/>
      <c r="W40" s="92"/>
      <c r="X40" s="92"/>
      <c r="Y40" s="92"/>
      <c r="Z40" s="92"/>
      <c r="AA40" s="92"/>
      <c r="AB40" s="93"/>
      <c r="AC40" s="92"/>
      <c r="AD40" s="92"/>
      <c r="AE40" s="92"/>
      <c r="AF40" s="92"/>
      <c r="AG40" s="92"/>
      <c r="AH40" s="93"/>
      <c r="AI40" s="210"/>
      <c r="AJ40" s="210"/>
      <c r="AK40" s="210"/>
      <c r="AL40" s="210"/>
      <c r="AM40" s="210"/>
      <c r="AN40" s="210"/>
      <c r="AO40" s="210"/>
      <c r="AP40" s="210"/>
    </row>
    <row r="41" spans="1:42" ht="14.25">
      <c r="A41" s="48"/>
      <c r="B41" s="16"/>
      <c r="C41" s="29"/>
      <c r="D41" s="144">
        <f>SUM(D31:D39)</f>
        <v>36873.127874638405</v>
      </c>
      <c r="E41" s="92"/>
      <c r="F41" s="92"/>
      <c r="G41" s="92"/>
      <c r="H41" s="92"/>
      <c r="I41" s="92"/>
      <c r="J41" s="92"/>
      <c r="K41" s="92"/>
      <c r="L41" s="92"/>
      <c r="M41" s="92"/>
      <c r="N41" s="92"/>
      <c r="O41" s="92"/>
      <c r="P41" s="92"/>
      <c r="Q41" s="92"/>
      <c r="R41" s="92"/>
      <c r="S41" s="92"/>
      <c r="T41" s="92"/>
      <c r="U41" s="92"/>
      <c r="V41" s="92"/>
      <c r="W41" s="92"/>
      <c r="X41" s="92"/>
      <c r="Y41" s="92"/>
      <c r="Z41" s="92"/>
      <c r="AA41" s="92"/>
      <c r="AB41" s="93"/>
      <c r="AC41" s="92"/>
      <c r="AD41" s="92"/>
      <c r="AE41" s="92"/>
      <c r="AF41" s="92"/>
      <c r="AG41" s="92"/>
      <c r="AH41" s="93"/>
      <c r="AI41" s="210"/>
      <c r="AJ41" s="210"/>
      <c r="AK41" s="210"/>
      <c r="AL41" s="210"/>
      <c r="AM41" s="210"/>
      <c r="AN41" s="210"/>
      <c r="AO41" s="210"/>
      <c r="AP41" s="210"/>
    </row>
    <row r="42" spans="1:42" ht="14.25">
      <c r="A42" s="48"/>
      <c r="B42" s="57"/>
      <c r="C42" s="29"/>
      <c r="D42" s="145"/>
      <c r="E42" s="92"/>
      <c r="F42" s="92"/>
      <c r="G42" s="92"/>
      <c r="H42" s="92"/>
      <c r="I42" s="92"/>
      <c r="J42" s="92"/>
      <c r="K42" s="92"/>
      <c r="L42" s="92"/>
      <c r="M42" s="92"/>
      <c r="N42" s="92"/>
      <c r="O42" s="92"/>
      <c r="P42" s="92"/>
      <c r="Q42" s="92"/>
      <c r="R42" s="92"/>
      <c r="S42" s="92"/>
      <c r="T42" s="92"/>
      <c r="U42" s="92"/>
      <c r="V42" s="92"/>
      <c r="W42" s="92"/>
      <c r="X42" s="92"/>
      <c r="Y42" s="92"/>
      <c r="Z42" s="92"/>
      <c r="AA42" s="92"/>
      <c r="AB42" s="93"/>
      <c r="AC42" s="92"/>
      <c r="AD42" s="92"/>
      <c r="AE42" s="92"/>
      <c r="AF42" s="92"/>
      <c r="AG42" s="92"/>
      <c r="AH42" s="93"/>
      <c r="AI42" s="210"/>
      <c r="AJ42" s="210"/>
      <c r="AK42" s="210"/>
      <c r="AL42" s="210"/>
      <c r="AM42" s="210"/>
      <c r="AN42" s="210"/>
      <c r="AO42" s="210"/>
      <c r="AP42" s="210"/>
    </row>
    <row r="43" spans="1:42" ht="14.25">
      <c r="A43" s="48"/>
      <c r="B43" s="16"/>
      <c r="C43" s="29"/>
      <c r="D43" s="145"/>
      <c r="E43" s="92"/>
      <c r="F43" s="92"/>
      <c r="G43" s="92"/>
      <c r="H43" s="92"/>
      <c r="I43" s="92"/>
      <c r="J43" s="92"/>
      <c r="K43" s="92"/>
      <c r="L43" s="92"/>
      <c r="M43" s="92"/>
      <c r="N43" s="92"/>
      <c r="O43" s="92"/>
      <c r="P43" s="92"/>
      <c r="Q43" s="92"/>
      <c r="R43" s="92"/>
      <c r="S43" s="92"/>
      <c r="T43" s="92"/>
      <c r="U43" s="92"/>
      <c r="V43" s="92"/>
      <c r="W43" s="92"/>
      <c r="X43" s="92"/>
      <c r="Y43" s="92"/>
      <c r="Z43" s="92"/>
      <c r="AA43" s="92"/>
      <c r="AB43" s="93"/>
      <c r="AC43" s="92"/>
      <c r="AD43" s="92"/>
      <c r="AE43" s="92"/>
      <c r="AF43" s="92"/>
      <c r="AG43" s="92"/>
      <c r="AH43" s="93"/>
      <c r="AI43" s="210"/>
      <c r="AJ43" s="210"/>
      <c r="AK43" s="210"/>
      <c r="AL43" s="210"/>
      <c r="AM43" s="210"/>
      <c r="AN43" s="210"/>
      <c r="AO43" s="210"/>
      <c r="AP43" s="210"/>
    </row>
    <row r="44" spans="1:42" ht="14.25">
      <c r="A44" s="48"/>
      <c r="B44" s="57" t="s">
        <v>79</v>
      </c>
      <c r="C44" s="29"/>
      <c r="D44" s="145"/>
      <c r="E44" s="92">
        <f aca="true" t="shared" si="4" ref="E44:AH44">SUM(E45:E52)</f>
        <v>0</v>
      </c>
      <c r="F44" s="92">
        <f t="shared" si="4"/>
        <v>0</v>
      </c>
      <c r="G44" s="92">
        <f t="shared" si="4"/>
        <v>0</v>
      </c>
      <c r="H44" s="92">
        <f t="shared" si="4"/>
        <v>0</v>
      </c>
      <c r="I44" s="92">
        <f t="shared" si="4"/>
        <v>208.75582171586677</v>
      </c>
      <c r="J44" s="92">
        <f t="shared" si="4"/>
        <v>217.45678376551683</v>
      </c>
      <c r="K44" s="92">
        <f t="shared" si="4"/>
        <v>226.0086289818837</v>
      </c>
      <c r="L44" s="92">
        <f t="shared" si="4"/>
        <v>234.5276211418401</v>
      </c>
      <c r="M44" s="92">
        <f t="shared" si="4"/>
        <v>243.103672122016</v>
      </c>
      <c r="N44" s="92">
        <f t="shared" si="4"/>
        <v>250.51430241026145</v>
      </c>
      <c r="O44" s="92">
        <f t="shared" si="4"/>
        <v>258.08074555433444</v>
      </c>
      <c r="P44" s="92">
        <f t="shared" si="4"/>
        <v>265.8416778137889</v>
      </c>
      <c r="Q44" s="92">
        <f t="shared" si="4"/>
        <v>273.83417536088325</v>
      </c>
      <c r="R44" s="92">
        <f t="shared" si="4"/>
        <v>282.0948936208216</v>
      </c>
      <c r="S44" s="92">
        <f t="shared" si="4"/>
        <v>291.45661543043605</v>
      </c>
      <c r="T44" s="92">
        <f t="shared" si="4"/>
        <v>301.13694852132176</v>
      </c>
      <c r="U44" s="92">
        <f t="shared" si="4"/>
        <v>311.17706951536013</v>
      </c>
      <c r="V44" s="92">
        <f t="shared" si="4"/>
        <v>321.6195289649081</v>
      </c>
      <c r="W44" s="92">
        <f t="shared" si="4"/>
        <v>332.50879803221244</v>
      </c>
      <c r="X44" s="92">
        <f t="shared" si="4"/>
        <v>344.3886066414612</v>
      </c>
      <c r="Y44" s="92">
        <f t="shared" si="4"/>
        <v>357.3893071683471</v>
      </c>
      <c r="Z44" s="92">
        <f t="shared" si="4"/>
        <v>370.87208218109515</v>
      </c>
      <c r="AA44" s="92">
        <f t="shared" si="4"/>
        <v>387.54528629509434</v>
      </c>
      <c r="AB44" s="93">
        <f t="shared" si="4"/>
        <v>403.9734506332866</v>
      </c>
      <c r="AC44" s="92">
        <f t="shared" si="4"/>
        <v>421.5130918136107</v>
      </c>
      <c r="AD44" s="92">
        <f t="shared" si="4"/>
        <v>439.63715171358973</v>
      </c>
      <c r="AE44" s="92">
        <f t="shared" si="4"/>
        <v>458.37538759108446</v>
      </c>
      <c r="AF44" s="92">
        <f t="shared" si="4"/>
        <v>477.7594363103427</v>
      </c>
      <c r="AG44" s="92">
        <f t="shared" si="4"/>
        <v>497.82293372369935</v>
      </c>
      <c r="AH44" s="93">
        <f t="shared" si="4"/>
        <v>512.5651397655715</v>
      </c>
      <c r="AI44" s="210"/>
      <c r="AJ44" s="210"/>
      <c r="AK44" s="210"/>
      <c r="AL44" s="210"/>
      <c r="AM44" s="210"/>
      <c r="AN44" s="210"/>
      <c r="AO44" s="210"/>
      <c r="AP44" s="210"/>
    </row>
    <row r="45" spans="1:42" ht="14.25">
      <c r="A45" s="48"/>
      <c r="B45" s="16" t="s">
        <v>21</v>
      </c>
      <c r="C45" s="29" t="s">
        <v>80</v>
      </c>
      <c r="D45" s="145"/>
      <c r="E45" s="142">
        <v>0</v>
      </c>
      <c r="F45" s="142">
        <v>0</v>
      </c>
      <c r="G45" s="142">
        <v>0</v>
      </c>
      <c r="H45" s="142">
        <v>0</v>
      </c>
      <c r="I45" s="142">
        <v>25.735865320362343</v>
      </c>
      <c r="J45" s="142">
        <v>29.918644570649597</v>
      </c>
      <c r="K45" s="142">
        <v>34.29348425401665</v>
      </c>
      <c r="L45" s="92">
        <v>38.88069568470533</v>
      </c>
      <c r="M45" s="92">
        <v>43.702846621624744</v>
      </c>
      <c r="N45" s="92">
        <v>48.21245025596943</v>
      </c>
      <c r="O45" s="92">
        <v>52.93977882124298</v>
      </c>
      <c r="P45" s="92">
        <v>57.906000128788726</v>
      </c>
      <c r="Q45" s="92">
        <v>63.13433758402917</v>
      </c>
      <c r="R45" s="92">
        <v>68.65027591124024</v>
      </c>
      <c r="S45" s="92">
        <v>74.59376180320851</v>
      </c>
      <c r="T45" s="92">
        <v>80.88077915276668</v>
      </c>
      <c r="U45" s="92">
        <v>87.54257917695088</v>
      </c>
      <c r="V45" s="92">
        <v>94.61322537210076</v>
      </c>
      <c r="W45" s="92">
        <v>102.12984701408226</v>
      </c>
      <c r="X45" s="92">
        <v>110.36781589739635</v>
      </c>
      <c r="Y45" s="92">
        <v>118.79285256195904</v>
      </c>
      <c r="Z45" s="92">
        <v>127.75637742010262</v>
      </c>
      <c r="AA45" s="92">
        <v>137.26219195045226</v>
      </c>
      <c r="AB45" s="93">
        <v>145.50258562453925</v>
      </c>
      <c r="AC45" s="92">
        <v>154.3945407669039</v>
      </c>
      <c r="AD45" s="92">
        <v>163.6856518608946</v>
      </c>
      <c r="AE45" s="92">
        <v>173.40218375333086</v>
      </c>
      <c r="AF45" s="92">
        <v>183.5722194214124</v>
      </c>
      <c r="AG45" s="92">
        <v>194.22577831760398</v>
      </c>
      <c r="AH45" s="93">
        <v>199.3584404098328</v>
      </c>
      <c r="AI45" s="210"/>
      <c r="AJ45" s="210"/>
      <c r="AK45" s="210"/>
      <c r="AL45" s="210"/>
      <c r="AM45" s="210"/>
      <c r="AN45" s="210"/>
      <c r="AO45" s="210"/>
      <c r="AP45" s="210"/>
    </row>
    <row r="46" spans="1:42" ht="14.25">
      <c r="A46" s="48"/>
      <c r="B46" s="16" t="s">
        <v>22</v>
      </c>
      <c r="C46" s="29" t="s">
        <v>80</v>
      </c>
      <c r="D46" s="145"/>
      <c r="E46" s="142">
        <v>0</v>
      </c>
      <c r="F46" s="142">
        <v>0</v>
      </c>
      <c r="G46" s="142">
        <v>0</v>
      </c>
      <c r="H46" s="142">
        <v>0</v>
      </c>
      <c r="I46" s="142">
        <v>51.61732061618376</v>
      </c>
      <c r="J46" s="142">
        <v>55.17543025897757</v>
      </c>
      <c r="K46" s="142">
        <v>58.61754432431642</v>
      </c>
      <c r="L46" s="92">
        <v>61.98739955501213</v>
      </c>
      <c r="M46" s="92">
        <v>65.31593341917173</v>
      </c>
      <c r="N46" s="92">
        <v>68.10851761389706</v>
      </c>
      <c r="O46" s="92">
        <v>70.90049729261789</v>
      </c>
      <c r="P46" s="92">
        <v>73.70013064236642</v>
      </c>
      <c r="Q46" s="92">
        <v>76.51404433052818</v>
      </c>
      <c r="R46" s="92">
        <v>79.34766966919189</v>
      </c>
      <c r="S46" s="92">
        <v>82.567831099947</v>
      </c>
      <c r="T46" s="92">
        <v>85.80944235359446</v>
      </c>
      <c r="U46" s="92">
        <v>89.07748849703286</v>
      </c>
      <c r="V46" s="92">
        <v>92.37631860669464</v>
      </c>
      <c r="W46" s="92">
        <v>95.70977720478906</v>
      </c>
      <c r="X46" s="92">
        <v>99.26353389369828</v>
      </c>
      <c r="Y46" s="92">
        <v>103.27475322441987</v>
      </c>
      <c r="Z46" s="92">
        <v>107.30059874526425</v>
      </c>
      <c r="AA46" s="92">
        <v>112.55315426032293</v>
      </c>
      <c r="AB46" s="93">
        <v>118.30405885506053</v>
      </c>
      <c r="AC46" s="92">
        <v>124.3779975875621</v>
      </c>
      <c r="AD46" s="92">
        <v>130.58206069061572</v>
      </c>
      <c r="AE46" s="92">
        <v>136.9187011546052</v>
      </c>
      <c r="AF46" s="92">
        <v>143.3904151492686</v>
      </c>
      <c r="AG46" s="92">
        <v>149.9997427519337</v>
      </c>
      <c r="AH46" s="93">
        <v>156.74926868768185</v>
      </c>
      <c r="AI46" s="210"/>
      <c r="AJ46" s="210"/>
      <c r="AK46" s="210"/>
      <c r="AL46" s="210"/>
      <c r="AM46" s="210"/>
      <c r="AN46" s="210"/>
      <c r="AO46" s="210"/>
      <c r="AP46" s="210"/>
    </row>
    <row r="47" spans="1:42" ht="14.25">
      <c r="A47" s="48"/>
      <c r="B47" s="16" t="s">
        <v>23</v>
      </c>
      <c r="C47" s="29" t="s">
        <v>80</v>
      </c>
      <c r="D47" s="145"/>
      <c r="E47" s="142">
        <v>0</v>
      </c>
      <c r="F47" s="142">
        <v>0</v>
      </c>
      <c r="G47" s="142">
        <v>0</v>
      </c>
      <c r="H47" s="142">
        <v>0</v>
      </c>
      <c r="I47" s="142">
        <v>131.40263577932066</v>
      </c>
      <c r="J47" s="142">
        <v>132.36270893588966</v>
      </c>
      <c r="K47" s="142">
        <v>133.09760040355064</v>
      </c>
      <c r="L47" s="92">
        <v>133.65952590212262</v>
      </c>
      <c r="M47" s="92">
        <v>134.08489208121955</v>
      </c>
      <c r="N47" s="92">
        <v>134.19333454039497</v>
      </c>
      <c r="O47" s="92">
        <v>134.24046944047356</v>
      </c>
      <c r="P47" s="92">
        <v>134.23554704263375</v>
      </c>
      <c r="Q47" s="92">
        <v>134.1857934463259</v>
      </c>
      <c r="R47" s="92">
        <v>134.0969480403895</v>
      </c>
      <c r="S47" s="92">
        <v>134.2950225272805</v>
      </c>
      <c r="T47" s="92">
        <v>134.4467270149606</v>
      </c>
      <c r="U47" s="92">
        <v>134.55700184137638</v>
      </c>
      <c r="V47" s="92">
        <v>134.62998498611273</v>
      </c>
      <c r="W47" s="92">
        <v>134.6691738133411</v>
      </c>
      <c r="X47" s="92">
        <v>134.75725685036656</v>
      </c>
      <c r="Y47" s="92">
        <v>135.32170138196818</v>
      </c>
      <c r="Z47" s="92">
        <v>135.81510601572828</v>
      </c>
      <c r="AA47" s="92">
        <v>137.72994008431914</v>
      </c>
      <c r="AB47" s="93">
        <v>140.16680615368682</v>
      </c>
      <c r="AC47" s="92">
        <v>142.74055345914468</v>
      </c>
      <c r="AD47" s="92">
        <v>145.3694391620794</v>
      </c>
      <c r="AE47" s="92">
        <v>148.05450268314843</v>
      </c>
      <c r="AF47" s="92">
        <v>150.7968017396618</v>
      </c>
      <c r="AG47" s="92">
        <v>153.5974126541617</v>
      </c>
      <c r="AH47" s="93">
        <v>156.45743066805682</v>
      </c>
      <c r="AI47" s="210"/>
      <c r="AJ47" s="210"/>
      <c r="AK47" s="210"/>
      <c r="AL47" s="210"/>
      <c r="AM47" s="210"/>
      <c r="AN47" s="210"/>
      <c r="AO47" s="210"/>
      <c r="AP47" s="210"/>
    </row>
    <row r="48" spans="1:42" ht="14.25">
      <c r="A48" s="48"/>
      <c r="B48" s="16" t="s">
        <v>24</v>
      </c>
      <c r="C48" s="29" t="s">
        <v>80</v>
      </c>
      <c r="D48" s="145"/>
      <c r="E48" s="142"/>
      <c r="F48" s="142"/>
      <c r="G48" s="142"/>
      <c r="H48" s="142"/>
      <c r="I48" s="142"/>
      <c r="J48" s="142"/>
      <c r="K48" s="142"/>
      <c r="L48" s="92"/>
      <c r="M48" s="92"/>
      <c r="N48" s="92"/>
      <c r="O48" s="92"/>
      <c r="P48" s="92"/>
      <c r="Q48" s="92"/>
      <c r="R48" s="92"/>
      <c r="S48" s="92"/>
      <c r="T48" s="92"/>
      <c r="U48" s="92"/>
      <c r="V48" s="92"/>
      <c r="W48" s="92"/>
      <c r="X48" s="92"/>
      <c r="Y48" s="92"/>
      <c r="Z48" s="92"/>
      <c r="AA48" s="92"/>
      <c r="AB48" s="93"/>
      <c r="AC48" s="92"/>
      <c r="AD48" s="92"/>
      <c r="AE48" s="92"/>
      <c r="AF48" s="92"/>
      <c r="AG48" s="92"/>
      <c r="AH48" s="93"/>
      <c r="AI48" s="210"/>
      <c r="AJ48" s="210"/>
      <c r="AK48" s="210"/>
      <c r="AL48" s="210"/>
      <c r="AM48" s="210"/>
      <c r="AN48" s="210"/>
      <c r="AO48" s="210"/>
      <c r="AP48" s="210"/>
    </row>
    <row r="49" spans="1:42" ht="14.25">
      <c r="A49" s="48"/>
      <c r="B49" s="16" t="s">
        <v>25</v>
      </c>
      <c r="C49" s="29" t="s">
        <v>80</v>
      </c>
      <c r="D49" s="145"/>
      <c r="E49" s="142"/>
      <c r="F49" s="142"/>
      <c r="G49" s="142"/>
      <c r="H49" s="142"/>
      <c r="I49" s="142"/>
      <c r="J49" s="142"/>
      <c r="K49" s="142"/>
      <c r="L49" s="92"/>
      <c r="M49" s="92"/>
      <c r="N49" s="92"/>
      <c r="O49" s="92"/>
      <c r="P49" s="92"/>
      <c r="Q49" s="92"/>
      <c r="R49" s="92"/>
      <c r="S49" s="92"/>
      <c r="T49" s="92"/>
      <c r="U49" s="92"/>
      <c r="V49" s="92"/>
      <c r="W49" s="92"/>
      <c r="X49" s="92"/>
      <c r="Y49" s="92"/>
      <c r="Z49" s="92"/>
      <c r="AA49" s="92"/>
      <c r="AB49" s="93"/>
      <c r="AC49" s="92"/>
      <c r="AD49" s="92"/>
      <c r="AE49" s="92"/>
      <c r="AF49" s="92"/>
      <c r="AG49" s="92"/>
      <c r="AH49" s="93"/>
      <c r="AI49" s="210"/>
      <c r="AJ49" s="210"/>
      <c r="AK49" s="210"/>
      <c r="AL49" s="210"/>
      <c r="AM49" s="210"/>
      <c r="AN49" s="210"/>
      <c r="AO49" s="210"/>
      <c r="AP49" s="210"/>
    </row>
    <row r="50" spans="1:42" ht="14.25">
      <c r="A50" s="48"/>
      <c r="B50" s="16" t="s">
        <v>132</v>
      </c>
      <c r="C50" s="29" t="s">
        <v>80</v>
      </c>
      <c r="D50" s="145"/>
      <c r="E50" s="142"/>
      <c r="F50" s="142"/>
      <c r="G50" s="142"/>
      <c r="H50" s="142"/>
      <c r="I50" s="142"/>
      <c r="J50" s="142"/>
      <c r="K50" s="142"/>
      <c r="L50" s="92"/>
      <c r="M50" s="92"/>
      <c r="N50" s="92"/>
      <c r="O50" s="92"/>
      <c r="P50" s="92"/>
      <c r="Q50" s="92"/>
      <c r="R50" s="92"/>
      <c r="S50" s="92"/>
      <c r="T50" s="92"/>
      <c r="U50" s="92"/>
      <c r="V50" s="92"/>
      <c r="W50" s="92"/>
      <c r="X50" s="92"/>
      <c r="Y50" s="92"/>
      <c r="Z50" s="92"/>
      <c r="AA50" s="92"/>
      <c r="AB50" s="93"/>
      <c r="AC50" s="92"/>
      <c r="AD50" s="92"/>
      <c r="AE50" s="92"/>
      <c r="AF50" s="92"/>
      <c r="AG50" s="92"/>
      <c r="AH50" s="93"/>
      <c r="AI50" s="210"/>
      <c r="AJ50" s="210"/>
      <c r="AK50" s="210"/>
      <c r="AL50" s="210"/>
      <c r="AM50" s="210"/>
      <c r="AN50" s="210"/>
      <c r="AO50" s="210"/>
      <c r="AP50" s="210"/>
    </row>
    <row r="51" spans="1:42" ht="14.25">
      <c r="A51" s="48"/>
      <c r="B51" s="16" t="str">
        <f>B50</f>
        <v>Others</v>
      </c>
      <c r="C51" s="29" t="s">
        <v>80</v>
      </c>
      <c r="D51" s="145"/>
      <c r="E51" s="142"/>
      <c r="F51" s="142"/>
      <c r="G51" s="142"/>
      <c r="H51" s="142"/>
      <c r="I51" s="142"/>
      <c r="J51" s="142"/>
      <c r="K51" s="142"/>
      <c r="L51" s="92"/>
      <c r="M51" s="92"/>
      <c r="N51" s="92"/>
      <c r="O51" s="92"/>
      <c r="P51" s="92"/>
      <c r="Q51" s="92"/>
      <c r="R51" s="92"/>
      <c r="S51" s="92"/>
      <c r="T51" s="92"/>
      <c r="U51" s="92"/>
      <c r="V51" s="92"/>
      <c r="W51" s="92"/>
      <c r="X51" s="92"/>
      <c r="Y51" s="92"/>
      <c r="Z51" s="92"/>
      <c r="AA51" s="92"/>
      <c r="AB51" s="93"/>
      <c r="AC51" s="92"/>
      <c r="AD51" s="92"/>
      <c r="AE51" s="92"/>
      <c r="AF51" s="92"/>
      <c r="AG51" s="92"/>
      <c r="AH51" s="93"/>
      <c r="AI51" s="210"/>
      <c r="AJ51" s="210"/>
      <c r="AK51" s="210"/>
      <c r="AL51" s="210"/>
      <c r="AM51" s="210"/>
      <c r="AN51" s="210"/>
      <c r="AO51" s="210"/>
      <c r="AP51" s="210"/>
    </row>
    <row r="52" spans="1:42" ht="14.25">
      <c r="A52" s="48"/>
      <c r="B52" s="16" t="str">
        <f>B51</f>
        <v>Others</v>
      </c>
      <c r="C52" s="29" t="s">
        <v>80</v>
      </c>
      <c r="D52" s="145"/>
      <c r="E52" s="142"/>
      <c r="F52" s="142"/>
      <c r="G52" s="142"/>
      <c r="H52" s="142"/>
      <c r="I52" s="142"/>
      <c r="J52" s="142"/>
      <c r="K52" s="142"/>
      <c r="L52" s="92"/>
      <c r="M52" s="92"/>
      <c r="N52" s="92"/>
      <c r="O52" s="92"/>
      <c r="P52" s="92"/>
      <c r="Q52" s="92"/>
      <c r="R52" s="92"/>
      <c r="S52" s="92"/>
      <c r="T52" s="92"/>
      <c r="U52" s="92"/>
      <c r="V52" s="92"/>
      <c r="W52" s="92"/>
      <c r="X52" s="92"/>
      <c r="Y52" s="92"/>
      <c r="Z52" s="92"/>
      <c r="AA52" s="92"/>
      <c r="AB52" s="93"/>
      <c r="AC52" s="92"/>
      <c r="AD52" s="92"/>
      <c r="AE52" s="92"/>
      <c r="AF52" s="92"/>
      <c r="AG52" s="92"/>
      <c r="AH52" s="93"/>
      <c r="AI52" s="210"/>
      <c r="AJ52" s="210"/>
      <c r="AK52" s="210"/>
      <c r="AL52" s="210"/>
      <c r="AM52" s="210"/>
      <c r="AN52" s="210"/>
      <c r="AO52" s="210"/>
      <c r="AP52" s="210"/>
    </row>
    <row r="53" spans="1:42" ht="14.25">
      <c r="A53" s="48"/>
      <c r="B53" s="16"/>
      <c r="C53" s="29"/>
      <c r="D53" s="145"/>
      <c r="E53" s="92"/>
      <c r="F53" s="92"/>
      <c r="G53" s="92"/>
      <c r="H53" s="92"/>
      <c r="I53" s="92"/>
      <c r="J53" s="92"/>
      <c r="K53" s="92"/>
      <c r="L53" s="92"/>
      <c r="M53" s="92"/>
      <c r="N53" s="92"/>
      <c r="O53" s="92"/>
      <c r="P53" s="92"/>
      <c r="Q53" s="92"/>
      <c r="R53" s="92"/>
      <c r="S53" s="92"/>
      <c r="T53" s="92"/>
      <c r="U53" s="92"/>
      <c r="V53" s="92"/>
      <c r="W53" s="92"/>
      <c r="X53" s="92"/>
      <c r="Y53" s="92"/>
      <c r="Z53" s="92"/>
      <c r="AA53" s="92"/>
      <c r="AB53" s="93"/>
      <c r="AC53" s="92"/>
      <c r="AD53" s="92"/>
      <c r="AE53" s="92"/>
      <c r="AF53" s="92"/>
      <c r="AG53" s="92"/>
      <c r="AH53" s="93"/>
      <c r="AI53" s="210"/>
      <c r="AJ53" s="210"/>
      <c r="AK53" s="210"/>
      <c r="AL53" s="210"/>
      <c r="AM53" s="210"/>
      <c r="AN53" s="210"/>
      <c r="AO53" s="210"/>
      <c r="AP53" s="210"/>
    </row>
    <row r="54" spans="1:42" ht="14.25">
      <c r="A54" s="48"/>
      <c r="B54" s="16" t="s">
        <v>45</v>
      </c>
      <c r="C54" s="53">
        <f>C9</f>
        <v>0.05</v>
      </c>
      <c r="D54" s="147">
        <f>NPV(C54,E54:AH54)</f>
        <v>31455.95553433892</v>
      </c>
      <c r="E54" s="92">
        <f aca="true" t="shared" si="5" ref="E54:AH54">E44+SUM(E31:E39)</f>
        <v>2305.9454228351688</v>
      </c>
      <c r="F54" s="92">
        <f t="shared" si="5"/>
        <v>4634.6210881189145</v>
      </c>
      <c r="G54" s="92">
        <f t="shared" si="5"/>
        <v>9314.702661134981</v>
      </c>
      <c r="H54" s="92">
        <f t="shared" si="5"/>
        <v>11643.378326418724</v>
      </c>
      <c r="I54" s="92">
        <f t="shared" si="5"/>
        <v>208.75582171586677</v>
      </c>
      <c r="J54" s="92">
        <f t="shared" si="5"/>
        <v>217.45678376551683</v>
      </c>
      <c r="K54" s="92">
        <f t="shared" si="5"/>
        <v>226.0086289818837</v>
      </c>
      <c r="L54" s="92">
        <f t="shared" si="5"/>
        <v>234.5276211418401</v>
      </c>
      <c r="M54" s="92">
        <f t="shared" si="5"/>
        <v>243.103672122016</v>
      </c>
      <c r="N54" s="92">
        <f t="shared" si="5"/>
        <v>250.51430241026145</v>
      </c>
      <c r="O54" s="92">
        <f t="shared" si="5"/>
        <v>258.08074555433444</v>
      </c>
      <c r="P54" s="92">
        <f t="shared" si="5"/>
        <v>265.8416778137889</v>
      </c>
      <c r="Q54" s="92">
        <f t="shared" si="5"/>
        <v>4761.0743634261935</v>
      </c>
      <c r="R54" s="92">
        <f t="shared" si="5"/>
        <v>282.0948936208216</v>
      </c>
      <c r="S54" s="92">
        <f t="shared" si="5"/>
        <v>291.45661543043605</v>
      </c>
      <c r="T54" s="92">
        <f t="shared" si="5"/>
        <v>301.13694852132176</v>
      </c>
      <c r="U54" s="92">
        <f t="shared" si="5"/>
        <v>311.17706951536013</v>
      </c>
      <c r="V54" s="92">
        <f t="shared" si="5"/>
        <v>321.6195289649081</v>
      </c>
      <c r="W54" s="92">
        <f t="shared" si="5"/>
        <v>332.50879803221244</v>
      </c>
      <c r="X54" s="92">
        <f t="shared" si="5"/>
        <v>344.3886066414612</v>
      </c>
      <c r="Y54" s="92">
        <f t="shared" si="5"/>
        <v>357.3893071683471</v>
      </c>
      <c r="Z54" s="92">
        <f t="shared" si="5"/>
        <v>370.87208218109515</v>
      </c>
      <c r="AA54" s="92">
        <f t="shared" si="5"/>
        <v>4874.785474360405</v>
      </c>
      <c r="AB54" s="93">
        <f t="shared" si="5"/>
        <v>403.9734506332866</v>
      </c>
      <c r="AC54" s="92">
        <f t="shared" si="5"/>
        <v>421.5130918136107</v>
      </c>
      <c r="AD54" s="92">
        <f t="shared" si="5"/>
        <v>439.63715171358973</v>
      </c>
      <c r="AE54" s="92">
        <f t="shared" si="5"/>
        <v>458.37538759108446</v>
      </c>
      <c r="AF54" s="92">
        <f t="shared" si="5"/>
        <v>477.7594363103427</v>
      </c>
      <c r="AG54" s="92">
        <f t="shared" si="5"/>
        <v>497.82293372369935</v>
      </c>
      <c r="AH54" s="93">
        <f t="shared" si="5"/>
        <v>512.5651397655715</v>
      </c>
      <c r="AI54" s="210"/>
      <c r="AJ54" s="210"/>
      <c r="AK54" s="210"/>
      <c r="AL54" s="210"/>
      <c r="AM54" s="210"/>
      <c r="AN54" s="210"/>
      <c r="AO54" s="210"/>
      <c r="AP54" s="210"/>
    </row>
    <row r="55" spans="1:42" ht="14.25">
      <c r="A55" s="48"/>
      <c r="B55" s="16" t="s">
        <v>82</v>
      </c>
      <c r="C55" s="53"/>
      <c r="D55" s="60"/>
      <c r="E55" s="123">
        <f aca="true" t="shared" si="6" ref="E55:AH55">IF(E44=0,0,E44/E27)</f>
        <v>0</v>
      </c>
      <c r="F55" s="123">
        <f t="shared" si="6"/>
        <v>0</v>
      </c>
      <c r="G55" s="123">
        <f t="shared" si="6"/>
        <v>0</v>
      </c>
      <c r="H55" s="123">
        <f t="shared" si="6"/>
        <v>0</v>
      </c>
      <c r="I55" s="123">
        <f t="shared" si="6"/>
        <v>1.6154941517184618</v>
      </c>
      <c r="J55" s="123">
        <f t="shared" si="6"/>
        <v>1.45838067173464</v>
      </c>
      <c r="K55" s="123">
        <f t="shared" si="6"/>
        <v>1.3335971283298984</v>
      </c>
      <c r="L55" s="123">
        <f t="shared" si="6"/>
        <v>1.2322510137536327</v>
      </c>
      <c r="M55" s="123">
        <f t="shared" si="6"/>
        <v>1.1484856215302957</v>
      </c>
      <c r="N55" s="123">
        <f t="shared" si="6"/>
        <v>1.0843524007135708</v>
      </c>
      <c r="O55" s="123">
        <f t="shared" si="6"/>
        <v>1.0293106378809203</v>
      </c>
      <c r="P55" s="123">
        <f t="shared" si="6"/>
        <v>0.9817132727240974</v>
      </c>
      <c r="Q55" s="123">
        <f t="shared" si="6"/>
        <v>0.9403064404774034</v>
      </c>
      <c r="R55" s="123">
        <f t="shared" si="6"/>
        <v>0.9041201239026638</v>
      </c>
      <c r="S55" s="123">
        <f t="shared" si="6"/>
        <v>0.8728778145128134</v>
      </c>
      <c r="T55" s="123">
        <f t="shared" si="6"/>
        <v>0.8453714880616616</v>
      </c>
      <c r="U55" s="123">
        <f t="shared" si="6"/>
        <v>0.8211266969761547</v>
      </c>
      <c r="V55" s="123">
        <f t="shared" si="6"/>
        <v>0.7997594286599408</v>
      </c>
      <c r="W55" s="123">
        <f t="shared" si="6"/>
        <v>0.7809566499849104</v>
      </c>
      <c r="X55" s="123">
        <f t="shared" si="6"/>
        <v>0.7641372340563857</v>
      </c>
      <c r="Y55" s="123">
        <f t="shared" si="6"/>
        <v>0.7506351354777672</v>
      </c>
      <c r="Z55" s="123">
        <f t="shared" si="6"/>
        <v>0.7387016708528009</v>
      </c>
      <c r="AA55" s="123">
        <f t="shared" si="6"/>
        <v>0.7332525899679416</v>
      </c>
      <c r="AB55" s="124">
        <f t="shared" si="6"/>
        <v>0.7271801179096283</v>
      </c>
      <c r="AC55" s="123">
        <f t="shared" si="6"/>
        <v>0.7216993671561984</v>
      </c>
      <c r="AD55" s="123">
        <f t="shared" si="6"/>
        <v>0.7169678553065147</v>
      </c>
      <c r="AE55" s="123">
        <f t="shared" si="6"/>
        <v>0.7129307330453332</v>
      </c>
      <c r="AF55" s="123">
        <f t="shared" si="6"/>
        <v>0.7095417726874187</v>
      </c>
      <c r="AG55" s="123">
        <f t="shared" si="6"/>
        <v>0.7067620190395612</v>
      </c>
      <c r="AH55" s="124">
        <f t="shared" si="6"/>
        <v>0.6963576640447141</v>
      </c>
      <c r="AI55" s="210"/>
      <c r="AJ55" s="210"/>
      <c r="AK55" s="210"/>
      <c r="AL55" s="210"/>
      <c r="AM55" s="210"/>
      <c r="AN55" s="210"/>
      <c r="AO55" s="210"/>
      <c r="AP55" s="210"/>
    </row>
    <row r="56" spans="1:42" ht="14.25">
      <c r="A56" s="48"/>
      <c r="B56" s="16" t="s">
        <v>46</v>
      </c>
      <c r="C56" s="29" t="s">
        <v>93</v>
      </c>
      <c r="D56" s="61">
        <f>D54/D28</f>
        <v>7.745393005136893</v>
      </c>
      <c r="E56" s="21"/>
      <c r="F56" s="21"/>
      <c r="G56" s="21"/>
      <c r="H56" s="21"/>
      <c r="I56" s="21"/>
      <c r="J56" s="21"/>
      <c r="K56" s="21"/>
      <c r="L56" s="21"/>
      <c r="M56" s="21"/>
      <c r="N56" s="21"/>
      <c r="O56" s="21"/>
      <c r="P56" s="21"/>
      <c r="Q56" s="21"/>
      <c r="R56" s="21"/>
      <c r="S56" s="21"/>
      <c r="T56" s="21"/>
      <c r="U56" s="21"/>
      <c r="V56" s="21"/>
      <c r="W56" s="21"/>
      <c r="X56" s="21"/>
      <c r="Y56" s="21"/>
      <c r="Z56" s="21"/>
      <c r="AA56" s="21"/>
      <c r="AB56" s="19"/>
      <c r="AC56" s="21"/>
      <c r="AD56" s="21"/>
      <c r="AE56" s="21"/>
      <c r="AF56" s="21"/>
      <c r="AG56" s="21"/>
      <c r="AH56" s="19"/>
      <c r="AI56" s="210"/>
      <c r="AJ56" s="210"/>
      <c r="AK56" s="210"/>
      <c r="AL56" s="210"/>
      <c r="AM56" s="210"/>
      <c r="AN56" s="210"/>
      <c r="AO56" s="210"/>
      <c r="AP56" s="210"/>
    </row>
    <row r="57" spans="1:42" ht="15" thickBot="1">
      <c r="A57" s="62"/>
      <c r="B57" s="33"/>
      <c r="C57" s="63"/>
      <c r="D57" s="64"/>
      <c r="E57" s="65"/>
      <c r="F57" s="42"/>
      <c r="G57" s="42"/>
      <c r="H57" s="42"/>
      <c r="I57" s="42"/>
      <c r="J57" s="42"/>
      <c r="K57" s="42"/>
      <c r="L57" s="42"/>
      <c r="M57" s="42"/>
      <c r="N57" s="42"/>
      <c r="O57" s="42"/>
      <c r="P57" s="42"/>
      <c r="Q57" s="42"/>
      <c r="R57" s="42"/>
      <c r="S57" s="42"/>
      <c r="T57" s="42"/>
      <c r="U57" s="42"/>
      <c r="V57" s="42"/>
      <c r="W57" s="42"/>
      <c r="X57" s="42"/>
      <c r="Y57" s="42"/>
      <c r="Z57" s="42"/>
      <c r="AA57" s="42"/>
      <c r="AB57" s="36"/>
      <c r="AC57" s="42"/>
      <c r="AD57" s="42"/>
      <c r="AE57" s="42"/>
      <c r="AF57" s="42"/>
      <c r="AG57" s="42"/>
      <c r="AH57" s="36"/>
      <c r="AI57" s="210"/>
      <c r="AJ57" s="210"/>
      <c r="AK57" s="210"/>
      <c r="AL57" s="210"/>
      <c r="AM57" s="210"/>
      <c r="AN57" s="210"/>
      <c r="AO57" s="210"/>
      <c r="AP57" s="210"/>
    </row>
    <row r="58" spans="1:42" ht="14.25">
      <c r="A58" s="21"/>
      <c r="B58" s="21"/>
      <c r="C58" s="66"/>
      <c r="D58" s="67"/>
      <c r="E58" s="55"/>
      <c r="F58" s="21"/>
      <c r="G58" s="21"/>
      <c r="H58" s="21"/>
      <c r="I58" s="21"/>
      <c r="J58" s="21"/>
      <c r="K58" s="21"/>
      <c r="L58" s="21"/>
      <c r="M58" s="21"/>
      <c r="N58" s="21"/>
      <c r="O58" s="21"/>
      <c r="P58" s="21"/>
      <c r="Q58" s="21"/>
      <c r="R58" s="21"/>
      <c r="S58" s="21"/>
      <c r="T58" s="21"/>
      <c r="U58" s="21"/>
      <c r="V58" s="21"/>
      <c r="W58" s="21"/>
      <c r="X58" s="21"/>
      <c r="Y58" s="21"/>
      <c r="Z58" s="21"/>
      <c r="AA58" s="21"/>
      <c r="AB58" s="21"/>
      <c r="AC58" s="5"/>
      <c r="AD58" s="5"/>
      <c r="AE58" s="5"/>
      <c r="AF58" s="5"/>
      <c r="AG58" s="5"/>
      <c r="AH58" s="5"/>
      <c r="AI58" s="210"/>
      <c r="AJ58" s="210"/>
      <c r="AK58" s="210"/>
      <c r="AL58" s="210"/>
      <c r="AM58" s="210"/>
      <c r="AN58" s="210"/>
      <c r="AO58" s="210"/>
      <c r="AP58" s="210"/>
    </row>
    <row r="59" spans="1:42"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210"/>
      <c r="AJ59" s="210"/>
      <c r="AK59" s="210"/>
      <c r="AL59" s="210"/>
      <c r="AM59" s="210"/>
      <c r="AN59" s="210"/>
      <c r="AO59" s="210"/>
      <c r="AP59" s="210"/>
    </row>
    <row r="60" spans="1:42"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210"/>
      <c r="AJ60" s="210"/>
      <c r="AK60" s="210"/>
      <c r="AL60" s="210"/>
      <c r="AM60" s="210"/>
      <c r="AN60" s="210"/>
      <c r="AO60" s="210"/>
      <c r="AP60" s="210"/>
    </row>
    <row r="61" spans="1:42"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210"/>
      <c r="AJ61" s="210"/>
      <c r="AK61" s="210"/>
      <c r="AL61" s="210"/>
      <c r="AM61" s="210"/>
      <c r="AN61" s="210"/>
      <c r="AO61" s="210"/>
      <c r="AP61" s="210"/>
    </row>
    <row r="62" spans="1:42"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210"/>
      <c r="AJ62" s="210"/>
      <c r="AK62" s="210"/>
      <c r="AL62" s="210"/>
      <c r="AM62" s="210"/>
      <c r="AN62" s="210"/>
      <c r="AO62" s="210"/>
      <c r="AP62" s="210"/>
    </row>
    <row r="63" spans="1:42"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210"/>
      <c r="AJ63" s="210"/>
      <c r="AK63" s="210"/>
      <c r="AL63" s="210"/>
      <c r="AM63" s="210"/>
      <c r="AN63" s="210"/>
      <c r="AO63" s="210"/>
      <c r="AP63" s="210"/>
    </row>
    <row r="64" spans="1:42"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210"/>
      <c r="AJ64" s="210"/>
      <c r="AK64" s="210"/>
      <c r="AL64" s="210"/>
      <c r="AM64" s="210"/>
      <c r="AN64" s="210"/>
      <c r="AO64" s="210"/>
      <c r="AP64" s="210"/>
    </row>
    <row r="65" spans="1:42"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210"/>
      <c r="AJ65" s="210"/>
      <c r="AK65" s="210"/>
      <c r="AL65" s="210"/>
      <c r="AM65" s="210"/>
      <c r="AN65" s="210"/>
      <c r="AO65" s="210"/>
      <c r="AP65" s="210"/>
    </row>
    <row r="66" spans="1:42"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210"/>
      <c r="AJ66" s="210"/>
      <c r="AK66" s="210"/>
      <c r="AL66" s="210"/>
      <c r="AM66" s="210"/>
      <c r="AN66" s="210"/>
      <c r="AO66" s="210"/>
      <c r="AP66" s="210"/>
    </row>
    <row r="67" spans="1:42"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210"/>
      <c r="AJ67" s="210"/>
      <c r="AK67" s="210"/>
      <c r="AL67" s="210"/>
      <c r="AM67" s="210"/>
      <c r="AN67" s="210"/>
      <c r="AO67" s="210"/>
      <c r="AP67" s="210"/>
    </row>
    <row r="68" spans="1:42"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210"/>
      <c r="AJ68" s="210"/>
      <c r="AK68" s="210"/>
      <c r="AL68" s="210"/>
      <c r="AM68" s="210"/>
      <c r="AN68" s="210"/>
      <c r="AO68" s="210"/>
      <c r="AP68" s="210"/>
    </row>
    <row r="69" spans="1:42"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210"/>
      <c r="AJ69" s="210"/>
      <c r="AK69" s="210"/>
      <c r="AL69" s="210"/>
      <c r="AM69" s="210"/>
      <c r="AN69" s="210"/>
      <c r="AO69" s="210"/>
      <c r="AP69" s="210"/>
    </row>
    <row r="70" spans="1:42"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210"/>
      <c r="AJ70" s="210"/>
      <c r="AK70" s="210"/>
      <c r="AL70" s="210"/>
      <c r="AM70" s="210"/>
      <c r="AN70" s="210"/>
      <c r="AO70" s="210"/>
      <c r="AP70" s="210"/>
    </row>
    <row r="71" spans="1:42"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210"/>
      <c r="AJ71" s="210"/>
      <c r="AK71" s="210"/>
      <c r="AL71" s="210"/>
      <c r="AM71" s="210"/>
      <c r="AN71" s="210"/>
      <c r="AO71" s="210"/>
      <c r="AP71" s="210"/>
    </row>
    <row r="72" spans="1:42"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210"/>
      <c r="AJ72" s="210"/>
      <c r="AK72" s="210"/>
      <c r="AL72" s="210"/>
      <c r="AM72" s="210"/>
      <c r="AN72" s="210"/>
      <c r="AO72" s="210"/>
      <c r="AP72" s="210"/>
    </row>
    <row r="73" spans="1:42"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210"/>
      <c r="AJ73" s="210"/>
      <c r="AK73" s="210"/>
      <c r="AL73" s="210"/>
      <c r="AM73" s="210"/>
      <c r="AN73" s="210"/>
      <c r="AO73" s="210"/>
      <c r="AP73" s="210"/>
    </row>
    <row r="74" spans="1:42"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210"/>
      <c r="AJ74" s="210"/>
      <c r="AK74" s="210"/>
      <c r="AL74" s="210"/>
      <c r="AM74" s="210"/>
      <c r="AN74" s="210"/>
      <c r="AO74" s="210"/>
      <c r="AP74" s="210"/>
    </row>
    <row r="75" spans="1:42"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210"/>
      <c r="AJ75" s="210"/>
      <c r="AK75" s="210"/>
      <c r="AL75" s="210"/>
      <c r="AM75" s="210"/>
      <c r="AN75" s="210"/>
      <c r="AO75" s="210"/>
      <c r="AP75" s="210"/>
    </row>
    <row r="76" spans="1:42"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210"/>
      <c r="AJ76" s="210"/>
      <c r="AK76" s="210"/>
      <c r="AL76" s="210"/>
      <c r="AM76" s="210"/>
      <c r="AN76" s="210"/>
      <c r="AO76" s="210"/>
      <c r="AP76" s="210"/>
    </row>
    <row r="77" spans="1:42"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210"/>
      <c r="AJ77" s="210"/>
      <c r="AK77" s="210"/>
      <c r="AL77" s="210"/>
      <c r="AM77" s="210"/>
      <c r="AN77" s="210"/>
      <c r="AO77" s="210"/>
      <c r="AP77" s="210"/>
    </row>
    <row r="78" spans="1:42"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210"/>
      <c r="AJ78" s="210"/>
      <c r="AK78" s="210"/>
      <c r="AL78" s="210"/>
      <c r="AM78" s="210"/>
      <c r="AN78" s="210"/>
      <c r="AO78" s="210"/>
      <c r="AP78" s="210"/>
    </row>
    <row r="79" spans="1:42"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210"/>
      <c r="AJ79" s="210"/>
      <c r="AK79" s="210"/>
      <c r="AL79" s="210"/>
      <c r="AM79" s="210"/>
      <c r="AN79" s="210"/>
      <c r="AO79" s="210"/>
      <c r="AP79" s="210"/>
    </row>
    <row r="80" spans="1:42"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210"/>
      <c r="AJ80" s="210"/>
      <c r="AK80" s="210"/>
      <c r="AL80" s="210"/>
      <c r="AM80" s="210"/>
      <c r="AN80" s="210"/>
      <c r="AO80" s="210"/>
      <c r="AP80" s="210"/>
    </row>
    <row r="81" spans="1:42"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210"/>
      <c r="AJ81" s="210"/>
      <c r="AK81" s="210"/>
      <c r="AL81" s="210"/>
      <c r="AM81" s="210"/>
      <c r="AN81" s="210"/>
      <c r="AO81" s="210"/>
      <c r="AP81" s="210"/>
    </row>
    <row r="82" spans="1:42"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210"/>
      <c r="AJ82" s="210"/>
      <c r="AK82" s="210"/>
      <c r="AL82" s="210"/>
      <c r="AM82" s="210"/>
      <c r="AN82" s="210"/>
      <c r="AO82" s="210"/>
      <c r="AP82" s="210"/>
    </row>
    <row r="83" spans="1:42"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210"/>
      <c r="AJ83" s="210"/>
      <c r="AK83" s="210"/>
      <c r="AL83" s="210"/>
      <c r="AM83" s="210"/>
      <c r="AN83" s="210"/>
      <c r="AO83" s="210"/>
      <c r="AP83" s="210"/>
    </row>
    <row r="84" spans="1:42"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210"/>
      <c r="AJ84" s="210"/>
      <c r="AK84" s="210"/>
      <c r="AL84" s="210"/>
      <c r="AM84" s="210"/>
      <c r="AN84" s="210"/>
      <c r="AO84" s="210"/>
      <c r="AP84" s="210"/>
    </row>
    <row r="85" spans="1:42"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210"/>
      <c r="AJ85" s="210"/>
      <c r="AK85" s="210"/>
      <c r="AL85" s="210"/>
      <c r="AM85" s="210"/>
      <c r="AN85" s="210"/>
      <c r="AO85" s="210"/>
      <c r="AP85" s="210"/>
    </row>
    <row r="86" spans="1:42"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210"/>
      <c r="AJ86" s="210"/>
      <c r="AK86" s="210"/>
      <c r="AL86" s="210"/>
      <c r="AM86" s="210"/>
      <c r="AN86" s="210"/>
      <c r="AO86" s="210"/>
      <c r="AP86" s="210"/>
    </row>
    <row r="87" spans="1:42"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210"/>
      <c r="AJ87" s="210"/>
      <c r="AK87" s="210"/>
      <c r="AL87" s="210"/>
      <c r="AM87" s="210"/>
      <c r="AN87" s="210"/>
      <c r="AO87" s="210"/>
      <c r="AP87" s="210"/>
    </row>
    <row r="88" spans="1:42"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210"/>
      <c r="AJ88" s="210"/>
      <c r="AK88" s="210"/>
      <c r="AL88" s="210"/>
      <c r="AM88" s="210"/>
      <c r="AN88" s="210"/>
      <c r="AO88" s="210"/>
      <c r="AP88" s="210"/>
    </row>
    <row r="89" spans="1:42"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210"/>
      <c r="AJ89" s="210"/>
      <c r="AK89" s="210"/>
      <c r="AL89" s="210"/>
      <c r="AM89" s="210"/>
      <c r="AN89" s="210"/>
      <c r="AO89" s="210"/>
      <c r="AP89" s="210"/>
    </row>
    <row r="90" spans="1:42"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210"/>
      <c r="AJ90" s="210"/>
      <c r="AK90" s="210"/>
      <c r="AL90" s="210"/>
      <c r="AM90" s="210"/>
      <c r="AN90" s="210"/>
      <c r="AO90" s="210"/>
      <c r="AP90" s="210"/>
    </row>
    <row r="91" spans="1:42"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210"/>
      <c r="AJ91" s="210"/>
      <c r="AK91" s="210"/>
      <c r="AL91" s="210"/>
      <c r="AM91" s="210"/>
      <c r="AN91" s="210"/>
      <c r="AO91" s="210"/>
      <c r="AP91" s="210"/>
    </row>
    <row r="92" spans="1:42"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210"/>
      <c r="AJ92" s="210"/>
      <c r="AK92" s="210"/>
      <c r="AL92" s="210"/>
      <c r="AM92" s="210"/>
      <c r="AN92" s="210"/>
      <c r="AO92" s="210"/>
      <c r="AP92" s="210"/>
    </row>
    <row r="93" spans="1:42"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210"/>
      <c r="AJ93" s="210"/>
      <c r="AK93" s="210"/>
      <c r="AL93" s="210"/>
      <c r="AM93" s="210"/>
      <c r="AN93" s="210"/>
      <c r="AO93" s="210"/>
      <c r="AP93" s="210"/>
    </row>
    <row r="94" spans="1:42"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210"/>
      <c r="AJ94" s="210"/>
      <c r="AK94" s="210"/>
      <c r="AL94" s="210"/>
      <c r="AM94" s="210"/>
      <c r="AN94" s="210"/>
      <c r="AO94" s="210"/>
      <c r="AP94" s="210"/>
    </row>
    <row r="95" spans="1:42"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210"/>
      <c r="AJ95" s="210"/>
      <c r="AK95" s="210"/>
      <c r="AL95" s="210"/>
      <c r="AM95" s="210"/>
      <c r="AN95" s="210"/>
      <c r="AO95" s="210"/>
      <c r="AP95" s="210"/>
    </row>
    <row r="96" spans="1:42"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210"/>
      <c r="AJ96" s="210"/>
      <c r="AK96" s="210"/>
      <c r="AL96" s="210"/>
      <c r="AM96" s="210"/>
      <c r="AN96" s="210"/>
      <c r="AO96" s="210"/>
      <c r="AP96" s="210"/>
    </row>
    <row r="97" spans="1:42"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210"/>
      <c r="AJ97" s="210"/>
      <c r="AK97" s="210"/>
      <c r="AL97" s="210"/>
      <c r="AM97" s="210"/>
      <c r="AN97" s="210"/>
      <c r="AO97" s="210"/>
      <c r="AP97" s="210"/>
    </row>
    <row r="98" spans="1:42"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210"/>
      <c r="AJ98" s="210"/>
      <c r="AK98" s="210"/>
      <c r="AL98" s="210"/>
      <c r="AM98" s="210"/>
      <c r="AN98" s="210"/>
      <c r="AO98" s="210"/>
      <c r="AP98" s="210"/>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sheetData>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4"/>
  <headerFooter alignWithMargins="0">
    <oddHeader>&amp;LUpdated Feasibility Study for Metolong Dam - Financial and Economic Analysis&amp;RDecember 2006</oddHeader>
    <oddFooter>&amp;L&amp;F, &amp;A&amp;C&amp;P of &amp;N&amp;R&amp;D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mur10721</dc:creator>
  <cp:keywords/>
  <dc:description/>
  <cp:lastModifiedBy>defuser</cp:lastModifiedBy>
  <cp:lastPrinted>2007-01-12T13:45:09Z</cp:lastPrinted>
  <dcterms:created xsi:type="dcterms:W3CDTF">2006-12-07T11:52:47Z</dcterms:created>
  <dcterms:modified xsi:type="dcterms:W3CDTF">2008-06-11T19:22:41Z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35777877</vt:i4>
  </property>
  <property fmtid="{D5CDD505-2E9C-101B-9397-08002B2CF9AE}" pid="3" name="_EmailSubject">
    <vt:lpwstr>MCC Lesotho - Project Level Financial and Economic Analysis</vt:lpwstr>
  </property>
  <property fmtid="{D5CDD505-2E9C-101B-9397-08002B2CF9AE}" pid="4" name="_AuthorEmail">
    <vt:lpwstr>Sean.Murphy@mottmac.com</vt:lpwstr>
  </property>
  <property fmtid="{D5CDD505-2E9C-101B-9397-08002B2CF9AE}" pid="5" name="_AuthorEmailDisplayName">
    <vt:lpwstr>Murphy, Sean E</vt:lpwstr>
  </property>
  <property fmtid="{D5CDD505-2E9C-101B-9397-08002B2CF9AE}" pid="6" name="_ReviewingToolsShownOnce">
    <vt:lpwstr/>
  </property>
</Properties>
</file>