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60" yWindow="0" windowWidth="8055" windowHeight="9045" activeTab="0"/>
  </bookViews>
  <sheets>
    <sheet name="Kicks @ 1GeV" sheetId="1" r:id="rId1"/>
    <sheet name="Working points" sheetId="2" r:id="rId2"/>
    <sheet name="Aperture" sheetId="3" r:id="rId3"/>
    <sheet name="Vertical" sheetId="4" r:id="rId4"/>
    <sheet name="Horizontal" sheetId="5" r:id="rId5"/>
    <sheet name="spi.optics" sheetId="6" r:id="rId6"/>
    <sheet name="optics" sheetId="7" r:id="rId7"/>
    <sheet name="Pipe(both)" sheetId="8" r:id="rId8"/>
  </sheets>
  <definedNames>
    <definedName name="Brho">'Kicks @ 1GeV'!$K$5</definedName>
    <definedName name="emmit">'Kicks @ 1GeV'!$B$38</definedName>
    <definedName name="K_1">'Kicks @ 1GeV'!$K$3</definedName>
    <definedName name="K_2">'Kicks @ 1GeV'!$K$4</definedName>
    <definedName name="k_bnd1">'Kicks @ 1GeV'!$E$16</definedName>
    <definedName name="k_bnd2">'Kicks @ 1GeV'!$E$17</definedName>
    <definedName name="k_bnd3">'Kicks @ 1GeV'!$E$18</definedName>
    <definedName name="k_bnd4">'Kicks @ 1GeV'!$E$19</definedName>
    <definedName name="k_hk1">'Kicks @ 1GeV'!$E$12</definedName>
    <definedName name="k_hk2">'Kicks @ 1GeV'!$E$13</definedName>
    <definedName name="k_qdc">'Kicks @ 1GeV'!$E$15</definedName>
    <definedName name="k_qdcv">'Kicks @ 1GeV'!$E$32</definedName>
    <definedName name="k_qfc">'Kicks @ 1GeV'!$E$14</definedName>
    <definedName name="k_qfcv">'Kicks @ 1GeV'!$E$31</definedName>
    <definedName name="k_vk1">'Kicks @ 1GeV'!$E$29</definedName>
    <definedName name="k_vk2">'Kicks @ 1GeV'!$E$30</definedName>
    <definedName name="L_1">'Kicks @ 1GeV'!$K$1</definedName>
    <definedName name="L_2">'Kicks @ 1GeV'!$K$2</definedName>
    <definedName name="o_bnd1">'Kicks @ 1GeV'!$F$16</definedName>
    <definedName name="o_bnd2">'Kicks @ 1GeV'!$F$17</definedName>
    <definedName name="o_bnd3">'Kicks @ 1GeV'!$F$18</definedName>
    <definedName name="o_bnd4">'Kicks @ 1GeV'!$F$19</definedName>
    <definedName name="o_hk1">'Kicks @ 1GeV'!$F$12</definedName>
    <definedName name="o_hk2">'Kicks @ 1GeV'!$F$13</definedName>
    <definedName name="o_qdc">'Kicks @ 1GeV'!$F$15</definedName>
    <definedName name="o_qdcv">'Kicks @ 1GeV'!$F$32</definedName>
    <definedName name="o_qfc">'Kicks @ 1GeV'!$F$14</definedName>
    <definedName name="o_qfcv">'Kicks @ 1GeV'!$F$31</definedName>
    <definedName name="o_vk1">'Kicks @ 1GeV'!$F$29</definedName>
    <definedName name="o_vk2">'Kicks @ 1GeV'!$F$30</definedName>
    <definedName name="_xlnm.Print_Area" localSheetId="7">'Pipe(both)'!$A$1:$K$98</definedName>
    <definedName name="q_qdc">'Kicks @ 1GeV'!$D$15</definedName>
    <definedName name="s_bnd1">'Kicks @ 1GeV'!$B$16</definedName>
    <definedName name="s_bnd2">'Kicks @ 1GeV'!$B$17</definedName>
    <definedName name="s_bnd3">'Kicks @ 1GeV'!$B$18</definedName>
    <definedName name="s_bnd4">'Kicks @ 1GeV'!$B$19</definedName>
    <definedName name="s_hk1">'Kicks @ 1GeV'!$B$12</definedName>
    <definedName name="s_hk12">'Kicks @ 1GeV'!$B$23</definedName>
    <definedName name="s_hk1s">'Kicks @ 1GeV'!$B$23</definedName>
    <definedName name="s_hk2">'Kicks @ 1GeV'!$B$13</definedName>
    <definedName name="s_hk22">'Kicks @ 1GeV'!$B$22</definedName>
    <definedName name="s_qdc">'Kicks @ 1GeV'!$B$15</definedName>
    <definedName name="s_qdc2">'Kicks @ 1GeV'!$B$20</definedName>
    <definedName name="s_qfc">'Kicks @ 1GeV'!$B$14</definedName>
    <definedName name="s_qfc2">'Kicks @ 1GeV'!$B$21</definedName>
    <definedName name="s_vk1">'Kicks @ 1GeV'!$B$29</definedName>
    <definedName name="s_vk12">'Kicks @ 1GeV'!$B$36</definedName>
    <definedName name="s_vk2">'Kicks @ 1GeV'!$B$30</definedName>
    <definedName name="s_vk22">'Kicks @ 1GeV'!$B$35</definedName>
    <definedName name="solver_adj" localSheetId="0" hidden="1">'Kicks @ 1GeV'!$D$12:$D$13</definedName>
    <definedName name="solver_cvg" localSheetId="0" hidden="1">0.001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hs1" localSheetId="0" hidden="1">'Kicks @ 1GeV'!$E$23</definedName>
    <definedName name="solver_lin" localSheetId="0" hidden="1">2</definedName>
    <definedName name="solver_neg" localSheetId="0" hidden="1">2</definedName>
    <definedName name="solver_num" localSheetId="0" hidden="1">1</definedName>
    <definedName name="solver_nwt" localSheetId="0" hidden="1">1</definedName>
    <definedName name="solver_opt" localSheetId="0" hidden="1">'Kicks @ 1GeV'!$F$23</definedName>
    <definedName name="solver_pre" localSheetId="0" hidden="1">0.000001</definedName>
    <definedName name="solver_rel1" localSheetId="0" hidden="1">2</definedName>
    <definedName name="solver_rhs1" localSheetId="0" hidden="1">0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3</definedName>
    <definedName name="solver_val" localSheetId="0" hidden="1">0</definedName>
  </definedNames>
  <calcPr fullCalcOnLoad="1"/>
</workbook>
</file>

<file path=xl/comments1.xml><?xml version="1.0" encoding="utf-8"?>
<comments xmlns="http://schemas.openxmlformats.org/spreadsheetml/2006/main">
  <authors>
    <author>Nuria Catalan Lasheras</author>
    <author>Nuria Catalan-Lasheras</author>
  </authors>
  <commentList>
    <comment ref="F15" authorId="0">
      <text>
        <r>
          <rPr>
            <b/>
            <sz val="8"/>
            <rFont val="Tahoma"/>
            <family val="0"/>
          </rPr>
          <t>Nuria Catalan Lasheras:</t>
        </r>
        <r>
          <rPr>
            <sz val="8"/>
            <rFont val="Tahoma"/>
            <family val="0"/>
          </rPr>
          <t xml:space="preserve">
Has to be 0 for checking 480pi acceptance and 40 for calculating the kicker angles</t>
        </r>
      </text>
    </comment>
    <comment ref="F32" authorId="1">
      <text>
        <r>
          <rPr>
            <b/>
            <sz val="8"/>
            <rFont val="Tahoma"/>
            <family val="0"/>
          </rPr>
          <t>Nuria Catalan-Lasheras:</t>
        </r>
        <r>
          <rPr>
            <sz val="8"/>
            <rFont val="Tahoma"/>
            <family val="0"/>
          </rPr>
          <t xml:space="preserve">
Has to be -46mm for calculating kicker angles and 0 for aperture (corr. Painting)</t>
        </r>
      </text>
    </comment>
  </commentList>
</comments>
</file>

<file path=xl/sharedStrings.xml><?xml version="1.0" encoding="utf-8"?>
<sst xmlns="http://schemas.openxmlformats.org/spreadsheetml/2006/main" count="1090" uniqueCount="194">
  <si>
    <t>Element</t>
  </si>
  <si>
    <t>y_co(mm)</t>
  </si>
  <si>
    <t>Item at Location</t>
  </si>
  <si>
    <t xml:space="preserve"> </t>
  </si>
  <si>
    <t>Center of Quad QVA9</t>
  </si>
  <si>
    <t>Center of Quad QHA10</t>
  </si>
  <si>
    <t>NAME</t>
  </si>
  <si>
    <t>BETX</t>
  </si>
  <si>
    <t>BETY</t>
  </si>
  <si>
    <t>QFC</t>
  </si>
  <si>
    <t>QDC</t>
  </si>
  <si>
    <t>emmitance</t>
  </si>
  <si>
    <t>S(m)</t>
  </si>
  <si>
    <t>x_co (mm)</t>
  </si>
  <si>
    <t>Hor. Extent</t>
  </si>
  <si>
    <t>Vert. Extent</t>
  </si>
  <si>
    <t>SNS Ring Arc Chamber Aperture (mm)</t>
  </si>
  <si>
    <t>End of Quad QHA10</t>
  </si>
  <si>
    <t>Center of INJBND1</t>
  </si>
  <si>
    <t>Center of INJBND2</t>
  </si>
  <si>
    <t>End of INJBND2</t>
  </si>
  <si>
    <t>Center of INJBND3</t>
  </si>
  <si>
    <t>End of INJBND3</t>
  </si>
  <si>
    <t>Center of INJBND4</t>
  </si>
  <si>
    <t>End of INJBND4</t>
  </si>
  <si>
    <t>Center of Quad QVA11</t>
  </si>
  <si>
    <t>End of Quad QVA11</t>
  </si>
  <si>
    <t>Center of Quad QVA12</t>
  </si>
  <si>
    <t>End of Quad QVA12</t>
  </si>
  <si>
    <t>Center of Quad QHA13</t>
  </si>
  <si>
    <t>End of Quad QHA13</t>
  </si>
  <si>
    <t>End of Quad QVA9</t>
  </si>
  <si>
    <t>Center of  INJHKICK1</t>
  </si>
  <si>
    <t>End of  INJHKICK1</t>
  </si>
  <si>
    <t>Center of  INJVKICK1</t>
  </si>
  <si>
    <t>End of  INJVKICK1</t>
  </si>
  <si>
    <t>Center of  INJHKICK2</t>
  </si>
  <si>
    <t>End of  INJHKICK2</t>
  </si>
  <si>
    <t>Center of  INJVKICK2</t>
  </si>
  <si>
    <t>End of  INJVKICK2</t>
  </si>
  <si>
    <t>Center of  INJVKICK3</t>
  </si>
  <si>
    <t>End of  INJVKICK3</t>
  </si>
  <si>
    <t>End of  INJHKICK3</t>
  </si>
  <si>
    <t>Center of  INJHKICK3</t>
  </si>
  <si>
    <t>Center of  INJVKICK4</t>
  </si>
  <si>
    <t>End of  INJVKICK4</t>
  </si>
  <si>
    <t>End of  INJHKICK4</t>
  </si>
  <si>
    <t>Center of  INJHKICK4</t>
  </si>
  <si>
    <t>End of INJBND1</t>
  </si>
  <si>
    <t>Pipe changes</t>
  </si>
  <si>
    <t>Horizontal</t>
  </si>
  <si>
    <t>Vertical</t>
  </si>
  <si>
    <t>start</t>
  </si>
  <si>
    <t>end</t>
  </si>
  <si>
    <t>Sect length(cm)</t>
  </si>
  <si>
    <t xml:space="preserve"> Z  Beam (m)</t>
  </si>
  <si>
    <t xml:space="preserve">X+ </t>
  </si>
  <si>
    <t xml:space="preserve">X- </t>
  </si>
  <si>
    <t xml:space="preserve">Y+ </t>
  </si>
  <si>
    <t xml:space="preserve">Y- </t>
  </si>
  <si>
    <t>(1/2 VC Height)</t>
  </si>
  <si>
    <t>(1/2 VC width)</t>
  </si>
  <si>
    <t>offset</t>
  </si>
  <si>
    <t>S</t>
  </si>
  <si>
    <t>DX</t>
  </si>
  <si>
    <t>AC</t>
  </si>
  <si>
    <t>T/m</t>
  </si>
  <si>
    <t>m</t>
  </si>
  <si>
    <t>Brho</t>
  </si>
  <si>
    <t>Bellows</t>
  </si>
  <si>
    <t>Center of Quad QVB1</t>
  </si>
  <si>
    <t>Ion Pump Tee</t>
  </si>
  <si>
    <t>KEYWORD</t>
  </si>
  <si>
    <t>L</t>
  </si>
  <si>
    <t>K1L</t>
  </si>
  <si>
    <t>DY</t>
  </si>
  <si>
    <t>RING</t>
  </si>
  <si>
    <t>LINE</t>
  </si>
  <si>
    <t>SPINJ</t>
  </si>
  <si>
    <t>SIL</t>
  </si>
  <si>
    <t>SILA</t>
  </si>
  <si>
    <t>QDEE</t>
  </si>
  <si>
    <t>QUADRUPOLE</t>
  </si>
  <si>
    <t>DKH1</t>
  </si>
  <si>
    <t>DRIFT</t>
  </si>
  <si>
    <t>IKDH1</t>
  </si>
  <si>
    <t>HKICKER</t>
  </si>
  <si>
    <t>DKV1</t>
  </si>
  <si>
    <t>IKDV1</t>
  </si>
  <si>
    <t>VKICKER</t>
  </si>
  <si>
    <t>DKH2</t>
  </si>
  <si>
    <t>IKDH2</t>
  </si>
  <si>
    <t>SILB</t>
  </si>
  <si>
    <t>DKV2</t>
  </si>
  <si>
    <t>IKDV2</t>
  </si>
  <si>
    <t>DQFC</t>
  </si>
  <si>
    <t>VV</t>
  </si>
  <si>
    <t>SINJ</t>
  </si>
  <si>
    <t>DQTB</t>
  </si>
  <si>
    <t>BMI1</t>
  </si>
  <si>
    <t>SBEND</t>
  </si>
  <si>
    <t>DB12</t>
  </si>
  <si>
    <t>BMI2</t>
  </si>
  <si>
    <t>INJM</t>
  </si>
  <si>
    <t>MARKER</t>
  </si>
  <si>
    <t>DB23</t>
  </si>
  <si>
    <t>BMI3</t>
  </si>
  <si>
    <t>DB34</t>
  </si>
  <si>
    <t>BMI4</t>
  </si>
  <si>
    <t>DBTQ</t>
  </si>
  <si>
    <t>SIR</t>
  </si>
  <si>
    <t>SIRA</t>
  </si>
  <si>
    <t>DKV3</t>
  </si>
  <si>
    <t>IKDV3</t>
  </si>
  <si>
    <t>DKH3</t>
  </si>
  <si>
    <t>IKDH3</t>
  </si>
  <si>
    <t>SIRB</t>
  </si>
  <si>
    <t>DKV4</t>
  </si>
  <si>
    <t>IKDV4</t>
  </si>
  <si>
    <t>DKH4</t>
  </si>
  <si>
    <t>IKDH4</t>
  </si>
  <si>
    <t>DQDE</t>
  </si>
  <si>
    <t>ARC</t>
  </si>
  <si>
    <t>ACL</t>
  </si>
  <si>
    <t>OO</t>
  </si>
  <si>
    <t>BL</t>
  </si>
  <si>
    <t>BR</t>
  </si>
  <si>
    <t>O</t>
  </si>
  <si>
    <t>QF</t>
  </si>
  <si>
    <t>QD</t>
  </si>
  <si>
    <t>ACR</t>
  </si>
  <si>
    <t>SP</t>
  </si>
  <si>
    <t>SCC</t>
  </si>
  <si>
    <t>SCLL</t>
  </si>
  <si>
    <t>UU</t>
  </si>
  <si>
    <t>WW</t>
  </si>
  <si>
    <t>SCRR</t>
  </si>
  <si>
    <t>New optics file obtained from Jeff Holmes new Mad files. 24-October-2000</t>
  </si>
  <si>
    <t>BMI11</t>
  </si>
  <si>
    <t>BMI12</t>
  </si>
  <si>
    <t>BMI21</t>
  </si>
  <si>
    <t>BMI22</t>
  </si>
  <si>
    <t>BMI31</t>
  </si>
  <si>
    <t>BMI32</t>
  </si>
  <si>
    <t>BMI41</t>
  </si>
  <si>
    <t>BMI42</t>
  </si>
  <si>
    <t>Required kicking angle and magnetic field</t>
  </si>
  <si>
    <t>InjKH1</t>
  </si>
  <si>
    <t>InjKH2</t>
  </si>
  <si>
    <t>InjKV1</t>
  </si>
  <si>
    <t>InjKV2</t>
  </si>
  <si>
    <t>InjKV4</t>
  </si>
  <si>
    <t>InjKH3</t>
  </si>
  <si>
    <t>InjKH4</t>
  </si>
  <si>
    <t>InjKV3</t>
  </si>
  <si>
    <t>DHInj1</t>
  </si>
  <si>
    <t>DHInj2</t>
  </si>
  <si>
    <t>DHInj3</t>
  </si>
  <si>
    <t>DHInj4</t>
  </si>
  <si>
    <t>s [m]</t>
  </si>
  <si>
    <t>Deltax [m]</t>
  </si>
  <si>
    <t>QHA10</t>
  </si>
  <si>
    <t>QVA11</t>
  </si>
  <si>
    <t>QVA12</t>
  </si>
  <si>
    <t>QHA13</t>
  </si>
  <si>
    <t>Kick [mrad]</t>
  </si>
  <si>
    <t xml:space="preserve"> Angle [mrad]</t>
  </si>
  <si>
    <t>offset [mm]</t>
  </si>
  <si>
    <t>From InjKH1 to InjKV1</t>
  </si>
  <si>
    <t>From end of quad to InjKH1</t>
  </si>
  <si>
    <t>From InjKV1 to InjKH2</t>
  </si>
  <si>
    <t>From InjKH2 to InjKV2</t>
  </si>
  <si>
    <t>LQD</t>
  </si>
  <si>
    <t>LQF</t>
  </si>
  <si>
    <r>
      <t xml:space="preserve">You can play around with the following distances and check the vertical kicking angle </t>
    </r>
    <r>
      <rPr>
        <b/>
        <sz val="10"/>
        <color indexed="10"/>
        <rFont val="Arial"/>
        <family val="2"/>
      </rPr>
      <t>(in red)</t>
    </r>
  </si>
  <si>
    <t>Angle[mrad]</t>
  </si>
  <si>
    <t>B [KG]</t>
  </si>
  <si>
    <t>Deflection at the doublet</t>
  </si>
  <si>
    <t>Deflection at chicane</t>
  </si>
  <si>
    <t>KFC</t>
  </si>
  <si>
    <t>KDC</t>
  </si>
  <si>
    <t>InjKH1/4</t>
  </si>
  <si>
    <t>InjKH2/3</t>
  </si>
  <si>
    <t>InjKV1/4</t>
  </si>
  <si>
    <t>InjKV2/3</t>
  </si>
  <si>
    <t>Working point</t>
  </si>
  <si>
    <t xml:space="preserve">Maximum angles are 11.66 and 4.7 mrad for the long and short kicker </t>
  </si>
  <si>
    <t>Angular kick given by each injection kicker for the different working points in consideration</t>
  </si>
  <si>
    <t>NCL 09/25/2001</t>
  </si>
  <si>
    <t xml:space="preserve">Beam envelope along the injection straight section calculated from cumulative angle times the distance from the last kick plus offset </t>
  </si>
  <si>
    <t>Based in the optics function for working point Qx=6.3, Qy=5.8 (NCL, 10/24/00)</t>
  </si>
  <si>
    <t>From engineering drawings by J. Brodowski (NCL)</t>
  </si>
  <si>
    <t>Distances in bold face are given by the design of the kicker group.</t>
  </si>
  <si>
    <t>Q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</si>
</sst>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0.00000"/>
  </numFmts>
  <fonts count="34">
    <font>
      <sz val="10"/>
      <name val="Arial"/>
      <family val="0"/>
    </font>
    <font>
      <b/>
      <sz val="10"/>
      <color indexed="18"/>
      <name val="Arial"/>
      <family val="0"/>
    </font>
    <font>
      <i/>
      <sz val="10"/>
      <color indexed="18"/>
      <name val="Arial"/>
      <family val="0"/>
    </font>
    <font>
      <b/>
      <sz val="16"/>
      <name val="AvantGarde"/>
      <family val="2"/>
    </font>
    <font>
      <sz val="16"/>
      <name val="AvantGarde"/>
      <family val="2"/>
    </font>
    <font>
      <sz val="16"/>
      <name val="Arial"/>
      <family val="0"/>
    </font>
    <font>
      <b/>
      <i/>
      <sz val="11"/>
      <name val="Arial Narrow"/>
      <family val="2"/>
    </font>
    <font>
      <b/>
      <i/>
      <sz val="10"/>
      <name val="Arial"/>
      <family val="2"/>
    </font>
    <font>
      <sz val="9"/>
      <name val="Arial"/>
      <family val="2"/>
    </font>
    <font>
      <b/>
      <sz val="10"/>
      <name val="Arial"/>
      <family val="0"/>
    </font>
    <font>
      <b/>
      <sz val="12"/>
      <name val="Arial"/>
      <family val="2"/>
    </font>
    <font>
      <sz val="12"/>
      <name val="Arial"/>
      <family val="0"/>
    </font>
    <font>
      <i/>
      <sz val="10"/>
      <color indexed="62"/>
      <name val="Arial"/>
      <family val="2"/>
    </font>
    <font>
      <u val="single"/>
      <sz val="10"/>
      <color indexed="12"/>
      <name val="Arial"/>
      <family val="0"/>
    </font>
    <font>
      <sz val="11"/>
      <name val="Arial"/>
      <family val="2"/>
    </font>
    <font>
      <b/>
      <sz val="14"/>
      <name val="Arial"/>
      <family val="2"/>
    </font>
    <font>
      <sz val="10.5"/>
      <name val="Arial"/>
      <family val="0"/>
    </font>
    <font>
      <sz val="12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2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2"/>
      <name val="Times New Roman"/>
      <family val="0"/>
    </font>
    <font>
      <i/>
      <sz val="12"/>
      <name val="Times New Roman"/>
      <family val="1"/>
    </font>
    <font>
      <b/>
      <sz val="14"/>
      <color indexed="18"/>
      <name val="Arial"/>
      <family val="2"/>
    </font>
    <font>
      <sz val="14"/>
      <name val="Arial"/>
      <family val="2"/>
    </font>
    <font>
      <b/>
      <sz val="13"/>
      <color indexed="18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b/>
      <sz val="10"/>
      <name val="AvantGarde"/>
      <family val="2"/>
    </font>
    <font>
      <sz val="10"/>
      <name val="AvantGarde"/>
      <family val="2"/>
    </font>
    <font>
      <b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medium">
        <color indexed="2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4" fillId="0" borderId="0">
      <alignment/>
      <protection/>
    </xf>
    <xf numFmtId="9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164" fontId="3" fillId="2" borderId="1" xfId="0" applyNumberFormat="1" applyFont="1" applyFill="1" applyBorder="1" applyAlignment="1">
      <alignment horizontal="left"/>
    </xf>
    <xf numFmtId="164" fontId="4" fillId="2" borderId="1" xfId="0" applyNumberFormat="1" applyFont="1" applyFill="1" applyBorder="1" applyAlignment="1">
      <alignment horizontal="right"/>
    </xf>
    <xf numFmtId="164" fontId="4" fillId="2" borderId="1" xfId="0" applyNumberFormat="1" applyFont="1" applyFill="1" applyBorder="1" applyAlignment="1">
      <alignment/>
    </xf>
    <xf numFmtId="164" fontId="4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/>
    </xf>
    <xf numFmtId="164" fontId="6" fillId="3" borderId="1" xfId="0" applyNumberFormat="1" applyFont="1" applyFill="1" applyBorder="1" applyAlignment="1">
      <alignment horizontal="center"/>
    </xf>
    <xf numFmtId="0" fontId="7" fillId="3" borderId="0" xfId="0" applyFont="1" applyFill="1" applyAlignment="1">
      <alignment/>
    </xf>
    <xf numFmtId="164" fontId="6" fillId="4" borderId="1" xfId="0" applyNumberFormat="1" applyFont="1" applyFill="1" applyBorder="1" applyAlignment="1">
      <alignment horizontal="center"/>
    </xf>
    <xf numFmtId="164" fontId="8" fillId="4" borderId="1" xfId="0" applyNumberFormat="1" applyFont="1" applyFill="1" applyBorder="1" applyAlignment="1">
      <alignment horizontal="right"/>
    </xf>
    <xf numFmtId="164" fontId="8" fillId="5" borderId="1" xfId="0" applyNumberFormat="1" applyFont="1" applyFill="1" applyBorder="1" applyAlignment="1">
      <alignment horizontal="center"/>
    </xf>
    <xf numFmtId="164" fontId="8" fillId="5" borderId="1" xfId="0" applyNumberFormat="1" applyFont="1" applyFill="1" applyBorder="1" applyAlignment="1">
      <alignment horizontal="right"/>
    </xf>
    <xf numFmtId="164" fontId="8" fillId="5" borderId="1" xfId="0" applyNumberFormat="1" applyFont="1" applyFill="1" applyBorder="1" applyAlignment="1">
      <alignment/>
    </xf>
    <xf numFmtId="0" fontId="0" fillId="5" borderId="0" xfId="0" applyFill="1" applyAlignment="1">
      <alignment/>
    </xf>
    <xf numFmtId="164" fontId="8" fillId="0" borderId="1" xfId="0" applyNumberFormat="1" applyFont="1" applyBorder="1" applyAlignment="1">
      <alignment horizontal="center"/>
    </xf>
    <xf numFmtId="164" fontId="8" fillId="0" borderId="1" xfId="0" applyNumberFormat="1" applyFont="1" applyBorder="1" applyAlignment="1">
      <alignment horizontal="right"/>
    </xf>
    <xf numFmtId="164" fontId="8" fillId="0" borderId="1" xfId="0" applyNumberFormat="1" applyFont="1" applyBorder="1" applyAlignment="1">
      <alignment/>
    </xf>
    <xf numFmtId="164" fontId="8" fillId="6" borderId="1" xfId="0" applyNumberFormat="1" applyFont="1" applyFill="1" applyBorder="1" applyAlignment="1">
      <alignment horizontal="center"/>
    </xf>
    <xf numFmtId="164" fontId="8" fillId="6" borderId="1" xfId="0" applyNumberFormat="1" applyFont="1" applyFill="1" applyBorder="1" applyAlignment="1">
      <alignment horizontal="right"/>
    </xf>
    <xf numFmtId="164" fontId="8" fillId="6" borderId="1" xfId="0" applyNumberFormat="1" applyFont="1" applyFill="1" applyBorder="1" applyAlignment="1">
      <alignment/>
    </xf>
    <xf numFmtId="0" fontId="0" fillId="6" borderId="0" xfId="0" applyFill="1" applyBorder="1" applyAlignment="1">
      <alignment/>
    </xf>
    <xf numFmtId="164" fontId="8" fillId="4" borderId="1" xfId="0" applyNumberFormat="1" applyFont="1" applyFill="1" applyBorder="1" applyAlignment="1">
      <alignment horizontal="center"/>
    </xf>
    <xf numFmtId="0" fontId="0" fillId="4" borderId="0" xfId="0" applyFill="1" applyAlignment="1">
      <alignment/>
    </xf>
    <xf numFmtId="0" fontId="0" fillId="6" borderId="0" xfId="0" applyFill="1" applyAlignment="1">
      <alignment/>
    </xf>
    <xf numFmtId="164" fontId="0" fillId="0" borderId="0" xfId="0" applyNumberFormat="1" applyAlignment="1">
      <alignment horizontal="center"/>
    </xf>
    <xf numFmtId="164" fontId="0" fillId="0" borderId="0" xfId="0" applyNumberFormat="1" applyAlignment="1">
      <alignment horizontal="right"/>
    </xf>
    <xf numFmtId="164" fontId="0" fillId="0" borderId="0" xfId="0" applyNumberFormat="1" applyAlignment="1">
      <alignment/>
    </xf>
    <xf numFmtId="164" fontId="8" fillId="7" borderId="1" xfId="0" applyNumberFormat="1" applyFont="1" applyFill="1" applyBorder="1" applyAlignment="1">
      <alignment horizontal="center"/>
    </xf>
    <xf numFmtId="164" fontId="8" fillId="7" borderId="1" xfId="0" applyNumberFormat="1" applyFont="1" applyFill="1" applyBorder="1" applyAlignment="1">
      <alignment horizontal="right"/>
    </xf>
    <xf numFmtId="164" fontId="8" fillId="7" borderId="1" xfId="0" applyNumberFormat="1" applyFont="1" applyFill="1" applyBorder="1" applyAlignment="1">
      <alignment/>
    </xf>
    <xf numFmtId="164" fontId="8" fillId="0" borderId="1" xfId="0" applyNumberFormat="1" applyFont="1" applyFill="1" applyBorder="1" applyAlignment="1">
      <alignment horizontal="center"/>
    </xf>
    <xf numFmtId="164" fontId="8" fillId="0" borderId="1" xfId="0" applyNumberFormat="1" applyFont="1" applyFill="1" applyBorder="1" applyAlignment="1">
      <alignment horizontal="right"/>
    </xf>
    <xf numFmtId="164" fontId="8" fillId="0" borderId="1" xfId="0" applyNumberFormat="1" applyFont="1" applyFill="1" applyBorder="1" applyAlignment="1">
      <alignment/>
    </xf>
    <xf numFmtId="164" fontId="8" fillId="0" borderId="2" xfId="0" applyNumberFormat="1" applyFont="1" applyFill="1" applyBorder="1" applyAlignment="1">
      <alignment horizontal="center"/>
    </xf>
    <xf numFmtId="164" fontId="8" fillId="0" borderId="2" xfId="0" applyNumberFormat="1" applyFont="1" applyFill="1" applyBorder="1" applyAlignment="1">
      <alignment horizontal="right"/>
    </xf>
    <xf numFmtId="164" fontId="0" fillId="0" borderId="1" xfId="0" applyNumberFormat="1" applyFill="1" applyBorder="1" applyAlignment="1">
      <alignment/>
    </xf>
    <xf numFmtId="164" fontId="0" fillId="0" borderId="1" xfId="0" applyNumberFormat="1" applyFill="1" applyBorder="1" applyAlignment="1">
      <alignment horizontal="center"/>
    </xf>
    <xf numFmtId="164" fontId="0" fillId="0" borderId="1" xfId="0" applyNumberFormat="1" applyFill="1" applyBorder="1" applyAlignment="1">
      <alignment horizontal="right"/>
    </xf>
    <xf numFmtId="164" fontId="0" fillId="0" borderId="0" xfId="0" applyNumberFormat="1" applyFill="1" applyAlignment="1">
      <alignment horizontal="center"/>
    </xf>
    <xf numFmtId="164" fontId="0" fillId="0" borderId="0" xfId="0" applyNumberFormat="1" applyFill="1" applyAlignment="1">
      <alignment horizontal="right"/>
    </xf>
    <xf numFmtId="164" fontId="0" fillId="0" borderId="0" xfId="0" applyNumberFormat="1" applyFill="1" applyAlignment="1">
      <alignment/>
    </xf>
    <xf numFmtId="0" fontId="0" fillId="0" borderId="3" xfId="0" applyFill="1" applyBorder="1" applyAlignment="1">
      <alignment/>
    </xf>
    <xf numFmtId="0" fontId="0" fillId="0" borderId="4" xfId="0" applyFill="1" applyBorder="1" applyAlignment="1">
      <alignment/>
    </xf>
    <xf numFmtId="0" fontId="1" fillId="0" borderId="3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left"/>
    </xf>
    <xf numFmtId="0" fontId="1" fillId="0" borderId="0" xfId="0" applyFont="1" applyAlignment="1">
      <alignment/>
    </xf>
    <xf numFmtId="2" fontId="0" fillId="0" borderId="4" xfId="0" applyNumberFormat="1" applyFill="1" applyBorder="1" applyAlignment="1">
      <alignment/>
    </xf>
    <xf numFmtId="2" fontId="0" fillId="0" borderId="3" xfId="0" applyNumberFormat="1" applyFill="1" applyBorder="1" applyAlignment="1">
      <alignment/>
    </xf>
    <xf numFmtId="0" fontId="1" fillId="0" borderId="3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center"/>
    </xf>
    <xf numFmtId="0" fontId="12" fillId="0" borderId="4" xfId="0" applyFont="1" applyFill="1" applyBorder="1" applyAlignment="1">
      <alignment/>
    </xf>
    <xf numFmtId="0" fontId="12" fillId="0" borderId="3" xfId="0" applyFont="1" applyFill="1" applyBorder="1" applyAlignment="1">
      <alignment horizontal="left"/>
    </xf>
    <xf numFmtId="11" fontId="0" fillId="0" borderId="0" xfId="0" applyNumberFormat="1" applyAlignment="1">
      <alignment/>
    </xf>
    <xf numFmtId="2" fontId="0" fillId="0" borderId="5" xfId="0" applyNumberFormat="1" applyFill="1" applyBorder="1" applyAlignment="1">
      <alignment/>
    </xf>
    <xf numFmtId="2" fontId="9" fillId="0" borderId="3" xfId="0" applyNumberFormat="1" applyFont="1" applyFill="1" applyBorder="1" applyAlignment="1">
      <alignment/>
    </xf>
    <xf numFmtId="0" fontId="0" fillId="0" borderId="5" xfId="0" applyFill="1" applyBorder="1" applyAlignment="1">
      <alignment/>
    </xf>
    <xf numFmtId="2" fontId="0" fillId="0" borderId="3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0" fontId="9" fillId="0" borderId="0" xfId="0" applyFont="1" applyAlignment="1">
      <alignment/>
    </xf>
    <xf numFmtId="2" fontId="18" fillId="0" borderId="4" xfId="0" applyNumberFormat="1" applyFont="1" applyFill="1" applyBorder="1" applyAlignment="1">
      <alignment/>
    </xf>
    <xf numFmtId="2" fontId="18" fillId="0" borderId="3" xfId="0" applyNumberFormat="1" applyFont="1" applyFill="1" applyBorder="1" applyAlignment="1">
      <alignment/>
    </xf>
    <xf numFmtId="0" fontId="11" fillId="0" borderId="1" xfId="0" applyFont="1" applyBorder="1" applyAlignment="1">
      <alignment/>
    </xf>
    <xf numFmtId="2" fontId="11" fillId="0" borderId="1" xfId="0" applyNumberFormat="1" applyFont="1" applyBorder="1" applyAlignment="1">
      <alignment/>
    </xf>
    <xf numFmtId="0" fontId="10" fillId="0" borderId="1" xfId="0" applyFont="1" applyBorder="1" applyAlignment="1">
      <alignment/>
    </xf>
    <xf numFmtId="2" fontId="10" fillId="0" borderId="1" xfId="0" applyNumberFormat="1" applyFont="1" applyBorder="1" applyAlignment="1">
      <alignment/>
    </xf>
    <xf numFmtId="0" fontId="24" fillId="0" borderId="0" xfId="20">
      <alignment/>
      <protection/>
    </xf>
    <xf numFmtId="11" fontId="24" fillId="0" borderId="0" xfId="20" applyNumberFormat="1">
      <alignment/>
      <protection/>
    </xf>
    <xf numFmtId="0" fontId="25" fillId="0" borderId="0" xfId="20" applyFont="1">
      <alignment/>
      <protection/>
    </xf>
    <xf numFmtId="11" fontId="0" fillId="0" borderId="4" xfId="0" applyNumberFormat="1" applyFill="1" applyBorder="1" applyAlignment="1">
      <alignment/>
    </xf>
    <xf numFmtId="11" fontId="0" fillId="0" borderId="5" xfId="0" applyNumberFormat="1" applyFill="1" applyBorder="1" applyAlignment="1">
      <alignment/>
    </xf>
    <xf numFmtId="0" fontId="1" fillId="0" borderId="3" xfId="0" applyFont="1" applyFill="1" applyBorder="1" applyAlignment="1">
      <alignment horizontal="center"/>
    </xf>
    <xf numFmtId="0" fontId="0" fillId="7" borderId="4" xfId="0" applyFill="1" applyBorder="1" applyAlignment="1">
      <alignment/>
    </xf>
    <xf numFmtId="2" fontId="0" fillId="7" borderId="4" xfId="0" applyNumberFormat="1" applyFill="1" applyBorder="1" applyAlignment="1">
      <alignment/>
    </xf>
    <xf numFmtId="11" fontId="0" fillId="7" borderId="4" xfId="0" applyNumberFormat="1" applyFill="1" applyBorder="1" applyAlignment="1">
      <alignment/>
    </xf>
    <xf numFmtId="0" fontId="0" fillId="5" borderId="4" xfId="0" applyFill="1" applyBorder="1" applyAlignment="1">
      <alignment/>
    </xf>
    <xf numFmtId="2" fontId="0" fillId="5" borderId="4" xfId="0" applyNumberFormat="1" applyFill="1" applyBorder="1" applyAlignment="1">
      <alignment/>
    </xf>
    <xf numFmtId="11" fontId="0" fillId="5" borderId="4" xfId="0" applyNumberFormat="1" applyFill="1" applyBorder="1" applyAlignment="1">
      <alignment/>
    </xf>
    <xf numFmtId="0" fontId="0" fillId="6" borderId="4" xfId="0" applyFill="1" applyBorder="1" applyAlignment="1">
      <alignment/>
    </xf>
    <xf numFmtId="2" fontId="0" fillId="6" borderId="4" xfId="0" applyNumberFormat="1" applyFill="1" applyBorder="1" applyAlignment="1">
      <alignment/>
    </xf>
    <xf numFmtId="11" fontId="0" fillId="6" borderId="4" xfId="0" applyNumberFormat="1" applyFill="1" applyBorder="1" applyAlignment="1">
      <alignment/>
    </xf>
    <xf numFmtId="164" fontId="1" fillId="0" borderId="3" xfId="0" applyNumberFormat="1" applyFont="1" applyFill="1" applyBorder="1" applyAlignment="1">
      <alignment horizontal="center"/>
    </xf>
    <xf numFmtId="164" fontId="0" fillId="0" borderId="4" xfId="0" applyNumberFormat="1" applyFill="1" applyBorder="1" applyAlignment="1">
      <alignment/>
    </xf>
    <xf numFmtId="164" fontId="0" fillId="7" borderId="4" xfId="0" applyNumberFormat="1" applyFill="1" applyBorder="1" applyAlignment="1">
      <alignment/>
    </xf>
    <xf numFmtId="164" fontId="0" fillId="5" borderId="4" xfId="0" applyNumberFormat="1" applyFill="1" applyBorder="1" applyAlignment="1">
      <alignment/>
    </xf>
    <xf numFmtId="164" fontId="0" fillId="6" borderId="4" xfId="0" applyNumberFormat="1" applyFill="1" applyBorder="1" applyAlignment="1">
      <alignment/>
    </xf>
    <xf numFmtId="164" fontId="0" fillId="0" borderId="5" xfId="0" applyNumberFormat="1" applyFill="1" applyBorder="1" applyAlignment="1">
      <alignment/>
    </xf>
    <xf numFmtId="11" fontId="1" fillId="0" borderId="3" xfId="0" applyNumberFormat="1" applyFont="1" applyFill="1" applyBorder="1" applyAlignment="1">
      <alignment horizontal="center"/>
    </xf>
    <xf numFmtId="2" fontId="9" fillId="0" borderId="0" xfId="0" applyNumberFormat="1" applyFont="1" applyAlignment="1">
      <alignment/>
    </xf>
    <xf numFmtId="0" fontId="26" fillId="0" borderId="0" xfId="0" applyFont="1" applyAlignment="1">
      <alignment/>
    </xf>
    <xf numFmtId="0" fontId="1" fillId="0" borderId="3" xfId="0" applyFont="1" applyFill="1" applyBorder="1" applyAlignment="1">
      <alignment horizontal="center"/>
    </xf>
    <xf numFmtId="2" fontId="1" fillId="0" borderId="3" xfId="0" applyNumberFormat="1" applyFont="1" applyFill="1" applyBorder="1" applyAlignment="1">
      <alignment horizontal="center"/>
    </xf>
    <xf numFmtId="0" fontId="12" fillId="0" borderId="5" xfId="0" applyFont="1" applyFill="1" applyBorder="1" applyAlignment="1">
      <alignment/>
    </xf>
    <xf numFmtId="166" fontId="9" fillId="0" borderId="0" xfId="0" applyNumberFormat="1" applyFont="1" applyFill="1" applyBorder="1" applyAlignment="1">
      <alignment/>
    </xf>
    <xf numFmtId="0" fontId="9" fillId="0" borderId="6" xfId="0" applyFont="1" applyBorder="1" applyAlignment="1">
      <alignment horizontal="right"/>
    </xf>
    <xf numFmtId="0" fontId="9" fillId="0" borderId="7" xfId="0" applyFont="1" applyBorder="1" applyAlignment="1">
      <alignment/>
    </xf>
    <xf numFmtId="0" fontId="9" fillId="0" borderId="8" xfId="0" applyFont="1" applyBorder="1" applyAlignment="1">
      <alignment/>
    </xf>
    <xf numFmtId="0" fontId="9" fillId="0" borderId="9" xfId="0" applyFont="1" applyBorder="1" applyAlignment="1">
      <alignment horizontal="right"/>
    </xf>
    <xf numFmtId="0" fontId="9" fillId="0" borderId="0" xfId="0" applyFont="1" applyBorder="1" applyAlignment="1">
      <alignment/>
    </xf>
    <xf numFmtId="0" fontId="9" fillId="0" borderId="10" xfId="0" applyFont="1" applyBorder="1" applyAlignment="1">
      <alignment/>
    </xf>
    <xf numFmtId="166" fontId="9" fillId="0" borderId="0" xfId="0" applyNumberFormat="1" applyFont="1" applyBorder="1" applyAlignment="1">
      <alignment/>
    </xf>
    <xf numFmtId="0" fontId="9" fillId="0" borderId="11" xfId="0" applyFont="1" applyBorder="1" applyAlignment="1">
      <alignment horizontal="right"/>
    </xf>
    <xf numFmtId="0" fontId="9" fillId="0" borderId="12" xfId="0" applyFont="1" applyBorder="1" applyAlignment="1">
      <alignment/>
    </xf>
    <xf numFmtId="0" fontId="0" fillId="0" borderId="13" xfId="0" applyBorder="1" applyAlignment="1">
      <alignment/>
    </xf>
    <xf numFmtId="0" fontId="28" fillId="0" borderId="3" xfId="0" applyFont="1" applyFill="1" applyBorder="1" applyAlignment="1">
      <alignment horizontal="center"/>
    </xf>
    <xf numFmtId="2" fontId="29" fillId="0" borderId="4" xfId="0" applyNumberFormat="1" applyFont="1" applyFill="1" applyBorder="1" applyAlignment="1">
      <alignment/>
    </xf>
    <xf numFmtId="2" fontId="29" fillId="0" borderId="4" xfId="0" applyNumberFormat="1" applyFont="1" applyFill="1" applyBorder="1" applyAlignment="1">
      <alignment horizontal="left"/>
    </xf>
    <xf numFmtId="0" fontId="29" fillId="0" borderId="4" xfId="0" applyFont="1" applyFill="1" applyBorder="1" applyAlignment="1">
      <alignment/>
    </xf>
    <xf numFmtId="2" fontId="29" fillId="0" borderId="5" xfId="0" applyNumberFormat="1" applyFont="1" applyFill="1" applyBorder="1" applyAlignment="1">
      <alignment/>
    </xf>
    <xf numFmtId="2" fontId="29" fillId="0" borderId="5" xfId="0" applyNumberFormat="1" applyFont="1" applyFill="1" applyBorder="1" applyAlignment="1">
      <alignment horizontal="left"/>
    </xf>
    <xf numFmtId="0" fontId="29" fillId="0" borderId="5" xfId="0" applyFont="1" applyFill="1" applyBorder="1" applyAlignment="1">
      <alignment/>
    </xf>
    <xf numFmtId="164" fontId="29" fillId="0" borderId="5" xfId="0" applyNumberFormat="1" applyFont="1" applyFill="1" applyBorder="1" applyAlignment="1">
      <alignment/>
    </xf>
    <xf numFmtId="0" fontId="30" fillId="0" borderId="0" xfId="0" applyFont="1" applyAlignment="1">
      <alignment/>
    </xf>
    <xf numFmtId="164" fontId="31" fillId="0" borderId="1" xfId="0" applyNumberFormat="1" applyFont="1" applyFill="1" applyBorder="1" applyAlignment="1">
      <alignment horizontal="left"/>
    </xf>
    <xf numFmtId="164" fontId="32" fillId="0" borderId="1" xfId="0" applyNumberFormat="1" applyFont="1" applyFill="1" applyBorder="1" applyAlignment="1">
      <alignment horizontal="right"/>
    </xf>
    <xf numFmtId="164" fontId="32" fillId="0" borderId="1" xfId="0" applyNumberFormat="1" applyFont="1" applyFill="1" applyBorder="1" applyAlignment="1">
      <alignment/>
    </xf>
    <xf numFmtId="164" fontId="32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2" fillId="0" borderId="0" xfId="0" applyFont="1" applyFill="1" applyBorder="1" applyAlignment="1">
      <alignment horizontal="left"/>
    </xf>
    <xf numFmtId="0" fontId="28" fillId="0" borderId="3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rmal_optics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chartsheet" Target="chartsheets/sheet3.xml" /><Relationship Id="rId6" Type="http://schemas.openxmlformats.org/officeDocument/2006/relationships/worksheet" Target="worksheets/sheet3.xml" /><Relationship Id="rId7" Type="http://schemas.openxmlformats.org/officeDocument/2006/relationships/worksheet" Target="worksheets/sheet4.xml" /><Relationship Id="rId8" Type="http://schemas.openxmlformats.org/officeDocument/2006/relationships/worksheet" Target="worksheets/sheet5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75"/>
          <c:y val="0.0025"/>
          <c:w val="0.98475"/>
          <c:h val="1"/>
        </c:manualLayout>
      </c:layout>
      <c:scatterChart>
        <c:scatterStyle val="line"/>
        <c:varyColors val="0"/>
        <c:ser>
          <c:idx val="0"/>
          <c:order val="0"/>
          <c:tx>
            <c:strRef>
              <c:f>'Kicks @ 1GeV'!$F$10</c:f>
              <c:strCache>
                <c:ptCount val="1"/>
                <c:pt idx="0">
                  <c:v>offset [mm]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'Kicks @ 1GeV'!$B$11:$B$24</c:f>
              <c:numCache>
                <c:ptCount val="14"/>
                <c:pt idx="0">
                  <c:v>0</c:v>
                </c:pt>
                <c:pt idx="1">
                  <c:v>1.65</c:v>
                </c:pt>
                <c:pt idx="2">
                  <c:v>4.340199999999999</c:v>
                </c:pt>
                <c:pt idx="3">
                  <c:v>7.45</c:v>
                </c:pt>
                <c:pt idx="4">
                  <c:v>8.475</c:v>
                </c:pt>
                <c:pt idx="5">
                  <c:v>11.705</c:v>
                </c:pt>
                <c:pt idx="6">
                  <c:v>14.086</c:v>
                </c:pt>
                <c:pt idx="7">
                  <c:v>15.9</c:v>
                </c:pt>
                <c:pt idx="8">
                  <c:v>17.929000000000002</c:v>
                </c:pt>
                <c:pt idx="9">
                  <c:v>21.525000000000002</c:v>
                </c:pt>
                <c:pt idx="10">
                  <c:v>22.55</c:v>
                </c:pt>
                <c:pt idx="11">
                  <c:v>25.6598</c:v>
                </c:pt>
                <c:pt idx="12">
                  <c:v>28.35</c:v>
                </c:pt>
                <c:pt idx="13">
                  <c:v>30</c:v>
                </c:pt>
              </c:numCache>
            </c:numRef>
          </c:xVal>
          <c:yVal>
            <c:numRef>
              <c:f>'Kicks @ 1GeV'!$F$11:$F$24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99.99999999999999</c:v>
                </c:pt>
                <c:pt idx="7">
                  <c:v>92.38115520113988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yVal>
          <c:smooth val="0"/>
        </c:ser>
        <c:ser>
          <c:idx val="2"/>
          <c:order val="1"/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4"/>
            <c:spPr>
              <a:ln w="3175">
                <a:noFill/>
              </a:ln>
            </c:spPr>
            <c:marker>
              <c:symbol val="none"/>
            </c:marker>
          </c:dPt>
          <c:dPt>
            <c:idx val="8"/>
            <c:spPr>
              <a:ln w="3175">
                <a:noFill/>
              </a:ln>
            </c:spPr>
            <c:marker>
              <c:symbol val="none"/>
            </c:marker>
          </c:dPt>
          <c:dPt>
            <c:idx val="12"/>
            <c:spPr>
              <a:ln w="3175">
                <a:noFill/>
              </a:ln>
            </c:spPr>
            <c:marker>
              <c:symbol val="none"/>
            </c:marker>
          </c:dPt>
          <c:dPt>
            <c:idx val="16"/>
            <c:spPr>
              <a:ln w="3175">
                <a:noFill/>
              </a:ln>
            </c:spPr>
            <c:marker>
              <c:symbol val="none"/>
            </c:marker>
          </c:dPt>
          <c:dPt>
            <c:idx val="20"/>
            <c:spPr>
              <a:ln w="3175">
                <a:noFill/>
              </a:ln>
            </c:spPr>
            <c:marker>
              <c:symbol val="none"/>
            </c:marker>
          </c:dPt>
          <c:dPt>
            <c:idx val="28"/>
            <c:spPr>
              <a:ln w="3175">
                <a:noFill/>
              </a:ln>
            </c:spPr>
            <c:marker>
              <c:symbol val="none"/>
            </c:marker>
          </c:dPt>
          <c:dPt>
            <c:idx val="32"/>
            <c:spPr>
              <a:ln w="3175">
                <a:noFill/>
              </a:ln>
            </c:spPr>
            <c:marker>
              <c:symbol val="none"/>
            </c:marker>
          </c:dPt>
          <c:dPt>
            <c:idx val="36"/>
            <c:spPr>
              <a:ln w="3175">
                <a:noFill/>
              </a:ln>
            </c:spPr>
            <c:marker>
              <c:symbol val="none"/>
            </c:marker>
          </c:dPt>
          <c:dPt>
            <c:idx val="40"/>
            <c:spPr>
              <a:ln w="3175">
                <a:noFill/>
              </a:ln>
            </c:spPr>
            <c:marker>
              <c:symbol val="none"/>
            </c:marker>
          </c:dPt>
          <c:dPt>
            <c:idx val="44"/>
            <c:spPr>
              <a:ln w="3175">
                <a:noFill/>
              </a:ln>
            </c:spPr>
            <c:marker>
              <c:symbol val="none"/>
            </c:marker>
          </c:dPt>
          <c:dPt>
            <c:idx val="52"/>
            <c:spPr>
              <a:ln w="3175">
                <a:noFill/>
              </a:ln>
            </c:spPr>
            <c:marker>
              <c:symbol val="none"/>
            </c:marker>
          </c:dPt>
          <c:dPt>
            <c:idx val="56"/>
            <c:spPr>
              <a:ln w="3175">
                <a:noFill/>
              </a:ln>
            </c:spPr>
            <c:marker>
              <c:symbol val="none"/>
            </c:marker>
          </c:dPt>
          <c:dPt>
            <c:idx val="60"/>
            <c:spPr>
              <a:ln w="3175">
                <a:noFill/>
              </a:ln>
            </c:spPr>
            <c:marker>
              <c:symbol val="none"/>
            </c:marker>
          </c:dPt>
          <c:dPt>
            <c:idx val="64"/>
            <c:spPr>
              <a:ln w="3175">
                <a:noFill/>
              </a:ln>
            </c:spPr>
            <c:marker>
              <c:symbol val="none"/>
            </c:marker>
          </c:dPt>
          <c:dPt>
            <c:idx val="68"/>
            <c:spPr>
              <a:ln w="3175">
                <a:noFill/>
              </a:ln>
            </c:spPr>
            <c:marker>
              <c:symbol val="none"/>
            </c:marker>
          </c:dPt>
          <c:xVal>
            <c:numRef>
              <c:f>'Kicks @ 1GeV'!$C$65:$C$136</c:f>
              <c:numCache>
                <c:ptCount val="72"/>
                <c:pt idx="0">
                  <c:v>0</c:v>
                </c:pt>
                <c:pt idx="1">
                  <c:v>0</c:v>
                </c:pt>
                <c:pt idx="2">
                  <c:v>0.25</c:v>
                </c:pt>
                <c:pt idx="3">
                  <c:v>0.25</c:v>
                </c:pt>
                <c:pt idx="4">
                  <c:v>1.23</c:v>
                </c:pt>
                <c:pt idx="5">
                  <c:v>1.23</c:v>
                </c:pt>
                <c:pt idx="6">
                  <c:v>2.07</c:v>
                </c:pt>
                <c:pt idx="7">
                  <c:v>2.07</c:v>
                </c:pt>
                <c:pt idx="8">
                  <c:v>2.3902</c:v>
                </c:pt>
                <c:pt idx="9">
                  <c:v>2.3902</c:v>
                </c:pt>
                <c:pt idx="10">
                  <c:v>3.2302</c:v>
                </c:pt>
                <c:pt idx="11">
                  <c:v>3.2302</c:v>
                </c:pt>
                <c:pt idx="12">
                  <c:v>4.1251999999999995</c:v>
                </c:pt>
                <c:pt idx="13">
                  <c:v>4.1251999999999995</c:v>
                </c:pt>
                <c:pt idx="14">
                  <c:v>4.555199999999999</c:v>
                </c:pt>
                <c:pt idx="15">
                  <c:v>4.555199999999999</c:v>
                </c:pt>
                <c:pt idx="16">
                  <c:v>4.665</c:v>
                </c:pt>
                <c:pt idx="17">
                  <c:v>4.665</c:v>
                </c:pt>
                <c:pt idx="18">
                  <c:v>5.095</c:v>
                </c:pt>
                <c:pt idx="19">
                  <c:v>5.095</c:v>
                </c:pt>
                <c:pt idx="20">
                  <c:v>7.1000000000000005</c:v>
                </c:pt>
                <c:pt idx="21">
                  <c:v>7.1000000000000005</c:v>
                </c:pt>
                <c:pt idx="22">
                  <c:v>7.8</c:v>
                </c:pt>
                <c:pt idx="23">
                  <c:v>7.8</c:v>
                </c:pt>
                <c:pt idx="24">
                  <c:v>8.2</c:v>
                </c:pt>
                <c:pt idx="25">
                  <c:v>8.2</c:v>
                </c:pt>
                <c:pt idx="26">
                  <c:v>8.75</c:v>
                </c:pt>
                <c:pt idx="27">
                  <c:v>8.75</c:v>
                </c:pt>
                <c:pt idx="28">
                  <c:v>11.2675</c:v>
                </c:pt>
                <c:pt idx="29">
                  <c:v>11.2675</c:v>
                </c:pt>
                <c:pt idx="30">
                  <c:v>12.1425</c:v>
                </c:pt>
                <c:pt idx="31">
                  <c:v>12.1425</c:v>
                </c:pt>
                <c:pt idx="32">
                  <c:v>13.649000000000001</c:v>
                </c:pt>
                <c:pt idx="33">
                  <c:v>13.649000000000001</c:v>
                </c:pt>
                <c:pt idx="34">
                  <c:v>14.523</c:v>
                </c:pt>
                <c:pt idx="35">
                  <c:v>14.523</c:v>
                </c:pt>
                <c:pt idx="36">
                  <c:v>15.405000000000001</c:v>
                </c:pt>
                <c:pt idx="37">
                  <c:v>15.405000000000001</c:v>
                </c:pt>
                <c:pt idx="38">
                  <c:v>16.395</c:v>
                </c:pt>
                <c:pt idx="39">
                  <c:v>16.395</c:v>
                </c:pt>
                <c:pt idx="40">
                  <c:v>17.4765</c:v>
                </c:pt>
                <c:pt idx="41">
                  <c:v>17.4765</c:v>
                </c:pt>
                <c:pt idx="42">
                  <c:v>18.381500000000003</c:v>
                </c:pt>
                <c:pt idx="43">
                  <c:v>18.381500000000003</c:v>
                </c:pt>
                <c:pt idx="44">
                  <c:v>21.250000000000004</c:v>
                </c:pt>
                <c:pt idx="45">
                  <c:v>21.250000000000004</c:v>
                </c:pt>
                <c:pt idx="46">
                  <c:v>21.8</c:v>
                </c:pt>
                <c:pt idx="47">
                  <c:v>21.8</c:v>
                </c:pt>
                <c:pt idx="48">
                  <c:v>22.2</c:v>
                </c:pt>
                <c:pt idx="49">
                  <c:v>22.2</c:v>
                </c:pt>
                <c:pt idx="50">
                  <c:v>22.900000000000002</c:v>
                </c:pt>
                <c:pt idx="51">
                  <c:v>22.900000000000002</c:v>
                </c:pt>
                <c:pt idx="52">
                  <c:v>24.904999999999998</c:v>
                </c:pt>
                <c:pt idx="53">
                  <c:v>24.904999999999998</c:v>
                </c:pt>
                <c:pt idx="54">
                  <c:v>25.334999999999997</c:v>
                </c:pt>
                <c:pt idx="55">
                  <c:v>25.334999999999997</c:v>
                </c:pt>
                <c:pt idx="56">
                  <c:v>25.4448</c:v>
                </c:pt>
                <c:pt idx="57">
                  <c:v>25.4448</c:v>
                </c:pt>
                <c:pt idx="58">
                  <c:v>25.8748</c:v>
                </c:pt>
                <c:pt idx="59">
                  <c:v>25.8748</c:v>
                </c:pt>
                <c:pt idx="60">
                  <c:v>26.769799999999996</c:v>
                </c:pt>
                <c:pt idx="61">
                  <c:v>26.769799999999996</c:v>
                </c:pt>
                <c:pt idx="62">
                  <c:v>27.6098</c:v>
                </c:pt>
                <c:pt idx="63">
                  <c:v>27.6098</c:v>
                </c:pt>
                <c:pt idx="64">
                  <c:v>27.93</c:v>
                </c:pt>
                <c:pt idx="65">
                  <c:v>27.93</c:v>
                </c:pt>
                <c:pt idx="66">
                  <c:v>28.770000000000003</c:v>
                </c:pt>
                <c:pt idx="67">
                  <c:v>28.770000000000003</c:v>
                </c:pt>
                <c:pt idx="68">
                  <c:v>29.75</c:v>
                </c:pt>
                <c:pt idx="69">
                  <c:v>29.75</c:v>
                </c:pt>
                <c:pt idx="70">
                  <c:v>30</c:v>
                </c:pt>
                <c:pt idx="71">
                  <c:v>30</c:v>
                </c:pt>
              </c:numCache>
            </c:numRef>
          </c:xVal>
          <c:yVal>
            <c:numRef>
              <c:f>'Kicks @ 1GeV'!$D$65:$D$136</c:f>
              <c:numCache>
                <c:ptCount val="72"/>
                <c:pt idx="0">
                  <c:v>-100</c:v>
                </c:pt>
                <c:pt idx="1">
                  <c:v>100</c:v>
                </c:pt>
                <c:pt idx="2">
                  <c:v>100</c:v>
                </c:pt>
                <c:pt idx="3">
                  <c:v>-100</c:v>
                </c:pt>
                <c:pt idx="4">
                  <c:v>-70</c:v>
                </c:pt>
                <c:pt idx="5">
                  <c:v>70</c:v>
                </c:pt>
                <c:pt idx="6">
                  <c:v>70</c:v>
                </c:pt>
                <c:pt idx="7">
                  <c:v>-70</c:v>
                </c:pt>
                <c:pt idx="8">
                  <c:v>-70</c:v>
                </c:pt>
                <c:pt idx="9">
                  <c:v>70</c:v>
                </c:pt>
                <c:pt idx="10">
                  <c:v>70</c:v>
                </c:pt>
                <c:pt idx="11">
                  <c:v>-70</c:v>
                </c:pt>
                <c:pt idx="12">
                  <c:v>-90</c:v>
                </c:pt>
                <c:pt idx="13">
                  <c:v>90</c:v>
                </c:pt>
                <c:pt idx="14">
                  <c:v>90</c:v>
                </c:pt>
                <c:pt idx="15">
                  <c:v>-90</c:v>
                </c:pt>
                <c:pt idx="16">
                  <c:v>-90</c:v>
                </c:pt>
                <c:pt idx="17">
                  <c:v>90</c:v>
                </c:pt>
                <c:pt idx="18">
                  <c:v>90</c:v>
                </c:pt>
                <c:pt idx="19">
                  <c:v>-90</c:v>
                </c:pt>
                <c:pt idx="20">
                  <c:v>-150</c:v>
                </c:pt>
                <c:pt idx="21">
                  <c:v>150</c:v>
                </c:pt>
                <c:pt idx="22">
                  <c:v>150</c:v>
                </c:pt>
                <c:pt idx="23">
                  <c:v>-150</c:v>
                </c:pt>
                <c:pt idx="24">
                  <c:v>-150</c:v>
                </c:pt>
                <c:pt idx="25">
                  <c:v>150</c:v>
                </c:pt>
                <c:pt idx="26">
                  <c:v>150</c:v>
                </c:pt>
                <c:pt idx="27">
                  <c:v>-150</c:v>
                </c:pt>
                <c:pt idx="28">
                  <c:v>-80</c:v>
                </c:pt>
                <c:pt idx="29">
                  <c:v>100</c:v>
                </c:pt>
                <c:pt idx="30">
                  <c:v>100</c:v>
                </c:pt>
                <c:pt idx="31">
                  <c:v>-80</c:v>
                </c:pt>
                <c:pt idx="32">
                  <c:v>0</c:v>
                </c:pt>
                <c:pt idx="33">
                  <c:v>170</c:v>
                </c:pt>
                <c:pt idx="34">
                  <c:v>170</c:v>
                </c:pt>
                <c:pt idx="35">
                  <c:v>0</c:v>
                </c:pt>
                <c:pt idx="36">
                  <c:v>-30</c:v>
                </c:pt>
                <c:pt idx="37">
                  <c:v>190</c:v>
                </c:pt>
                <c:pt idx="38">
                  <c:v>190</c:v>
                </c:pt>
                <c:pt idx="39">
                  <c:v>-30</c:v>
                </c:pt>
                <c:pt idx="40">
                  <c:v>-30</c:v>
                </c:pt>
                <c:pt idx="41">
                  <c:v>290</c:v>
                </c:pt>
                <c:pt idx="42">
                  <c:v>290</c:v>
                </c:pt>
                <c:pt idx="43">
                  <c:v>-30</c:v>
                </c:pt>
                <c:pt idx="44">
                  <c:v>-150</c:v>
                </c:pt>
                <c:pt idx="45">
                  <c:v>150</c:v>
                </c:pt>
                <c:pt idx="46">
                  <c:v>150</c:v>
                </c:pt>
                <c:pt idx="47">
                  <c:v>-150</c:v>
                </c:pt>
                <c:pt idx="48">
                  <c:v>-150</c:v>
                </c:pt>
                <c:pt idx="49">
                  <c:v>150</c:v>
                </c:pt>
                <c:pt idx="50">
                  <c:v>150</c:v>
                </c:pt>
                <c:pt idx="51">
                  <c:v>-150</c:v>
                </c:pt>
                <c:pt idx="52">
                  <c:v>-90</c:v>
                </c:pt>
                <c:pt idx="53">
                  <c:v>90</c:v>
                </c:pt>
                <c:pt idx="54">
                  <c:v>90</c:v>
                </c:pt>
                <c:pt idx="55">
                  <c:v>-90</c:v>
                </c:pt>
                <c:pt idx="56">
                  <c:v>-90</c:v>
                </c:pt>
                <c:pt idx="57">
                  <c:v>90</c:v>
                </c:pt>
                <c:pt idx="58">
                  <c:v>90</c:v>
                </c:pt>
                <c:pt idx="59">
                  <c:v>-90</c:v>
                </c:pt>
                <c:pt idx="60">
                  <c:v>-70</c:v>
                </c:pt>
                <c:pt idx="61">
                  <c:v>70</c:v>
                </c:pt>
                <c:pt idx="62">
                  <c:v>70</c:v>
                </c:pt>
                <c:pt idx="63">
                  <c:v>-70</c:v>
                </c:pt>
                <c:pt idx="64">
                  <c:v>-70</c:v>
                </c:pt>
                <c:pt idx="65">
                  <c:v>70</c:v>
                </c:pt>
                <c:pt idx="66">
                  <c:v>70</c:v>
                </c:pt>
                <c:pt idx="67">
                  <c:v>-70</c:v>
                </c:pt>
                <c:pt idx="68">
                  <c:v>-100</c:v>
                </c:pt>
                <c:pt idx="69">
                  <c:v>100</c:v>
                </c:pt>
                <c:pt idx="70">
                  <c:v>100</c:v>
                </c:pt>
                <c:pt idx="71">
                  <c:v>-100</c:v>
                </c:pt>
              </c:numCache>
            </c:numRef>
          </c:yVal>
          <c:smooth val="0"/>
        </c:ser>
        <c:ser>
          <c:idx val="1"/>
          <c:order val="2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'Kicks @ 1GeV'!$B$11:$B$24</c:f>
              <c:numCache>
                <c:ptCount val="14"/>
                <c:pt idx="0">
                  <c:v>0</c:v>
                </c:pt>
                <c:pt idx="1">
                  <c:v>1.65</c:v>
                </c:pt>
                <c:pt idx="2">
                  <c:v>4.340199999999999</c:v>
                </c:pt>
                <c:pt idx="3">
                  <c:v>7.45</c:v>
                </c:pt>
                <c:pt idx="4">
                  <c:v>8.475</c:v>
                </c:pt>
                <c:pt idx="5">
                  <c:v>11.705</c:v>
                </c:pt>
                <c:pt idx="6">
                  <c:v>14.086</c:v>
                </c:pt>
                <c:pt idx="7">
                  <c:v>15.9</c:v>
                </c:pt>
                <c:pt idx="8">
                  <c:v>17.929000000000002</c:v>
                </c:pt>
                <c:pt idx="9">
                  <c:v>21.525000000000002</c:v>
                </c:pt>
                <c:pt idx="10">
                  <c:v>22.55</c:v>
                </c:pt>
                <c:pt idx="11">
                  <c:v>25.6598</c:v>
                </c:pt>
                <c:pt idx="12">
                  <c:v>28.35</c:v>
                </c:pt>
                <c:pt idx="13">
                  <c:v>30</c:v>
                </c:pt>
              </c:numCache>
            </c:numRef>
          </c:xVal>
          <c:yVal>
            <c:numRef>
              <c:f>'Kicks @ 1GeV'!$L$11:$L$24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25.947342312116053</c:v>
                </c:pt>
                <c:pt idx="3">
                  <c:v>55.30060646928855</c:v>
                </c:pt>
                <c:pt idx="4">
                  <c:v>40</c:v>
                </c:pt>
                <c:pt idx="5">
                  <c:v>40</c:v>
                </c:pt>
                <c:pt idx="6">
                  <c:v>140</c:v>
                </c:pt>
                <c:pt idx="7">
                  <c:v>132.3811552011399</c:v>
                </c:pt>
                <c:pt idx="8">
                  <c:v>40</c:v>
                </c:pt>
                <c:pt idx="9">
                  <c:v>40</c:v>
                </c:pt>
                <c:pt idx="10">
                  <c:v>55.30174303790849</c:v>
                </c:pt>
                <c:pt idx="11">
                  <c:v>25.948478880735987</c:v>
                </c:pt>
                <c:pt idx="12">
                  <c:v>0.0011365686199376057</c:v>
                </c:pt>
                <c:pt idx="13">
                  <c:v>0</c:v>
                </c:pt>
              </c:numCache>
            </c:numRef>
          </c:yVal>
          <c:smooth val="0"/>
        </c:ser>
        <c:axId val="41271542"/>
        <c:axId val="35899559"/>
      </c:scatterChart>
      <c:valAx>
        <c:axId val="41271542"/>
        <c:scaling>
          <c:orientation val="minMax"/>
          <c:max val="30"/>
        </c:scaling>
        <c:axPos val="b"/>
        <c:delete val="0"/>
        <c:numFmt formatCode="General" sourceLinked="1"/>
        <c:majorTickMark val="none"/>
        <c:minorTickMark val="none"/>
        <c:tickLblPos val="none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35899559"/>
        <c:crosses val="autoZero"/>
        <c:crossBetween val="midCat"/>
        <c:dispUnits/>
      </c:valAx>
      <c:valAx>
        <c:axId val="35899559"/>
        <c:scaling>
          <c:orientation val="minMax"/>
          <c:max val="300"/>
          <c:min val="-150"/>
        </c:scaling>
        <c:axPos val="l"/>
        <c:delete val="0"/>
        <c:numFmt formatCode="0" sourceLinked="0"/>
        <c:majorTickMark val="none"/>
        <c:minorTickMark val="none"/>
        <c:tickLblPos val="none"/>
        <c:spPr>
          <a:ln w="3175">
            <a:noFill/>
          </a:ln>
        </c:spPr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41271542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Injection Aperture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5"/>
          <c:y val="0.12475"/>
          <c:w val="0.96125"/>
          <c:h val="0.8615"/>
        </c:manualLayout>
      </c:layout>
      <c:scatterChart>
        <c:scatterStyle val="smooth"/>
        <c:varyColors val="0"/>
        <c:ser>
          <c:idx val="0"/>
          <c:order val="0"/>
          <c:tx>
            <c:v>H. pipe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8"/>
            <c:spPr>
              <a:ln w="25400">
                <a:solidFill>
                  <a:srgbClr val="000000"/>
                </a:solidFill>
                <a:prstDash val="dash"/>
              </a:ln>
            </c:spPr>
            <c:marker>
              <c:symbol val="none"/>
            </c:marker>
          </c:dPt>
          <c:dPt>
            <c:idx val="19"/>
            <c:spPr>
              <a:ln w="25400">
                <a:solidFill>
                  <a:srgbClr val="000000"/>
                </a:solidFill>
                <a:prstDash val="dash"/>
              </a:ln>
            </c:spPr>
            <c:marker>
              <c:symbol val="none"/>
            </c:marker>
          </c:dPt>
          <c:dPt>
            <c:idx val="20"/>
            <c:spPr>
              <a:ln w="25400">
                <a:solidFill>
                  <a:srgbClr val="000000"/>
                </a:solidFill>
              </a:ln>
            </c:spPr>
            <c:marker>
              <c:symbol val="none"/>
            </c:marker>
          </c:dPt>
          <c:dPt>
            <c:idx val="64"/>
            <c:spPr>
              <a:ln w="25400">
                <a:solidFill>
                  <a:srgbClr val="000000"/>
                </a:solidFill>
                <a:prstDash val="dash"/>
              </a:ln>
            </c:spPr>
            <c:marker>
              <c:symbol val="none"/>
            </c:marker>
          </c:dPt>
          <c:xVal>
            <c:numRef>
              <c:f>'Pipe(both)'!$B$5:$B$96</c:f>
              <c:numCache>
                <c:ptCount val="92"/>
                <c:pt idx="0">
                  <c:v>0</c:v>
                </c:pt>
                <c:pt idx="1">
                  <c:v>0.25</c:v>
                </c:pt>
                <c:pt idx="2">
                  <c:v>0.943</c:v>
                </c:pt>
                <c:pt idx="3">
                  <c:v>0.943</c:v>
                </c:pt>
                <c:pt idx="4">
                  <c:v>1.197</c:v>
                </c:pt>
                <c:pt idx="5">
                  <c:v>1.197</c:v>
                </c:pt>
                <c:pt idx="6">
                  <c:v>1.65</c:v>
                </c:pt>
                <c:pt idx="7">
                  <c:v>2.1029999999999998</c:v>
                </c:pt>
                <c:pt idx="8">
                  <c:v>2.1029999999999998</c:v>
                </c:pt>
                <c:pt idx="9">
                  <c:v>2.3569999999999998</c:v>
                </c:pt>
                <c:pt idx="10">
                  <c:v>2.3569999999999998</c:v>
                </c:pt>
                <c:pt idx="11">
                  <c:v>2.8099999999999996</c:v>
                </c:pt>
                <c:pt idx="12">
                  <c:v>3.2629999999999995</c:v>
                </c:pt>
                <c:pt idx="13">
                  <c:v>3.2629999999999995</c:v>
                </c:pt>
                <c:pt idx="14">
                  <c:v>3.5169999999999995</c:v>
                </c:pt>
                <c:pt idx="15">
                  <c:v>3.847899999999999</c:v>
                </c:pt>
                <c:pt idx="16">
                  <c:v>4.101899999999999</c:v>
                </c:pt>
                <c:pt idx="17">
                  <c:v>4.339999999999999</c:v>
                </c:pt>
                <c:pt idx="18">
                  <c:v>4.578099999999999</c:v>
                </c:pt>
                <c:pt idx="19">
                  <c:v>4.641699999999999</c:v>
                </c:pt>
                <c:pt idx="20">
                  <c:v>4.8797999999999995</c:v>
                </c:pt>
                <c:pt idx="21">
                  <c:v>5.1179</c:v>
                </c:pt>
                <c:pt idx="22">
                  <c:v>5.3719</c:v>
                </c:pt>
                <c:pt idx="23">
                  <c:v>5.3719</c:v>
                </c:pt>
                <c:pt idx="24">
                  <c:v>7.0998</c:v>
                </c:pt>
                <c:pt idx="25">
                  <c:v>7.4498</c:v>
                </c:pt>
                <c:pt idx="26">
                  <c:v>7.799799999999999</c:v>
                </c:pt>
                <c:pt idx="27">
                  <c:v>8.1998</c:v>
                </c:pt>
                <c:pt idx="28">
                  <c:v>8.4748</c:v>
                </c:pt>
                <c:pt idx="29">
                  <c:v>8.7498</c:v>
                </c:pt>
                <c:pt idx="30">
                  <c:v>10.7558</c:v>
                </c:pt>
                <c:pt idx="31">
                  <c:v>10.7558</c:v>
                </c:pt>
                <c:pt idx="32">
                  <c:v>11.136800000000001</c:v>
                </c:pt>
                <c:pt idx="33">
                  <c:v>11.136800000000001</c:v>
                </c:pt>
                <c:pt idx="34">
                  <c:v>11.2673</c:v>
                </c:pt>
                <c:pt idx="35">
                  <c:v>11.7048</c:v>
                </c:pt>
                <c:pt idx="36">
                  <c:v>12.1423</c:v>
                </c:pt>
                <c:pt idx="37">
                  <c:v>12.2788</c:v>
                </c:pt>
                <c:pt idx="38">
                  <c:v>12.2788</c:v>
                </c:pt>
                <c:pt idx="39">
                  <c:v>12.953800000000001</c:v>
                </c:pt>
                <c:pt idx="40">
                  <c:v>12.953800000000001</c:v>
                </c:pt>
                <c:pt idx="41">
                  <c:v>13.3268</c:v>
                </c:pt>
                <c:pt idx="42">
                  <c:v>13.3268</c:v>
                </c:pt>
                <c:pt idx="43">
                  <c:v>13.4758</c:v>
                </c:pt>
                <c:pt idx="44">
                  <c:v>14.085799999999999</c:v>
                </c:pt>
                <c:pt idx="45">
                  <c:v>14.695799999999998</c:v>
                </c:pt>
                <c:pt idx="46">
                  <c:v>15.034799999999999</c:v>
                </c:pt>
                <c:pt idx="47">
                  <c:v>15.034799999999999</c:v>
                </c:pt>
                <c:pt idx="48">
                  <c:v>15.149299999999998</c:v>
                </c:pt>
                <c:pt idx="49">
                  <c:v>15.899799999999999</c:v>
                </c:pt>
                <c:pt idx="50">
                  <c:v>16.650299999999998</c:v>
                </c:pt>
                <c:pt idx="51">
                  <c:v>16.8298</c:v>
                </c:pt>
                <c:pt idx="52">
                  <c:v>16.8298</c:v>
                </c:pt>
                <c:pt idx="53">
                  <c:v>17.314799999999998</c:v>
                </c:pt>
                <c:pt idx="54">
                  <c:v>17.314799999999998</c:v>
                </c:pt>
                <c:pt idx="55">
                  <c:v>17.4778</c:v>
                </c:pt>
                <c:pt idx="56">
                  <c:v>17.9288</c:v>
                </c:pt>
                <c:pt idx="57">
                  <c:v>18.3798</c:v>
                </c:pt>
                <c:pt idx="58">
                  <c:v>18.5158</c:v>
                </c:pt>
                <c:pt idx="59">
                  <c:v>18.5158</c:v>
                </c:pt>
                <c:pt idx="60">
                  <c:v>20.2338</c:v>
                </c:pt>
                <c:pt idx="61">
                  <c:v>20.2338</c:v>
                </c:pt>
                <c:pt idx="62">
                  <c:v>21.2498</c:v>
                </c:pt>
                <c:pt idx="63">
                  <c:v>21.5248</c:v>
                </c:pt>
                <c:pt idx="64">
                  <c:v>21.799799999999998</c:v>
                </c:pt>
                <c:pt idx="65">
                  <c:v>22.199799999999996</c:v>
                </c:pt>
                <c:pt idx="66">
                  <c:v>22.549799999999998</c:v>
                </c:pt>
                <c:pt idx="67">
                  <c:v>22.8998</c:v>
                </c:pt>
                <c:pt idx="68">
                  <c:v>24.627699999999997</c:v>
                </c:pt>
                <c:pt idx="69">
                  <c:v>24.627699999999997</c:v>
                </c:pt>
                <c:pt idx="70">
                  <c:v>24.8817</c:v>
                </c:pt>
                <c:pt idx="71">
                  <c:v>25.119799999999998</c:v>
                </c:pt>
                <c:pt idx="72">
                  <c:v>25.357899999999997</c:v>
                </c:pt>
                <c:pt idx="73">
                  <c:v>25.421499999999998</c:v>
                </c:pt>
                <c:pt idx="74">
                  <c:v>25.659599999999998</c:v>
                </c:pt>
                <c:pt idx="75">
                  <c:v>25.897699999999997</c:v>
                </c:pt>
                <c:pt idx="76">
                  <c:v>26.151699999999998</c:v>
                </c:pt>
                <c:pt idx="77">
                  <c:v>26.482599999999998</c:v>
                </c:pt>
                <c:pt idx="78">
                  <c:v>26.7366</c:v>
                </c:pt>
                <c:pt idx="79">
                  <c:v>26.7366</c:v>
                </c:pt>
                <c:pt idx="80">
                  <c:v>27.1896</c:v>
                </c:pt>
                <c:pt idx="81">
                  <c:v>27.642599999999998</c:v>
                </c:pt>
                <c:pt idx="82">
                  <c:v>27.642599999999998</c:v>
                </c:pt>
                <c:pt idx="83">
                  <c:v>27.8966</c:v>
                </c:pt>
                <c:pt idx="84">
                  <c:v>27.8966</c:v>
                </c:pt>
                <c:pt idx="85">
                  <c:v>28.3496</c:v>
                </c:pt>
                <c:pt idx="86">
                  <c:v>28.802599999999998</c:v>
                </c:pt>
                <c:pt idx="87">
                  <c:v>28.802599999999998</c:v>
                </c:pt>
                <c:pt idx="88">
                  <c:v>29.0566</c:v>
                </c:pt>
                <c:pt idx="89">
                  <c:v>29.0566</c:v>
                </c:pt>
                <c:pt idx="90">
                  <c:v>29.7496</c:v>
                </c:pt>
                <c:pt idx="91">
                  <c:v>29.9996</c:v>
                </c:pt>
              </c:numCache>
            </c:numRef>
          </c:xVal>
          <c:yVal>
            <c:numRef>
              <c:f>'Pipe(both)'!$E$5:$E$96</c:f>
              <c:numCache>
                <c:ptCount val="92"/>
                <c:pt idx="0">
                  <c:v>95</c:v>
                </c:pt>
                <c:pt idx="1">
                  <c:v>95</c:v>
                </c:pt>
                <c:pt idx="2">
                  <c:v>95</c:v>
                </c:pt>
                <c:pt idx="3">
                  <c:v>90</c:v>
                </c:pt>
                <c:pt idx="4">
                  <c:v>90</c:v>
                </c:pt>
                <c:pt idx="5">
                  <c:v>80</c:v>
                </c:pt>
                <c:pt idx="6">
                  <c:v>80</c:v>
                </c:pt>
                <c:pt idx="7">
                  <c:v>80</c:v>
                </c:pt>
                <c:pt idx="8">
                  <c:v>90</c:v>
                </c:pt>
                <c:pt idx="9">
                  <c:v>90</c:v>
                </c:pt>
                <c:pt idx="10">
                  <c:v>80</c:v>
                </c:pt>
                <c:pt idx="11">
                  <c:v>80</c:v>
                </c:pt>
                <c:pt idx="12">
                  <c:v>80</c:v>
                </c:pt>
                <c:pt idx="13">
                  <c:v>90</c:v>
                </c:pt>
                <c:pt idx="14">
                  <c:v>90</c:v>
                </c:pt>
                <c:pt idx="15">
                  <c:v>90</c:v>
                </c:pt>
                <c:pt idx="16">
                  <c:v>90</c:v>
                </c:pt>
                <c:pt idx="17">
                  <c:v>90</c:v>
                </c:pt>
                <c:pt idx="18">
                  <c:v>90</c:v>
                </c:pt>
                <c:pt idx="19">
                  <c:v>90</c:v>
                </c:pt>
                <c:pt idx="20">
                  <c:v>90</c:v>
                </c:pt>
                <c:pt idx="21">
                  <c:v>90</c:v>
                </c:pt>
                <c:pt idx="22">
                  <c:v>90</c:v>
                </c:pt>
                <c:pt idx="23">
                  <c:v>149.2</c:v>
                </c:pt>
                <c:pt idx="24">
                  <c:v>149.2</c:v>
                </c:pt>
                <c:pt idx="25">
                  <c:v>149.2</c:v>
                </c:pt>
                <c:pt idx="26">
                  <c:v>149.2</c:v>
                </c:pt>
                <c:pt idx="27">
                  <c:v>149.2</c:v>
                </c:pt>
                <c:pt idx="28">
                  <c:v>149.2</c:v>
                </c:pt>
                <c:pt idx="29">
                  <c:v>149.2</c:v>
                </c:pt>
                <c:pt idx="30">
                  <c:v>149.2</c:v>
                </c:pt>
                <c:pt idx="31">
                  <c:v>116.77</c:v>
                </c:pt>
                <c:pt idx="32">
                  <c:v>116.77</c:v>
                </c:pt>
                <c:pt idx="33">
                  <c:v>120.9</c:v>
                </c:pt>
                <c:pt idx="34">
                  <c:v>120.9</c:v>
                </c:pt>
                <c:pt idx="35">
                  <c:v>120.9</c:v>
                </c:pt>
                <c:pt idx="36">
                  <c:v>120.9</c:v>
                </c:pt>
                <c:pt idx="37">
                  <c:v>120.9</c:v>
                </c:pt>
                <c:pt idx="38">
                  <c:v>117.3</c:v>
                </c:pt>
                <c:pt idx="39">
                  <c:v>145.6</c:v>
                </c:pt>
                <c:pt idx="40">
                  <c:v>208.8</c:v>
                </c:pt>
                <c:pt idx="41">
                  <c:v>208.8</c:v>
                </c:pt>
                <c:pt idx="42">
                  <c:v>190.8</c:v>
                </c:pt>
                <c:pt idx="43">
                  <c:v>190.8</c:v>
                </c:pt>
                <c:pt idx="44">
                  <c:v>190.8</c:v>
                </c:pt>
                <c:pt idx="45">
                  <c:v>190.8</c:v>
                </c:pt>
                <c:pt idx="46">
                  <c:v>190.8</c:v>
                </c:pt>
                <c:pt idx="47">
                  <c:v>220.4</c:v>
                </c:pt>
                <c:pt idx="48">
                  <c:v>220.4</c:v>
                </c:pt>
                <c:pt idx="49">
                  <c:v>220.4</c:v>
                </c:pt>
                <c:pt idx="50">
                  <c:v>220.4</c:v>
                </c:pt>
                <c:pt idx="51">
                  <c:v>220.4</c:v>
                </c:pt>
                <c:pt idx="52">
                  <c:v>291.55</c:v>
                </c:pt>
                <c:pt idx="53">
                  <c:v>291.55</c:v>
                </c:pt>
                <c:pt idx="54">
                  <c:v>291.55</c:v>
                </c:pt>
                <c:pt idx="55">
                  <c:v>291.55</c:v>
                </c:pt>
                <c:pt idx="56">
                  <c:v>291.55</c:v>
                </c:pt>
                <c:pt idx="57">
                  <c:v>291.55</c:v>
                </c:pt>
                <c:pt idx="58">
                  <c:v>291.55</c:v>
                </c:pt>
                <c:pt idx="59">
                  <c:v>98.4</c:v>
                </c:pt>
                <c:pt idx="60">
                  <c:v>98.4</c:v>
                </c:pt>
                <c:pt idx="61">
                  <c:v>149.2</c:v>
                </c:pt>
                <c:pt idx="62">
                  <c:v>149.2</c:v>
                </c:pt>
                <c:pt idx="63">
                  <c:v>149.2</c:v>
                </c:pt>
                <c:pt idx="64">
                  <c:v>149.2</c:v>
                </c:pt>
                <c:pt idx="65">
                  <c:v>149.2</c:v>
                </c:pt>
                <c:pt idx="66">
                  <c:v>149.2</c:v>
                </c:pt>
                <c:pt idx="67">
                  <c:v>149.2</c:v>
                </c:pt>
                <c:pt idx="68">
                  <c:v>149.2</c:v>
                </c:pt>
                <c:pt idx="69">
                  <c:v>90</c:v>
                </c:pt>
                <c:pt idx="70">
                  <c:v>90</c:v>
                </c:pt>
                <c:pt idx="71">
                  <c:v>90</c:v>
                </c:pt>
                <c:pt idx="72">
                  <c:v>90</c:v>
                </c:pt>
                <c:pt idx="73">
                  <c:v>90</c:v>
                </c:pt>
                <c:pt idx="74">
                  <c:v>90</c:v>
                </c:pt>
                <c:pt idx="75">
                  <c:v>90</c:v>
                </c:pt>
                <c:pt idx="76">
                  <c:v>90</c:v>
                </c:pt>
                <c:pt idx="77">
                  <c:v>90</c:v>
                </c:pt>
                <c:pt idx="78">
                  <c:v>90</c:v>
                </c:pt>
                <c:pt idx="79">
                  <c:v>80</c:v>
                </c:pt>
                <c:pt idx="80">
                  <c:v>80</c:v>
                </c:pt>
                <c:pt idx="81">
                  <c:v>80</c:v>
                </c:pt>
                <c:pt idx="82">
                  <c:v>90</c:v>
                </c:pt>
                <c:pt idx="83">
                  <c:v>90</c:v>
                </c:pt>
                <c:pt idx="84">
                  <c:v>80</c:v>
                </c:pt>
                <c:pt idx="85">
                  <c:v>80</c:v>
                </c:pt>
                <c:pt idx="86">
                  <c:v>80</c:v>
                </c:pt>
                <c:pt idx="87">
                  <c:v>90</c:v>
                </c:pt>
                <c:pt idx="88">
                  <c:v>90</c:v>
                </c:pt>
                <c:pt idx="89">
                  <c:v>95</c:v>
                </c:pt>
                <c:pt idx="90">
                  <c:v>95</c:v>
                </c:pt>
                <c:pt idx="91">
                  <c:v>95</c:v>
                </c:pt>
              </c:numCache>
            </c:numRef>
          </c:yVal>
          <c:smooth val="1"/>
        </c:ser>
        <c:ser>
          <c:idx val="1"/>
          <c:order val="1"/>
          <c:tx>
            <c:v>V. Pipe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7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18"/>
            <c:spPr>
              <a:ln w="25400">
                <a:solidFill>
                  <a:srgbClr val="FF0000"/>
                </a:solidFill>
                <a:prstDash val="dash"/>
              </a:ln>
            </c:spPr>
            <c:marker>
              <c:symbol val="none"/>
            </c:marker>
          </c:dPt>
          <c:dPt>
            <c:idx val="19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20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64"/>
            <c:spPr>
              <a:ln w="25400">
                <a:solidFill>
                  <a:srgbClr val="FF0000"/>
                </a:solidFill>
                <a:prstDash val="dash"/>
              </a:ln>
            </c:spPr>
            <c:marker>
              <c:symbol val="none"/>
            </c:marker>
          </c:dPt>
          <c:xVal>
            <c:numRef>
              <c:f>'Pipe(both)'!$B$5:$B$96</c:f>
              <c:numCache>
                <c:ptCount val="92"/>
                <c:pt idx="0">
                  <c:v>0</c:v>
                </c:pt>
                <c:pt idx="1">
                  <c:v>0.25</c:v>
                </c:pt>
                <c:pt idx="2">
                  <c:v>0.943</c:v>
                </c:pt>
                <c:pt idx="3">
                  <c:v>0.943</c:v>
                </c:pt>
                <c:pt idx="4">
                  <c:v>1.197</c:v>
                </c:pt>
                <c:pt idx="5">
                  <c:v>1.197</c:v>
                </c:pt>
                <c:pt idx="6">
                  <c:v>1.65</c:v>
                </c:pt>
                <c:pt idx="7">
                  <c:v>2.1029999999999998</c:v>
                </c:pt>
                <c:pt idx="8">
                  <c:v>2.1029999999999998</c:v>
                </c:pt>
                <c:pt idx="9">
                  <c:v>2.3569999999999998</c:v>
                </c:pt>
                <c:pt idx="10">
                  <c:v>2.3569999999999998</c:v>
                </c:pt>
                <c:pt idx="11">
                  <c:v>2.8099999999999996</c:v>
                </c:pt>
                <c:pt idx="12">
                  <c:v>3.2629999999999995</c:v>
                </c:pt>
                <c:pt idx="13">
                  <c:v>3.2629999999999995</c:v>
                </c:pt>
                <c:pt idx="14">
                  <c:v>3.5169999999999995</c:v>
                </c:pt>
                <c:pt idx="15">
                  <c:v>3.847899999999999</c:v>
                </c:pt>
                <c:pt idx="16">
                  <c:v>4.101899999999999</c:v>
                </c:pt>
                <c:pt idx="17">
                  <c:v>4.339999999999999</c:v>
                </c:pt>
                <c:pt idx="18">
                  <c:v>4.578099999999999</c:v>
                </c:pt>
                <c:pt idx="19">
                  <c:v>4.641699999999999</c:v>
                </c:pt>
                <c:pt idx="20">
                  <c:v>4.8797999999999995</c:v>
                </c:pt>
                <c:pt idx="21">
                  <c:v>5.1179</c:v>
                </c:pt>
                <c:pt idx="22">
                  <c:v>5.3719</c:v>
                </c:pt>
                <c:pt idx="23">
                  <c:v>5.3719</c:v>
                </c:pt>
                <c:pt idx="24">
                  <c:v>7.0998</c:v>
                </c:pt>
                <c:pt idx="25">
                  <c:v>7.4498</c:v>
                </c:pt>
                <c:pt idx="26">
                  <c:v>7.799799999999999</c:v>
                </c:pt>
                <c:pt idx="27">
                  <c:v>8.1998</c:v>
                </c:pt>
                <c:pt idx="28">
                  <c:v>8.4748</c:v>
                </c:pt>
                <c:pt idx="29">
                  <c:v>8.7498</c:v>
                </c:pt>
                <c:pt idx="30">
                  <c:v>10.7558</c:v>
                </c:pt>
                <c:pt idx="31">
                  <c:v>10.7558</c:v>
                </c:pt>
                <c:pt idx="32">
                  <c:v>11.136800000000001</c:v>
                </c:pt>
                <c:pt idx="33">
                  <c:v>11.136800000000001</c:v>
                </c:pt>
                <c:pt idx="34">
                  <c:v>11.2673</c:v>
                </c:pt>
                <c:pt idx="35">
                  <c:v>11.7048</c:v>
                </c:pt>
                <c:pt idx="36">
                  <c:v>12.1423</c:v>
                </c:pt>
                <c:pt idx="37">
                  <c:v>12.2788</c:v>
                </c:pt>
                <c:pt idx="38">
                  <c:v>12.2788</c:v>
                </c:pt>
                <c:pt idx="39">
                  <c:v>12.953800000000001</c:v>
                </c:pt>
                <c:pt idx="40">
                  <c:v>12.953800000000001</c:v>
                </c:pt>
                <c:pt idx="41">
                  <c:v>13.3268</c:v>
                </c:pt>
                <c:pt idx="42">
                  <c:v>13.3268</c:v>
                </c:pt>
                <c:pt idx="43">
                  <c:v>13.4758</c:v>
                </c:pt>
                <c:pt idx="44">
                  <c:v>14.085799999999999</c:v>
                </c:pt>
                <c:pt idx="45">
                  <c:v>14.695799999999998</c:v>
                </c:pt>
                <c:pt idx="46">
                  <c:v>15.034799999999999</c:v>
                </c:pt>
                <c:pt idx="47">
                  <c:v>15.034799999999999</c:v>
                </c:pt>
                <c:pt idx="48">
                  <c:v>15.149299999999998</c:v>
                </c:pt>
                <c:pt idx="49">
                  <c:v>15.899799999999999</c:v>
                </c:pt>
                <c:pt idx="50">
                  <c:v>16.650299999999998</c:v>
                </c:pt>
                <c:pt idx="51">
                  <c:v>16.8298</c:v>
                </c:pt>
                <c:pt idx="52">
                  <c:v>16.8298</c:v>
                </c:pt>
                <c:pt idx="53">
                  <c:v>17.314799999999998</c:v>
                </c:pt>
                <c:pt idx="54">
                  <c:v>17.314799999999998</c:v>
                </c:pt>
                <c:pt idx="55">
                  <c:v>17.4778</c:v>
                </c:pt>
                <c:pt idx="56">
                  <c:v>17.9288</c:v>
                </c:pt>
                <c:pt idx="57">
                  <c:v>18.3798</c:v>
                </c:pt>
                <c:pt idx="58">
                  <c:v>18.5158</c:v>
                </c:pt>
                <c:pt idx="59">
                  <c:v>18.5158</c:v>
                </c:pt>
                <c:pt idx="60">
                  <c:v>20.2338</c:v>
                </c:pt>
                <c:pt idx="61">
                  <c:v>20.2338</c:v>
                </c:pt>
                <c:pt idx="62">
                  <c:v>21.2498</c:v>
                </c:pt>
                <c:pt idx="63">
                  <c:v>21.5248</c:v>
                </c:pt>
                <c:pt idx="64">
                  <c:v>21.799799999999998</c:v>
                </c:pt>
                <c:pt idx="65">
                  <c:v>22.199799999999996</c:v>
                </c:pt>
                <c:pt idx="66">
                  <c:v>22.549799999999998</c:v>
                </c:pt>
                <c:pt idx="67">
                  <c:v>22.8998</c:v>
                </c:pt>
                <c:pt idx="68">
                  <c:v>24.627699999999997</c:v>
                </c:pt>
                <c:pt idx="69">
                  <c:v>24.627699999999997</c:v>
                </c:pt>
                <c:pt idx="70">
                  <c:v>24.8817</c:v>
                </c:pt>
                <c:pt idx="71">
                  <c:v>25.119799999999998</c:v>
                </c:pt>
                <c:pt idx="72">
                  <c:v>25.357899999999997</c:v>
                </c:pt>
                <c:pt idx="73">
                  <c:v>25.421499999999998</c:v>
                </c:pt>
                <c:pt idx="74">
                  <c:v>25.659599999999998</c:v>
                </c:pt>
                <c:pt idx="75">
                  <c:v>25.897699999999997</c:v>
                </c:pt>
                <c:pt idx="76">
                  <c:v>26.151699999999998</c:v>
                </c:pt>
                <c:pt idx="77">
                  <c:v>26.482599999999998</c:v>
                </c:pt>
                <c:pt idx="78">
                  <c:v>26.7366</c:v>
                </c:pt>
                <c:pt idx="79">
                  <c:v>26.7366</c:v>
                </c:pt>
                <c:pt idx="80">
                  <c:v>27.1896</c:v>
                </c:pt>
                <c:pt idx="81">
                  <c:v>27.642599999999998</c:v>
                </c:pt>
                <c:pt idx="82">
                  <c:v>27.642599999999998</c:v>
                </c:pt>
                <c:pt idx="83">
                  <c:v>27.8966</c:v>
                </c:pt>
                <c:pt idx="84">
                  <c:v>27.8966</c:v>
                </c:pt>
                <c:pt idx="85">
                  <c:v>28.3496</c:v>
                </c:pt>
                <c:pt idx="86">
                  <c:v>28.802599999999998</c:v>
                </c:pt>
                <c:pt idx="87">
                  <c:v>28.802599999999998</c:v>
                </c:pt>
                <c:pt idx="88">
                  <c:v>29.0566</c:v>
                </c:pt>
                <c:pt idx="89">
                  <c:v>29.0566</c:v>
                </c:pt>
                <c:pt idx="90">
                  <c:v>29.7496</c:v>
                </c:pt>
                <c:pt idx="91">
                  <c:v>29.9996</c:v>
                </c:pt>
              </c:numCache>
            </c:numRef>
          </c:xVal>
          <c:yVal>
            <c:numRef>
              <c:f>'Pipe(both)'!$J$5:$J$96</c:f>
              <c:numCache>
                <c:ptCount val="92"/>
                <c:pt idx="0">
                  <c:v>-95</c:v>
                </c:pt>
                <c:pt idx="1">
                  <c:v>-95</c:v>
                </c:pt>
                <c:pt idx="2">
                  <c:v>-95</c:v>
                </c:pt>
                <c:pt idx="3">
                  <c:v>-90</c:v>
                </c:pt>
                <c:pt idx="4">
                  <c:v>-90</c:v>
                </c:pt>
                <c:pt idx="5">
                  <c:v>-80</c:v>
                </c:pt>
                <c:pt idx="6">
                  <c:v>-80</c:v>
                </c:pt>
                <c:pt idx="7">
                  <c:v>-80</c:v>
                </c:pt>
                <c:pt idx="8">
                  <c:v>-90</c:v>
                </c:pt>
                <c:pt idx="9">
                  <c:v>-90</c:v>
                </c:pt>
                <c:pt idx="10">
                  <c:v>-80</c:v>
                </c:pt>
                <c:pt idx="11">
                  <c:v>-80</c:v>
                </c:pt>
                <c:pt idx="12">
                  <c:v>-80</c:v>
                </c:pt>
                <c:pt idx="13">
                  <c:v>-90</c:v>
                </c:pt>
                <c:pt idx="14">
                  <c:v>-90</c:v>
                </c:pt>
                <c:pt idx="15">
                  <c:v>-90</c:v>
                </c:pt>
                <c:pt idx="16">
                  <c:v>-90</c:v>
                </c:pt>
                <c:pt idx="17">
                  <c:v>-90</c:v>
                </c:pt>
                <c:pt idx="18">
                  <c:v>-90</c:v>
                </c:pt>
                <c:pt idx="19">
                  <c:v>-90</c:v>
                </c:pt>
                <c:pt idx="20">
                  <c:v>-90</c:v>
                </c:pt>
                <c:pt idx="21">
                  <c:v>-90</c:v>
                </c:pt>
                <c:pt idx="22">
                  <c:v>-90</c:v>
                </c:pt>
                <c:pt idx="23">
                  <c:v>-149.2</c:v>
                </c:pt>
                <c:pt idx="24">
                  <c:v>-149.2</c:v>
                </c:pt>
                <c:pt idx="25">
                  <c:v>-149.2</c:v>
                </c:pt>
                <c:pt idx="26">
                  <c:v>-149.2</c:v>
                </c:pt>
                <c:pt idx="27">
                  <c:v>-149.2</c:v>
                </c:pt>
                <c:pt idx="28">
                  <c:v>-149.2</c:v>
                </c:pt>
                <c:pt idx="29">
                  <c:v>-149.2</c:v>
                </c:pt>
                <c:pt idx="30">
                  <c:v>-149.2</c:v>
                </c:pt>
                <c:pt idx="31">
                  <c:v>-129.76999999999998</c:v>
                </c:pt>
                <c:pt idx="32">
                  <c:v>-129.76999999999998</c:v>
                </c:pt>
                <c:pt idx="33">
                  <c:v>-137.3</c:v>
                </c:pt>
                <c:pt idx="34">
                  <c:v>-137.3</c:v>
                </c:pt>
                <c:pt idx="35">
                  <c:v>-137.3</c:v>
                </c:pt>
                <c:pt idx="36">
                  <c:v>-137.3</c:v>
                </c:pt>
                <c:pt idx="37">
                  <c:v>-137.3</c:v>
                </c:pt>
                <c:pt idx="38">
                  <c:v>-130.3</c:v>
                </c:pt>
                <c:pt idx="39">
                  <c:v>-130.3</c:v>
                </c:pt>
                <c:pt idx="40">
                  <c:v>-146.8</c:v>
                </c:pt>
                <c:pt idx="41">
                  <c:v>-146.8</c:v>
                </c:pt>
                <c:pt idx="42">
                  <c:v>-127.75</c:v>
                </c:pt>
                <c:pt idx="43">
                  <c:v>-127.75</c:v>
                </c:pt>
                <c:pt idx="44">
                  <c:v>-127.75</c:v>
                </c:pt>
                <c:pt idx="45">
                  <c:v>-127.75</c:v>
                </c:pt>
                <c:pt idx="46">
                  <c:v>-127.75</c:v>
                </c:pt>
                <c:pt idx="47">
                  <c:v>-148.4</c:v>
                </c:pt>
                <c:pt idx="48">
                  <c:v>-148.4</c:v>
                </c:pt>
                <c:pt idx="49">
                  <c:v>-148.4</c:v>
                </c:pt>
                <c:pt idx="50">
                  <c:v>-148.4</c:v>
                </c:pt>
                <c:pt idx="51">
                  <c:v>-148.4</c:v>
                </c:pt>
                <c:pt idx="52">
                  <c:v>-148.4</c:v>
                </c:pt>
                <c:pt idx="53">
                  <c:v>-209.55</c:v>
                </c:pt>
                <c:pt idx="54">
                  <c:v>-131.6</c:v>
                </c:pt>
                <c:pt idx="55">
                  <c:v>-131.6</c:v>
                </c:pt>
                <c:pt idx="56">
                  <c:v>-131.6</c:v>
                </c:pt>
                <c:pt idx="57">
                  <c:v>-131.6</c:v>
                </c:pt>
                <c:pt idx="58">
                  <c:v>-131.6</c:v>
                </c:pt>
                <c:pt idx="59">
                  <c:v>-132.5</c:v>
                </c:pt>
                <c:pt idx="60">
                  <c:v>-132.5</c:v>
                </c:pt>
                <c:pt idx="61">
                  <c:v>-149.2</c:v>
                </c:pt>
                <c:pt idx="62">
                  <c:v>-149.2</c:v>
                </c:pt>
                <c:pt idx="63">
                  <c:v>-149.2</c:v>
                </c:pt>
                <c:pt idx="64">
                  <c:v>-149.2</c:v>
                </c:pt>
                <c:pt idx="65">
                  <c:v>-149.2</c:v>
                </c:pt>
                <c:pt idx="66">
                  <c:v>-149.2</c:v>
                </c:pt>
                <c:pt idx="67">
                  <c:v>-149.2</c:v>
                </c:pt>
                <c:pt idx="68">
                  <c:v>-149.2</c:v>
                </c:pt>
                <c:pt idx="69">
                  <c:v>-90</c:v>
                </c:pt>
                <c:pt idx="70">
                  <c:v>-90</c:v>
                </c:pt>
                <c:pt idx="71">
                  <c:v>-90</c:v>
                </c:pt>
                <c:pt idx="72">
                  <c:v>-90</c:v>
                </c:pt>
                <c:pt idx="73">
                  <c:v>-90</c:v>
                </c:pt>
                <c:pt idx="74">
                  <c:v>-90</c:v>
                </c:pt>
                <c:pt idx="75">
                  <c:v>-90</c:v>
                </c:pt>
                <c:pt idx="76">
                  <c:v>-90</c:v>
                </c:pt>
                <c:pt idx="77">
                  <c:v>-90</c:v>
                </c:pt>
                <c:pt idx="78">
                  <c:v>-90</c:v>
                </c:pt>
                <c:pt idx="79">
                  <c:v>-80</c:v>
                </c:pt>
                <c:pt idx="80">
                  <c:v>-80</c:v>
                </c:pt>
                <c:pt idx="81">
                  <c:v>-80</c:v>
                </c:pt>
                <c:pt idx="82">
                  <c:v>-90</c:v>
                </c:pt>
                <c:pt idx="83">
                  <c:v>-90</c:v>
                </c:pt>
                <c:pt idx="84">
                  <c:v>-80</c:v>
                </c:pt>
                <c:pt idx="85">
                  <c:v>-80</c:v>
                </c:pt>
                <c:pt idx="86">
                  <c:v>-80</c:v>
                </c:pt>
                <c:pt idx="87">
                  <c:v>-90</c:v>
                </c:pt>
                <c:pt idx="88">
                  <c:v>-90</c:v>
                </c:pt>
                <c:pt idx="89">
                  <c:v>-95</c:v>
                </c:pt>
                <c:pt idx="90">
                  <c:v>-95</c:v>
                </c:pt>
                <c:pt idx="91">
                  <c:v>-95</c:v>
                </c:pt>
              </c:numCache>
            </c:numRef>
          </c:yVal>
          <c:smooth val="1"/>
        </c:ser>
        <c:ser>
          <c:idx val="2"/>
          <c:order val="2"/>
          <c:tx>
            <c:v>H. c.o.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'Kicks @ 1GeV'!$B$11:$B$24</c:f>
              <c:numCache>
                <c:ptCount val="14"/>
                <c:pt idx="0">
                  <c:v>0</c:v>
                </c:pt>
                <c:pt idx="1">
                  <c:v>1.65</c:v>
                </c:pt>
                <c:pt idx="2">
                  <c:v>4.340199999999999</c:v>
                </c:pt>
                <c:pt idx="3">
                  <c:v>7.45</c:v>
                </c:pt>
                <c:pt idx="4">
                  <c:v>8.475</c:v>
                </c:pt>
                <c:pt idx="5">
                  <c:v>11.705</c:v>
                </c:pt>
                <c:pt idx="6">
                  <c:v>14.086</c:v>
                </c:pt>
                <c:pt idx="7">
                  <c:v>15.9</c:v>
                </c:pt>
                <c:pt idx="8">
                  <c:v>17.929000000000002</c:v>
                </c:pt>
                <c:pt idx="9">
                  <c:v>21.525000000000002</c:v>
                </c:pt>
                <c:pt idx="10">
                  <c:v>22.55</c:v>
                </c:pt>
                <c:pt idx="11">
                  <c:v>25.6598</c:v>
                </c:pt>
                <c:pt idx="12">
                  <c:v>28.35</c:v>
                </c:pt>
                <c:pt idx="13">
                  <c:v>30</c:v>
                </c:pt>
              </c:numCache>
            </c:numRef>
          </c:xVal>
          <c:yVal>
            <c:numRef>
              <c:f>'Kicks @ 1GeV'!$F$11:$F$24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99.99999999999999</c:v>
                </c:pt>
                <c:pt idx="7">
                  <c:v>92.38115520113988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yVal>
          <c:smooth val="1"/>
        </c:ser>
        <c:ser>
          <c:idx val="3"/>
          <c:order val="3"/>
          <c:tx>
            <c:v>V. c.o.</c:v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'Kicks @ 1GeV'!$B$28:$B$37</c:f>
              <c:numCache>
                <c:ptCount val="10"/>
                <c:pt idx="0">
                  <c:v>0</c:v>
                </c:pt>
                <c:pt idx="1">
                  <c:v>2.8102</c:v>
                </c:pt>
                <c:pt idx="2">
                  <c:v>4.88</c:v>
                </c:pt>
                <c:pt idx="3">
                  <c:v>7.45</c:v>
                </c:pt>
                <c:pt idx="4">
                  <c:v>8.475</c:v>
                </c:pt>
                <c:pt idx="5">
                  <c:v>21.525</c:v>
                </c:pt>
                <c:pt idx="6">
                  <c:v>22.549999999999997</c:v>
                </c:pt>
                <c:pt idx="7">
                  <c:v>25.119999999999997</c:v>
                </c:pt>
                <c:pt idx="8">
                  <c:v>27.189799999999998</c:v>
                </c:pt>
                <c:pt idx="9">
                  <c:v>30</c:v>
                </c:pt>
              </c:numCache>
            </c:numRef>
          </c:xVal>
          <c:yVal>
            <c:numRef>
              <c:f>'Kicks @ 1GeV'!$F$28:$F$37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-16.450452143881</c:v>
                </c:pt>
                <c:pt idx="3">
                  <c:v>-28.404296398155694</c:v>
                </c:pt>
                <c:pt idx="4">
                  <c:v>-46</c:v>
                </c:pt>
                <c:pt idx="5">
                  <c:v>-46</c:v>
                </c:pt>
                <c:pt idx="6">
                  <c:v>-28.402573931824694</c:v>
                </c:pt>
                <c:pt idx="7">
                  <c:v>-16.448729677550006</c:v>
                </c:pt>
                <c:pt idx="8">
                  <c:v>0.001722466330996042</c:v>
                </c:pt>
                <c:pt idx="9">
                  <c:v>0.001722466330996042</c:v>
                </c:pt>
              </c:numCache>
            </c:numRef>
          </c:yVal>
          <c:smooth val="1"/>
        </c:ser>
        <c:ser>
          <c:idx val="4"/>
          <c:order val="4"/>
          <c:tx>
            <c:v>H. env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'spi.optics'!$B$4:$B$104</c:f>
              <c:numCache>
                <c:ptCount val="101"/>
                <c:pt idx="0">
                  <c:v>0</c:v>
                </c:pt>
                <c:pt idx="1">
                  <c:v>0.25</c:v>
                </c:pt>
                <c:pt idx="2">
                  <c:v>0.495125</c:v>
                </c:pt>
                <c:pt idx="3">
                  <c:v>0.74025</c:v>
                </c:pt>
                <c:pt idx="4">
                  <c:v>0.985375</c:v>
                </c:pt>
                <c:pt idx="5">
                  <c:v>1.2305</c:v>
                </c:pt>
                <c:pt idx="6">
                  <c:v>1.65</c:v>
                </c:pt>
                <c:pt idx="7">
                  <c:v>2.0695</c:v>
                </c:pt>
                <c:pt idx="8">
                  <c:v>2.14975</c:v>
                </c:pt>
                <c:pt idx="9">
                  <c:v>2.23</c:v>
                </c:pt>
                <c:pt idx="10">
                  <c:v>2.31025</c:v>
                </c:pt>
                <c:pt idx="11">
                  <c:v>2.3905</c:v>
                </c:pt>
                <c:pt idx="12">
                  <c:v>2.81</c:v>
                </c:pt>
                <c:pt idx="13">
                  <c:v>3.2295</c:v>
                </c:pt>
                <c:pt idx="14">
                  <c:v>3.45362</c:v>
                </c:pt>
                <c:pt idx="15">
                  <c:v>3.67775</c:v>
                </c:pt>
                <c:pt idx="16">
                  <c:v>3.90188</c:v>
                </c:pt>
                <c:pt idx="17">
                  <c:v>4.126</c:v>
                </c:pt>
                <c:pt idx="18">
                  <c:v>4.34</c:v>
                </c:pt>
                <c:pt idx="19">
                  <c:v>4.554</c:v>
                </c:pt>
                <c:pt idx="20">
                  <c:v>4.554</c:v>
                </c:pt>
                <c:pt idx="21">
                  <c:v>4.554</c:v>
                </c:pt>
                <c:pt idx="22">
                  <c:v>4.582</c:v>
                </c:pt>
                <c:pt idx="23">
                  <c:v>4.61</c:v>
                </c:pt>
                <c:pt idx="24">
                  <c:v>4.638</c:v>
                </c:pt>
                <c:pt idx="25">
                  <c:v>4.666</c:v>
                </c:pt>
                <c:pt idx="26">
                  <c:v>4.88</c:v>
                </c:pt>
                <c:pt idx="27">
                  <c:v>5.094</c:v>
                </c:pt>
                <c:pt idx="28">
                  <c:v>5.5955</c:v>
                </c:pt>
                <c:pt idx="29">
                  <c:v>6.097</c:v>
                </c:pt>
                <c:pt idx="30">
                  <c:v>6.5985</c:v>
                </c:pt>
                <c:pt idx="31">
                  <c:v>7.1</c:v>
                </c:pt>
                <c:pt idx="32">
                  <c:v>7.45</c:v>
                </c:pt>
                <c:pt idx="33">
                  <c:v>7.8</c:v>
                </c:pt>
                <c:pt idx="34">
                  <c:v>8.2</c:v>
                </c:pt>
                <c:pt idx="35">
                  <c:v>8.475</c:v>
                </c:pt>
                <c:pt idx="36">
                  <c:v>8.75</c:v>
                </c:pt>
                <c:pt idx="37">
                  <c:v>8.75</c:v>
                </c:pt>
                <c:pt idx="38">
                  <c:v>8.75</c:v>
                </c:pt>
                <c:pt idx="39">
                  <c:v>8.75</c:v>
                </c:pt>
                <c:pt idx="40">
                  <c:v>9.38087</c:v>
                </c:pt>
                <c:pt idx="41">
                  <c:v>10.0118</c:v>
                </c:pt>
                <c:pt idx="42">
                  <c:v>10.6426</c:v>
                </c:pt>
                <c:pt idx="43">
                  <c:v>11.2735</c:v>
                </c:pt>
                <c:pt idx="44">
                  <c:v>11.7051</c:v>
                </c:pt>
                <c:pt idx="45">
                  <c:v>12.1368</c:v>
                </c:pt>
                <c:pt idx="46">
                  <c:v>13.6516</c:v>
                </c:pt>
                <c:pt idx="47">
                  <c:v>14.0877</c:v>
                </c:pt>
                <c:pt idx="48">
                  <c:v>14.5238</c:v>
                </c:pt>
                <c:pt idx="49">
                  <c:v>14.5238</c:v>
                </c:pt>
                <c:pt idx="50">
                  <c:v>15.4068</c:v>
                </c:pt>
                <c:pt idx="51">
                  <c:v>15.902</c:v>
                </c:pt>
                <c:pt idx="52">
                  <c:v>16.3972</c:v>
                </c:pt>
                <c:pt idx="53">
                  <c:v>17.4874</c:v>
                </c:pt>
                <c:pt idx="54">
                  <c:v>17.9326</c:v>
                </c:pt>
                <c:pt idx="55">
                  <c:v>18.3777</c:v>
                </c:pt>
                <c:pt idx="56">
                  <c:v>19.0967</c:v>
                </c:pt>
                <c:pt idx="57">
                  <c:v>19.8157</c:v>
                </c:pt>
                <c:pt idx="58">
                  <c:v>20.5347</c:v>
                </c:pt>
                <c:pt idx="59">
                  <c:v>21.2537</c:v>
                </c:pt>
                <c:pt idx="60">
                  <c:v>21.2537</c:v>
                </c:pt>
                <c:pt idx="61">
                  <c:v>21.2537</c:v>
                </c:pt>
                <c:pt idx="62">
                  <c:v>21.2537</c:v>
                </c:pt>
                <c:pt idx="63">
                  <c:v>21.5287</c:v>
                </c:pt>
                <c:pt idx="64">
                  <c:v>21.8037</c:v>
                </c:pt>
                <c:pt idx="65">
                  <c:v>22.2037</c:v>
                </c:pt>
                <c:pt idx="66">
                  <c:v>22.5537</c:v>
                </c:pt>
                <c:pt idx="67">
                  <c:v>22.9037</c:v>
                </c:pt>
                <c:pt idx="68">
                  <c:v>23.4052</c:v>
                </c:pt>
                <c:pt idx="69">
                  <c:v>23.9067</c:v>
                </c:pt>
                <c:pt idx="70">
                  <c:v>24.4082</c:v>
                </c:pt>
                <c:pt idx="71">
                  <c:v>24.9097</c:v>
                </c:pt>
                <c:pt idx="72">
                  <c:v>25.1237</c:v>
                </c:pt>
                <c:pt idx="73">
                  <c:v>25.3377</c:v>
                </c:pt>
                <c:pt idx="74">
                  <c:v>25.3657</c:v>
                </c:pt>
                <c:pt idx="75">
                  <c:v>25.3937</c:v>
                </c:pt>
                <c:pt idx="76">
                  <c:v>25.4217</c:v>
                </c:pt>
                <c:pt idx="77">
                  <c:v>25.4497</c:v>
                </c:pt>
                <c:pt idx="78">
                  <c:v>25.6637</c:v>
                </c:pt>
                <c:pt idx="79">
                  <c:v>25.8777</c:v>
                </c:pt>
                <c:pt idx="80">
                  <c:v>25.8777</c:v>
                </c:pt>
                <c:pt idx="81">
                  <c:v>25.8777</c:v>
                </c:pt>
                <c:pt idx="82">
                  <c:v>26.1018</c:v>
                </c:pt>
                <c:pt idx="83">
                  <c:v>26.326</c:v>
                </c:pt>
                <c:pt idx="84">
                  <c:v>26.5501</c:v>
                </c:pt>
                <c:pt idx="85">
                  <c:v>26.7742</c:v>
                </c:pt>
                <c:pt idx="86">
                  <c:v>27.1937</c:v>
                </c:pt>
                <c:pt idx="87">
                  <c:v>27.6132</c:v>
                </c:pt>
                <c:pt idx="88">
                  <c:v>27.6935</c:v>
                </c:pt>
                <c:pt idx="89">
                  <c:v>27.7737</c:v>
                </c:pt>
                <c:pt idx="90">
                  <c:v>27.854</c:v>
                </c:pt>
                <c:pt idx="91">
                  <c:v>27.9342</c:v>
                </c:pt>
                <c:pt idx="92">
                  <c:v>28.3537</c:v>
                </c:pt>
                <c:pt idx="93">
                  <c:v>28.7732</c:v>
                </c:pt>
                <c:pt idx="94">
                  <c:v>29.0183</c:v>
                </c:pt>
                <c:pt idx="95">
                  <c:v>29.2635</c:v>
                </c:pt>
                <c:pt idx="96">
                  <c:v>29.5086</c:v>
                </c:pt>
                <c:pt idx="97">
                  <c:v>29.7537</c:v>
                </c:pt>
                <c:pt idx="98">
                  <c:v>30.0037</c:v>
                </c:pt>
                <c:pt idx="99">
                  <c:v>30.0037</c:v>
                </c:pt>
                <c:pt idx="100">
                  <c:v>30.0037</c:v>
                </c:pt>
              </c:numCache>
            </c:numRef>
          </c:xVal>
          <c:yVal>
            <c:numRef>
              <c:f>'spi.optics'!$H$4:$H$104</c:f>
              <c:numCache>
                <c:ptCount val="101"/>
                <c:pt idx="0">
                  <c:v>34.280396730493074</c:v>
                </c:pt>
                <c:pt idx="1">
                  <c:v>34.508225106487295</c:v>
                </c:pt>
                <c:pt idx="2">
                  <c:v>35.599101112247205</c:v>
                </c:pt>
                <c:pt idx="3">
                  <c:v>36.9964755078102</c:v>
                </c:pt>
                <c:pt idx="4">
                  <c:v>38.66725746675086</c:v>
                </c:pt>
                <c:pt idx="5">
                  <c:v>40.57762930482755</c:v>
                </c:pt>
                <c:pt idx="6">
                  <c:v>44.31196678099495</c:v>
                </c:pt>
                <c:pt idx="7">
                  <c:v>48.51488843643774</c:v>
                </c:pt>
                <c:pt idx="8">
                  <c:v>49.36256071153522</c:v>
                </c:pt>
                <c:pt idx="9">
                  <c:v>50.22259252567513</c:v>
                </c:pt>
                <c:pt idx="10">
                  <c:v>51.094312795065555</c:v>
                </c:pt>
                <c:pt idx="11">
                  <c:v>51.97713343384762</c:v>
                </c:pt>
                <c:pt idx="12">
                  <c:v>56.75264222923899</c:v>
                </c:pt>
                <c:pt idx="13">
                  <c:v>61.75135949920455</c:v>
                </c:pt>
                <c:pt idx="14">
                  <c:v>64.49565566764943</c:v>
                </c:pt>
                <c:pt idx="15">
                  <c:v>67.28316282696586</c:v>
                </c:pt>
                <c:pt idx="16">
                  <c:v>70.10882968642395</c:v>
                </c:pt>
                <c:pt idx="17">
                  <c:v>72.96782852737225</c:v>
                </c:pt>
                <c:pt idx="18">
                  <c:v>75.72592686788323</c:v>
                </c:pt>
                <c:pt idx="19">
                  <c:v>78.50819065549786</c:v>
                </c:pt>
                <c:pt idx="20">
                  <c:v>78.50819065549786</c:v>
                </c:pt>
                <c:pt idx="21">
                  <c:v>78.50819065549786</c:v>
                </c:pt>
                <c:pt idx="22">
                  <c:v>78.87387400147149</c:v>
                </c:pt>
                <c:pt idx="23">
                  <c:v>79.23968702613608</c:v>
                </c:pt>
                <c:pt idx="24">
                  <c:v>79.6062309119079</c:v>
                </c:pt>
                <c:pt idx="25">
                  <c:v>79.97289540838196</c:v>
                </c:pt>
                <c:pt idx="26">
                  <c:v>82.78753529366604</c:v>
                </c:pt>
                <c:pt idx="27">
                  <c:v>85.62093202015498</c:v>
                </c:pt>
                <c:pt idx="28">
                  <c:v>92.32360478230905</c:v>
                </c:pt>
                <c:pt idx="29">
                  <c:v>99.10043390419641</c:v>
                </c:pt>
                <c:pt idx="30">
                  <c:v>105.9369623880164</c:v>
                </c:pt>
                <c:pt idx="31">
                  <c:v>112.82233821367115</c:v>
                </c:pt>
                <c:pt idx="32">
                  <c:v>113.23617796446506</c:v>
                </c:pt>
                <c:pt idx="33">
                  <c:v>104.92991947009203</c:v>
                </c:pt>
                <c:pt idx="34">
                  <c:v>90.65600917754983</c:v>
                </c:pt>
                <c:pt idx="35">
                  <c:v>83.1150527882886</c:v>
                </c:pt>
                <c:pt idx="36">
                  <c:v>79.8738004604764</c:v>
                </c:pt>
                <c:pt idx="37">
                  <c:v>79.8738004604764</c:v>
                </c:pt>
                <c:pt idx="38">
                  <c:v>79.8738004604764</c:v>
                </c:pt>
                <c:pt idx="39">
                  <c:v>79.8738004604764</c:v>
                </c:pt>
                <c:pt idx="40">
                  <c:v>77.29869339128572</c:v>
                </c:pt>
                <c:pt idx="41">
                  <c:v>74.9220394810499</c:v>
                </c:pt>
                <c:pt idx="42">
                  <c:v>72.76361728226546</c:v>
                </c:pt>
                <c:pt idx="43">
                  <c:v>70.84337654290626</c:v>
                </c:pt>
                <c:pt idx="44">
                  <c:v>69.66135226938965</c:v>
                </c:pt>
                <c:pt idx="45">
                  <c:v>86.71090644984561</c:v>
                </c:pt>
                <c:pt idx="46">
                  <c:v>147.76683665345465</c:v>
                </c:pt>
                <c:pt idx="47">
                  <c:v>165.72313426880964</c:v>
                </c:pt>
                <c:pt idx="48">
                  <c:v>163.57495251882676</c:v>
                </c:pt>
                <c:pt idx="49">
                  <c:v>163.57495251882676</c:v>
                </c:pt>
                <c:pt idx="50">
                  <c:v>159.83965196965164</c:v>
                </c:pt>
                <c:pt idx="51">
                  <c:v>158.00628316906503</c:v>
                </c:pt>
                <c:pt idx="52">
                  <c:v>135.79197440426827</c:v>
                </c:pt>
                <c:pt idx="53">
                  <c:v>87.86390480534094</c:v>
                </c:pt>
                <c:pt idx="54">
                  <c:v>68.604152961394</c:v>
                </c:pt>
                <c:pt idx="55">
                  <c:v>69.88149969770254</c:v>
                </c:pt>
                <c:pt idx="56">
                  <c:v>71.9289649584922</c:v>
                </c:pt>
                <c:pt idx="57">
                  <c:v>74.29637945418337</c:v>
                </c:pt>
                <c:pt idx="58">
                  <c:v>76.95422015718177</c:v>
                </c:pt>
                <c:pt idx="59">
                  <c:v>79.8738004604764</c:v>
                </c:pt>
                <c:pt idx="60">
                  <c:v>79.8738004604764</c:v>
                </c:pt>
                <c:pt idx="61">
                  <c:v>79.8738004604764</c:v>
                </c:pt>
                <c:pt idx="62">
                  <c:v>79.8738004604764</c:v>
                </c:pt>
                <c:pt idx="63">
                  <c:v>83.1150527882886</c:v>
                </c:pt>
                <c:pt idx="64">
                  <c:v>90.65600917754983</c:v>
                </c:pt>
                <c:pt idx="65">
                  <c:v>104.92991947009203</c:v>
                </c:pt>
                <c:pt idx="66">
                  <c:v>113.23617796446506</c:v>
                </c:pt>
                <c:pt idx="67">
                  <c:v>112.82233821367115</c:v>
                </c:pt>
                <c:pt idx="68">
                  <c:v>105.9369623880164</c:v>
                </c:pt>
                <c:pt idx="69">
                  <c:v>99.10043390419641</c:v>
                </c:pt>
                <c:pt idx="70">
                  <c:v>92.32360478230905</c:v>
                </c:pt>
                <c:pt idx="71">
                  <c:v>85.62093202015498</c:v>
                </c:pt>
                <c:pt idx="72">
                  <c:v>82.78753529366604</c:v>
                </c:pt>
                <c:pt idx="73">
                  <c:v>79.97289540838196</c:v>
                </c:pt>
                <c:pt idx="74">
                  <c:v>79.6062309119079</c:v>
                </c:pt>
                <c:pt idx="75">
                  <c:v>79.23968702613608</c:v>
                </c:pt>
                <c:pt idx="76">
                  <c:v>78.87387400147149</c:v>
                </c:pt>
                <c:pt idx="77">
                  <c:v>78.50819065549786</c:v>
                </c:pt>
                <c:pt idx="78">
                  <c:v>75.72592686788323</c:v>
                </c:pt>
                <c:pt idx="79">
                  <c:v>72.96782852737225</c:v>
                </c:pt>
                <c:pt idx="80">
                  <c:v>72.96782852737225</c:v>
                </c:pt>
                <c:pt idx="81">
                  <c:v>72.96782852737225</c:v>
                </c:pt>
                <c:pt idx="82">
                  <c:v>70.10882968642395</c:v>
                </c:pt>
                <c:pt idx="83">
                  <c:v>67.28316282696586</c:v>
                </c:pt>
                <c:pt idx="84">
                  <c:v>64.49565566764943</c:v>
                </c:pt>
                <c:pt idx="85">
                  <c:v>61.75135949920455</c:v>
                </c:pt>
                <c:pt idx="86">
                  <c:v>56.75264222923899</c:v>
                </c:pt>
                <c:pt idx="87">
                  <c:v>51.97713343384762</c:v>
                </c:pt>
                <c:pt idx="88">
                  <c:v>51.094312795065555</c:v>
                </c:pt>
                <c:pt idx="89">
                  <c:v>50.22259252567513</c:v>
                </c:pt>
                <c:pt idx="90">
                  <c:v>49.36256071153522</c:v>
                </c:pt>
                <c:pt idx="91">
                  <c:v>48.51488843643774</c:v>
                </c:pt>
                <c:pt idx="92">
                  <c:v>44.31196678099495</c:v>
                </c:pt>
                <c:pt idx="93">
                  <c:v>40.57762930482755</c:v>
                </c:pt>
                <c:pt idx="94">
                  <c:v>38.66725746675086</c:v>
                </c:pt>
                <c:pt idx="95">
                  <c:v>36.9964755078102</c:v>
                </c:pt>
                <c:pt idx="96">
                  <c:v>35.599101112247205</c:v>
                </c:pt>
                <c:pt idx="97">
                  <c:v>34.508225106487295</c:v>
                </c:pt>
                <c:pt idx="98">
                  <c:v>34.280396730493074</c:v>
                </c:pt>
                <c:pt idx="99">
                  <c:v>34.280396730493074</c:v>
                </c:pt>
                <c:pt idx="100">
                  <c:v>34.280396730493074</c:v>
                </c:pt>
              </c:numCache>
            </c:numRef>
          </c:yVal>
          <c:smooth val="1"/>
        </c:ser>
        <c:ser>
          <c:idx val="5"/>
          <c:order val="5"/>
          <c:tx>
            <c:v>V. Env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'spi.optics'!$B$4:$B$104</c:f>
              <c:numCache>
                <c:ptCount val="101"/>
                <c:pt idx="0">
                  <c:v>0</c:v>
                </c:pt>
                <c:pt idx="1">
                  <c:v>0.25</c:v>
                </c:pt>
                <c:pt idx="2">
                  <c:v>0.495125</c:v>
                </c:pt>
                <c:pt idx="3">
                  <c:v>0.74025</c:v>
                </c:pt>
                <c:pt idx="4">
                  <c:v>0.985375</c:v>
                </c:pt>
                <c:pt idx="5">
                  <c:v>1.2305</c:v>
                </c:pt>
                <c:pt idx="6">
                  <c:v>1.65</c:v>
                </c:pt>
                <c:pt idx="7">
                  <c:v>2.0695</c:v>
                </c:pt>
                <c:pt idx="8">
                  <c:v>2.14975</c:v>
                </c:pt>
                <c:pt idx="9">
                  <c:v>2.23</c:v>
                </c:pt>
                <c:pt idx="10">
                  <c:v>2.31025</c:v>
                </c:pt>
                <c:pt idx="11">
                  <c:v>2.3905</c:v>
                </c:pt>
                <c:pt idx="12">
                  <c:v>2.81</c:v>
                </c:pt>
                <c:pt idx="13">
                  <c:v>3.2295</c:v>
                </c:pt>
                <c:pt idx="14">
                  <c:v>3.45362</c:v>
                </c:pt>
                <c:pt idx="15">
                  <c:v>3.67775</c:v>
                </c:pt>
                <c:pt idx="16">
                  <c:v>3.90188</c:v>
                </c:pt>
                <c:pt idx="17">
                  <c:v>4.126</c:v>
                </c:pt>
                <c:pt idx="18">
                  <c:v>4.34</c:v>
                </c:pt>
                <c:pt idx="19">
                  <c:v>4.554</c:v>
                </c:pt>
                <c:pt idx="20">
                  <c:v>4.554</c:v>
                </c:pt>
                <c:pt idx="21">
                  <c:v>4.554</c:v>
                </c:pt>
                <c:pt idx="22">
                  <c:v>4.582</c:v>
                </c:pt>
                <c:pt idx="23">
                  <c:v>4.61</c:v>
                </c:pt>
                <c:pt idx="24">
                  <c:v>4.638</c:v>
                </c:pt>
                <c:pt idx="25">
                  <c:v>4.666</c:v>
                </c:pt>
                <c:pt idx="26">
                  <c:v>4.88</c:v>
                </c:pt>
                <c:pt idx="27">
                  <c:v>5.094</c:v>
                </c:pt>
                <c:pt idx="28">
                  <c:v>5.5955</c:v>
                </c:pt>
                <c:pt idx="29">
                  <c:v>6.097</c:v>
                </c:pt>
                <c:pt idx="30">
                  <c:v>6.5985</c:v>
                </c:pt>
                <c:pt idx="31">
                  <c:v>7.1</c:v>
                </c:pt>
                <c:pt idx="32">
                  <c:v>7.45</c:v>
                </c:pt>
                <c:pt idx="33">
                  <c:v>7.8</c:v>
                </c:pt>
                <c:pt idx="34">
                  <c:v>8.2</c:v>
                </c:pt>
                <c:pt idx="35">
                  <c:v>8.475</c:v>
                </c:pt>
                <c:pt idx="36">
                  <c:v>8.75</c:v>
                </c:pt>
                <c:pt idx="37">
                  <c:v>8.75</c:v>
                </c:pt>
                <c:pt idx="38">
                  <c:v>8.75</c:v>
                </c:pt>
                <c:pt idx="39">
                  <c:v>8.75</c:v>
                </c:pt>
                <c:pt idx="40">
                  <c:v>9.38087</c:v>
                </c:pt>
                <c:pt idx="41">
                  <c:v>10.0118</c:v>
                </c:pt>
                <c:pt idx="42">
                  <c:v>10.6426</c:v>
                </c:pt>
                <c:pt idx="43">
                  <c:v>11.2735</c:v>
                </c:pt>
                <c:pt idx="44">
                  <c:v>11.7051</c:v>
                </c:pt>
                <c:pt idx="45">
                  <c:v>12.1368</c:v>
                </c:pt>
                <c:pt idx="46">
                  <c:v>13.6516</c:v>
                </c:pt>
                <c:pt idx="47">
                  <c:v>14.0877</c:v>
                </c:pt>
                <c:pt idx="48">
                  <c:v>14.5238</c:v>
                </c:pt>
                <c:pt idx="49">
                  <c:v>14.5238</c:v>
                </c:pt>
                <c:pt idx="50">
                  <c:v>15.4068</c:v>
                </c:pt>
                <c:pt idx="51">
                  <c:v>15.902</c:v>
                </c:pt>
                <c:pt idx="52">
                  <c:v>16.3972</c:v>
                </c:pt>
                <c:pt idx="53">
                  <c:v>17.4874</c:v>
                </c:pt>
                <c:pt idx="54">
                  <c:v>17.9326</c:v>
                </c:pt>
                <c:pt idx="55">
                  <c:v>18.3777</c:v>
                </c:pt>
                <c:pt idx="56">
                  <c:v>19.0967</c:v>
                </c:pt>
                <c:pt idx="57">
                  <c:v>19.8157</c:v>
                </c:pt>
                <c:pt idx="58">
                  <c:v>20.5347</c:v>
                </c:pt>
                <c:pt idx="59">
                  <c:v>21.2537</c:v>
                </c:pt>
                <c:pt idx="60">
                  <c:v>21.2537</c:v>
                </c:pt>
                <c:pt idx="61">
                  <c:v>21.2537</c:v>
                </c:pt>
                <c:pt idx="62">
                  <c:v>21.2537</c:v>
                </c:pt>
                <c:pt idx="63">
                  <c:v>21.5287</c:v>
                </c:pt>
                <c:pt idx="64">
                  <c:v>21.8037</c:v>
                </c:pt>
                <c:pt idx="65">
                  <c:v>22.2037</c:v>
                </c:pt>
                <c:pt idx="66">
                  <c:v>22.5537</c:v>
                </c:pt>
                <c:pt idx="67">
                  <c:v>22.9037</c:v>
                </c:pt>
                <c:pt idx="68">
                  <c:v>23.4052</c:v>
                </c:pt>
                <c:pt idx="69">
                  <c:v>23.9067</c:v>
                </c:pt>
                <c:pt idx="70">
                  <c:v>24.4082</c:v>
                </c:pt>
                <c:pt idx="71">
                  <c:v>24.9097</c:v>
                </c:pt>
                <c:pt idx="72">
                  <c:v>25.1237</c:v>
                </c:pt>
                <c:pt idx="73">
                  <c:v>25.3377</c:v>
                </c:pt>
                <c:pt idx="74">
                  <c:v>25.3657</c:v>
                </c:pt>
                <c:pt idx="75">
                  <c:v>25.3937</c:v>
                </c:pt>
                <c:pt idx="76">
                  <c:v>25.4217</c:v>
                </c:pt>
                <c:pt idx="77">
                  <c:v>25.4497</c:v>
                </c:pt>
                <c:pt idx="78">
                  <c:v>25.6637</c:v>
                </c:pt>
                <c:pt idx="79">
                  <c:v>25.8777</c:v>
                </c:pt>
                <c:pt idx="80">
                  <c:v>25.8777</c:v>
                </c:pt>
                <c:pt idx="81">
                  <c:v>25.8777</c:v>
                </c:pt>
                <c:pt idx="82">
                  <c:v>26.1018</c:v>
                </c:pt>
                <c:pt idx="83">
                  <c:v>26.326</c:v>
                </c:pt>
                <c:pt idx="84">
                  <c:v>26.5501</c:v>
                </c:pt>
                <c:pt idx="85">
                  <c:v>26.7742</c:v>
                </c:pt>
                <c:pt idx="86">
                  <c:v>27.1937</c:v>
                </c:pt>
                <c:pt idx="87">
                  <c:v>27.6132</c:v>
                </c:pt>
                <c:pt idx="88">
                  <c:v>27.6935</c:v>
                </c:pt>
                <c:pt idx="89">
                  <c:v>27.7737</c:v>
                </c:pt>
                <c:pt idx="90">
                  <c:v>27.854</c:v>
                </c:pt>
                <c:pt idx="91">
                  <c:v>27.9342</c:v>
                </c:pt>
                <c:pt idx="92">
                  <c:v>28.3537</c:v>
                </c:pt>
                <c:pt idx="93">
                  <c:v>28.7732</c:v>
                </c:pt>
                <c:pt idx="94">
                  <c:v>29.0183</c:v>
                </c:pt>
                <c:pt idx="95">
                  <c:v>29.2635</c:v>
                </c:pt>
                <c:pt idx="96">
                  <c:v>29.5086</c:v>
                </c:pt>
                <c:pt idx="97">
                  <c:v>29.7537</c:v>
                </c:pt>
                <c:pt idx="98">
                  <c:v>30.0037</c:v>
                </c:pt>
                <c:pt idx="99">
                  <c:v>30.0037</c:v>
                </c:pt>
                <c:pt idx="100">
                  <c:v>30.0037</c:v>
                </c:pt>
              </c:numCache>
            </c:numRef>
          </c:xVal>
          <c:yVal>
            <c:numRef>
              <c:f>'spi.optics'!$K$4:$K$104</c:f>
              <c:numCache>
                <c:ptCount val="101"/>
                <c:pt idx="0">
                  <c:v>-77.76549363310183</c:v>
                </c:pt>
                <c:pt idx="1">
                  <c:v>-77.55906136616146</c:v>
                </c:pt>
                <c:pt idx="2">
                  <c:v>-76.187243026638</c:v>
                </c:pt>
                <c:pt idx="3">
                  <c:v>-74.84672337517522</c:v>
                </c:pt>
                <c:pt idx="4">
                  <c:v>-73.5388876717618</c:v>
                </c:pt>
                <c:pt idx="5">
                  <c:v>-72.26617466007178</c:v>
                </c:pt>
                <c:pt idx="6">
                  <c:v>-70.17418328701802</c:v>
                </c:pt>
                <c:pt idx="7">
                  <c:v>-68.19946040842258</c:v>
                </c:pt>
                <c:pt idx="8">
                  <c:v>-67.83595506809056</c:v>
                </c:pt>
                <c:pt idx="9">
                  <c:v>-67.47717836424401</c:v>
                </c:pt>
                <c:pt idx="10">
                  <c:v>-67.12324187641715</c:v>
                </c:pt>
                <c:pt idx="11">
                  <c:v>-66.77422257128869</c:v>
                </c:pt>
                <c:pt idx="12">
                  <c:v>-65.03106684274279</c:v>
                </c:pt>
                <c:pt idx="13">
                  <c:v>-66.7710438900602</c:v>
                </c:pt>
                <c:pt idx="14">
                  <c:v>-67.76495165980873</c:v>
                </c:pt>
                <c:pt idx="15">
                  <c:v>-68.8060448068038</c:v>
                </c:pt>
                <c:pt idx="16">
                  <c:v>-69.89587426519581</c:v>
                </c:pt>
                <c:pt idx="17">
                  <c:v>-71.03606922227412</c:v>
                </c:pt>
                <c:pt idx="18">
                  <c:v>-72.17337336020522</c:v>
                </c:pt>
                <c:pt idx="19">
                  <c:v>-73.35945090887456</c:v>
                </c:pt>
                <c:pt idx="20">
                  <c:v>-73.35945090887456</c:v>
                </c:pt>
                <c:pt idx="21">
                  <c:v>-73.35945090887456</c:v>
                </c:pt>
                <c:pt idx="22">
                  <c:v>-73.51834647747228</c:v>
                </c:pt>
                <c:pt idx="23">
                  <c:v>-73.67806311503355</c:v>
                </c:pt>
                <c:pt idx="24">
                  <c:v>-73.83864389489285</c:v>
                </c:pt>
                <c:pt idx="25">
                  <c:v>-74.00009152798121</c:v>
                </c:pt>
                <c:pt idx="26">
                  <c:v>-75.26298142123822</c:v>
                </c:pt>
                <c:pt idx="27">
                  <c:v>-75.87223560438458</c:v>
                </c:pt>
                <c:pt idx="28">
                  <c:v>-77.5088522744117</c:v>
                </c:pt>
                <c:pt idx="29">
                  <c:v>-79.44626870081554</c:v>
                </c:pt>
                <c:pt idx="30">
                  <c:v>-81.69067311454106</c:v>
                </c:pt>
                <c:pt idx="31">
                  <c:v>-79.86264116588555</c:v>
                </c:pt>
                <c:pt idx="32">
                  <c:v>-88.45543460552025</c:v>
                </c:pt>
                <c:pt idx="33">
                  <c:v>-101.8729927440145</c:v>
                </c:pt>
                <c:pt idx="34">
                  <c:v>-120.1853666044072</c:v>
                </c:pt>
                <c:pt idx="35">
                  <c:v>-130.74472217722155</c:v>
                </c:pt>
                <c:pt idx="36">
                  <c:v>-132.29382364920446</c:v>
                </c:pt>
                <c:pt idx="37">
                  <c:v>-132.29382364920446</c:v>
                </c:pt>
                <c:pt idx="38">
                  <c:v>-132.29382364920446</c:v>
                </c:pt>
                <c:pt idx="39">
                  <c:v>-132.29382364920446</c:v>
                </c:pt>
                <c:pt idx="40">
                  <c:v>-130.90144875088998</c:v>
                </c:pt>
                <c:pt idx="41">
                  <c:v>-129.65873534784038</c:v>
                </c:pt>
                <c:pt idx="42">
                  <c:v>-128.57273157647143</c:v>
                </c:pt>
                <c:pt idx="43">
                  <c:v>-127.64969075262931</c:v>
                </c:pt>
                <c:pt idx="44">
                  <c:v>-127.1147335568576</c:v>
                </c:pt>
                <c:pt idx="45">
                  <c:v>-126.66017604741512</c:v>
                </c:pt>
                <c:pt idx="46">
                  <c:v>-125.47074933584055</c:v>
                </c:pt>
                <c:pt idx="47">
                  <c:v>-125.24695577749344</c:v>
                </c:pt>
                <c:pt idx="48">
                  <c:v>-125.11116229711203</c:v>
                </c:pt>
                <c:pt idx="49">
                  <c:v>-125.11116229711203</c:v>
                </c:pt>
                <c:pt idx="50">
                  <c:v>-125.09659916835868</c:v>
                </c:pt>
                <c:pt idx="51">
                  <c:v>-125.25240690351303</c:v>
                </c:pt>
                <c:pt idx="52">
                  <c:v>-125.5214687993123</c:v>
                </c:pt>
                <c:pt idx="53">
                  <c:v>-126.33041765109901</c:v>
                </c:pt>
                <c:pt idx="54">
                  <c:v>-126.72650122481464</c:v>
                </c:pt>
                <c:pt idx="55">
                  <c:v>-127.20935906655095</c:v>
                </c:pt>
                <c:pt idx="56">
                  <c:v>-128.16831506122054</c:v>
                </c:pt>
                <c:pt idx="57">
                  <c:v>-129.3417062460327</c:v>
                </c:pt>
                <c:pt idx="58">
                  <c:v>-130.7211897933451</c:v>
                </c:pt>
                <c:pt idx="59">
                  <c:v>-132.29604857697714</c:v>
                </c:pt>
                <c:pt idx="60">
                  <c:v>-132.29604857697714</c:v>
                </c:pt>
                <c:pt idx="61">
                  <c:v>-132.29604857697714</c:v>
                </c:pt>
                <c:pt idx="62">
                  <c:v>-132.29604857697714</c:v>
                </c:pt>
                <c:pt idx="63">
                  <c:v>-130.74526535447274</c:v>
                </c:pt>
                <c:pt idx="64">
                  <c:v>-120.12366914885956</c:v>
                </c:pt>
                <c:pt idx="65">
                  <c:v>-101.8110712619693</c:v>
                </c:pt>
                <c:pt idx="66">
                  <c:v>-88.39323105090419</c:v>
                </c:pt>
                <c:pt idx="67">
                  <c:v>-84.22752245237571</c:v>
                </c:pt>
                <c:pt idx="68">
                  <c:v>-81.67438561214823</c:v>
                </c:pt>
                <c:pt idx="69">
                  <c:v>-79.42972862805445</c:v>
                </c:pt>
                <c:pt idx="70">
                  <c:v>-77.49209975602362</c:v>
                </c:pt>
                <c:pt idx="71">
                  <c:v>-75.85527225308581</c:v>
                </c:pt>
                <c:pt idx="72">
                  <c:v>-75.245894029319</c:v>
                </c:pt>
                <c:pt idx="73">
                  <c:v>-74.68838284328613</c:v>
                </c:pt>
                <c:pt idx="74">
                  <c:v>-74.61919796342484</c:v>
                </c:pt>
                <c:pt idx="75">
                  <c:v>-74.55092044278075</c:v>
                </c:pt>
                <c:pt idx="76">
                  <c:v>-74.4834666850925</c:v>
                </c:pt>
                <c:pt idx="77">
                  <c:v>-74.41687441890176</c:v>
                </c:pt>
                <c:pt idx="78">
                  <c:v>-73.93613786951707</c:v>
                </c:pt>
                <c:pt idx="79">
                  <c:v>-71.0064244818168</c:v>
                </c:pt>
                <c:pt idx="80">
                  <c:v>-71.0064244818168</c:v>
                </c:pt>
                <c:pt idx="81">
                  <c:v>-71.0064244818168</c:v>
                </c:pt>
                <c:pt idx="82">
                  <c:v>-69.86627336051463</c:v>
                </c:pt>
                <c:pt idx="83">
                  <c:v>-68.77577519694928</c:v>
                </c:pt>
                <c:pt idx="84">
                  <c:v>-67.73481105879077</c:v>
                </c:pt>
                <c:pt idx="85">
                  <c:v>-66.7409558809651</c:v>
                </c:pt>
                <c:pt idx="86">
                  <c:v>-65.00077409676942</c:v>
                </c:pt>
                <c:pt idx="87">
                  <c:v>-66.77318024476594</c:v>
                </c:pt>
                <c:pt idx="88">
                  <c:v>-67.12216921405326</c:v>
                </c:pt>
                <c:pt idx="89">
                  <c:v>-67.47604019205632</c:v>
                </c:pt>
                <c:pt idx="90">
                  <c:v>-67.83478753560004</c:v>
                </c:pt>
                <c:pt idx="91">
                  <c:v>-68.19826390752186</c:v>
                </c:pt>
                <c:pt idx="92">
                  <c:v>-70.17281524921171</c:v>
                </c:pt>
                <c:pt idx="93">
                  <c:v>-72.2645141130832</c:v>
                </c:pt>
                <c:pt idx="94">
                  <c:v>-73.53725586394967</c:v>
                </c:pt>
                <c:pt idx="95">
                  <c:v>-74.84479941853007</c:v>
                </c:pt>
                <c:pt idx="96">
                  <c:v>-76.18535292298645</c:v>
                </c:pt>
                <c:pt idx="97">
                  <c:v>-77.55720469434158</c:v>
                </c:pt>
                <c:pt idx="98">
                  <c:v>-77.7633332618915</c:v>
                </c:pt>
                <c:pt idx="99">
                  <c:v>-77.7633332618915</c:v>
                </c:pt>
                <c:pt idx="100">
                  <c:v>-77.7633332618915</c:v>
                </c:pt>
              </c:numCache>
            </c:numRef>
          </c:yVal>
          <c:smooth val="1"/>
        </c:ser>
        <c:axId val="54660576"/>
        <c:axId val="22183137"/>
      </c:scatterChart>
      <c:valAx>
        <c:axId val="54660576"/>
        <c:scaling>
          <c:orientation val="minMax"/>
          <c:max val="3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s(m)</a:t>
                </a:r>
              </a:p>
            </c:rich>
          </c:tx>
          <c:layout>
            <c:manualLayout>
              <c:xMode val="factor"/>
              <c:yMode val="factor"/>
              <c:x val="0.1245"/>
              <c:y val="0.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22183137"/>
        <c:crosses val="autoZero"/>
        <c:crossBetween val="midCat"/>
        <c:dispUnits/>
      </c:valAx>
      <c:valAx>
        <c:axId val="22183137"/>
        <c:scaling>
          <c:orientation val="minMax"/>
          <c:max val="300"/>
          <c:min val="-2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Vert  /  Hor</a:t>
                </a:r>
              </a:p>
            </c:rich>
          </c:tx>
          <c:layout>
            <c:manualLayout>
              <c:xMode val="factor"/>
              <c:yMode val="factor"/>
              <c:x val="-0.000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5466057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225"/>
          <c:y val="0.077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FF0000"/>
                        </a:solidFill>
                        <a:latin typeface="Arial"/>
                        <a:ea typeface="Arial"/>
                        <a:cs typeface="Arial"/>
                      </a:rPr>
                      <a:t>Long K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FF0000"/>
                        </a:solidFill>
                        <a:latin typeface="Arial"/>
                        <a:ea typeface="Arial"/>
                        <a:cs typeface="Arial"/>
                      </a:rPr>
                      <a:t>Sh. K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1" i="0" u="none" baseline="0">
                        <a:solidFill>
                          <a:srgbClr val="FF0000"/>
                        </a:solidFill>
                        <a:latin typeface="Arial"/>
                        <a:ea typeface="Arial"/>
                        <a:cs typeface="Arial"/>
                      </a:rPr>
                      <a:t>Vacuum pipe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solidFill>
                          <a:srgbClr val="FF0000"/>
                        </a:solidFill>
                        <a:latin typeface="Arial"/>
                        <a:ea typeface="Arial"/>
                        <a:cs typeface="Arial"/>
                      </a:rPr>
                      <a:t>Doublet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FF0000"/>
                        </a:solidFill>
                        <a:latin typeface="Arial"/>
                        <a:ea typeface="Arial"/>
                        <a:cs typeface="Arial"/>
                      </a:rPr>
                      <a:t>BND1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FF0000"/>
                        </a:solidFill>
                        <a:latin typeface="Arial"/>
                        <a:ea typeface="Arial"/>
                        <a:cs typeface="Arial"/>
                      </a:rPr>
                      <a:t>BND2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FF0000"/>
                        </a:solidFill>
                        <a:latin typeface="Arial"/>
                        <a:ea typeface="Arial"/>
                        <a:cs typeface="Arial"/>
                      </a:rPr>
                      <a:t>BND3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FF0000"/>
                        </a:solidFill>
                        <a:latin typeface="Arial"/>
                        <a:ea typeface="Arial"/>
                        <a:cs typeface="Arial"/>
                      </a:rPr>
                      <a:t>BND4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FF0000"/>
                        </a:solidFill>
                        <a:latin typeface="Arial"/>
                        <a:ea typeface="Arial"/>
                        <a:cs typeface="Arial"/>
                      </a:rPr>
                      <a:t>Doublet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'Pipe(both)'!$B$5:$B$96</c:f>
              <c:numCache>
                <c:ptCount val="92"/>
                <c:pt idx="0">
                  <c:v>0</c:v>
                </c:pt>
                <c:pt idx="1">
                  <c:v>0.25</c:v>
                </c:pt>
                <c:pt idx="2">
                  <c:v>0.943</c:v>
                </c:pt>
                <c:pt idx="3">
                  <c:v>0.943</c:v>
                </c:pt>
                <c:pt idx="4">
                  <c:v>1.197</c:v>
                </c:pt>
                <c:pt idx="5">
                  <c:v>1.197</c:v>
                </c:pt>
                <c:pt idx="6">
                  <c:v>1.65</c:v>
                </c:pt>
                <c:pt idx="7">
                  <c:v>2.1029999999999998</c:v>
                </c:pt>
                <c:pt idx="8">
                  <c:v>2.1029999999999998</c:v>
                </c:pt>
                <c:pt idx="9">
                  <c:v>2.3569999999999998</c:v>
                </c:pt>
                <c:pt idx="10">
                  <c:v>2.3569999999999998</c:v>
                </c:pt>
                <c:pt idx="11">
                  <c:v>2.8099999999999996</c:v>
                </c:pt>
                <c:pt idx="12">
                  <c:v>3.2629999999999995</c:v>
                </c:pt>
                <c:pt idx="13">
                  <c:v>3.2629999999999995</c:v>
                </c:pt>
                <c:pt idx="14">
                  <c:v>3.5169999999999995</c:v>
                </c:pt>
                <c:pt idx="15">
                  <c:v>3.847899999999999</c:v>
                </c:pt>
                <c:pt idx="16">
                  <c:v>4.101899999999999</c:v>
                </c:pt>
                <c:pt idx="17">
                  <c:v>4.339999999999999</c:v>
                </c:pt>
                <c:pt idx="18">
                  <c:v>4.578099999999999</c:v>
                </c:pt>
                <c:pt idx="19">
                  <c:v>4.641699999999999</c:v>
                </c:pt>
                <c:pt idx="20">
                  <c:v>4.8797999999999995</c:v>
                </c:pt>
                <c:pt idx="21">
                  <c:v>5.1179</c:v>
                </c:pt>
                <c:pt idx="22">
                  <c:v>5.3719</c:v>
                </c:pt>
                <c:pt idx="23">
                  <c:v>5.3719</c:v>
                </c:pt>
                <c:pt idx="24">
                  <c:v>7.0998</c:v>
                </c:pt>
                <c:pt idx="25">
                  <c:v>7.4498</c:v>
                </c:pt>
                <c:pt idx="26">
                  <c:v>7.799799999999999</c:v>
                </c:pt>
                <c:pt idx="27">
                  <c:v>8.1998</c:v>
                </c:pt>
                <c:pt idx="28">
                  <c:v>8.4748</c:v>
                </c:pt>
                <c:pt idx="29">
                  <c:v>8.7498</c:v>
                </c:pt>
                <c:pt idx="30">
                  <c:v>10.7558</c:v>
                </c:pt>
                <c:pt idx="31">
                  <c:v>10.7558</c:v>
                </c:pt>
                <c:pt idx="32">
                  <c:v>11.136800000000001</c:v>
                </c:pt>
                <c:pt idx="33">
                  <c:v>11.136800000000001</c:v>
                </c:pt>
                <c:pt idx="34">
                  <c:v>11.2673</c:v>
                </c:pt>
                <c:pt idx="35">
                  <c:v>11.7048</c:v>
                </c:pt>
                <c:pt idx="36">
                  <c:v>12.1423</c:v>
                </c:pt>
                <c:pt idx="37">
                  <c:v>12.2788</c:v>
                </c:pt>
                <c:pt idx="38">
                  <c:v>12.2788</c:v>
                </c:pt>
                <c:pt idx="39">
                  <c:v>12.953800000000001</c:v>
                </c:pt>
                <c:pt idx="40">
                  <c:v>12.953800000000001</c:v>
                </c:pt>
                <c:pt idx="41">
                  <c:v>13.3268</c:v>
                </c:pt>
                <c:pt idx="42">
                  <c:v>13.3268</c:v>
                </c:pt>
                <c:pt idx="43">
                  <c:v>13.4758</c:v>
                </c:pt>
                <c:pt idx="44">
                  <c:v>14.085799999999999</c:v>
                </c:pt>
                <c:pt idx="45">
                  <c:v>14.695799999999998</c:v>
                </c:pt>
                <c:pt idx="46">
                  <c:v>15.034799999999999</c:v>
                </c:pt>
                <c:pt idx="47">
                  <c:v>15.034799999999999</c:v>
                </c:pt>
                <c:pt idx="48">
                  <c:v>15.149299999999998</c:v>
                </c:pt>
                <c:pt idx="49">
                  <c:v>15.899799999999999</c:v>
                </c:pt>
                <c:pt idx="50">
                  <c:v>16.650299999999998</c:v>
                </c:pt>
                <c:pt idx="51">
                  <c:v>16.8298</c:v>
                </c:pt>
                <c:pt idx="52">
                  <c:v>16.8298</c:v>
                </c:pt>
                <c:pt idx="53">
                  <c:v>17.314799999999998</c:v>
                </c:pt>
                <c:pt idx="54">
                  <c:v>17.314799999999998</c:v>
                </c:pt>
                <c:pt idx="55">
                  <c:v>17.4778</c:v>
                </c:pt>
                <c:pt idx="56">
                  <c:v>17.9288</c:v>
                </c:pt>
                <c:pt idx="57">
                  <c:v>18.3798</c:v>
                </c:pt>
                <c:pt idx="58">
                  <c:v>18.5158</c:v>
                </c:pt>
                <c:pt idx="59">
                  <c:v>18.5158</c:v>
                </c:pt>
                <c:pt idx="60">
                  <c:v>20.2338</c:v>
                </c:pt>
                <c:pt idx="61">
                  <c:v>20.2338</c:v>
                </c:pt>
                <c:pt idx="62">
                  <c:v>21.2498</c:v>
                </c:pt>
                <c:pt idx="63">
                  <c:v>21.5248</c:v>
                </c:pt>
                <c:pt idx="64">
                  <c:v>21.799799999999998</c:v>
                </c:pt>
                <c:pt idx="65">
                  <c:v>22.199799999999996</c:v>
                </c:pt>
                <c:pt idx="66">
                  <c:v>22.549799999999998</c:v>
                </c:pt>
                <c:pt idx="67">
                  <c:v>22.8998</c:v>
                </c:pt>
                <c:pt idx="68">
                  <c:v>24.627699999999997</c:v>
                </c:pt>
                <c:pt idx="69">
                  <c:v>24.627699999999997</c:v>
                </c:pt>
                <c:pt idx="70">
                  <c:v>24.8817</c:v>
                </c:pt>
                <c:pt idx="71">
                  <c:v>25.119799999999998</c:v>
                </c:pt>
                <c:pt idx="72">
                  <c:v>25.357899999999997</c:v>
                </c:pt>
                <c:pt idx="73">
                  <c:v>25.421499999999998</c:v>
                </c:pt>
                <c:pt idx="74">
                  <c:v>25.659599999999998</c:v>
                </c:pt>
                <c:pt idx="75">
                  <c:v>25.897699999999997</c:v>
                </c:pt>
                <c:pt idx="76">
                  <c:v>26.151699999999998</c:v>
                </c:pt>
                <c:pt idx="77">
                  <c:v>26.482599999999998</c:v>
                </c:pt>
                <c:pt idx="78">
                  <c:v>26.7366</c:v>
                </c:pt>
                <c:pt idx="79">
                  <c:v>26.7366</c:v>
                </c:pt>
                <c:pt idx="80">
                  <c:v>27.1896</c:v>
                </c:pt>
                <c:pt idx="81">
                  <c:v>27.642599999999998</c:v>
                </c:pt>
                <c:pt idx="82">
                  <c:v>27.642599999999998</c:v>
                </c:pt>
                <c:pt idx="83">
                  <c:v>27.8966</c:v>
                </c:pt>
                <c:pt idx="84">
                  <c:v>27.8966</c:v>
                </c:pt>
                <c:pt idx="85">
                  <c:v>28.3496</c:v>
                </c:pt>
                <c:pt idx="86">
                  <c:v>28.802599999999998</c:v>
                </c:pt>
                <c:pt idx="87">
                  <c:v>28.802599999999998</c:v>
                </c:pt>
                <c:pt idx="88">
                  <c:v>29.0566</c:v>
                </c:pt>
                <c:pt idx="89">
                  <c:v>29.0566</c:v>
                </c:pt>
                <c:pt idx="90">
                  <c:v>29.7496</c:v>
                </c:pt>
                <c:pt idx="91">
                  <c:v>29.9996</c:v>
                </c:pt>
              </c:numCache>
            </c:numRef>
          </c:xVal>
          <c:yVal>
            <c:numRef>
              <c:f>'Pipe(both)'!$I$5:$I$96</c:f>
              <c:numCache>
                <c:ptCount val="92"/>
                <c:pt idx="0">
                  <c:v>95</c:v>
                </c:pt>
                <c:pt idx="1">
                  <c:v>95</c:v>
                </c:pt>
                <c:pt idx="2">
                  <c:v>95</c:v>
                </c:pt>
                <c:pt idx="3">
                  <c:v>90</c:v>
                </c:pt>
                <c:pt idx="4">
                  <c:v>90</c:v>
                </c:pt>
                <c:pt idx="5">
                  <c:v>80</c:v>
                </c:pt>
                <c:pt idx="6">
                  <c:v>80</c:v>
                </c:pt>
                <c:pt idx="7">
                  <c:v>80</c:v>
                </c:pt>
                <c:pt idx="8">
                  <c:v>90</c:v>
                </c:pt>
                <c:pt idx="9">
                  <c:v>90</c:v>
                </c:pt>
                <c:pt idx="10">
                  <c:v>80</c:v>
                </c:pt>
                <c:pt idx="11">
                  <c:v>80</c:v>
                </c:pt>
                <c:pt idx="12">
                  <c:v>80</c:v>
                </c:pt>
                <c:pt idx="13">
                  <c:v>90</c:v>
                </c:pt>
                <c:pt idx="14">
                  <c:v>90</c:v>
                </c:pt>
                <c:pt idx="15">
                  <c:v>90</c:v>
                </c:pt>
                <c:pt idx="16">
                  <c:v>90</c:v>
                </c:pt>
                <c:pt idx="17">
                  <c:v>90</c:v>
                </c:pt>
                <c:pt idx="18">
                  <c:v>90</c:v>
                </c:pt>
                <c:pt idx="19">
                  <c:v>90</c:v>
                </c:pt>
                <c:pt idx="20">
                  <c:v>90</c:v>
                </c:pt>
                <c:pt idx="21">
                  <c:v>90</c:v>
                </c:pt>
                <c:pt idx="22">
                  <c:v>90</c:v>
                </c:pt>
                <c:pt idx="23">
                  <c:v>149.2</c:v>
                </c:pt>
                <c:pt idx="24">
                  <c:v>149.2</c:v>
                </c:pt>
                <c:pt idx="25">
                  <c:v>149.2</c:v>
                </c:pt>
                <c:pt idx="26">
                  <c:v>149.2</c:v>
                </c:pt>
                <c:pt idx="27">
                  <c:v>149.2</c:v>
                </c:pt>
                <c:pt idx="28">
                  <c:v>149.2</c:v>
                </c:pt>
                <c:pt idx="29">
                  <c:v>149.2</c:v>
                </c:pt>
                <c:pt idx="30">
                  <c:v>149.2</c:v>
                </c:pt>
                <c:pt idx="31">
                  <c:v>83.77</c:v>
                </c:pt>
                <c:pt idx="32">
                  <c:v>83.77</c:v>
                </c:pt>
                <c:pt idx="33">
                  <c:v>91.3</c:v>
                </c:pt>
                <c:pt idx="34">
                  <c:v>91.3</c:v>
                </c:pt>
                <c:pt idx="35">
                  <c:v>91.3</c:v>
                </c:pt>
                <c:pt idx="36">
                  <c:v>91.3</c:v>
                </c:pt>
                <c:pt idx="37">
                  <c:v>91.3</c:v>
                </c:pt>
                <c:pt idx="38">
                  <c:v>84.3</c:v>
                </c:pt>
                <c:pt idx="39">
                  <c:v>84.3</c:v>
                </c:pt>
                <c:pt idx="40">
                  <c:v>100.8</c:v>
                </c:pt>
                <c:pt idx="41">
                  <c:v>100.8</c:v>
                </c:pt>
                <c:pt idx="42">
                  <c:v>81.75</c:v>
                </c:pt>
                <c:pt idx="43">
                  <c:v>81.75</c:v>
                </c:pt>
                <c:pt idx="44">
                  <c:v>81.75</c:v>
                </c:pt>
                <c:pt idx="45">
                  <c:v>81.75</c:v>
                </c:pt>
                <c:pt idx="46">
                  <c:v>81.75</c:v>
                </c:pt>
                <c:pt idx="47">
                  <c:v>102.4</c:v>
                </c:pt>
                <c:pt idx="48">
                  <c:v>102.4</c:v>
                </c:pt>
                <c:pt idx="49">
                  <c:v>102.4</c:v>
                </c:pt>
                <c:pt idx="50">
                  <c:v>102.4</c:v>
                </c:pt>
                <c:pt idx="51">
                  <c:v>102.4</c:v>
                </c:pt>
                <c:pt idx="52">
                  <c:v>102.4</c:v>
                </c:pt>
                <c:pt idx="53">
                  <c:v>163.55</c:v>
                </c:pt>
                <c:pt idx="54">
                  <c:v>85.6</c:v>
                </c:pt>
                <c:pt idx="55">
                  <c:v>85.6</c:v>
                </c:pt>
                <c:pt idx="56">
                  <c:v>85.6</c:v>
                </c:pt>
                <c:pt idx="57">
                  <c:v>85.6</c:v>
                </c:pt>
                <c:pt idx="58">
                  <c:v>85.6</c:v>
                </c:pt>
                <c:pt idx="59">
                  <c:v>86.5</c:v>
                </c:pt>
                <c:pt idx="60">
                  <c:v>86.5</c:v>
                </c:pt>
                <c:pt idx="61">
                  <c:v>149.2</c:v>
                </c:pt>
                <c:pt idx="62">
                  <c:v>149.2</c:v>
                </c:pt>
                <c:pt idx="63">
                  <c:v>149.2</c:v>
                </c:pt>
                <c:pt idx="64">
                  <c:v>149.2</c:v>
                </c:pt>
                <c:pt idx="65">
                  <c:v>149.2</c:v>
                </c:pt>
                <c:pt idx="66">
                  <c:v>149.2</c:v>
                </c:pt>
                <c:pt idx="67">
                  <c:v>149.2</c:v>
                </c:pt>
                <c:pt idx="68">
                  <c:v>149.2</c:v>
                </c:pt>
                <c:pt idx="69">
                  <c:v>90</c:v>
                </c:pt>
                <c:pt idx="70">
                  <c:v>90</c:v>
                </c:pt>
                <c:pt idx="71">
                  <c:v>90</c:v>
                </c:pt>
                <c:pt idx="72">
                  <c:v>90</c:v>
                </c:pt>
                <c:pt idx="73">
                  <c:v>90</c:v>
                </c:pt>
                <c:pt idx="74">
                  <c:v>90</c:v>
                </c:pt>
                <c:pt idx="75">
                  <c:v>90</c:v>
                </c:pt>
                <c:pt idx="76">
                  <c:v>90</c:v>
                </c:pt>
                <c:pt idx="77">
                  <c:v>90</c:v>
                </c:pt>
                <c:pt idx="78">
                  <c:v>90</c:v>
                </c:pt>
                <c:pt idx="79">
                  <c:v>80</c:v>
                </c:pt>
                <c:pt idx="80">
                  <c:v>80</c:v>
                </c:pt>
                <c:pt idx="81">
                  <c:v>80</c:v>
                </c:pt>
                <c:pt idx="82">
                  <c:v>90</c:v>
                </c:pt>
                <c:pt idx="83">
                  <c:v>90</c:v>
                </c:pt>
                <c:pt idx="84">
                  <c:v>80</c:v>
                </c:pt>
                <c:pt idx="85">
                  <c:v>80</c:v>
                </c:pt>
                <c:pt idx="86">
                  <c:v>80</c:v>
                </c:pt>
                <c:pt idx="87">
                  <c:v>90</c:v>
                </c:pt>
                <c:pt idx="88">
                  <c:v>90</c:v>
                </c:pt>
                <c:pt idx="89">
                  <c:v>95</c:v>
                </c:pt>
                <c:pt idx="90">
                  <c:v>95</c:v>
                </c:pt>
                <c:pt idx="91">
                  <c:v>95</c:v>
                </c:pt>
              </c:numCache>
            </c:numRef>
          </c:yVal>
          <c:smooth val="0"/>
        </c:ser>
        <c:ser>
          <c:idx val="1"/>
          <c:order val="1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'Pipe(both)'!$B$5:$B$96</c:f>
              <c:numCache>
                <c:ptCount val="92"/>
                <c:pt idx="0">
                  <c:v>0</c:v>
                </c:pt>
                <c:pt idx="1">
                  <c:v>0.25</c:v>
                </c:pt>
                <c:pt idx="2">
                  <c:v>0.943</c:v>
                </c:pt>
                <c:pt idx="3">
                  <c:v>0.943</c:v>
                </c:pt>
                <c:pt idx="4">
                  <c:v>1.197</c:v>
                </c:pt>
                <c:pt idx="5">
                  <c:v>1.197</c:v>
                </c:pt>
                <c:pt idx="6">
                  <c:v>1.65</c:v>
                </c:pt>
                <c:pt idx="7">
                  <c:v>2.1029999999999998</c:v>
                </c:pt>
                <c:pt idx="8">
                  <c:v>2.1029999999999998</c:v>
                </c:pt>
                <c:pt idx="9">
                  <c:v>2.3569999999999998</c:v>
                </c:pt>
                <c:pt idx="10">
                  <c:v>2.3569999999999998</c:v>
                </c:pt>
                <c:pt idx="11">
                  <c:v>2.8099999999999996</c:v>
                </c:pt>
                <c:pt idx="12">
                  <c:v>3.2629999999999995</c:v>
                </c:pt>
                <c:pt idx="13">
                  <c:v>3.2629999999999995</c:v>
                </c:pt>
                <c:pt idx="14">
                  <c:v>3.5169999999999995</c:v>
                </c:pt>
                <c:pt idx="15">
                  <c:v>3.847899999999999</c:v>
                </c:pt>
                <c:pt idx="16">
                  <c:v>4.101899999999999</c:v>
                </c:pt>
                <c:pt idx="17">
                  <c:v>4.339999999999999</c:v>
                </c:pt>
                <c:pt idx="18">
                  <c:v>4.578099999999999</c:v>
                </c:pt>
                <c:pt idx="19">
                  <c:v>4.641699999999999</c:v>
                </c:pt>
                <c:pt idx="20">
                  <c:v>4.8797999999999995</c:v>
                </c:pt>
                <c:pt idx="21">
                  <c:v>5.1179</c:v>
                </c:pt>
                <c:pt idx="22">
                  <c:v>5.3719</c:v>
                </c:pt>
                <c:pt idx="23">
                  <c:v>5.3719</c:v>
                </c:pt>
                <c:pt idx="24">
                  <c:v>7.0998</c:v>
                </c:pt>
                <c:pt idx="25">
                  <c:v>7.4498</c:v>
                </c:pt>
                <c:pt idx="26">
                  <c:v>7.799799999999999</c:v>
                </c:pt>
                <c:pt idx="27">
                  <c:v>8.1998</c:v>
                </c:pt>
                <c:pt idx="28">
                  <c:v>8.4748</c:v>
                </c:pt>
                <c:pt idx="29">
                  <c:v>8.7498</c:v>
                </c:pt>
                <c:pt idx="30">
                  <c:v>10.7558</c:v>
                </c:pt>
                <c:pt idx="31">
                  <c:v>10.7558</c:v>
                </c:pt>
                <c:pt idx="32">
                  <c:v>11.136800000000001</c:v>
                </c:pt>
                <c:pt idx="33">
                  <c:v>11.136800000000001</c:v>
                </c:pt>
                <c:pt idx="34">
                  <c:v>11.2673</c:v>
                </c:pt>
                <c:pt idx="35">
                  <c:v>11.7048</c:v>
                </c:pt>
                <c:pt idx="36">
                  <c:v>12.1423</c:v>
                </c:pt>
                <c:pt idx="37">
                  <c:v>12.2788</c:v>
                </c:pt>
                <c:pt idx="38">
                  <c:v>12.2788</c:v>
                </c:pt>
                <c:pt idx="39">
                  <c:v>12.953800000000001</c:v>
                </c:pt>
                <c:pt idx="40">
                  <c:v>12.953800000000001</c:v>
                </c:pt>
                <c:pt idx="41">
                  <c:v>13.3268</c:v>
                </c:pt>
                <c:pt idx="42">
                  <c:v>13.3268</c:v>
                </c:pt>
                <c:pt idx="43">
                  <c:v>13.4758</c:v>
                </c:pt>
                <c:pt idx="44">
                  <c:v>14.085799999999999</c:v>
                </c:pt>
                <c:pt idx="45">
                  <c:v>14.695799999999998</c:v>
                </c:pt>
                <c:pt idx="46">
                  <c:v>15.034799999999999</c:v>
                </c:pt>
                <c:pt idx="47">
                  <c:v>15.034799999999999</c:v>
                </c:pt>
                <c:pt idx="48">
                  <c:v>15.149299999999998</c:v>
                </c:pt>
                <c:pt idx="49">
                  <c:v>15.899799999999999</c:v>
                </c:pt>
                <c:pt idx="50">
                  <c:v>16.650299999999998</c:v>
                </c:pt>
                <c:pt idx="51">
                  <c:v>16.8298</c:v>
                </c:pt>
                <c:pt idx="52">
                  <c:v>16.8298</c:v>
                </c:pt>
                <c:pt idx="53">
                  <c:v>17.314799999999998</c:v>
                </c:pt>
                <c:pt idx="54">
                  <c:v>17.314799999999998</c:v>
                </c:pt>
                <c:pt idx="55">
                  <c:v>17.4778</c:v>
                </c:pt>
                <c:pt idx="56">
                  <c:v>17.9288</c:v>
                </c:pt>
                <c:pt idx="57">
                  <c:v>18.3798</c:v>
                </c:pt>
                <c:pt idx="58">
                  <c:v>18.5158</c:v>
                </c:pt>
                <c:pt idx="59">
                  <c:v>18.5158</c:v>
                </c:pt>
                <c:pt idx="60">
                  <c:v>20.2338</c:v>
                </c:pt>
                <c:pt idx="61">
                  <c:v>20.2338</c:v>
                </c:pt>
                <c:pt idx="62">
                  <c:v>21.2498</c:v>
                </c:pt>
                <c:pt idx="63">
                  <c:v>21.5248</c:v>
                </c:pt>
                <c:pt idx="64">
                  <c:v>21.799799999999998</c:v>
                </c:pt>
                <c:pt idx="65">
                  <c:v>22.199799999999996</c:v>
                </c:pt>
                <c:pt idx="66">
                  <c:v>22.549799999999998</c:v>
                </c:pt>
                <c:pt idx="67">
                  <c:v>22.8998</c:v>
                </c:pt>
                <c:pt idx="68">
                  <c:v>24.627699999999997</c:v>
                </c:pt>
                <c:pt idx="69">
                  <c:v>24.627699999999997</c:v>
                </c:pt>
                <c:pt idx="70">
                  <c:v>24.8817</c:v>
                </c:pt>
                <c:pt idx="71">
                  <c:v>25.119799999999998</c:v>
                </c:pt>
                <c:pt idx="72">
                  <c:v>25.357899999999997</c:v>
                </c:pt>
                <c:pt idx="73">
                  <c:v>25.421499999999998</c:v>
                </c:pt>
                <c:pt idx="74">
                  <c:v>25.659599999999998</c:v>
                </c:pt>
                <c:pt idx="75">
                  <c:v>25.897699999999997</c:v>
                </c:pt>
                <c:pt idx="76">
                  <c:v>26.151699999999998</c:v>
                </c:pt>
                <c:pt idx="77">
                  <c:v>26.482599999999998</c:v>
                </c:pt>
                <c:pt idx="78">
                  <c:v>26.7366</c:v>
                </c:pt>
                <c:pt idx="79">
                  <c:v>26.7366</c:v>
                </c:pt>
                <c:pt idx="80">
                  <c:v>27.1896</c:v>
                </c:pt>
                <c:pt idx="81">
                  <c:v>27.642599999999998</c:v>
                </c:pt>
                <c:pt idx="82">
                  <c:v>27.642599999999998</c:v>
                </c:pt>
                <c:pt idx="83">
                  <c:v>27.8966</c:v>
                </c:pt>
                <c:pt idx="84">
                  <c:v>27.8966</c:v>
                </c:pt>
                <c:pt idx="85">
                  <c:v>28.3496</c:v>
                </c:pt>
                <c:pt idx="86">
                  <c:v>28.802599999999998</c:v>
                </c:pt>
                <c:pt idx="87">
                  <c:v>28.802599999999998</c:v>
                </c:pt>
                <c:pt idx="88">
                  <c:v>29.0566</c:v>
                </c:pt>
                <c:pt idx="89">
                  <c:v>29.0566</c:v>
                </c:pt>
                <c:pt idx="90">
                  <c:v>29.7496</c:v>
                </c:pt>
                <c:pt idx="91">
                  <c:v>29.9996</c:v>
                </c:pt>
              </c:numCache>
            </c:numRef>
          </c:xVal>
          <c:yVal>
            <c:numRef>
              <c:f>'Pipe(both)'!$J$5:$J$96</c:f>
              <c:numCache>
                <c:ptCount val="92"/>
                <c:pt idx="0">
                  <c:v>-95</c:v>
                </c:pt>
                <c:pt idx="1">
                  <c:v>-95</c:v>
                </c:pt>
                <c:pt idx="2">
                  <c:v>-95</c:v>
                </c:pt>
                <c:pt idx="3">
                  <c:v>-90</c:v>
                </c:pt>
                <c:pt idx="4">
                  <c:v>-90</c:v>
                </c:pt>
                <c:pt idx="5">
                  <c:v>-80</c:v>
                </c:pt>
                <c:pt idx="6">
                  <c:v>-80</c:v>
                </c:pt>
                <c:pt idx="7">
                  <c:v>-80</c:v>
                </c:pt>
                <c:pt idx="8">
                  <c:v>-90</c:v>
                </c:pt>
                <c:pt idx="9">
                  <c:v>-90</c:v>
                </c:pt>
                <c:pt idx="10">
                  <c:v>-80</c:v>
                </c:pt>
                <c:pt idx="11">
                  <c:v>-80</c:v>
                </c:pt>
                <c:pt idx="12">
                  <c:v>-80</c:v>
                </c:pt>
                <c:pt idx="13">
                  <c:v>-90</c:v>
                </c:pt>
                <c:pt idx="14">
                  <c:v>-90</c:v>
                </c:pt>
                <c:pt idx="15">
                  <c:v>-90</c:v>
                </c:pt>
                <c:pt idx="16">
                  <c:v>-90</c:v>
                </c:pt>
                <c:pt idx="17">
                  <c:v>-90</c:v>
                </c:pt>
                <c:pt idx="18">
                  <c:v>-90</c:v>
                </c:pt>
                <c:pt idx="19">
                  <c:v>-90</c:v>
                </c:pt>
                <c:pt idx="20">
                  <c:v>-90</c:v>
                </c:pt>
                <c:pt idx="21">
                  <c:v>-90</c:v>
                </c:pt>
                <c:pt idx="22">
                  <c:v>-90</c:v>
                </c:pt>
                <c:pt idx="23">
                  <c:v>-149.2</c:v>
                </c:pt>
                <c:pt idx="24">
                  <c:v>-149.2</c:v>
                </c:pt>
                <c:pt idx="25">
                  <c:v>-149.2</c:v>
                </c:pt>
                <c:pt idx="26">
                  <c:v>-149.2</c:v>
                </c:pt>
                <c:pt idx="27">
                  <c:v>-149.2</c:v>
                </c:pt>
                <c:pt idx="28">
                  <c:v>-149.2</c:v>
                </c:pt>
                <c:pt idx="29">
                  <c:v>-149.2</c:v>
                </c:pt>
                <c:pt idx="30">
                  <c:v>-149.2</c:v>
                </c:pt>
                <c:pt idx="31">
                  <c:v>-129.76999999999998</c:v>
                </c:pt>
                <c:pt idx="32">
                  <c:v>-129.76999999999998</c:v>
                </c:pt>
                <c:pt idx="33">
                  <c:v>-137.3</c:v>
                </c:pt>
                <c:pt idx="34">
                  <c:v>-137.3</c:v>
                </c:pt>
                <c:pt idx="35">
                  <c:v>-137.3</c:v>
                </c:pt>
                <c:pt idx="36">
                  <c:v>-137.3</c:v>
                </c:pt>
                <c:pt idx="37">
                  <c:v>-137.3</c:v>
                </c:pt>
                <c:pt idx="38">
                  <c:v>-130.3</c:v>
                </c:pt>
                <c:pt idx="39">
                  <c:v>-130.3</c:v>
                </c:pt>
                <c:pt idx="40">
                  <c:v>-146.8</c:v>
                </c:pt>
                <c:pt idx="41">
                  <c:v>-146.8</c:v>
                </c:pt>
                <c:pt idx="42">
                  <c:v>-127.75</c:v>
                </c:pt>
                <c:pt idx="43">
                  <c:v>-127.75</c:v>
                </c:pt>
                <c:pt idx="44">
                  <c:v>-127.75</c:v>
                </c:pt>
                <c:pt idx="45">
                  <c:v>-127.75</c:v>
                </c:pt>
                <c:pt idx="46">
                  <c:v>-127.75</c:v>
                </c:pt>
                <c:pt idx="47">
                  <c:v>-148.4</c:v>
                </c:pt>
                <c:pt idx="48">
                  <c:v>-148.4</c:v>
                </c:pt>
                <c:pt idx="49">
                  <c:v>-148.4</c:v>
                </c:pt>
                <c:pt idx="50">
                  <c:v>-148.4</c:v>
                </c:pt>
                <c:pt idx="51">
                  <c:v>-148.4</c:v>
                </c:pt>
                <c:pt idx="52">
                  <c:v>-148.4</c:v>
                </c:pt>
                <c:pt idx="53">
                  <c:v>-209.55</c:v>
                </c:pt>
                <c:pt idx="54">
                  <c:v>-131.6</c:v>
                </c:pt>
                <c:pt idx="55">
                  <c:v>-131.6</c:v>
                </c:pt>
                <c:pt idx="56">
                  <c:v>-131.6</c:v>
                </c:pt>
                <c:pt idx="57">
                  <c:v>-131.6</c:v>
                </c:pt>
                <c:pt idx="58">
                  <c:v>-131.6</c:v>
                </c:pt>
                <c:pt idx="59">
                  <c:v>-132.5</c:v>
                </c:pt>
                <c:pt idx="60">
                  <c:v>-132.5</c:v>
                </c:pt>
                <c:pt idx="61">
                  <c:v>-149.2</c:v>
                </c:pt>
                <c:pt idx="62">
                  <c:v>-149.2</c:v>
                </c:pt>
                <c:pt idx="63">
                  <c:v>-149.2</c:v>
                </c:pt>
                <c:pt idx="64">
                  <c:v>-149.2</c:v>
                </c:pt>
                <c:pt idx="65">
                  <c:v>-149.2</c:v>
                </c:pt>
                <c:pt idx="66">
                  <c:v>-149.2</c:v>
                </c:pt>
                <c:pt idx="67">
                  <c:v>-149.2</c:v>
                </c:pt>
                <c:pt idx="68">
                  <c:v>-149.2</c:v>
                </c:pt>
                <c:pt idx="69">
                  <c:v>-90</c:v>
                </c:pt>
                <c:pt idx="70">
                  <c:v>-90</c:v>
                </c:pt>
                <c:pt idx="71">
                  <c:v>-90</c:v>
                </c:pt>
                <c:pt idx="72">
                  <c:v>-90</c:v>
                </c:pt>
                <c:pt idx="73">
                  <c:v>-90</c:v>
                </c:pt>
                <c:pt idx="74">
                  <c:v>-90</c:v>
                </c:pt>
                <c:pt idx="75">
                  <c:v>-90</c:v>
                </c:pt>
                <c:pt idx="76">
                  <c:v>-90</c:v>
                </c:pt>
                <c:pt idx="77">
                  <c:v>-90</c:v>
                </c:pt>
                <c:pt idx="78">
                  <c:v>-90</c:v>
                </c:pt>
                <c:pt idx="79">
                  <c:v>-80</c:v>
                </c:pt>
                <c:pt idx="80">
                  <c:v>-80</c:v>
                </c:pt>
                <c:pt idx="81">
                  <c:v>-80</c:v>
                </c:pt>
                <c:pt idx="82">
                  <c:v>-90</c:v>
                </c:pt>
                <c:pt idx="83">
                  <c:v>-90</c:v>
                </c:pt>
                <c:pt idx="84">
                  <c:v>-80</c:v>
                </c:pt>
                <c:pt idx="85">
                  <c:v>-80</c:v>
                </c:pt>
                <c:pt idx="86">
                  <c:v>-80</c:v>
                </c:pt>
                <c:pt idx="87">
                  <c:v>-90</c:v>
                </c:pt>
                <c:pt idx="88">
                  <c:v>-90</c:v>
                </c:pt>
                <c:pt idx="89">
                  <c:v>-95</c:v>
                </c:pt>
                <c:pt idx="90">
                  <c:v>-95</c:v>
                </c:pt>
                <c:pt idx="91">
                  <c:v>-95</c:v>
                </c:pt>
              </c:numCache>
            </c:numRef>
          </c:yVal>
          <c:smooth val="0"/>
        </c:ser>
        <c:ser>
          <c:idx val="2"/>
          <c:order val="2"/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FF0000"/>
                        </a:solidFill>
                        <a:latin typeface="Arial"/>
                        <a:ea typeface="Arial"/>
                        <a:cs typeface="Arial"/>
                      </a:rPr>
                      <a:t>Closed orbit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'Kicks @ 1GeV'!$B$28:$B$37</c:f>
              <c:numCache>
                <c:ptCount val="10"/>
                <c:pt idx="0">
                  <c:v>0</c:v>
                </c:pt>
                <c:pt idx="1">
                  <c:v>2.8102</c:v>
                </c:pt>
                <c:pt idx="2">
                  <c:v>4.88</c:v>
                </c:pt>
                <c:pt idx="3">
                  <c:v>7.45</c:v>
                </c:pt>
                <c:pt idx="4">
                  <c:v>8.475</c:v>
                </c:pt>
                <c:pt idx="5">
                  <c:v>21.525</c:v>
                </c:pt>
                <c:pt idx="6">
                  <c:v>22.549999999999997</c:v>
                </c:pt>
                <c:pt idx="7">
                  <c:v>25.119999999999997</c:v>
                </c:pt>
                <c:pt idx="8">
                  <c:v>27.189799999999998</c:v>
                </c:pt>
                <c:pt idx="9">
                  <c:v>30</c:v>
                </c:pt>
              </c:numCache>
            </c:numRef>
          </c:xVal>
          <c:yVal>
            <c:numRef>
              <c:f>'Kicks @ 1GeV'!$F$28:$F$37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-16.450452143881</c:v>
                </c:pt>
                <c:pt idx="3">
                  <c:v>-28.404296398155694</c:v>
                </c:pt>
                <c:pt idx="4">
                  <c:v>-46</c:v>
                </c:pt>
                <c:pt idx="5">
                  <c:v>-46</c:v>
                </c:pt>
                <c:pt idx="6">
                  <c:v>-28.402573931824694</c:v>
                </c:pt>
                <c:pt idx="7">
                  <c:v>-16.448729677550006</c:v>
                </c:pt>
                <c:pt idx="8">
                  <c:v>0.001722466330996042</c:v>
                </c:pt>
                <c:pt idx="9">
                  <c:v>0.001722466330996042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'spi.optics'!$J$3</c:f>
              <c:strCache>
                <c:ptCount val="1"/>
                <c:pt idx="0">
                  <c:v>Vert. Extent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0000"/>
                        </a:solidFill>
                        <a:latin typeface="Arial"/>
                        <a:ea typeface="Arial"/>
                        <a:cs typeface="Arial"/>
                      </a:rPr>
                      <a:t>Beam envelope at 480 
 max. kicker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elete val="1"/>
          </c:dLbls>
          <c:xVal>
            <c:numRef>
              <c:f>'spi.optics'!$B$4:$B$59</c:f>
              <c:numCache>
                <c:ptCount val="56"/>
                <c:pt idx="0">
                  <c:v>0</c:v>
                </c:pt>
                <c:pt idx="1">
                  <c:v>0.25</c:v>
                </c:pt>
                <c:pt idx="2">
                  <c:v>0.495125</c:v>
                </c:pt>
                <c:pt idx="3">
                  <c:v>0.74025</c:v>
                </c:pt>
                <c:pt idx="4">
                  <c:v>0.985375</c:v>
                </c:pt>
                <c:pt idx="5">
                  <c:v>1.2305</c:v>
                </c:pt>
                <c:pt idx="6">
                  <c:v>1.65</c:v>
                </c:pt>
                <c:pt idx="7">
                  <c:v>2.0695</c:v>
                </c:pt>
                <c:pt idx="8">
                  <c:v>2.14975</c:v>
                </c:pt>
                <c:pt idx="9">
                  <c:v>2.23</c:v>
                </c:pt>
                <c:pt idx="10">
                  <c:v>2.31025</c:v>
                </c:pt>
                <c:pt idx="11">
                  <c:v>2.3905</c:v>
                </c:pt>
                <c:pt idx="12">
                  <c:v>2.81</c:v>
                </c:pt>
                <c:pt idx="13">
                  <c:v>3.2295</c:v>
                </c:pt>
                <c:pt idx="14">
                  <c:v>3.45362</c:v>
                </c:pt>
                <c:pt idx="15">
                  <c:v>3.67775</c:v>
                </c:pt>
                <c:pt idx="16">
                  <c:v>3.90188</c:v>
                </c:pt>
                <c:pt idx="17">
                  <c:v>4.126</c:v>
                </c:pt>
                <c:pt idx="18">
                  <c:v>4.34</c:v>
                </c:pt>
                <c:pt idx="19">
                  <c:v>4.554</c:v>
                </c:pt>
                <c:pt idx="20">
                  <c:v>4.554</c:v>
                </c:pt>
                <c:pt idx="21">
                  <c:v>4.554</c:v>
                </c:pt>
                <c:pt idx="22">
                  <c:v>4.582</c:v>
                </c:pt>
                <c:pt idx="23">
                  <c:v>4.61</c:v>
                </c:pt>
                <c:pt idx="24">
                  <c:v>4.638</c:v>
                </c:pt>
                <c:pt idx="25">
                  <c:v>4.666</c:v>
                </c:pt>
                <c:pt idx="26">
                  <c:v>4.88</c:v>
                </c:pt>
                <c:pt idx="27">
                  <c:v>5.094</c:v>
                </c:pt>
                <c:pt idx="28">
                  <c:v>5.5955</c:v>
                </c:pt>
                <c:pt idx="29">
                  <c:v>6.097</c:v>
                </c:pt>
                <c:pt idx="30">
                  <c:v>6.5985</c:v>
                </c:pt>
                <c:pt idx="31">
                  <c:v>7.1</c:v>
                </c:pt>
                <c:pt idx="32">
                  <c:v>7.45</c:v>
                </c:pt>
                <c:pt idx="33">
                  <c:v>7.8</c:v>
                </c:pt>
                <c:pt idx="34">
                  <c:v>8.2</c:v>
                </c:pt>
                <c:pt idx="35">
                  <c:v>8.475</c:v>
                </c:pt>
                <c:pt idx="36">
                  <c:v>8.75</c:v>
                </c:pt>
                <c:pt idx="37">
                  <c:v>8.75</c:v>
                </c:pt>
                <c:pt idx="38">
                  <c:v>8.75</c:v>
                </c:pt>
                <c:pt idx="39">
                  <c:v>8.75</c:v>
                </c:pt>
                <c:pt idx="40">
                  <c:v>9.38087</c:v>
                </c:pt>
                <c:pt idx="41">
                  <c:v>10.0118</c:v>
                </c:pt>
                <c:pt idx="42">
                  <c:v>10.6426</c:v>
                </c:pt>
                <c:pt idx="43">
                  <c:v>11.2735</c:v>
                </c:pt>
                <c:pt idx="44">
                  <c:v>11.7051</c:v>
                </c:pt>
                <c:pt idx="45">
                  <c:v>12.1368</c:v>
                </c:pt>
                <c:pt idx="46">
                  <c:v>13.6516</c:v>
                </c:pt>
                <c:pt idx="47">
                  <c:v>14.0877</c:v>
                </c:pt>
                <c:pt idx="48">
                  <c:v>14.5238</c:v>
                </c:pt>
                <c:pt idx="49">
                  <c:v>14.5238</c:v>
                </c:pt>
                <c:pt idx="50">
                  <c:v>15.4068</c:v>
                </c:pt>
                <c:pt idx="51">
                  <c:v>15.902</c:v>
                </c:pt>
                <c:pt idx="52">
                  <c:v>16.3972</c:v>
                </c:pt>
                <c:pt idx="53">
                  <c:v>17.4874</c:v>
                </c:pt>
                <c:pt idx="54">
                  <c:v>17.9326</c:v>
                </c:pt>
                <c:pt idx="55">
                  <c:v>18.3777</c:v>
                </c:pt>
              </c:numCache>
            </c:numRef>
          </c:xVal>
          <c:yVal>
            <c:numRef>
              <c:f>'spi.optics'!$J$4:$J$59</c:f>
              <c:numCache>
                <c:ptCount val="56"/>
                <c:pt idx="0">
                  <c:v>77.76549363310183</c:v>
                </c:pt>
                <c:pt idx="1">
                  <c:v>77.55906136616146</c:v>
                </c:pt>
                <c:pt idx="2">
                  <c:v>76.187243026638</c:v>
                </c:pt>
                <c:pt idx="3">
                  <c:v>74.84672337517522</c:v>
                </c:pt>
                <c:pt idx="4">
                  <c:v>73.5388876717618</c:v>
                </c:pt>
                <c:pt idx="5">
                  <c:v>72.26617466007178</c:v>
                </c:pt>
                <c:pt idx="6">
                  <c:v>70.17418328701802</c:v>
                </c:pt>
                <c:pt idx="7">
                  <c:v>68.19946040842258</c:v>
                </c:pt>
                <c:pt idx="8">
                  <c:v>67.83595506809056</c:v>
                </c:pt>
                <c:pt idx="9">
                  <c:v>67.47717836424401</c:v>
                </c:pt>
                <c:pt idx="10">
                  <c:v>67.12324187641715</c:v>
                </c:pt>
                <c:pt idx="11">
                  <c:v>66.77422257128869</c:v>
                </c:pt>
                <c:pt idx="12">
                  <c:v>65.03424598123807</c:v>
                </c:pt>
                <c:pt idx="13">
                  <c:v>60.10598003468355</c:v>
                </c:pt>
                <c:pt idx="14">
                  <c:v>57.53734520660947</c:v>
                </c:pt>
                <c:pt idx="15">
                  <c:v>55.01573679885716</c:v>
                </c:pt>
                <c:pt idx="16">
                  <c:v>52.54286470250183</c:v>
                </c:pt>
                <c:pt idx="17">
                  <c:v>50.12051706175752</c:v>
                </c:pt>
                <c:pt idx="18">
                  <c:v>47.856143009727724</c:v>
                </c:pt>
                <c:pt idx="19">
                  <c:v>45.64054236843617</c:v>
                </c:pt>
                <c:pt idx="20">
                  <c:v>45.64054236843617</c:v>
                </c:pt>
                <c:pt idx="21">
                  <c:v>45.64054236843617</c:v>
                </c:pt>
                <c:pt idx="22">
                  <c:v>45.3543585476932</c:v>
                </c:pt>
                <c:pt idx="23">
                  <c:v>45.06899579591379</c:v>
                </c:pt>
                <c:pt idx="24">
                  <c:v>44.784497186432425</c:v>
                </c:pt>
                <c:pt idx="25">
                  <c:v>44.5008654301801</c:v>
                </c:pt>
                <c:pt idx="26">
                  <c:v>42.36207713347622</c:v>
                </c:pt>
                <c:pt idx="27">
                  <c:v>40.98057437466555</c:v>
                </c:pt>
                <c:pt idx="28">
                  <c:v>37.95193587463915</c:v>
                </c:pt>
                <c:pt idx="29">
                  <c:v>35.22409713098949</c:v>
                </c:pt>
                <c:pt idx="30">
                  <c:v>32.80324637466151</c:v>
                </c:pt>
                <c:pt idx="31">
                  <c:v>35.07180275759634</c:v>
                </c:pt>
                <c:pt idx="32">
                  <c:v>31.646841809208873</c:v>
                </c:pt>
                <c:pt idx="33">
                  <c:v>33.046645559680954</c:v>
                </c:pt>
                <c:pt idx="34">
                  <c:v>37.62444297661979</c:v>
                </c:pt>
                <c:pt idx="35">
                  <c:v>38.74127724455958</c:v>
                </c:pt>
                <c:pt idx="36">
                  <c:v>40.29382364920447</c:v>
                </c:pt>
                <c:pt idx="37">
                  <c:v>40.29382364920447</c:v>
                </c:pt>
                <c:pt idx="38">
                  <c:v>40.29382364920447</c:v>
                </c:pt>
                <c:pt idx="39">
                  <c:v>40.29382364920447</c:v>
                </c:pt>
                <c:pt idx="40">
                  <c:v>38.90144875089</c:v>
                </c:pt>
                <c:pt idx="41">
                  <c:v>37.65873534784039</c:v>
                </c:pt>
                <c:pt idx="42">
                  <c:v>36.572731576471426</c:v>
                </c:pt>
                <c:pt idx="43">
                  <c:v>35.64969075262931</c:v>
                </c:pt>
                <c:pt idx="44">
                  <c:v>35.1147335568576</c:v>
                </c:pt>
                <c:pt idx="45">
                  <c:v>34.66017604741512</c:v>
                </c:pt>
                <c:pt idx="46">
                  <c:v>33.47074933584055</c:v>
                </c:pt>
                <c:pt idx="47">
                  <c:v>33.24695577749344</c:v>
                </c:pt>
                <c:pt idx="48">
                  <c:v>33.11116229711203</c:v>
                </c:pt>
                <c:pt idx="49">
                  <c:v>33.11116229711203</c:v>
                </c:pt>
                <c:pt idx="50">
                  <c:v>33.09659916835868</c:v>
                </c:pt>
                <c:pt idx="51">
                  <c:v>33.252406903513034</c:v>
                </c:pt>
                <c:pt idx="52">
                  <c:v>33.5214687993123</c:v>
                </c:pt>
                <c:pt idx="53">
                  <c:v>34.33041765109901</c:v>
                </c:pt>
                <c:pt idx="54">
                  <c:v>34.72650122481464</c:v>
                </c:pt>
                <c:pt idx="55">
                  <c:v>35.209359066550945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'spi.optics'!$K$3</c:f>
              <c:strCache>
                <c:ptCount val="1"/>
                <c:pt idx="0">
                  <c:v>Vert. Extent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0000"/>
                        </a:solidFill>
                        <a:latin typeface="Arial"/>
                        <a:ea typeface="Arial"/>
                        <a:cs typeface="Arial"/>
                      </a:rPr>
                      <a:t> 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'spi.optics'!$B$4:$B$59</c:f>
              <c:numCache>
                <c:ptCount val="56"/>
                <c:pt idx="0">
                  <c:v>0</c:v>
                </c:pt>
                <c:pt idx="1">
                  <c:v>0.25</c:v>
                </c:pt>
                <c:pt idx="2">
                  <c:v>0.495125</c:v>
                </c:pt>
                <c:pt idx="3">
                  <c:v>0.74025</c:v>
                </c:pt>
                <c:pt idx="4">
                  <c:v>0.985375</c:v>
                </c:pt>
                <c:pt idx="5">
                  <c:v>1.2305</c:v>
                </c:pt>
                <c:pt idx="6">
                  <c:v>1.65</c:v>
                </c:pt>
                <c:pt idx="7">
                  <c:v>2.0695</c:v>
                </c:pt>
                <c:pt idx="8">
                  <c:v>2.14975</c:v>
                </c:pt>
                <c:pt idx="9">
                  <c:v>2.23</c:v>
                </c:pt>
                <c:pt idx="10">
                  <c:v>2.31025</c:v>
                </c:pt>
                <c:pt idx="11">
                  <c:v>2.3905</c:v>
                </c:pt>
                <c:pt idx="12">
                  <c:v>2.81</c:v>
                </c:pt>
                <c:pt idx="13">
                  <c:v>3.2295</c:v>
                </c:pt>
                <c:pt idx="14">
                  <c:v>3.45362</c:v>
                </c:pt>
                <c:pt idx="15">
                  <c:v>3.67775</c:v>
                </c:pt>
                <c:pt idx="16">
                  <c:v>3.90188</c:v>
                </c:pt>
                <c:pt idx="17">
                  <c:v>4.126</c:v>
                </c:pt>
                <c:pt idx="18">
                  <c:v>4.34</c:v>
                </c:pt>
                <c:pt idx="19">
                  <c:v>4.554</c:v>
                </c:pt>
                <c:pt idx="20">
                  <c:v>4.554</c:v>
                </c:pt>
                <c:pt idx="21">
                  <c:v>4.554</c:v>
                </c:pt>
                <c:pt idx="22">
                  <c:v>4.582</c:v>
                </c:pt>
                <c:pt idx="23">
                  <c:v>4.61</c:v>
                </c:pt>
                <c:pt idx="24">
                  <c:v>4.638</c:v>
                </c:pt>
                <c:pt idx="25">
                  <c:v>4.666</c:v>
                </c:pt>
                <c:pt idx="26">
                  <c:v>4.88</c:v>
                </c:pt>
                <c:pt idx="27">
                  <c:v>5.094</c:v>
                </c:pt>
                <c:pt idx="28">
                  <c:v>5.5955</c:v>
                </c:pt>
                <c:pt idx="29">
                  <c:v>6.097</c:v>
                </c:pt>
                <c:pt idx="30">
                  <c:v>6.5985</c:v>
                </c:pt>
                <c:pt idx="31">
                  <c:v>7.1</c:v>
                </c:pt>
                <c:pt idx="32">
                  <c:v>7.45</c:v>
                </c:pt>
                <c:pt idx="33">
                  <c:v>7.8</c:v>
                </c:pt>
                <c:pt idx="34">
                  <c:v>8.2</c:v>
                </c:pt>
                <c:pt idx="35">
                  <c:v>8.475</c:v>
                </c:pt>
                <c:pt idx="36">
                  <c:v>8.75</c:v>
                </c:pt>
                <c:pt idx="37">
                  <c:v>8.75</c:v>
                </c:pt>
                <c:pt idx="38">
                  <c:v>8.75</c:v>
                </c:pt>
                <c:pt idx="39">
                  <c:v>8.75</c:v>
                </c:pt>
                <c:pt idx="40">
                  <c:v>9.38087</c:v>
                </c:pt>
                <c:pt idx="41">
                  <c:v>10.0118</c:v>
                </c:pt>
                <c:pt idx="42">
                  <c:v>10.6426</c:v>
                </c:pt>
                <c:pt idx="43">
                  <c:v>11.2735</c:v>
                </c:pt>
                <c:pt idx="44">
                  <c:v>11.7051</c:v>
                </c:pt>
                <c:pt idx="45">
                  <c:v>12.1368</c:v>
                </c:pt>
                <c:pt idx="46">
                  <c:v>13.6516</c:v>
                </c:pt>
                <c:pt idx="47">
                  <c:v>14.0877</c:v>
                </c:pt>
                <c:pt idx="48">
                  <c:v>14.5238</c:v>
                </c:pt>
                <c:pt idx="49">
                  <c:v>14.5238</c:v>
                </c:pt>
                <c:pt idx="50">
                  <c:v>15.4068</c:v>
                </c:pt>
                <c:pt idx="51">
                  <c:v>15.902</c:v>
                </c:pt>
                <c:pt idx="52">
                  <c:v>16.3972</c:v>
                </c:pt>
                <c:pt idx="53">
                  <c:v>17.4874</c:v>
                </c:pt>
                <c:pt idx="54">
                  <c:v>17.9326</c:v>
                </c:pt>
                <c:pt idx="55">
                  <c:v>18.3777</c:v>
                </c:pt>
              </c:numCache>
            </c:numRef>
          </c:xVal>
          <c:yVal>
            <c:numRef>
              <c:f>'spi.optics'!$K$4:$K$59</c:f>
              <c:numCache>
                <c:ptCount val="56"/>
                <c:pt idx="0">
                  <c:v>-77.76549363310183</c:v>
                </c:pt>
                <c:pt idx="1">
                  <c:v>-77.55906136616146</c:v>
                </c:pt>
                <c:pt idx="2">
                  <c:v>-76.187243026638</c:v>
                </c:pt>
                <c:pt idx="3">
                  <c:v>-74.84672337517522</c:v>
                </c:pt>
                <c:pt idx="4">
                  <c:v>-73.5388876717618</c:v>
                </c:pt>
                <c:pt idx="5">
                  <c:v>-72.26617466007178</c:v>
                </c:pt>
                <c:pt idx="6">
                  <c:v>-70.17418328701802</c:v>
                </c:pt>
                <c:pt idx="7">
                  <c:v>-68.19946040842258</c:v>
                </c:pt>
                <c:pt idx="8">
                  <c:v>-67.83595506809056</c:v>
                </c:pt>
                <c:pt idx="9">
                  <c:v>-67.47717836424401</c:v>
                </c:pt>
                <c:pt idx="10">
                  <c:v>-67.12324187641715</c:v>
                </c:pt>
                <c:pt idx="11">
                  <c:v>-66.77422257128869</c:v>
                </c:pt>
                <c:pt idx="12">
                  <c:v>-65.03106684274279</c:v>
                </c:pt>
                <c:pt idx="13">
                  <c:v>-66.7710438900602</c:v>
                </c:pt>
                <c:pt idx="14">
                  <c:v>-67.76495165980873</c:v>
                </c:pt>
                <c:pt idx="15">
                  <c:v>-68.8060448068038</c:v>
                </c:pt>
                <c:pt idx="16">
                  <c:v>-69.89587426519581</c:v>
                </c:pt>
                <c:pt idx="17">
                  <c:v>-71.03606922227412</c:v>
                </c:pt>
                <c:pt idx="18">
                  <c:v>-72.17337336020522</c:v>
                </c:pt>
                <c:pt idx="19">
                  <c:v>-73.35945090887456</c:v>
                </c:pt>
                <c:pt idx="20">
                  <c:v>-73.35945090887456</c:v>
                </c:pt>
                <c:pt idx="21">
                  <c:v>-73.35945090887456</c:v>
                </c:pt>
                <c:pt idx="22">
                  <c:v>-73.51834647747228</c:v>
                </c:pt>
                <c:pt idx="23">
                  <c:v>-73.67806311503355</c:v>
                </c:pt>
                <c:pt idx="24">
                  <c:v>-73.83864389489285</c:v>
                </c:pt>
                <c:pt idx="25">
                  <c:v>-74.00009152798121</c:v>
                </c:pt>
                <c:pt idx="26">
                  <c:v>-75.26298142123822</c:v>
                </c:pt>
                <c:pt idx="27">
                  <c:v>-75.87223560438458</c:v>
                </c:pt>
                <c:pt idx="28">
                  <c:v>-77.5088522744117</c:v>
                </c:pt>
                <c:pt idx="29">
                  <c:v>-79.44626870081554</c:v>
                </c:pt>
                <c:pt idx="30">
                  <c:v>-81.69067311454106</c:v>
                </c:pt>
                <c:pt idx="31">
                  <c:v>-79.86264116588555</c:v>
                </c:pt>
                <c:pt idx="32">
                  <c:v>-88.45543460552025</c:v>
                </c:pt>
                <c:pt idx="33">
                  <c:v>-101.8729927440145</c:v>
                </c:pt>
                <c:pt idx="34">
                  <c:v>-120.1853666044072</c:v>
                </c:pt>
                <c:pt idx="35">
                  <c:v>-130.74472217722155</c:v>
                </c:pt>
                <c:pt idx="36">
                  <c:v>-132.29382364920446</c:v>
                </c:pt>
                <c:pt idx="37">
                  <c:v>-132.29382364920446</c:v>
                </c:pt>
                <c:pt idx="38">
                  <c:v>-132.29382364920446</c:v>
                </c:pt>
                <c:pt idx="39">
                  <c:v>-132.29382364920446</c:v>
                </c:pt>
                <c:pt idx="40">
                  <c:v>-130.90144875088998</c:v>
                </c:pt>
                <c:pt idx="41">
                  <c:v>-129.65873534784038</c:v>
                </c:pt>
                <c:pt idx="42">
                  <c:v>-128.57273157647143</c:v>
                </c:pt>
                <c:pt idx="43">
                  <c:v>-127.64969075262931</c:v>
                </c:pt>
                <c:pt idx="44">
                  <c:v>-127.1147335568576</c:v>
                </c:pt>
                <c:pt idx="45">
                  <c:v>-126.66017604741512</c:v>
                </c:pt>
                <c:pt idx="46">
                  <c:v>-125.47074933584055</c:v>
                </c:pt>
                <c:pt idx="47">
                  <c:v>-125.24695577749344</c:v>
                </c:pt>
                <c:pt idx="48">
                  <c:v>-125.11116229711203</c:v>
                </c:pt>
                <c:pt idx="49">
                  <c:v>-125.11116229711203</c:v>
                </c:pt>
                <c:pt idx="50">
                  <c:v>-125.09659916835868</c:v>
                </c:pt>
                <c:pt idx="51">
                  <c:v>-125.25240690351303</c:v>
                </c:pt>
                <c:pt idx="52">
                  <c:v>-125.5214687993123</c:v>
                </c:pt>
                <c:pt idx="53">
                  <c:v>-126.33041765109901</c:v>
                </c:pt>
                <c:pt idx="54">
                  <c:v>-126.72650122481464</c:v>
                </c:pt>
                <c:pt idx="55">
                  <c:v>-127.20935906655095</c:v>
                </c:pt>
              </c:numCache>
            </c:numRef>
          </c:yVal>
          <c:smooth val="0"/>
        </c:ser>
        <c:axId val="65430506"/>
        <c:axId val="52003643"/>
      </c:scatterChart>
      <c:valAx>
        <c:axId val="65430506"/>
        <c:scaling>
          <c:orientation val="minMax"/>
          <c:max val="30"/>
        </c:scaling>
        <c:axPos val="b"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52003643"/>
        <c:crosses val="autoZero"/>
        <c:crossBetween val="midCat"/>
        <c:dispUnits/>
      </c:valAx>
      <c:valAx>
        <c:axId val="52003643"/>
        <c:scaling>
          <c:orientation val="minMax"/>
          <c:max val="200"/>
          <c:min val="-200"/>
        </c:scaling>
        <c:axPos val="l"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6543050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latin typeface="Arial"/>
                        <a:ea typeface="Arial"/>
                        <a:cs typeface="Arial"/>
                      </a:rPr>
                      <a:t>Long K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latin typeface="Arial"/>
                        <a:ea typeface="Arial"/>
                        <a:cs typeface="Arial"/>
                      </a:rPr>
                      <a:t>Sh. K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latin typeface="Arial"/>
                        <a:ea typeface="Arial"/>
                        <a:cs typeface="Arial"/>
                      </a:rPr>
                      <a:t>Doublet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latin typeface="Arial"/>
                        <a:ea typeface="Arial"/>
                        <a:cs typeface="Arial"/>
                      </a:rPr>
                      <a:t>BND1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latin typeface="Arial"/>
                        <a:ea typeface="Arial"/>
                        <a:cs typeface="Arial"/>
                      </a:rPr>
                      <a:t>BND2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latin typeface="Arial"/>
                        <a:ea typeface="Arial"/>
                        <a:cs typeface="Arial"/>
                      </a:rPr>
                      <a:t>BND3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latin typeface="Arial"/>
                        <a:ea typeface="Arial"/>
                        <a:cs typeface="Arial"/>
                      </a:rPr>
                      <a:t>BND4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latin typeface="Arial"/>
                        <a:ea typeface="Arial"/>
                        <a:cs typeface="Arial"/>
                      </a:rPr>
                      <a:t>Doublet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'Pipe(both)'!$B$5:$B$96</c:f>
              <c:numCache>
                <c:ptCount val="92"/>
                <c:pt idx="0">
                  <c:v>0</c:v>
                </c:pt>
                <c:pt idx="1">
                  <c:v>0.25</c:v>
                </c:pt>
                <c:pt idx="2">
                  <c:v>0.943</c:v>
                </c:pt>
                <c:pt idx="3">
                  <c:v>0.943</c:v>
                </c:pt>
                <c:pt idx="4">
                  <c:v>1.197</c:v>
                </c:pt>
                <c:pt idx="5">
                  <c:v>1.197</c:v>
                </c:pt>
                <c:pt idx="6">
                  <c:v>1.65</c:v>
                </c:pt>
                <c:pt idx="7">
                  <c:v>2.1029999999999998</c:v>
                </c:pt>
                <c:pt idx="8">
                  <c:v>2.1029999999999998</c:v>
                </c:pt>
                <c:pt idx="9">
                  <c:v>2.3569999999999998</c:v>
                </c:pt>
                <c:pt idx="10">
                  <c:v>2.3569999999999998</c:v>
                </c:pt>
                <c:pt idx="11">
                  <c:v>2.8099999999999996</c:v>
                </c:pt>
                <c:pt idx="12">
                  <c:v>3.2629999999999995</c:v>
                </c:pt>
                <c:pt idx="13">
                  <c:v>3.2629999999999995</c:v>
                </c:pt>
                <c:pt idx="14">
                  <c:v>3.5169999999999995</c:v>
                </c:pt>
                <c:pt idx="15">
                  <c:v>3.847899999999999</c:v>
                </c:pt>
                <c:pt idx="16">
                  <c:v>4.101899999999999</c:v>
                </c:pt>
                <c:pt idx="17">
                  <c:v>4.339999999999999</c:v>
                </c:pt>
                <c:pt idx="18">
                  <c:v>4.578099999999999</c:v>
                </c:pt>
                <c:pt idx="19">
                  <c:v>4.641699999999999</c:v>
                </c:pt>
                <c:pt idx="20">
                  <c:v>4.8797999999999995</c:v>
                </c:pt>
                <c:pt idx="21">
                  <c:v>5.1179</c:v>
                </c:pt>
                <c:pt idx="22">
                  <c:v>5.3719</c:v>
                </c:pt>
                <c:pt idx="23">
                  <c:v>5.3719</c:v>
                </c:pt>
                <c:pt idx="24">
                  <c:v>7.0998</c:v>
                </c:pt>
                <c:pt idx="25">
                  <c:v>7.4498</c:v>
                </c:pt>
                <c:pt idx="26">
                  <c:v>7.799799999999999</c:v>
                </c:pt>
                <c:pt idx="27">
                  <c:v>8.1998</c:v>
                </c:pt>
                <c:pt idx="28">
                  <c:v>8.4748</c:v>
                </c:pt>
                <c:pt idx="29">
                  <c:v>8.7498</c:v>
                </c:pt>
                <c:pt idx="30">
                  <c:v>10.7558</c:v>
                </c:pt>
                <c:pt idx="31">
                  <c:v>10.7558</c:v>
                </c:pt>
                <c:pt idx="32">
                  <c:v>11.136800000000001</c:v>
                </c:pt>
                <c:pt idx="33">
                  <c:v>11.136800000000001</c:v>
                </c:pt>
                <c:pt idx="34">
                  <c:v>11.2673</c:v>
                </c:pt>
                <c:pt idx="35">
                  <c:v>11.7048</c:v>
                </c:pt>
                <c:pt idx="36">
                  <c:v>12.1423</c:v>
                </c:pt>
                <c:pt idx="37">
                  <c:v>12.2788</c:v>
                </c:pt>
                <c:pt idx="38">
                  <c:v>12.2788</c:v>
                </c:pt>
                <c:pt idx="39">
                  <c:v>12.953800000000001</c:v>
                </c:pt>
                <c:pt idx="40">
                  <c:v>12.953800000000001</c:v>
                </c:pt>
                <c:pt idx="41">
                  <c:v>13.3268</c:v>
                </c:pt>
                <c:pt idx="42">
                  <c:v>13.3268</c:v>
                </c:pt>
                <c:pt idx="43">
                  <c:v>13.4758</c:v>
                </c:pt>
                <c:pt idx="44">
                  <c:v>14.085799999999999</c:v>
                </c:pt>
                <c:pt idx="45">
                  <c:v>14.695799999999998</c:v>
                </c:pt>
                <c:pt idx="46">
                  <c:v>15.034799999999999</c:v>
                </c:pt>
                <c:pt idx="47">
                  <c:v>15.034799999999999</c:v>
                </c:pt>
                <c:pt idx="48">
                  <c:v>15.149299999999998</c:v>
                </c:pt>
                <c:pt idx="49">
                  <c:v>15.899799999999999</c:v>
                </c:pt>
                <c:pt idx="50">
                  <c:v>16.650299999999998</c:v>
                </c:pt>
                <c:pt idx="51">
                  <c:v>16.8298</c:v>
                </c:pt>
                <c:pt idx="52">
                  <c:v>16.8298</c:v>
                </c:pt>
                <c:pt idx="53">
                  <c:v>17.314799999999998</c:v>
                </c:pt>
                <c:pt idx="54">
                  <c:v>17.314799999999998</c:v>
                </c:pt>
                <c:pt idx="55">
                  <c:v>17.4778</c:v>
                </c:pt>
                <c:pt idx="56">
                  <c:v>17.9288</c:v>
                </c:pt>
                <c:pt idx="57">
                  <c:v>18.3798</c:v>
                </c:pt>
                <c:pt idx="58">
                  <c:v>18.5158</c:v>
                </c:pt>
                <c:pt idx="59">
                  <c:v>18.5158</c:v>
                </c:pt>
                <c:pt idx="60">
                  <c:v>20.2338</c:v>
                </c:pt>
                <c:pt idx="61">
                  <c:v>20.2338</c:v>
                </c:pt>
                <c:pt idx="62">
                  <c:v>21.2498</c:v>
                </c:pt>
                <c:pt idx="63">
                  <c:v>21.5248</c:v>
                </c:pt>
                <c:pt idx="64">
                  <c:v>21.799799999999998</c:v>
                </c:pt>
                <c:pt idx="65">
                  <c:v>22.199799999999996</c:v>
                </c:pt>
                <c:pt idx="66">
                  <c:v>22.549799999999998</c:v>
                </c:pt>
                <c:pt idx="67">
                  <c:v>22.8998</c:v>
                </c:pt>
                <c:pt idx="68">
                  <c:v>24.627699999999997</c:v>
                </c:pt>
                <c:pt idx="69">
                  <c:v>24.627699999999997</c:v>
                </c:pt>
                <c:pt idx="70">
                  <c:v>24.8817</c:v>
                </c:pt>
                <c:pt idx="71">
                  <c:v>25.119799999999998</c:v>
                </c:pt>
                <c:pt idx="72">
                  <c:v>25.357899999999997</c:v>
                </c:pt>
                <c:pt idx="73">
                  <c:v>25.421499999999998</c:v>
                </c:pt>
                <c:pt idx="74">
                  <c:v>25.659599999999998</c:v>
                </c:pt>
                <c:pt idx="75">
                  <c:v>25.897699999999997</c:v>
                </c:pt>
                <c:pt idx="76">
                  <c:v>26.151699999999998</c:v>
                </c:pt>
                <c:pt idx="77">
                  <c:v>26.482599999999998</c:v>
                </c:pt>
                <c:pt idx="78">
                  <c:v>26.7366</c:v>
                </c:pt>
                <c:pt idx="79">
                  <c:v>26.7366</c:v>
                </c:pt>
                <c:pt idx="80">
                  <c:v>27.1896</c:v>
                </c:pt>
                <c:pt idx="81">
                  <c:v>27.642599999999998</c:v>
                </c:pt>
                <c:pt idx="82">
                  <c:v>27.642599999999998</c:v>
                </c:pt>
                <c:pt idx="83">
                  <c:v>27.8966</c:v>
                </c:pt>
                <c:pt idx="84">
                  <c:v>27.8966</c:v>
                </c:pt>
                <c:pt idx="85">
                  <c:v>28.3496</c:v>
                </c:pt>
                <c:pt idx="86">
                  <c:v>28.802599999999998</c:v>
                </c:pt>
                <c:pt idx="87">
                  <c:v>28.802599999999998</c:v>
                </c:pt>
                <c:pt idx="88">
                  <c:v>29.0566</c:v>
                </c:pt>
                <c:pt idx="89">
                  <c:v>29.0566</c:v>
                </c:pt>
                <c:pt idx="90">
                  <c:v>29.7496</c:v>
                </c:pt>
                <c:pt idx="91">
                  <c:v>29.9996</c:v>
                </c:pt>
              </c:numCache>
            </c:numRef>
          </c:xVal>
          <c:yVal>
            <c:numRef>
              <c:f>'Pipe(both)'!$E$5:$E$96</c:f>
              <c:numCache>
                <c:ptCount val="92"/>
                <c:pt idx="0">
                  <c:v>95</c:v>
                </c:pt>
                <c:pt idx="1">
                  <c:v>95</c:v>
                </c:pt>
                <c:pt idx="2">
                  <c:v>95</c:v>
                </c:pt>
                <c:pt idx="3">
                  <c:v>90</c:v>
                </c:pt>
                <c:pt idx="4">
                  <c:v>90</c:v>
                </c:pt>
                <c:pt idx="5">
                  <c:v>80</c:v>
                </c:pt>
                <c:pt idx="6">
                  <c:v>80</c:v>
                </c:pt>
                <c:pt idx="7">
                  <c:v>80</c:v>
                </c:pt>
                <c:pt idx="8">
                  <c:v>90</c:v>
                </c:pt>
                <c:pt idx="9">
                  <c:v>90</c:v>
                </c:pt>
                <c:pt idx="10">
                  <c:v>80</c:v>
                </c:pt>
                <c:pt idx="11">
                  <c:v>80</c:v>
                </c:pt>
                <c:pt idx="12">
                  <c:v>80</c:v>
                </c:pt>
                <c:pt idx="13">
                  <c:v>90</c:v>
                </c:pt>
                <c:pt idx="14">
                  <c:v>90</c:v>
                </c:pt>
                <c:pt idx="15">
                  <c:v>90</c:v>
                </c:pt>
                <c:pt idx="16">
                  <c:v>90</c:v>
                </c:pt>
                <c:pt idx="17">
                  <c:v>90</c:v>
                </c:pt>
                <c:pt idx="18">
                  <c:v>90</c:v>
                </c:pt>
                <c:pt idx="19">
                  <c:v>90</c:v>
                </c:pt>
                <c:pt idx="20">
                  <c:v>90</c:v>
                </c:pt>
                <c:pt idx="21">
                  <c:v>90</c:v>
                </c:pt>
                <c:pt idx="22">
                  <c:v>90</c:v>
                </c:pt>
                <c:pt idx="23">
                  <c:v>149.2</c:v>
                </c:pt>
                <c:pt idx="24">
                  <c:v>149.2</c:v>
                </c:pt>
                <c:pt idx="25">
                  <c:v>149.2</c:v>
                </c:pt>
                <c:pt idx="26">
                  <c:v>149.2</c:v>
                </c:pt>
                <c:pt idx="27">
                  <c:v>149.2</c:v>
                </c:pt>
                <c:pt idx="28">
                  <c:v>149.2</c:v>
                </c:pt>
                <c:pt idx="29">
                  <c:v>149.2</c:v>
                </c:pt>
                <c:pt idx="30">
                  <c:v>149.2</c:v>
                </c:pt>
                <c:pt idx="31">
                  <c:v>116.77</c:v>
                </c:pt>
                <c:pt idx="32">
                  <c:v>116.77</c:v>
                </c:pt>
                <c:pt idx="33">
                  <c:v>120.9</c:v>
                </c:pt>
                <c:pt idx="34">
                  <c:v>120.9</c:v>
                </c:pt>
                <c:pt idx="35">
                  <c:v>120.9</c:v>
                </c:pt>
                <c:pt idx="36">
                  <c:v>120.9</c:v>
                </c:pt>
                <c:pt idx="37">
                  <c:v>120.9</c:v>
                </c:pt>
                <c:pt idx="38">
                  <c:v>117.3</c:v>
                </c:pt>
                <c:pt idx="39">
                  <c:v>145.6</c:v>
                </c:pt>
                <c:pt idx="40">
                  <c:v>208.8</c:v>
                </c:pt>
                <c:pt idx="41">
                  <c:v>208.8</c:v>
                </c:pt>
                <c:pt idx="42">
                  <c:v>190.8</c:v>
                </c:pt>
                <c:pt idx="43">
                  <c:v>190.8</c:v>
                </c:pt>
                <c:pt idx="44">
                  <c:v>190.8</c:v>
                </c:pt>
                <c:pt idx="45">
                  <c:v>190.8</c:v>
                </c:pt>
                <c:pt idx="46">
                  <c:v>190.8</c:v>
                </c:pt>
                <c:pt idx="47">
                  <c:v>220.4</c:v>
                </c:pt>
                <c:pt idx="48">
                  <c:v>220.4</c:v>
                </c:pt>
                <c:pt idx="49">
                  <c:v>220.4</c:v>
                </c:pt>
                <c:pt idx="50">
                  <c:v>220.4</c:v>
                </c:pt>
                <c:pt idx="51">
                  <c:v>220.4</c:v>
                </c:pt>
                <c:pt idx="52">
                  <c:v>291.55</c:v>
                </c:pt>
                <c:pt idx="53">
                  <c:v>291.55</c:v>
                </c:pt>
                <c:pt idx="54">
                  <c:v>291.55</c:v>
                </c:pt>
                <c:pt idx="55">
                  <c:v>291.55</c:v>
                </c:pt>
                <c:pt idx="56">
                  <c:v>291.55</c:v>
                </c:pt>
                <c:pt idx="57">
                  <c:v>291.55</c:v>
                </c:pt>
                <c:pt idx="58">
                  <c:v>291.55</c:v>
                </c:pt>
                <c:pt idx="59">
                  <c:v>98.4</c:v>
                </c:pt>
                <c:pt idx="60">
                  <c:v>98.4</c:v>
                </c:pt>
                <c:pt idx="61">
                  <c:v>149.2</c:v>
                </c:pt>
                <c:pt idx="62">
                  <c:v>149.2</c:v>
                </c:pt>
                <c:pt idx="63">
                  <c:v>149.2</c:v>
                </c:pt>
                <c:pt idx="64">
                  <c:v>149.2</c:v>
                </c:pt>
                <c:pt idx="65">
                  <c:v>149.2</c:v>
                </c:pt>
                <c:pt idx="66">
                  <c:v>149.2</c:v>
                </c:pt>
                <c:pt idx="67">
                  <c:v>149.2</c:v>
                </c:pt>
                <c:pt idx="68">
                  <c:v>149.2</c:v>
                </c:pt>
                <c:pt idx="69">
                  <c:v>90</c:v>
                </c:pt>
                <c:pt idx="70">
                  <c:v>90</c:v>
                </c:pt>
                <c:pt idx="71">
                  <c:v>90</c:v>
                </c:pt>
                <c:pt idx="72">
                  <c:v>90</c:v>
                </c:pt>
                <c:pt idx="73">
                  <c:v>90</c:v>
                </c:pt>
                <c:pt idx="74">
                  <c:v>90</c:v>
                </c:pt>
                <c:pt idx="75">
                  <c:v>90</c:v>
                </c:pt>
                <c:pt idx="76">
                  <c:v>90</c:v>
                </c:pt>
                <c:pt idx="77">
                  <c:v>90</c:v>
                </c:pt>
                <c:pt idx="78">
                  <c:v>90</c:v>
                </c:pt>
                <c:pt idx="79">
                  <c:v>80</c:v>
                </c:pt>
                <c:pt idx="80">
                  <c:v>80</c:v>
                </c:pt>
                <c:pt idx="81">
                  <c:v>80</c:v>
                </c:pt>
                <c:pt idx="82">
                  <c:v>90</c:v>
                </c:pt>
                <c:pt idx="83">
                  <c:v>90</c:v>
                </c:pt>
                <c:pt idx="84">
                  <c:v>80</c:v>
                </c:pt>
                <c:pt idx="85">
                  <c:v>80</c:v>
                </c:pt>
                <c:pt idx="86">
                  <c:v>80</c:v>
                </c:pt>
                <c:pt idx="87">
                  <c:v>90</c:v>
                </c:pt>
                <c:pt idx="88">
                  <c:v>90</c:v>
                </c:pt>
                <c:pt idx="89">
                  <c:v>95</c:v>
                </c:pt>
                <c:pt idx="90">
                  <c:v>95</c:v>
                </c:pt>
                <c:pt idx="91">
                  <c:v>95</c:v>
                </c:pt>
              </c:numCache>
            </c:numRef>
          </c:y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latin typeface="Arial"/>
                        <a:ea typeface="Arial"/>
                        <a:cs typeface="Arial"/>
                      </a:rPr>
                      <a:t>Vacuum pipe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'Pipe(both)'!$B$5:$B$96</c:f>
              <c:numCache>
                <c:ptCount val="92"/>
                <c:pt idx="0">
                  <c:v>0</c:v>
                </c:pt>
                <c:pt idx="1">
                  <c:v>0.25</c:v>
                </c:pt>
                <c:pt idx="2">
                  <c:v>0.943</c:v>
                </c:pt>
                <c:pt idx="3">
                  <c:v>0.943</c:v>
                </c:pt>
                <c:pt idx="4">
                  <c:v>1.197</c:v>
                </c:pt>
                <c:pt idx="5">
                  <c:v>1.197</c:v>
                </c:pt>
                <c:pt idx="6">
                  <c:v>1.65</c:v>
                </c:pt>
                <c:pt idx="7">
                  <c:v>2.1029999999999998</c:v>
                </c:pt>
                <c:pt idx="8">
                  <c:v>2.1029999999999998</c:v>
                </c:pt>
                <c:pt idx="9">
                  <c:v>2.3569999999999998</c:v>
                </c:pt>
                <c:pt idx="10">
                  <c:v>2.3569999999999998</c:v>
                </c:pt>
                <c:pt idx="11">
                  <c:v>2.8099999999999996</c:v>
                </c:pt>
                <c:pt idx="12">
                  <c:v>3.2629999999999995</c:v>
                </c:pt>
                <c:pt idx="13">
                  <c:v>3.2629999999999995</c:v>
                </c:pt>
                <c:pt idx="14">
                  <c:v>3.5169999999999995</c:v>
                </c:pt>
                <c:pt idx="15">
                  <c:v>3.847899999999999</c:v>
                </c:pt>
                <c:pt idx="16">
                  <c:v>4.101899999999999</c:v>
                </c:pt>
                <c:pt idx="17">
                  <c:v>4.339999999999999</c:v>
                </c:pt>
                <c:pt idx="18">
                  <c:v>4.578099999999999</c:v>
                </c:pt>
                <c:pt idx="19">
                  <c:v>4.641699999999999</c:v>
                </c:pt>
                <c:pt idx="20">
                  <c:v>4.8797999999999995</c:v>
                </c:pt>
                <c:pt idx="21">
                  <c:v>5.1179</c:v>
                </c:pt>
                <c:pt idx="22">
                  <c:v>5.3719</c:v>
                </c:pt>
                <c:pt idx="23">
                  <c:v>5.3719</c:v>
                </c:pt>
                <c:pt idx="24">
                  <c:v>7.0998</c:v>
                </c:pt>
                <c:pt idx="25">
                  <c:v>7.4498</c:v>
                </c:pt>
                <c:pt idx="26">
                  <c:v>7.799799999999999</c:v>
                </c:pt>
                <c:pt idx="27">
                  <c:v>8.1998</c:v>
                </c:pt>
                <c:pt idx="28">
                  <c:v>8.4748</c:v>
                </c:pt>
                <c:pt idx="29">
                  <c:v>8.7498</c:v>
                </c:pt>
                <c:pt idx="30">
                  <c:v>10.7558</c:v>
                </c:pt>
                <c:pt idx="31">
                  <c:v>10.7558</c:v>
                </c:pt>
                <c:pt idx="32">
                  <c:v>11.136800000000001</c:v>
                </c:pt>
                <c:pt idx="33">
                  <c:v>11.136800000000001</c:v>
                </c:pt>
                <c:pt idx="34">
                  <c:v>11.2673</c:v>
                </c:pt>
                <c:pt idx="35">
                  <c:v>11.7048</c:v>
                </c:pt>
                <c:pt idx="36">
                  <c:v>12.1423</c:v>
                </c:pt>
                <c:pt idx="37">
                  <c:v>12.2788</c:v>
                </c:pt>
                <c:pt idx="38">
                  <c:v>12.2788</c:v>
                </c:pt>
                <c:pt idx="39">
                  <c:v>12.953800000000001</c:v>
                </c:pt>
                <c:pt idx="40">
                  <c:v>12.953800000000001</c:v>
                </c:pt>
                <c:pt idx="41">
                  <c:v>13.3268</c:v>
                </c:pt>
                <c:pt idx="42">
                  <c:v>13.3268</c:v>
                </c:pt>
                <c:pt idx="43">
                  <c:v>13.4758</c:v>
                </c:pt>
                <c:pt idx="44">
                  <c:v>14.085799999999999</c:v>
                </c:pt>
                <c:pt idx="45">
                  <c:v>14.695799999999998</c:v>
                </c:pt>
                <c:pt idx="46">
                  <c:v>15.034799999999999</c:v>
                </c:pt>
                <c:pt idx="47">
                  <c:v>15.034799999999999</c:v>
                </c:pt>
                <c:pt idx="48">
                  <c:v>15.149299999999998</c:v>
                </c:pt>
                <c:pt idx="49">
                  <c:v>15.899799999999999</c:v>
                </c:pt>
                <c:pt idx="50">
                  <c:v>16.650299999999998</c:v>
                </c:pt>
                <c:pt idx="51">
                  <c:v>16.8298</c:v>
                </c:pt>
                <c:pt idx="52">
                  <c:v>16.8298</c:v>
                </c:pt>
                <c:pt idx="53">
                  <c:v>17.314799999999998</c:v>
                </c:pt>
                <c:pt idx="54">
                  <c:v>17.314799999999998</c:v>
                </c:pt>
                <c:pt idx="55">
                  <c:v>17.4778</c:v>
                </c:pt>
                <c:pt idx="56">
                  <c:v>17.9288</c:v>
                </c:pt>
                <c:pt idx="57">
                  <c:v>18.3798</c:v>
                </c:pt>
                <c:pt idx="58">
                  <c:v>18.5158</c:v>
                </c:pt>
                <c:pt idx="59">
                  <c:v>18.5158</c:v>
                </c:pt>
                <c:pt idx="60">
                  <c:v>20.2338</c:v>
                </c:pt>
                <c:pt idx="61">
                  <c:v>20.2338</c:v>
                </c:pt>
                <c:pt idx="62">
                  <c:v>21.2498</c:v>
                </c:pt>
                <c:pt idx="63">
                  <c:v>21.5248</c:v>
                </c:pt>
                <c:pt idx="64">
                  <c:v>21.799799999999998</c:v>
                </c:pt>
                <c:pt idx="65">
                  <c:v>22.199799999999996</c:v>
                </c:pt>
                <c:pt idx="66">
                  <c:v>22.549799999999998</c:v>
                </c:pt>
                <c:pt idx="67">
                  <c:v>22.8998</c:v>
                </c:pt>
                <c:pt idx="68">
                  <c:v>24.627699999999997</c:v>
                </c:pt>
                <c:pt idx="69">
                  <c:v>24.627699999999997</c:v>
                </c:pt>
                <c:pt idx="70">
                  <c:v>24.8817</c:v>
                </c:pt>
                <c:pt idx="71">
                  <c:v>25.119799999999998</c:v>
                </c:pt>
                <c:pt idx="72">
                  <c:v>25.357899999999997</c:v>
                </c:pt>
                <c:pt idx="73">
                  <c:v>25.421499999999998</c:v>
                </c:pt>
                <c:pt idx="74">
                  <c:v>25.659599999999998</c:v>
                </c:pt>
                <c:pt idx="75">
                  <c:v>25.897699999999997</c:v>
                </c:pt>
                <c:pt idx="76">
                  <c:v>26.151699999999998</c:v>
                </c:pt>
                <c:pt idx="77">
                  <c:v>26.482599999999998</c:v>
                </c:pt>
                <c:pt idx="78">
                  <c:v>26.7366</c:v>
                </c:pt>
                <c:pt idx="79">
                  <c:v>26.7366</c:v>
                </c:pt>
                <c:pt idx="80">
                  <c:v>27.1896</c:v>
                </c:pt>
                <c:pt idx="81">
                  <c:v>27.642599999999998</c:v>
                </c:pt>
                <c:pt idx="82">
                  <c:v>27.642599999999998</c:v>
                </c:pt>
                <c:pt idx="83">
                  <c:v>27.8966</c:v>
                </c:pt>
                <c:pt idx="84">
                  <c:v>27.8966</c:v>
                </c:pt>
                <c:pt idx="85">
                  <c:v>28.3496</c:v>
                </c:pt>
                <c:pt idx="86">
                  <c:v>28.802599999999998</c:v>
                </c:pt>
                <c:pt idx="87">
                  <c:v>28.802599999999998</c:v>
                </c:pt>
                <c:pt idx="88">
                  <c:v>29.0566</c:v>
                </c:pt>
                <c:pt idx="89">
                  <c:v>29.0566</c:v>
                </c:pt>
                <c:pt idx="90">
                  <c:v>29.7496</c:v>
                </c:pt>
                <c:pt idx="91">
                  <c:v>29.9996</c:v>
                </c:pt>
              </c:numCache>
            </c:numRef>
          </c:xVal>
          <c:yVal>
            <c:numRef>
              <c:f>'Pipe(both)'!$F$5:$F$96</c:f>
              <c:numCache>
                <c:ptCount val="92"/>
                <c:pt idx="0">
                  <c:v>-95</c:v>
                </c:pt>
                <c:pt idx="1">
                  <c:v>-95</c:v>
                </c:pt>
                <c:pt idx="2">
                  <c:v>-95</c:v>
                </c:pt>
                <c:pt idx="3">
                  <c:v>-90</c:v>
                </c:pt>
                <c:pt idx="4">
                  <c:v>-90</c:v>
                </c:pt>
                <c:pt idx="5">
                  <c:v>-80</c:v>
                </c:pt>
                <c:pt idx="6">
                  <c:v>-80</c:v>
                </c:pt>
                <c:pt idx="7">
                  <c:v>-80</c:v>
                </c:pt>
                <c:pt idx="8">
                  <c:v>-90</c:v>
                </c:pt>
                <c:pt idx="9">
                  <c:v>-90</c:v>
                </c:pt>
                <c:pt idx="10">
                  <c:v>-80</c:v>
                </c:pt>
                <c:pt idx="11">
                  <c:v>-80</c:v>
                </c:pt>
                <c:pt idx="12">
                  <c:v>-80</c:v>
                </c:pt>
                <c:pt idx="13">
                  <c:v>-90</c:v>
                </c:pt>
                <c:pt idx="14">
                  <c:v>-90</c:v>
                </c:pt>
                <c:pt idx="15">
                  <c:v>-90</c:v>
                </c:pt>
                <c:pt idx="16">
                  <c:v>-90</c:v>
                </c:pt>
                <c:pt idx="17">
                  <c:v>-90</c:v>
                </c:pt>
                <c:pt idx="18">
                  <c:v>-90</c:v>
                </c:pt>
                <c:pt idx="19">
                  <c:v>-90</c:v>
                </c:pt>
                <c:pt idx="20">
                  <c:v>-90</c:v>
                </c:pt>
                <c:pt idx="21">
                  <c:v>-90</c:v>
                </c:pt>
                <c:pt idx="22">
                  <c:v>-90</c:v>
                </c:pt>
                <c:pt idx="23">
                  <c:v>-149.2</c:v>
                </c:pt>
                <c:pt idx="24">
                  <c:v>-149.2</c:v>
                </c:pt>
                <c:pt idx="25">
                  <c:v>-149.2</c:v>
                </c:pt>
                <c:pt idx="26">
                  <c:v>-149.2</c:v>
                </c:pt>
                <c:pt idx="27">
                  <c:v>-149.2</c:v>
                </c:pt>
                <c:pt idx="28">
                  <c:v>-149.2</c:v>
                </c:pt>
                <c:pt idx="29">
                  <c:v>-149.2</c:v>
                </c:pt>
                <c:pt idx="30">
                  <c:v>-149.2</c:v>
                </c:pt>
                <c:pt idx="31">
                  <c:v>-96.77</c:v>
                </c:pt>
                <c:pt idx="32">
                  <c:v>-96.77</c:v>
                </c:pt>
                <c:pt idx="33">
                  <c:v>-100.9</c:v>
                </c:pt>
                <c:pt idx="34">
                  <c:v>-100.9</c:v>
                </c:pt>
                <c:pt idx="35">
                  <c:v>-100.9</c:v>
                </c:pt>
                <c:pt idx="36">
                  <c:v>-100.9</c:v>
                </c:pt>
                <c:pt idx="37">
                  <c:v>-100.9</c:v>
                </c:pt>
                <c:pt idx="38">
                  <c:v>-97.3</c:v>
                </c:pt>
                <c:pt idx="39">
                  <c:v>-69</c:v>
                </c:pt>
                <c:pt idx="40">
                  <c:v>-38.8</c:v>
                </c:pt>
                <c:pt idx="41">
                  <c:v>-38.8</c:v>
                </c:pt>
                <c:pt idx="42">
                  <c:v>-20.799999999999997</c:v>
                </c:pt>
                <c:pt idx="43">
                  <c:v>-20.799999999999997</c:v>
                </c:pt>
                <c:pt idx="44">
                  <c:v>-20.799999999999997</c:v>
                </c:pt>
                <c:pt idx="45">
                  <c:v>-20.799999999999997</c:v>
                </c:pt>
                <c:pt idx="46">
                  <c:v>-20.799999999999997</c:v>
                </c:pt>
                <c:pt idx="47">
                  <c:v>-30.400000000000006</c:v>
                </c:pt>
                <c:pt idx="48">
                  <c:v>-30.400000000000006</c:v>
                </c:pt>
                <c:pt idx="49">
                  <c:v>-30.400000000000006</c:v>
                </c:pt>
                <c:pt idx="50">
                  <c:v>-30.400000000000006</c:v>
                </c:pt>
                <c:pt idx="51">
                  <c:v>-30.400000000000006</c:v>
                </c:pt>
                <c:pt idx="52">
                  <c:v>-81.55000000000001</c:v>
                </c:pt>
                <c:pt idx="53">
                  <c:v>-81.55000000000001</c:v>
                </c:pt>
                <c:pt idx="54">
                  <c:v>-81.55000000000001</c:v>
                </c:pt>
                <c:pt idx="55">
                  <c:v>-81.55000000000001</c:v>
                </c:pt>
                <c:pt idx="56">
                  <c:v>-81.55000000000001</c:v>
                </c:pt>
                <c:pt idx="57">
                  <c:v>-81.55000000000001</c:v>
                </c:pt>
                <c:pt idx="58">
                  <c:v>-81.55000000000001</c:v>
                </c:pt>
                <c:pt idx="59">
                  <c:v>-98.4</c:v>
                </c:pt>
                <c:pt idx="60">
                  <c:v>-98.4</c:v>
                </c:pt>
                <c:pt idx="61">
                  <c:v>-149.2</c:v>
                </c:pt>
                <c:pt idx="62">
                  <c:v>-149.2</c:v>
                </c:pt>
                <c:pt idx="63">
                  <c:v>-149.2</c:v>
                </c:pt>
                <c:pt idx="64">
                  <c:v>-149.2</c:v>
                </c:pt>
                <c:pt idx="65">
                  <c:v>-149.2</c:v>
                </c:pt>
                <c:pt idx="66">
                  <c:v>-149.2</c:v>
                </c:pt>
                <c:pt idx="67">
                  <c:v>-149.2</c:v>
                </c:pt>
                <c:pt idx="68">
                  <c:v>-149.2</c:v>
                </c:pt>
                <c:pt idx="69">
                  <c:v>-90</c:v>
                </c:pt>
                <c:pt idx="70">
                  <c:v>-90</c:v>
                </c:pt>
                <c:pt idx="71">
                  <c:v>-90</c:v>
                </c:pt>
                <c:pt idx="72">
                  <c:v>-90</c:v>
                </c:pt>
                <c:pt idx="73">
                  <c:v>-90</c:v>
                </c:pt>
                <c:pt idx="74">
                  <c:v>-90</c:v>
                </c:pt>
                <c:pt idx="75">
                  <c:v>-90</c:v>
                </c:pt>
                <c:pt idx="76">
                  <c:v>-90</c:v>
                </c:pt>
                <c:pt idx="77">
                  <c:v>-90</c:v>
                </c:pt>
                <c:pt idx="78">
                  <c:v>-90</c:v>
                </c:pt>
                <c:pt idx="79">
                  <c:v>-80</c:v>
                </c:pt>
                <c:pt idx="80">
                  <c:v>-80</c:v>
                </c:pt>
                <c:pt idx="81">
                  <c:v>-80</c:v>
                </c:pt>
                <c:pt idx="82">
                  <c:v>-90</c:v>
                </c:pt>
                <c:pt idx="83">
                  <c:v>-90</c:v>
                </c:pt>
                <c:pt idx="84">
                  <c:v>-80</c:v>
                </c:pt>
                <c:pt idx="85">
                  <c:v>-80</c:v>
                </c:pt>
                <c:pt idx="86">
                  <c:v>-80</c:v>
                </c:pt>
                <c:pt idx="87">
                  <c:v>-90</c:v>
                </c:pt>
                <c:pt idx="88">
                  <c:v>-90</c:v>
                </c:pt>
                <c:pt idx="89">
                  <c:v>-95</c:v>
                </c:pt>
                <c:pt idx="90">
                  <c:v>-95</c:v>
                </c:pt>
                <c:pt idx="91">
                  <c:v>-95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'spi.optics'!$H$3</c:f>
              <c:strCache>
                <c:ptCount val="1"/>
                <c:pt idx="0">
                  <c:v>Hor. Extent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Beam envelope at 480
No dynamic bump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elete val="1"/>
          </c:dLbls>
          <c:xVal>
            <c:numRef>
              <c:f>'spi.optics'!$B$4:$B$59</c:f>
              <c:numCache>
                <c:ptCount val="56"/>
                <c:pt idx="0">
                  <c:v>0</c:v>
                </c:pt>
                <c:pt idx="1">
                  <c:v>0.25</c:v>
                </c:pt>
                <c:pt idx="2">
                  <c:v>0.495125</c:v>
                </c:pt>
                <c:pt idx="3">
                  <c:v>0.74025</c:v>
                </c:pt>
                <c:pt idx="4">
                  <c:v>0.985375</c:v>
                </c:pt>
                <c:pt idx="5">
                  <c:v>1.2305</c:v>
                </c:pt>
                <c:pt idx="6">
                  <c:v>1.65</c:v>
                </c:pt>
                <c:pt idx="7">
                  <c:v>2.0695</c:v>
                </c:pt>
                <c:pt idx="8">
                  <c:v>2.14975</c:v>
                </c:pt>
                <c:pt idx="9">
                  <c:v>2.23</c:v>
                </c:pt>
                <c:pt idx="10">
                  <c:v>2.31025</c:v>
                </c:pt>
                <c:pt idx="11">
                  <c:v>2.3905</c:v>
                </c:pt>
                <c:pt idx="12">
                  <c:v>2.81</c:v>
                </c:pt>
                <c:pt idx="13">
                  <c:v>3.2295</c:v>
                </c:pt>
                <c:pt idx="14">
                  <c:v>3.45362</c:v>
                </c:pt>
                <c:pt idx="15">
                  <c:v>3.67775</c:v>
                </c:pt>
                <c:pt idx="16">
                  <c:v>3.90188</c:v>
                </c:pt>
                <c:pt idx="17">
                  <c:v>4.126</c:v>
                </c:pt>
                <c:pt idx="18">
                  <c:v>4.34</c:v>
                </c:pt>
                <c:pt idx="19">
                  <c:v>4.554</c:v>
                </c:pt>
                <c:pt idx="20">
                  <c:v>4.554</c:v>
                </c:pt>
                <c:pt idx="21">
                  <c:v>4.554</c:v>
                </c:pt>
                <c:pt idx="22">
                  <c:v>4.582</c:v>
                </c:pt>
                <c:pt idx="23">
                  <c:v>4.61</c:v>
                </c:pt>
                <c:pt idx="24">
                  <c:v>4.638</c:v>
                </c:pt>
                <c:pt idx="25">
                  <c:v>4.666</c:v>
                </c:pt>
                <c:pt idx="26">
                  <c:v>4.88</c:v>
                </c:pt>
                <c:pt idx="27">
                  <c:v>5.094</c:v>
                </c:pt>
                <c:pt idx="28">
                  <c:v>5.5955</c:v>
                </c:pt>
                <c:pt idx="29">
                  <c:v>6.097</c:v>
                </c:pt>
                <c:pt idx="30">
                  <c:v>6.5985</c:v>
                </c:pt>
                <c:pt idx="31">
                  <c:v>7.1</c:v>
                </c:pt>
                <c:pt idx="32">
                  <c:v>7.45</c:v>
                </c:pt>
                <c:pt idx="33">
                  <c:v>7.8</c:v>
                </c:pt>
                <c:pt idx="34">
                  <c:v>8.2</c:v>
                </c:pt>
                <c:pt idx="35">
                  <c:v>8.475</c:v>
                </c:pt>
                <c:pt idx="36">
                  <c:v>8.75</c:v>
                </c:pt>
                <c:pt idx="37">
                  <c:v>8.75</c:v>
                </c:pt>
                <c:pt idx="38">
                  <c:v>8.75</c:v>
                </c:pt>
                <c:pt idx="39">
                  <c:v>8.75</c:v>
                </c:pt>
                <c:pt idx="40">
                  <c:v>9.38087</c:v>
                </c:pt>
                <c:pt idx="41">
                  <c:v>10.0118</c:v>
                </c:pt>
                <c:pt idx="42">
                  <c:v>10.6426</c:v>
                </c:pt>
                <c:pt idx="43">
                  <c:v>11.2735</c:v>
                </c:pt>
                <c:pt idx="44">
                  <c:v>11.7051</c:v>
                </c:pt>
                <c:pt idx="45">
                  <c:v>12.1368</c:v>
                </c:pt>
                <c:pt idx="46">
                  <c:v>13.6516</c:v>
                </c:pt>
                <c:pt idx="47">
                  <c:v>14.0877</c:v>
                </c:pt>
                <c:pt idx="48">
                  <c:v>14.5238</c:v>
                </c:pt>
                <c:pt idx="49">
                  <c:v>14.5238</c:v>
                </c:pt>
                <c:pt idx="50">
                  <c:v>15.4068</c:v>
                </c:pt>
                <c:pt idx="51">
                  <c:v>15.902</c:v>
                </c:pt>
                <c:pt idx="52">
                  <c:v>16.3972</c:v>
                </c:pt>
                <c:pt idx="53">
                  <c:v>17.4874</c:v>
                </c:pt>
                <c:pt idx="54">
                  <c:v>17.9326</c:v>
                </c:pt>
                <c:pt idx="55">
                  <c:v>18.3777</c:v>
                </c:pt>
              </c:numCache>
            </c:numRef>
          </c:xVal>
          <c:yVal>
            <c:numRef>
              <c:f>'spi.optics'!$H$4:$H$59</c:f>
              <c:numCache>
                <c:ptCount val="56"/>
                <c:pt idx="0">
                  <c:v>34.280396730493074</c:v>
                </c:pt>
                <c:pt idx="1">
                  <c:v>34.508225106487295</c:v>
                </c:pt>
                <c:pt idx="2">
                  <c:v>35.599101112247205</c:v>
                </c:pt>
                <c:pt idx="3">
                  <c:v>36.9964755078102</c:v>
                </c:pt>
                <c:pt idx="4">
                  <c:v>38.66725746675086</c:v>
                </c:pt>
                <c:pt idx="5">
                  <c:v>40.57762930482755</c:v>
                </c:pt>
                <c:pt idx="6">
                  <c:v>44.31196678099495</c:v>
                </c:pt>
                <c:pt idx="7">
                  <c:v>52.56102259000724</c:v>
                </c:pt>
                <c:pt idx="8">
                  <c:v>54.1827169528853</c:v>
                </c:pt>
                <c:pt idx="9">
                  <c:v>55.816770854805796</c:v>
                </c:pt>
                <c:pt idx="10">
                  <c:v>57.4625132119768</c:v>
                </c:pt>
                <c:pt idx="11">
                  <c:v>59.11935593853944</c:v>
                </c:pt>
                <c:pt idx="12">
                  <c:v>67.94099888750031</c:v>
                </c:pt>
                <c:pt idx="13">
                  <c:v>76.98585031103538</c:v>
                </c:pt>
                <c:pt idx="14">
                  <c:v>81.89181414693675</c:v>
                </c:pt>
                <c:pt idx="15">
                  <c:v>86.84108542506019</c:v>
                </c:pt>
                <c:pt idx="16">
                  <c:v>91.82851640332525</c:v>
                </c:pt>
                <c:pt idx="17">
                  <c:v>96.84918291173005</c:v>
                </c:pt>
                <c:pt idx="18">
                  <c:v>101.67134015298925</c:v>
                </c:pt>
                <c:pt idx="19">
                  <c:v>106.47358167711404</c:v>
                </c:pt>
                <c:pt idx="20">
                  <c:v>106.47358167711404</c:v>
                </c:pt>
                <c:pt idx="21">
                  <c:v>106.47358167711404</c:v>
                </c:pt>
                <c:pt idx="22">
                  <c:v>107.10355578017843</c:v>
                </c:pt>
                <c:pt idx="23">
                  <c:v>107.73365956193378</c:v>
                </c:pt>
                <c:pt idx="24">
                  <c:v>108.36449420479634</c:v>
                </c:pt>
                <c:pt idx="25">
                  <c:v>108.99544945836116</c:v>
                </c:pt>
                <c:pt idx="26">
                  <c:v>113.83002584426744</c:v>
                </c:pt>
                <c:pt idx="27">
                  <c:v>118.68335907137859</c:v>
                </c:pt>
                <c:pt idx="28">
                  <c:v>130.11966807214029</c:v>
                </c:pt>
                <c:pt idx="29">
                  <c:v>141.63013343263526</c:v>
                </c:pt>
                <c:pt idx="30">
                  <c:v>153.20029815506288</c:v>
                </c:pt>
                <c:pt idx="31">
                  <c:v>164.81931021932525</c:v>
                </c:pt>
                <c:pt idx="32">
                  <c:v>168.5367844337536</c:v>
                </c:pt>
                <c:pt idx="33">
                  <c:v>155.00554051180208</c:v>
                </c:pt>
                <c:pt idx="34">
                  <c:v>134.7602183020273</c:v>
                </c:pt>
                <c:pt idx="35">
                  <c:v>123.11391621966867</c:v>
                </c:pt>
                <c:pt idx="36">
                  <c:v>119.8738004604764</c:v>
                </c:pt>
                <c:pt idx="37">
                  <c:v>119.8738004604764</c:v>
                </c:pt>
                <c:pt idx="38">
                  <c:v>119.8738004604764</c:v>
                </c:pt>
                <c:pt idx="39">
                  <c:v>119.8738004604764</c:v>
                </c:pt>
                <c:pt idx="40">
                  <c:v>117.29869339128572</c:v>
                </c:pt>
                <c:pt idx="41">
                  <c:v>114.9220394810499</c:v>
                </c:pt>
                <c:pt idx="42">
                  <c:v>112.76361728226546</c:v>
                </c:pt>
                <c:pt idx="43">
                  <c:v>110.84337654290626</c:v>
                </c:pt>
                <c:pt idx="44">
                  <c:v>109.66135226938965</c:v>
                </c:pt>
                <c:pt idx="45">
                  <c:v>126.71090644984561</c:v>
                </c:pt>
                <c:pt idx="46">
                  <c:v>187.76683665345465</c:v>
                </c:pt>
                <c:pt idx="47">
                  <c:v>205.72313426880964</c:v>
                </c:pt>
                <c:pt idx="48">
                  <c:v>203.57495251882676</c:v>
                </c:pt>
                <c:pt idx="49">
                  <c:v>203.57495251882676</c:v>
                </c:pt>
                <c:pt idx="50">
                  <c:v>199.83965196965167</c:v>
                </c:pt>
                <c:pt idx="51">
                  <c:v>198.00628316906506</c:v>
                </c:pt>
                <c:pt idx="52">
                  <c:v>175.79197440426827</c:v>
                </c:pt>
                <c:pt idx="53">
                  <c:v>127.86390480534095</c:v>
                </c:pt>
                <c:pt idx="54">
                  <c:v>108.60415296139402</c:v>
                </c:pt>
                <c:pt idx="55">
                  <c:v>109.88149969770254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'spi.optics'!$I$3</c:f>
              <c:strCache>
                <c:ptCount val="1"/>
                <c:pt idx="0">
                  <c:v>Hor. Extent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'spi.optics'!$B$4:$B$59</c:f>
              <c:numCache>
                <c:ptCount val="56"/>
                <c:pt idx="0">
                  <c:v>0</c:v>
                </c:pt>
                <c:pt idx="1">
                  <c:v>0.25</c:v>
                </c:pt>
                <c:pt idx="2">
                  <c:v>0.495125</c:v>
                </c:pt>
                <c:pt idx="3">
                  <c:v>0.74025</c:v>
                </c:pt>
                <c:pt idx="4">
                  <c:v>0.985375</c:v>
                </c:pt>
                <c:pt idx="5">
                  <c:v>1.2305</c:v>
                </c:pt>
                <c:pt idx="6">
                  <c:v>1.65</c:v>
                </c:pt>
                <c:pt idx="7">
                  <c:v>2.0695</c:v>
                </c:pt>
                <c:pt idx="8">
                  <c:v>2.14975</c:v>
                </c:pt>
                <c:pt idx="9">
                  <c:v>2.23</c:v>
                </c:pt>
                <c:pt idx="10">
                  <c:v>2.31025</c:v>
                </c:pt>
                <c:pt idx="11">
                  <c:v>2.3905</c:v>
                </c:pt>
                <c:pt idx="12">
                  <c:v>2.81</c:v>
                </c:pt>
                <c:pt idx="13">
                  <c:v>3.2295</c:v>
                </c:pt>
                <c:pt idx="14">
                  <c:v>3.45362</c:v>
                </c:pt>
                <c:pt idx="15">
                  <c:v>3.67775</c:v>
                </c:pt>
                <c:pt idx="16">
                  <c:v>3.90188</c:v>
                </c:pt>
                <c:pt idx="17">
                  <c:v>4.126</c:v>
                </c:pt>
                <c:pt idx="18">
                  <c:v>4.34</c:v>
                </c:pt>
                <c:pt idx="19">
                  <c:v>4.554</c:v>
                </c:pt>
                <c:pt idx="20">
                  <c:v>4.554</c:v>
                </c:pt>
                <c:pt idx="21">
                  <c:v>4.554</c:v>
                </c:pt>
                <c:pt idx="22">
                  <c:v>4.582</c:v>
                </c:pt>
                <c:pt idx="23">
                  <c:v>4.61</c:v>
                </c:pt>
                <c:pt idx="24">
                  <c:v>4.638</c:v>
                </c:pt>
                <c:pt idx="25">
                  <c:v>4.666</c:v>
                </c:pt>
                <c:pt idx="26">
                  <c:v>4.88</c:v>
                </c:pt>
                <c:pt idx="27">
                  <c:v>5.094</c:v>
                </c:pt>
                <c:pt idx="28">
                  <c:v>5.5955</c:v>
                </c:pt>
                <c:pt idx="29">
                  <c:v>6.097</c:v>
                </c:pt>
                <c:pt idx="30">
                  <c:v>6.5985</c:v>
                </c:pt>
                <c:pt idx="31">
                  <c:v>7.1</c:v>
                </c:pt>
                <c:pt idx="32">
                  <c:v>7.45</c:v>
                </c:pt>
                <c:pt idx="33">
                  <c:v>7.8</c:v>
                </c:pt>
                <c:pt idx="34">
                  <c:v>8.2</c:v>
                </c:pt>
                <c:pt idx="35">
                  <c:v>8.475</c:v>
                </c:pt>
                <c:pt idx="36">
                  <c:v>8.75</c:v>
                </c:pt>
                <c:pt idx="37">
                  <c:v>8.75</c:v>
                </c:pt>
                <c:pt idx="38">
                  <c:v>8.75</c:v>
                </c:pt>
                <c:pt idx="39">
                  <c:v>8.75</c:v>
                </c:pt>
                <c:pt idx="40">
                  <c:v>9.38087</c:v>
                </c:pt>
                <c:pt idx="41">
                  <c:v>10.0118</c:v>
                </c:pt>
                <c:pt idx="42">
                  <c:v>10.6426</c:v>
                </c:pt>
                <c:pt idx="43">
                  <c:v>11.2735</c:v>
                </c:pt>
                <c:pt idx="44">
                  <c:v>11.7051</c:v>
                </c:pt>
                <c:pt idx="45">
                  <c:v>12.1368</c:v>
                </c:pt>
                <c:pt idx="46">
                  <c:v>13.6516</c:v>
                </c:pt>
                <c:pt idx="47">
                  <c:v>14.0877</c:v>
                </c:pt>
                <c:pt idx="48">
                  <c:v>14.5238</c:v>
                </c:pt>
                <c:pt idx="49">
                  <c:v>14.5238</c:v>
                </c:pt>
                <c:pt idx="50">
                  <c:v>15.4068</c:v>
                </c:pt>
                <c:pt idx="51">
                  <c:v>15.902</c:v>
                </c:pt>
                <c:pt idx="52">
                  <c:v>16.3972</c:v>
                </c:pt>
                <c:pt idx="53">
                  <c:v>17.4874</c:v>
                </c:pt>
                <c:pt idx="54">
                  <c:v>17.9326</c:v>
                </c:pt>
                <c:pt idx="55">
                  <c:v>18.3777</c:v>
                </c:pt>
              </c:numCache>
            </c:numRef>
          </c:xVal>
          <c:yVal>
            <c:numRef>
              <c:f>'spi.optics'!$I$4:$I$59</c:f>
              <c:numCache>
                <c:ptCount val="56"/>
                <c:pt idx="0">
                  <c:v>-34.280396730493074</c:v>
                </c:pt>
                <c:pt idx="1">
                  <c:v>-34.508225106487295</c:v>
                </c:pt>
                <c:pt idx="2">
                  <c:v>-35.599101112247205</c:v>
                </c:pt>
                <c:pt idx="3">
                  <c:v>-36.9964755078102</c:v>
                </c:pt>
                <c:pt idx="4">
                  <c:v>-38.66725746675086</c:v>
                </c:pt>
                <c:pt idx="5">
                  <c:v>-40.57762930482755</c:v>
                </c:pt>
                <c:pt idx="6">
                  <c:v>-44.31196678099495</c:v>
                </c:pt>
                <c:pt idx="7">
                  <c:v>-44.46875428286823</c:v>
                </c:pt>
                <c:pt idx="8">
                  <c:v>-44.54240447018513</c:v>
                </c:pt>
                <c:pt idx="9">
                  <c:v>-44.62841419654447</c:v>
                </c:pt>
                <c:pt idx="10">
                  <c:v>-44.72611237815431</c:v>
                </c:pt>
                <c:pt idx="11">
                  <c:v>-44.8349109291558</c:v>
                </c:pt>
                <c:pt idx="12">
                  <c:v>-45.56428557097766</c:v>
                </c:pt>
                <c:pt idx="13">
                  <c:v>-46.516868687373716</c:v>
                </c:pt>
                <c:pt idx="14">
                  <c:v>-47.09949718836211</c:v>
                </c:pt>
                <c:pt idx="15">
                  <c:v>-47.72524022887155</c:v>
                </c:pt>
                <c:pt idx="16">
                  <c:v>-48.38914296952264</c:v>
                </c:pt>
                <c:pt idx="17">
                  <c:v>-49.08647414301445</c:v>
                </c:pt>
                <c:pt idx="18">
                  <c:v>-49.780513582777225</c:v>
                </c:pt>
                <c:pt idx="19">
                  <c:v>-50.54279963388167</c:v>
                </c:pt>
                <c:pt idx="20">
                  <c:v>-50.54279963388167</c:v>
                </c:pt>
                <c:pt idx="21">
                  <c:v>-50.54279963388167</c:v>
                </c:pt>
                <c:pt idx="22">
                  <c:v>-50.64419222276456</c:v>
                </c:pt>
                <c:pt idx="23">
                  <c:v>-50.745714490338386</c:v>
                </c:pt>
                <c:pt idx="24">
                  <c:v>-50.84796761901946</c:v>
                </c:pt>
                <c:pt idx="25">
                  <c:v>-50.95034135840275</c:v>
                </c:pt>
                <c:pt idx="26">
                  <c:v>-51.74504474306464</c:v>
                </c:pt>
                <c:pt idx="27">
                  <c:v>-52.55850496893138</c:v>
                </c:pt>
                <c:pt idx="28">
                  <c:v>-54.527541492477816</c:v>
                </c:pt>
                <c:pt idx="29">
                  <c:v>-56.570734375757546</c:v>
                </c:pt>
                <c:pt idx="30">
                  <c:v>-58.67362662096991</c:v>
                </c:pt>
                <c:pt idx="31">
                  <c:v>-60.82536620801703</c:v>
                </c:pt>
                <c:pt idx="32">
                  <c:v>-57.935571495176504</c:v>
                </c:pt>
                <c:pt idx="33">
                  <c:v>-54.85429842838198</c:v>
                </c:pt>
                <c:pt idx="34">
                  <c:v>-46.551800053072355</c:v>
                </c:pt>
                <c:pt idx="35">
                  <c:v>-43.11618935690852</c:v>
                </c:pt>
                <c:pt idx="36">
                  <c:v>-39.8738004604764</c:v>
                </c:pt>
                <c:pt idx="37">
                  <c:v>-39.8738004604764</c:v>
                </c:pt>
                <c:pt idx="38">
                  <c:v>-39.8738004604764</c:v>
                </c:pt>
                <c:pt idx="39">
                  <c:v>-39.8738004604764</c:v>
                </c:pt>
                <c:pt idx="40">
                  <c:v>-37.298693391285724</c:v>
                </c:pt>
                <c:pt idx="41">
                  <c:v>-34.92203948104989</c:v>
                </c:pt>
                <c:pt idx="42">
                  <c:v>-32.76361728226546</c:v>
                </c:pt>
                <c:pt idx="43">
                  <c:v>-30.843376542906256</c:v>
                </c:pt>
                <c:pt idx="44">
                  <c:v>-29.661352269389653</c:v>
                </c:pt>
                <c:pt idx="45">
                  <c:v>-10.440431859337494</c:v>
                </c:pt>
                <c:pt idx="46">
                  <c:v>55.74429312394983</c:v>
                </c:pt>
                <c:pt idx="47">
                  <c:v>74.41966287524747</c:v>
                </c:pt>
                <c:pt idx="48">
                  <c:v>72.74750585720305</c:v>
                </c:pt>
                <c:pt idx="49">
                  <c:v>72.74750585720305</c:v>
                </c:pt>
                <c:pt idx="50">
                  <c:v>69.0655627929344</c:v>
                </c:pt>
                <c:pt idx="51">
                  <c:v>66.73922713443007</c:v>
                </c:pt>
                <c:pt idx="52">
                  <c:v>43.69491917592491</c:v>
                </c:pt>
                <c:pt idx="53">
                  <c:v>-7.651467016456451</c:v>
                </c:pt>
                <c:pt idx="54">
                  <c:v>-28.93197174771649</c:v>
                </c:pt>
                <c:pt idx="55">
                  <c:v>-29.881499697702537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'Kicks @ 1GeV'!$F$10</c:f>
              <c:strCache>
                <c:ptCount val="1"/>
                <c:pt idx="0">
                  <c:v>offset [mm]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'Kicks @ 1GeV'!$B$11:$B$24</c:f>
              <c:numCache>
                <c:ptCount val="14"/>
                <c:pt idx="0">
                  <c:v>0</c:v>
                </c:pt>
                <c:pt idx="1">
                  <c:v>1.65</c:v>
                </c:pt>
                <c:pt idx="2">
                  <c:v>4.340199999999999</c:v>
                </c:pt>
                <c:pt idx="3">
                  <c:v>7.45</c:v>
                </c:pt>
                <c:pt idx="4">
                  <c:v>8.475</c:v>
                </c:pt>
                <c:pt idx="5">
                  <c:v>11.705</c:v>
                </c:pt>
                <c:pt idx="6">
                  <c:v>14.086</c:v>
                </c:pt>
                <c:pt idx="7">
                  <c:v>15.9</c:v>
                </c:pt>
                <c:pt idx="8">
                  <c:v>17.929000000000002</c:v>
                </c:pt>
                <c:pt idx="9">
                  <c:v>21.525000000000002</c:v>
                </c:pt>
                <c:pt idx="10">
                  <c:v>22.55</c:v>
                </c:pt>
                <c:pt idx="11">
                  <c:v>25.6598</c:v>
                </c:pt>
                <c:pt idx="12">
                  <c:v>28.35</c:v>
                </c:pt>
                <c:pt idx="13">
                  <c:v>30</c:v>
                </c:pt>
              </c:numCache>
            </c:numRef>
          </c:xVal>
          <c:yVal>
            <c:numRef>
              <c:f>'Kicks @ 1GeV'!$F$11:$F$24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25.947342312116053</c:v>
                </c:pt>
                <c:pt idx="3">
                  <c:v>55.30060646928855</c:v>
                </c:pt>
                <c:pt idx="4">
                  <c:v>40</c:v>
                </c:pt>
                <c:pt idx="5">
                  <c:v>40</c:v>
                </c:pt>
                <c:pt idx="6">
                  <c:v>140</c:v>
                </c:pt>
                <c:pt idx="7">
                  <c:v>132.3811552011399</c:v>
                </c:pt>
                <c:pt idx="8">
                  <c:v>40</c:v>
                </c:pt>
                <c:pt idx="9">
                  <c:v>40</c:v>
                </c:pt>
                <c:pt idx="10">
                  <c:v>55.30174303790849</c:v>
                </c:pt>
                <c:pt idx="11">
                  <c:v>25.948478880735987</c:v>
                </c:pt>
                <c:pt idx="12">
                  <c:v>0.0011365686199376057</c:v>
                </c:pt>
                <c:pt idx="13">
                  <c:v>0</c:v>
                </c:pt>
              </c:numCache>
            </c:numRef>
          </c:yVal>
          <c:smooth val="0"/>
        </c:ser>
        <c:axId val="65379604"/>
        <c:axId val="51545525"/>
      </c:scatterChart>
      <c:valAx>
        <c:axId val="65379604"/>
        <c:scaling>
          <c:orientation val="minMax"/>
          <c:max val="5.5"/>
          <c:min val="5"/>
        </c:scaling>
        <c:axPos val="b"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51545525"/>
        <c:crosses val="autoZero"/>
        <c:crossBetween val="midCat"/>
        <c:dispUnits/>
      </c:valAx>
      <c:valAx>
        <c:axId val="51545525"/>
        <c:scaling>
          <c:orientation val="minMax"/>
          <c:max val="100"/>
          <c:min val="50"/>
        </c:scaling>
        <c:axPos val="l"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6537960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125"/>
          <c:w val="1"/>
          <c:h val="0.97875"/>
        </c:manualLayout>
      </c:layout>
      <c:scatterChart>
        <c:scatterStyle val="smooth"/>
        <c:varyColors val="0"/>
        <c:ser>
          <c:idx val="0"/>
          <c:order val="0"/>
          <c:tx>
            <c:strRef>
              <c:f>'spi.optics'!$O$3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'spi.optics'!$N$4:$N$120</c:f>
              <c:numCache>
                <c:ptCount val="1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</c:numCache>
            </c:numRef>
          </c:xVal>
          <c:yVal>
            <c:numRef>
              <c:f>'spi.optics'!$O$4:$O$120</c:f>
              <c:numCache>
                <c:ptCount val="1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'spi.optics'!$P$3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'spi.optics'!$N$4:$N$120</c:f>
              <c:numCache>
                <c:ptCount val="1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</c:numCache>
            </c:numRef>
          </c:xVal>
          <c:yVal>
            <c:numRef>
              <c:f>'spi.optics'!$P$4:$P$120</c:f>
              <c:numCache>
                <c:ptCount val="1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'spi.optics'!$Q$3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'spi.optics'!$N$4:$N$120</c:f>
              <c:numCache>
                <c:ptCount val="1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</c:numCache>
            </c:numRef>
          </c:xVal>
          <c:yVal>
            <c:numRef>
              <c:f>'spi.optics'!$Q$4:$Q$120</c:f>
              <c:numCache>
                <c:ptCount val="1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</c:numCache>
            </c:numRef>
          </c:yVal>
          <c:smooth val="1"/>
        </c:ser>
        <c:axId val="61256542"/>
        <c:axId val="14437967"/>
      </c:scatterChart>
      <c:valAx>
        <c:axId val="61256542"/>
        <c:scaling>
          <c:orientation val="minMax"/>
          <c:max val="62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crossAx val="14437967"/>
        <c:crosses val="autoZero"/>
        <c:crossBetween val="midCat"/>
        <c:dispUnits/>
      </c:valAx>
      <c:valAx>
        <c:axId val="14437967"/>
        <c:scaling>
          <c:orientation val="minMax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crossAx val="6125654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355"/>
          <c:y val="0.20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3225"/>
          <c:w val="0.96675"/>
          <c:h val="0.96775"/>
        </c:manualLayout>
      </c:layout>
      <c:scatterChart>
        <c:scatterStyle val="smooth"/>
        <c:varyColors val="0"/>
        <c:ser>
          <c:idx val="0"/>
          <c:order val="0"/>
          <c:tx>
            <c:strRef>
              <c:f>optics!$F$2</c:f>
              <c:strCache>
                <c:ptCount val="1"/>
                <c:pt idx="0">
                  <c:v>BETX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optics!$C$3:$C$56</c:f>
              <c:numCache>
                <c:ptCount val="5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0.25</c:v>
                </c:pt>
                <c:pt idx="5">
                  <c:v>1.2305</c:v>
                </c:pt>
                <c:pt idx="6">
                  <c:v>2.0695</c:v>
                </c:pt>
                <c:pt idx="7">
                  <c:v>2.3905</c:v>
                </c:pt>
                <c:pt idx="8">
                  <c:v>3.2295</c:v>
                </c:pt>
                <c:pt idx="9">
                  <c:v>4.126</c:v>
                </c:pt>
                <c:pt idx="10">
                  <c:v>4.554</c:v>
                </c:pt>
                <c:pt idx="11">
                  <c:v>4.554</c:v>
                </c:pt>
                <c:pt idx="12">
                  <c:v>4.554</c:v>
                </c:pt>
                <c:pt idx="13">
                  <c:v>4.666</c:v>
                </c:pt>
                <c:pt idx="14">
                  <c:v>5.094</c:v>
                </c:pt>
                <c:pt idx="15">
                  <c:v>7.1</c:v>
                </c:pt>
                <c:pt idx="16">
                  <c:v>7.45</c:v>
                </c:pt>
                <c:pt idx="17">
                  <c:v>7.8</c:v>
                </c:pt>
                <c:pt idx="18">
                  <c:v>8.2</c:v>
                </c:pt>
                <c:pt idx="19">
                  <c:v>8.475</c:v>
                </c:pt>
                <c:pt idx="20">
                  <c:v>8.75</c:v>
                </c:pt>
                <c:pt idx="21">
                  <c:v>8.75</c:v>
                </c:pt>
                <c:pt idx="22">
                  <c:v>8.75</c:v>
                </c:pt>
                <c:pt idx="23">
                  <c:v>8.75</c:v>
                </c:pt>
                <c:pt idx="24">
                  <c:v>11.2735</c:v>
                </c:pt>
                <c:pt idx="25">
                  <c:v>12.1368</c:v>
                </c:pt>
                <c:pt idx="26">
                  <c:v>13.6516</c:v>
                </c:pt>
                <c:pt idx="27">
                  <c:v>14.5238</c:v>
                </c:pt>
                <c:pt idx="28">
                  <c:v>14.5238</c:v>
                </c:pt>
                <c:pt idx="29">
                  <c:v>15.4068</c:v>
                </c:pt>
                <c:pt idx="30">
                  <c:v>16.3972</c:v>
                </c:pt>
                <c:pt idx="31">
                  <c:v>17.4874</c:v>
                </c:pt>
                <c:pt idx="32">
                  <c:v>18.3777</c:v>
                </c:pt>
                <c:pt idx="33">
                  <c:v>21.2537</c:v>
                </c:pt>
                <c:pt idx="34">
                  <c:v>21.2537</c:v>
                </c:pt>
                <c:pt idx="35">
                  <c:v>21.2537</c:v>
                </c:pt>
                <c:pt idx="36">
                  <c:v>21.2537</c:v>
                </c:pt>
                <c:pt idx="37">
                  <c:v>21.5287</c:v>
                </c:pt>
                <c:pt idx="38">
                  <c:v>21.8037</c:v>
                </c:pt>
                <c:pt idx="39">
                  <c:v>22.2037</c:v>
                </c:pt>
                <c:pt idx="40">
                  <c:v>22.5537</c:v>
                </c:pt>
                <c:pt idx="41">
                  <c:v>22.9037</c:v>
                </c:pt>
                <c:pt idx="42">
                  <c:v>24.9097</c:v>
                </c:pt>
                <c:pt idx="43">
                  <c:v>25.3377</c:v>
                </c:pt>
                <c:pt idx="44">
                  <c:v>25.4497</c:v>
                </c:pt>
                <c:pt idx="45">
                  <c:v>25.8777</c:v>
                </c:pt>
                <c:pt idx="46">
                  <c:v>25.8777</c:v>
                </c:pt>
                <c:pt idx="47">
                  <c:v>25.8777</c:v>
                </c:pt>
                <c:pt idx="48">
                  <c:v>26.7742</c:v>
                </c:pt>
                <c:pt idx="49">
                  <c:v>27.6132</c:v>
                </c:pt>
                <c:pt idx="50">
                  <c:v>27.9342</c:v>
                </c:pt>
                <c:pt idx="51">
                  <c:v>28.7732</c:v>
                </c:pt>
                <c:pt idx="52">
                  <c:v>29.7537</c:v>
                </c:pt>
                <c:pt idx="53">
                  <c:v>30.0037</c:v>
                </c:pt>
              </c:numCache>
            </c:numRef>
          </c:xVal>
          <c:yVal>
            <c:numRef>
              <c:f>optics!$F$3:$F$56</c:f>
              <c:numCache>
                <c:ptCount val="54"/>
                <c:pt idx="0">
                  <c:v>2.44822</c:v>
                </c:pt>
                <c:pt idx="1">
                  <c:v>2.44822</c:v>
                </c:pt>
                <c:pt idx="2">
                  <c:v>2.44822</c:v>
                </c:pt>
                <c:pt idx="3">
                  <c:v>2.44822</c:v>
                </c:pt>
                <c:pt idx="4">
                  <c:v>2.48087</c:v>
                </c:pt>
                <c:pt idx="5">
                  <c:v>3.4303</c:v>
                </c:pt>
                <c:pt idx="6">
                  <c:v>4.90353</c:v>
                </c:pt>
                <c:pt idx="7">
                  <c:v>5.62838</c:v>
                </c:pt>
                <c:pt idx="8">
                  <c:v>7.94423</c:v>
                </c:pt>
                <c:pt idx="9">
                  <c:v>11.0923</c:v>
                </c:pt>
                <c:pt idx="10">
                  <c:v>12.8407</c:v>
                </c:pt>
                <c:pt idx="11">
                  <c:v>12.8407</c:v>
                </c:pt>
                <c:pt idx="12">
                  <c:v>12.8407</c:v>
                </c:pt>
                <c:pt idx="13">
                  <c:v>13.3243</c:v>
                </c:pt>
                <c:pt idx="14">
                  <c:v>15.2728</c:v>
                </c:pt>
                <c:pt idx="15">
                  <c:v>26.5185</c:v>
                </c:pt>
                <c:pt idx="16">
                  <c:v>26.7134</c:v>
                </c:pt>
                <c:pt idx="17">
                  <c:v>22.9381</c:v>
                </c:pt>
                <c:pt idx="18">
                  <c:v>17.1219</c:v>
                </c:pt>
                <c:pt idx="19">
                  <c:v>14.3919</c:v>
                </c:pt>
                <c:pt idx="20">
                  <c:v>13.2913</c:v>
                </c:pt>
                <c:pt idx="21">
                  <c:v>13.2913</c:v>
                </c:pt>
                <c:pt idx="22">
                  <c:v>13.2913</c:v>
                </c:pt>
                <c:pt idx="23">
                  <c:v>13.2913</c:v>
                </c:pt>
                <c:pt idx="24">
                  <c:v>10.4558</c:v>
                </c:pt>
                <c:pt idx="25">
                  <c:v>9.79713</c:v>
                </c:pt>
                <c:pt idx="26">
                  <c:v>9.0781</c:v>
                </c:pt>
                <c:pt idx="27">
                  <c:v>8.91449</c:v>
                </c:pt>
                <c:pt idx="28">
                  <c:v>8.91449</c:v>
                </c:pt>
                <c:pt idx="29">
                  <c:v>8.90722</c:v>
                </c:pt>
                <c:pt idx="30">
                  <c:v>9.08835</c:v>
                </c:pt>
                <c:pt idx="31">
                  <c:v>9.5648</c:v>
                </c:pt>
                <c:pt idx="32">
                  <c:v>10.1738</c:v>
                </c:pt>
                <c:pt idx="33">
                  <c:v>13.2913</c:v>
                </c:pt>
                <c:pt idx="34">
                  <c:v>13.2913</c:v>
                </c:pt>
                <c:pt idx="35">
                  <c:v>13.2913</c:v>
                </c:pt>
                <c:pt idx="36">
                  <c:v>13.2913</c:v>
                </c:pt>
                <c:pt idx="37">
                  <c:v>14.3919</c:v>
                </c:pt>
                <c:pt idx="38">
                  <c:v>17.1219</c:v>
                </c:pt>
                <c:pt idx="39">
                  <c:v>22.9381</c:v>
                </c:pt>
                <c:pt idx="40">
                  <c:v>26.7134</c:v>
                </c:pt>
                <c:pt idx="41">
                  <c:v>26.5185</c:v>
                </c:pt>
                <c:pt idx="42">
                  <c:v>15.2728</c:v>
                </c:pt>
                <c:pt idx="43">
                  <c:v>13.3243</c:v>
                </c:pt>
                <c:pt idx="44">
                  <c:v>12.8407</c:v>
                </c:pt>
                <c:pt idx="45">
                  <c:v>11.0923</c:v>
                </c:pt>
                <c:pt idx="46">
                  <c:v>11.0923</c:v>
                </c:pt>
                <c:pt idx="47">
                  <c:v>11.0923</c:v>
                </c:pt>
                <c:pt idx="48">
                  <c:v>7.94423</c:v>
                </c:pt>
                <c:pt idx="49">
                  <c:v>5.62838</c:v>
                </c:pt>
                <c:pt idx="50">
                  <c:v>4.90353</c:v>
                </c:pt>
                <c:pt idx="51">
                  <c:v>3.4303</c:v>
                </c:pt>
                <c:pt idx="52">
                  <c:v>2.48087</c:v>
                </c:pt>
                <c:pt idx="53">
                  <c:v>2.44822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optics!$H$2</c:f>
              <c:strCache>
                <c:ptCount val="1"/>
                <c:pt idx="0">
                  <c:v>BETY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optics!$C$3:$C$56</c:f>
              <c:numCache>
                <c:ptCount val="5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0.25</c:v>
                </c:pt>
                <c:pt idx="5">
                  <c:v>1.2305</c:v>
                </c:pt>
                <c:pt idx="6">
                  <c:v>2.0695</c:v>
                </c:pt>
                <c:pt idx="7">
                  <c:v>2.3905</c:v>
                </c:pt>
                <c:pt idx="8">
                  <c:v>3.2295</c:v>
                </c:pt>
                <c:pt idx="9">
                  <c:v>4.126</c:v>
                </c:pt>
                <c:pt idx="10">
                  <c:v>4.554</c:v>
                </c:pt>
                <c:pt idx="11">
                  <c:v>4.554</c:v>
                </c:pt>
                <c:pt idx="12">
                  <c:v>4.554</c:v>
                </c:pt>
                <c:pt idx="13">
                  <c:v>4.666</c:v>
                </c:pt>
                <c:pt idx="14">
                  <c:v>5.094</c:v>
                </c:pt>
                <c:pt idx="15">
                  <c:v>7.1</c:v>
                </c:pt>
                <c:pt idx="16">
                  <c:v>7.45</c:v>
                </c:pt>
                <c:pt idx="17">
                  <c:v>7.8</c:v>
                </c:pt>
                <c:pt idx="18">
                  <c:v>8.2</c:v>
                </c:pt>
                <c:pt idx="19">
                  <c:v>8.475</c:v>
                </c:pt>
                <c:pt idx="20">
                  <c:v>8.75</c:v>
                </c:pt>
                <c:pt idx="21">
                  <c:v>8.75</c:v>
                </c:pt>
                <c:pt idx="22">
                  <c:v>8.75</c:v>
                </c:pt>
                <c:pt idx="23">
                  <c:v>8.75</c:v>
                </c:pt>
                <c:pt idx="24">
                  <c:v>11.2735</c:v>
                </c:pt>
                <c:pt idx="25">
                  <c:v>12.1368</c:v>
                </c:pt>
                <c:pt idx="26">
                  <c:v>13.6516</c:v>
                </c:pt>
                <c:pt idx="27">
                  <c:v>14.5238</c:v>
                </c:pt>
                <c:pt idx="28">
                  <c:v>14.5238</c:v>
                </c:pt>
                <c:pt idx="29">
                  <c:v>15.4068</c:v>
                </c:pt>
                <c:pt idx="30">
                  <c:v>16.3972</c:v>
                </c:pt>
                <c:pt idx="31">
                  <c:v>17.4874</c:v>
                </c:pt>
                <c:pt idx="32">
                  <c:v>18.3777</c:v>
                </c:pt>
                <c:pt idx="33">
                  <c:v>21.2537</c:v>
                </c:pt>
                <c:pt idx="34">
                  <c:v>21.2537</c:v>
                </c:pt>
                <c:pt idx="35">
                  <c:v>21.2537</c:v>
                </c:pt>
                <c:pt idx="36">
                  <c:v>21.2537</c:v>
                </c:pt>
                <c:pt idx="37">
                  <c:v>21.5287</c:v>
                </c:pt>
                <c:pt idx="38">
                  <c:v>21.8037</c:v>
                </c:pt>
                <c:pt idx="39">
                  <c:v>22.2037</c:v>
                </c:pt>
                <c:pt idx="40">
                  <c:v>22.5537</c:v>
                </c:pt>
                <c:pt idx="41">
                  <c:v>22.9037</c:v>
                </c:pt>
                <c:pt idx="42">
                  <c:v>24.9097</c:v>
                </c:pt>
                <c:pt idx="43">
                  <c:v>25.3377</c:v>
                </c:pt>
                <c:pt idx="44">
                  <c:v>25.4497</c:v>
                </c:pt>
                <c:pt idx="45">
                  <c:v>25.8777</c:v>
                </c:pt>
                <c:pt idx="46">
                  <c:v>25.8777</c:v>
                </c:pt>
                <c:pt idx="47">
                  <c:v>25.8777</c:v>
                </c:pt>
                <c:pt idx="48">
                  <c:v>26.7742</c:v>
                </c:pt>
                <c:pt idx="49">
                  <c:v>27.6132</c:v>
                </c:pt>
                <c:pt idx="50">
                  <c:v>27.9342</c:v>
                </c:pt>
                <c:pt idx="51">
                  <c:v>28.7732</c:v>
                </c:pt>
                <c:pt idx="52">
                  <c:v>29.7537</c:v>
                </c:pt>
                <c:pt idx="53">
                  <c:v>30.0037</c:v>
                </c:pt>
              </c:numCache>
            </c:numRef>
          </c:xVal>
          <c:yVal>
            <c:numRef>
              <c:f>optics!$H$3:$H$56</c:f>
              <c:numCache>
                <c:ptCount val="54"/>
                <c:pt idx="0">
                  <c:v>12.5989</c:v>
                </c:pt>
                <c:pt idx="1">
                  <c:v>12.5989</c:v>
                </c:pt>
                <c:pt idx="2">
                  <c:v>12.5989</c:v>
                </c:pt>
                <c:pt idx="3">
                  <c:v>12.5989</c:v>
                </c:pt>
                <c:pt idx="4">
                  <c:v>12.5321</c:v>
                </c:pt>
                <c:pt idx="5">
                  <c:v>10.88</c:v>
                </c:pt>
                <c:pt idx="6">
                  <c:v>9.68993</c:v>
                </c:pt>
                <c:pt idx="7">
                  <c:v>9.28916</c:v>
                </c:pt>
                <c:pt idx="8">
                  <c:v>8.38426</c:v>
                </c:pt>
                <c:pt idx="9">
                  <c:v>7.64527</c:v>
                </c:pt>
                <c:pt idx="10">
                  <c:v>7.37552</c:v>
                </c:pt>
                <c:pt idx="11">
                  <c:v>7.37552</c:v>
                </c:pt>
                <c:pt idx="12">
                  <c:v>7.37552</c:v>
                </c:pt>
                <c:pt idx="13">
                  <c:v>7.31379</c:v>
                </c:pt>
                <c:pt idx="14">
                  <c:v>7.11176</c:v>
                </c:pt>
                <c:pt idx="15">
                  <c:v>6.88017</c:v>
                </c:pt>
                <c:pt idx="16">
                  <c:v>7.51279</c:v>
                </c:pt>
                <c:pt idx="17">
                  <c:v>9.48089</c:v>
                </c:pt>
                <c:pt idx="18">
                  <c:v>12.9708</c:v>
                </c:pt>
                <c:pt idx="19">
                  <c:v>14.9612</c:v>
                </c:pt>
                <c:pt idx="20">
                  <c:v>15.5138</c:v>
                </c:pt>
                <c:pt idx="21">
                  <c:v>15.5138</c:v>
                </c:pt>
                <c:pt idx="22">
                  <c:v>15.5138</c:v>
                </c:pt>
                <c:pt idx="23">
                  <c:v>15.5138</c:v>
                </c:pt>
                <c:pt idx="24">
                  <c:v>13.8889</c:v>
                </c:pt>
                <c:pt idx="25">
                  <c:v>13.5543</c:v>
                </c:pt>
                <c:pt idx="26">
                  <c:v>13.1575</c:v>
                </c:pt>
                <c:pt idx="27">
                  <c:v>13.0387</c:v>
                </c:pt>
                <c:pt idx="28">
                  <c:v>13.0387</c:v>
                </c:pt>
                <c:pt idx="29">
                  <c:v>13.0339</c:v>
                </c:pt>
                <c:pt idx="30">
                  <c:v>13.1743</c:v>
                </c:pt>
                <c:pt idx="31">
                  <c:v>13.4437</c:v>
                </c:pt>
                <c:pt idx="32">
                  <c:v>13.7395</c:v>
                </c:pt>
                <c:pt idx="33">
                  <c:v>15.5146</c:v>
                </c:pt>
                <c:pt idx="34">
                  <c:v>15.5146</c:v>
                </c:pt>
                <c:pt idx="35">
                  <c:v>15.5146</c:v>
                </c:pt>
                <c:pt idx="36">
                  <c:v>15.5146</c:v>
                </c:pt>
                <c:pt idx="37">
                  <c:v>14.962</c:v>
                </c:pt>
                <c:pt idx="38">
                  <c:v>12.9714</c:v>
                </c:pt>
                <c:pt idx="39">
                  <c:v>9.48134</c:v>
                </c:pt>
                <c:pt idx="40">
                  <c:v>7.51312</c:v>
                </c:pt>
                <c:pt idx="41">
                  <c:v>6.88045</c:v>
                </c:pt>
                <c:pt idx="42">
                  <c:v>7.11182</c:v>
                </c:pt>
                <c:pt idx="43">
                  <c:v>7.3138</c:v>
                </c:pt>
                <c:pt idx="44">
                  <c:v>7.37551</c:v>
                </c:pt>
                <c:pt idx="45">
                  <c:v>7.64521</c:v>
                </c:pt>
                <c:pt idx="46">
                  <c:v>7.64521</c:v>
                </c:pt>
                <c:pt idx="47">
                  <c:v>7.64521</c:v>
                </c:pt>
                <c:pt idx="48">
                  <c:v>8.38408</c:v>
                </c:pt>
                <c:pt idx="49">
                  <c:v>9.28887</c:v>
                </c:pt>
                <c:pt idx="50">
                  <c:v>9.68959</c:v>
                </c:pt>
                <c:pt idx="51">
                  <c:v>10.8795</c:v>
                </c:pt>
                <c:pt idx="52">
                  <c:v>12.5315</c:v>
                </c:pt>
                <c:pt idx="53">
                  <c:v>12.5982</c:v>
                </c:pt>
              </c:numCache>
            </c:numRef>
          </c:yVal>
          <c:smooth val="1"/>
        </c:ser>
        <c:axId val="62832840"/>
        <c:axId val="28624649"/>
      </c:scatterChart>
      <c:valAx>
        <c:axId val="62832840"/>
        <c:scaling>
          <c:orientation val="minMax"/>
          <c:max val="32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crossAx val="28624649"/>
        <c:crosses val="autoZero"/>
        <c:crossBetween val="midCat"/>
        <c:dispUnits/>
      </c:valAx>
      <c:valAx>
        <c:axId val="2862464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2832840"/>
        <c:crosses val="autoZero"/>
        <c:crossBetween val="midCat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6"/>
  </sheetViews>
  <pageMargins left="0.75" right="0.75" top="1" bottom="1" header="0.5" footer="0.5"/>
  <pageSetup horizontalDpi="600" verticalDpi="6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6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38</xdr:row>
      <xdr:rowOff>152400</xdr:rowOff>
    </xdr:from>
    <xdr:to>
      <xdr:col>11</xdr:col>
      <xdr:colOff>647700</xdr:colOff>
      <xdr:row>62</xdr:row>
      <xdr:rowOff>95250</xdr:rowOff>
    </xdr:to>
    <xdr:graphicFrame>
      <xdr:nvGraphicFramePr>
        <xdr:cNvPr id="1" name="Chart 1"/>
        <xdr:cNvGraphicFramePr/>
      </xdr:nvGraphicFramePr>
      <xdr:xfrm>
        <a:off x="0" y="6858000"/>
        <a:ext cx="8172450" cy="382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48700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48700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48700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9525</xdr:colOff>
      <xdr:row>4</xdr:row>
      <xdr:rowOff>0</xdr:rowOff>
    </xdr:from>
    <xdr:to>
      <xdr:col>24</xdr:col>
      <xdr:colOff>409575</xdr:colOff>
      <xdr:row>21</xdr:row>
      <xdr:rowOff>19050</xdr:rowOff>
    </xdr:to>
    <xdr:graphicFrame>
      <xdr:nvGraphicFramePr>
        <xdr:cNvPr id="1" name="Chart 2"/>
        <xdr:cNvGraphicFramePr/>
      </xdr:nvGraphicFramePr>
      <xdr:xfrm>
        <a:off x="12868275" y="666750"/>
        <a:ext cx="4686300" cy="2771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609600</xdr:colOff>
      <xdr:row>10</xdr:row>
      <xdr:rowOff>95250</xdr:rowOff>
    </xdr:from>
    <xdr:to>
      <xdr:col>13</xdr:col>
      <xdr:colOff>495300</xdr:colOff>
      <xdr:row>24</xdr:row>
      <xdr:rowOff>38100</xdr:rowOff>
    </xdr:to>
    <xdr:graphicFrame>
      <xdr:nvGraphicFramePr>
        <xdr:cNvPr id="1" name="Chart 1"/>
        <xdr:cNvGraphicFramePr/>
      </xdr:nvGraphicFramePr>
      <xdr:xfrm>
        <a:off x="4724400" y="2095500"/>
        <a:ext cx="46863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6"/>
  <sheetViews>
    <sheetView tabSelected="1" workbookViewId="0" topLeftCell="C1">
      <selection activeCell="M43" sqref="M43"/>
    </sheetView>
  </sheetViews>
  <sheetFormatPr defaultColWidth="9.140625" defaultRowHeight="12.75"/>
  <cols>
    <col min="1" max="6" width="10.7109375" style="0" customWidth="1"/>
    <col min="7" max="7" width="5.7109375" style="0" customWidth="1"/>
    <col min="8" max="16384" width="10.7109375" style="0" customWidth="1"/>
  </cols>
  <sheetData>
    <row r="1" spans="1:12" ht="12.75">
      <c r="A1" s="58" t="s">
        <v>174</v>
      </c>
      <c r="J1" s="93" t="s">
        <v>173</v>
      </c>
      <c r="K1" s="94">
        <v>0.7</v>
      </c>
      <c r="L1" s="95" t="s">
        <v>67</v>
      </c>
    </row>
    <row r="2" spans="1:12" ht="12.75">
      <c r="A2" s="58" t="s">
        <v>186</v>
      </c>
      <c r="J2" s="96" t="s">
        <v>172</v>
      </c>
      <c r="K2" s="97">
        <v>0.55</v>
      </c>
      <c r="L2" s="98" t="s">
        <v>67</v>
      </c>
    </row>
    <row r="3" spans="1:12" ht="12.75">
      <c r="A3" s="58" t="s">
        <v>192</v>
      </c>
      <c r="J3" s="96" t="s">
        <v>179</v>
      </c>
      <c r="K3" s="99">
        <v>3.561087</v>
      </c>
      <c r="L3" s="98" t="s">
        <v>66</v>
      </c>
    </row>
    <row r="4" spans="1:12" ht="15">
      <c r="A4" s="61" t="s">
        <v>169</v>
      </c>
      <c r="B4" s="61"/>
      <c r="C4" s="61"/>
      <c r="D4" s="62">
        <v>1.4</v>
      </c>
      <c r="E4" s="61" t="s">
        <v>67</v>
      </c>
      <c r="J4" s="96" t="s">
        <v>180</v>
      </c>
      <c r="K4" s="92">
        <v>-3.838722</v>
      </c>
      <c r="L4" s="98" t="s">
        <v>66</v>
      </c>
    </row>
    <row r="5" spans="1:12" ht="16.5" thickBot="1">
      <c r="A5" s="63" t="s">
        <v>168</v>
      </c>
      <c r="B5" s="63"/>
      <c r="C5" s="63"/>
      <c r="D5" s="64">
        <v>1.1602</v>
      </c>
      <c r="E5" s="63" t="s">
        <v>67</v>
      </c>
      <c r="J5" s="100" t="s">
        <v>68</v>
      </c>
      <c r="K5" s="101">
        <v>5.6575</v>
      </c>
      <c r="L5" s="102"/>
    </row>
    <row r="6" spans="1:10" ht="15">
      <c r="A6" s="61" t="s">
        <v>170</v>
      </c>
      <c r="B6" s="61"/>
      <c r="C6" s="61"/>
      <c r="D6" s="62">
        <v>1.53</v>
      </c>
      <c r="E6" s="61" t="s">
        <v>67</v>
      </c>
      <c r="J6" s="58"/>
    </row>
    <row r="7" spans="1:5" ht="15.75">
      <c r="A7" s="63" t="s">
        <v>171</v>
      </c>
      <c r="B7" s="63"/>
      <c r="C7" s="63"/>
      <c r="D7" s="64">
        <v>0.5398</v>
      </c>
      <c r="E7" s="63" t="s">
        <v>67</v>
      </c>
    </row>
    <row r="9" spans="1:11" ht="18.75" thickBot="1">
      <c r="A9" s="88" t="s">
        <v>50</v>
      </c>
      <c r="H9" s="58" t="s">
        <v>146</v>
      </c>
      <c r="K9" s="58"/>
    </row>
    <row r="10" spans="1:10" ht="13.5" thickBot="1">
      <c r="A10" s="48" t="s">
        <v>0</v>
      </c>
      <c r="B10" s="49" t="s">
        <v>159</v>
      </c>
      <c r="C10" s="49" t="s">
        <v>160</v>
      </c>
      <c r="D10" s="49" t="s">
        <v>165</v>
      </c>
      <c r="E10" s="49" t="s">
        <v>166</v>
      </c>
      <c r="F10" s="49" t="s">
        <v>167</v>
      </c>
      <c r="H10" s="89"/>
      <c r="I10" s="89" t="s">
        <v>175</v>
      </c>
      <c r="J10" s="89" t="s">
        <v>176</v>
      </c>
    </row>
    <row r="11" spans="1:13" ht="13.5" thickBot="1">
      <c r="A11" s="51" t="s">
        <v>52</v>
      </c>
      <c r="B11" s="41">
        <v>0</v>
      </c>
      <c r="C11" s="41">
        <v>0</v>
      </c>
      <c r="D11" s="47">
        <v>0</v>
      </c>
      <c r="E11" s="47">
        <v>0</v>
      </c>
      <c r="F11" s="47">
        <v>0</v>
      </c>
      <c r="H11" s="50" t="s">
        <v>147</v>
      </c>
      <c r="I11" s="46">
        <f>D12</f>
        <v>0</v>
      </c>
      <c r="J11" s="46">
        <f>I11/100*5.6575/0.84</f>
        <v>0</v>
      </c>
      <c r="L11">
        <v>0</v>
      </c>
      <c r="M11">
        <v>0</v>
      </c>
    </row>
    <row r="12" spans="1:13" ht="13.5" thickBot="1">
      <c r="A12" s="50" t="s">
        <v>147</v>
      </c>
      <c r="B12" s="42">
        <f>C12</f>
        <v>1.65</v>
      </c>
      <c r="C12" s="46">
        <f>0.25+D4</f>
        <v>1.65</v>
      </c>
      <c r="D12" s="59">
        <f>1000*ATAN(o_hk2/1000/C13)</f>
        <v>0</v>
      </c>
      <c r="E12" s="47">
        <f>E11+D12</f>
        <v>0</v>
      </c>
      <c r="F12" s="46">
        <v>0</v>
      </c>
      <c r="H12" s="91" t="s">
        <v>148</v>
      </c>
      <c r="I12" s="53">
        <f>D13</f>
        <v>0</v>
      </c>
      <c r="J12" s="53">
        <f>I12/100*5.6575/0.43</f>
        <v>0</v>
      </c>
      <c r="L12">
        <v>0</v>
      </c>
      <c r="M12">
        <v>0</v>
      </c>
    </row>
    <row r="13" spans="1:13" ht="13.5" thickBot="1">
      <c r="A13" s="51" t="s">
        <v>148</v>
      </c>
      <c r="B13" s="41">
        <f aca="true" t="shared" si="0" ref="B13:B22">B12+C13</f>
        <v>4.340199999999999</v>
      </c>
      <c r="C13" s="47">
        <f>D5+D6</f>
        <v>2.6902</v>
      </c>
      <c r="D13" s="60">
        <f>k_hk2-k_hk1</f>
        <v>0</v>
      </c>
      <c r="E13" s="47">
        <f>-q_qdc-D14</f>
        <v>0</v>
      </c>
      <c r="F13" s="47">
        <f>o_qfc-1000*C14*TAN(k_hk2/1000)</f>
        <v>0</v>
      </c>
      <c r="L13">
        <v>25.947342312116053</v>
      </c>
      <c r="M13">
        <v>25.947342312116053</v>
      </c>
    </row>
    <row r="14" spans="1:13" ht="13.5" thickBot="1">
      <c r="A14" s="51" t="s">
        <v>161</v>
      </c>
      <c r="B14" s="41">
        <v>7.45</v>
      </c>
      <c r="C14" s="41">
        <f>s_qfc-s_hk2</f>
        <v>3.109800000000001</v>
      </c>
      <c r="D14" s="47">
        <f>(-K_1*o_qfc*L_1)/Brho</f>
        <v>0</v>
      </c>
      <c r="E14" s="47">
        <f aca="true" t="shared" si="1" ref="E14:E23">E13+D14</f>
        <v>0</v>
      </c>
      <c r="F14" s="56">
        <f>o_qdc+q_qdc*1.025</f>
        <v>0</v>
      </c>
      <c r="H14" s="58" t="s">
        <v>177</v>
      </c>
      <c r="I14" s="57"/>
      <c r="L14">
        <v>55.30060646928855</v>
      </c>
      <c r="M14">
        <v>55.30060646928855</v>
      </c>
    </row>
    <row r="15" spans="1:13" ht="13.5" thickBot="1">
      <c r="A15" s="51" t="s">
        <v>162</v>
      </c>
      <c r="B15" s="41">
        <f t="shared" si="0"/>
        <v>8.475</v>
      </c>
      <c r="C15" s="41">
        <f>0.35+0.4+0.275</f>
        <v>1.025</v>
      </c>
      <c r="D15" s="47">
        <f>(-K_2*o_qdc*L_2)/Brho</f>
        <v>0</v>
      </c>
      <c r="E15" s="47">
        <f t="shared" si="1"/>
        <v>0</v>
      </c>
      <c r="F15" s="54">
        <v>0</v>
      </c>
      <c r="H15" s="89"/>
      <c r="I15" s="89" t="s">
        <v>175</v>
      </c>
      <c r="L15">
        <v>40</v>
      </c>
      <c r="M15">
        <v>40</v>
      </c>
    </row>
    <row r="16" spans="1:13" ht="13.5" thickBot="1">
      <c r="A16" s="51" t="s">
        <v>155</v>
      </c>
      <c r="B16" s="41">
        <f t="shared" si="0"/>
        <v>11.705</v>
      </c>
      <c r="C16" s="41">
        <f>3.23</f>
        <v>3.23</v>
      </c>
      <c r="D16" s="47">
        <f>1000*ATAN(100/(C17*1000))</f>
        <v>41.974491601248666</v>
      </c>
      <c r="E16" s="47">
        <f t="shared" si="1"/>
        <v>41.974491601248666</v>
      </c>
      <c r="F16" s="47">
        <f aca="true" t="shared" si="2" ref="F16:F23">(C16)*TAN(E15/1000)*1000+F15</f>
        <v>0</v>
      </c>
      <c r="H16" s="50" t="s">
        <v>161</v>
      </c>
      <c r="I16" s="46">
        <f>D14</f>
        <v>0</v>
      </c>
      <c r="L16">
        <v>40</v>
      </c>
      <c r="M16">
        <v>40</v>
      </c>
    </row>
    <row r="17" spans="1:13" ht="13.5" thickBot="1">
      <c r="A17" s="51" t="s">
        <v>156</v>
      </c>
      <c r="B17" s="41">
        <f t="shared" si="0"/>
        <v>14.086</v>
      </c>
      <c r="C17" s="41">
        <f>2.381</f>
        <v>2.381</v>
      </c>
      <c r="D17" s="47">
        <f>-D16-4.2</f>
        <v>-46.17449160124867</v>
      </c>
      <c r="E17" s="54">
        <f t="shared" si="1"/>
        <v>-4.200000000000003</v>
      </c>
      <c r="F17" s="56">
        <f t="shared" si="2"/>
        <v>99.99999999999999</v>
      </c>
      <c r="H17" s="91" t="s">
        <v>162</v>
      </c>
      <c r="I17" s="53">
        <f>q_qdc</f>
        <v>0</v>
      </c>
      <c r="L17">
        <v>140</v>
      </c>
      <c r="M17">
        <v>140</v>
      </c>
    </row>
    <row r="18" spans="1:13" ht="13.5" thickBot="1">
      <c r="A18" s="51" t="s">
        <v>157</v>
      </c>
      <c r="B18" s="41">
        <f t="shared" si="0"/>
        <v>15.9</v>
      </c>
      <c r="C18" s="41">
        <f>1.814</f>
        <v>1.814</v>
      </c>
      <c r="D18" s="47">
        <f>-(D16+D17+D19)</f>
        <v>-41.29896432144109</v>
      </c>
      <c r="E18" s="47">
        <f t="shared" si="1"/>
        <v>-45.49896432144109</v>
      </c>
      <c r="F18" s="47">
        <f t="shared" si="2"/>
        <v>92.38115520113988</v>
      </c>
      <c r="L18">
        <v>132.3811552011399</v>
      </c>
      <c r="M18">
        <v>132.3811552011399</v>
      </c>
    </row>
    <row r="19" spans="1:13" ht="13.5" thickBot="1">
      <c r="A19" s="51" t="s">
        <v>158</v>
      </c>
      <c r="B19" s="41">
        <f t="shared" si="0"/>
        <v>17.929000000000002</v>
      </c>
      <c r="C19" s="41">
        <f>2.029</f>
        <v>2.029</v>
      </c>
      <c r="D19" s="47">
        <f>1000*ATAN((100-o_bnd2+o_bnd3)/(1000*C19))</f>
        <v>45.49896432144109</v>
      </c>
      <c r="E19" s="47">
        <f t="shared" si="1"/>
        <v>0</v>
      </c>
      <c r="F19" s="47">
        <f t="shared" si="2"/>
        <v>0</v>
      </c>
      <c r="H19" s="58" t="s">
        <v>178</v>
      </c>
      <c r="I19" s="57"/>
      <c r="L19">
        <v>40</v>
      </c>
      <c r="M19">
        <v>40</v>
      </c>
    </row>
    <row r="20" spans="1:13" ht="13.5" thickBot="1">
      <c r="A20" s="51" t="s">
        <v>163</v>
      </c>
      <c r="B20" s="41">
        <f t="shared" si="0"/>
        <v>21.525000000000002</v>
      </c>
      <c r="C20" s="41">
        <f>3.596</f>
        <v>3.596</v>
      </c>
      <c r="D20" s="47">
        <f>D15</f>
        <v>0</v>
      </c>
      <c r="E20" s="47">
        <f t="shared" si="1"/>
        <v>0</v>
      </c>
      <c r="F20" s="47">
        <f t="shared" si="2"/>
        <v>0</v>
      </c>
      <c r="H20" s="89"/>
      <c r="I20" s="89" t="s">
        <v>175</v>
      </c>
      <c r="L20">
        <v>40</v>
      </c>
      <c r="M20">
        <v>40</v>
      </c>
    </row>
    <row r="21" spans="1:13" ht="13.5" thickBot="1">
      <c r="A21" s="51" t="s">
        <v>164</v>
      </c>
      <c r="B21" s="41">
        <f t="shared" si="0"/>
        <v>22.55</v>
      </c>
      <c r="C21" s="41">
        <f>0.275+0.4+0.35</f>
        <v>1.025</v>
      </c>
      <c r="D21" s="47">
        <f>D14</f>
        <v>0</v>
      </c>
      <c r="E21" s="47">
        <f t="shared" si="1"/>
        <v>0</v>
      </c>
      <c r="F21" s="47">
        <f t="shared" si="2"/>
        <v>0</v>
      </c>
      <c r="H21" s="50" t="s">
        <v>155</v>
      </c>
      <c r="I21" s="46">
        <f>D16</f>
        <v>41.974491601248666</v>
      </c>
      <c r="L21">
        <v>55.30174303790849</v>
      </c>
      <c r="M21">
        <v>55.30174303790849</v>
      </c>
    </row>
    <row r="22" spans="1:13" ht="13.5" thickBot="1">
      <c r="A22" s="51" t="s">
        <v>152</v>
      </c>
      <c r="B22" s="41">
        <f t="shared" si="0"/>
        <v>25.6598</v>
      </c>
      <c r="C22" s="41">
        <f>C14</f>
        <v>3.109800000000001</v>
      </c>
      <c r="D22" s="47">
        <f>D13</f>
        <v>0</v>
      </c>
      <c r="E22" s="47">
        <f t="shared" si="1"/>
        <v>0</v>
      </c>
      <c r="F22" s="47">
        <f t="shared" si="2"/>
        <v>0</v>
      </c>
      <c r="H22" s="50" t="s">
        <v>156</v>
      </c>
      <c r="I22" s="46">
        <f>D17</f>
        <v>-46.17449160124867</v>
      </c>
      <c r="L22">
        <v>25.948478880735987</v>
      </c>
      <c r="M22">
        <v>25.948478880735987</v>
      </c>
    </row>
    <row r="23" spans="1:13" ht="13.5" thickBot="1">
      <c r="A23" s="51" t="s">
        <v>153</v>
      </c>
      <c r="B23" s="41">
        <f>B22+C23</f>
        <v>28.35</v>
      </c>
      <c r="C23" s="41">
        <f>C13</f>
        <v>2.6902</v>
      </c>
      <c r="D23" s="47">
        <f>D12</f>
        <v>0</v>
      </c>
      <c r="E23" s="47">
        <f t="shared" si="1"/>
        <v>0</v>
      </c>
      <c r="F23" s="47">
        <f t="shared" si="2"/>
        <v>0</v>
      </c>
      <c r="H23" s="50" t="s">
        <v>157</v>
      </c>
      <c r="I23" s="46">
        <f>D18</f>
        <v>-41.29896432144109</v>
      </c>
      <c r="J23" s="58"/>
      <c r="L23">
        <v>0.0011365686199376057</v>
      </c>
      <c r="M23">
        <v>0.0011365686199376057</v>
      </c>
    </row>
    <row r="24" spans="1:13" ht="13.5" thickBot="1">
      <c r="A24" s="51" t="s">
        <v>53</v>
      </c>
      <c r="B24" s="41">
        <f>B23+C24</f>
        <v>30</v>
      </c>
      <c r="C24" s="41">
        <f>C12</f>
        <v>1.65</v>
      </c>
      <c r="D24" s="47">
        <v>0</v>
      </c>
      <c r="E24" s="47">
        <v>0</v>
      </c>
      <c r="F24" s="47">
        <v>0</v>
      </c>
      <c r="H24" s="91" t="s">
        <v>158</v>
      </c>
      <c r="I24" s="53">
        <f>D19</f>
        <v>45.49896432144109</v>
      </c>
      <c r="L24">
        <v>0</v>
      </c>
      <c r="M24">
        <v>0</v>
      </c>
    </row>
    <row r="25" spans="6:9" ht="13.5" thickBot="1">
      <c r="F25" s="56"/>
      <c r="I25" s="57"/>
    </row>
    <row r="26" spans="1:10" ht="18.75" thickBot="1">
      <c r="A26" s="88" t="s">
        <v>51</v>
      </c>
      <c r="I26" s="87"/>
      <c r="J26" s="58"/>
    </row>
    <row r="27" spans="1:9" ht="13.5" thickBot="1">
      <c r="A27" s="43" t="s">
        <v>0</v>
      </c>
      <c r="B27" s="49" t="s">
        <v>159</v>
      </c>
      <c r="C27" s="49" t="s">
        <v>160</v>
      </c>
      <c r="D27" s="49" t="s">
        <v>165</v>
      </c>
      <c r="E27" s="49" t="s">
        <v>166</v>
      </c>
      <c r="F27" s="49" t="s">
        <v>167</v>
      </c>
      <c r="H27" s="58" t="s">
        <v>146</v>
      </c>
      <c r="I27" s="57"/>
    </row>
    <row r="28" spans="1:10" ht="13.5" thickBot="1">
      <c r="A28" s="44" t="s">
        <v>52</v>
      </c>
      <c r="B28" s="41">
        <v>0</v>
      </c>
      <c r="C28" s="41">
        <v>0</v>
      </c>
      <c r="D28" s="47">
        <v>0</v>
      </c>
      <c r="E28" s="47">
        <v>0</v>
      </c>
      <c r="F28" s="47">
        <v>0</v>
      </c>
      <c r="H28" s="89"/>
      <c r="I28" s="89" t="s">
        <v>175</v>
      </c>
      <c r="J28" s="90" t="s">
        <v>176</v>
      </c>
    </row>
    <row r="29" spans="1:10" ht="13.5" thickBot="1">
      <c r="A29" s="44" t="s">
        <v>149</v>
      </c>
      <c r="B29" s="41">
        <f>B28+C29</f>
        <v>2.8102</v>
      </c>
      <c r="C29" s="46">
        <f>0.25+D4+D5</f>
        <v>2.8102</v>
      </c>
      <c r="D29" s="59">
        <f>1000*ATAN(o_vk2/1000/C30)</f>
        <v>-7.947678894030114</v>
      </c>
      <c r="E29" s="47">
        <f>E28+D29</f>
        <v>-7.947678894030114</v>
      </c>
      <c r="F29" s="46">
        <v>0</v>
      </c>
      <c r="H29" s="50" t="s">
        <v>149</v>
      </c>
      <c r="I29" s="46">
        <f>D29</f>
        <v>-7.947678894030114</v>
      </c>
      <c r="J29" s="46">
        <f>I29/100*5.6575/0.84</f>
        <v>-0.535285635035421</v>
      </c>
    </row>
    <row r="30" spans="1:10" ht="13.5" thickBot="1">
      <c r="A30" s="44" t="s">
        <v>150</v>
      </c>
      <c r="B30" s="41">
        <f>B29+C30</f>
        <v>4.88</v>
      </c>
      <c r="C30" s="47">
        <f>D6+D7</f>
        <v>2.0698</v>
      </c>
      <c r="D30" s="60">
        <f>k_vk2-k_vk1</f>
        <v>3.296411170359468</v>
      </c>
      <c r="E30" s="47">
        <f>-D32-D31</f>
        <v>-4.651267723670646</v>
      </c>
      <c r="F30" s="47">
        <f>o_qfcv-1000*C31*TAN(k_vk2/1000)</f>
        <v>-16.450452143881</v>
      </c>
      <c r="H30" s="91" t="s">
        <v>150</v>
      </c>
      <c r="I30" s="53">
        <f>D30</f>
        <v>3.296411170359468</v>
      </c>
      <c r="J30" s="53">
        <f>I30/100*5.6575/0.43</f>
        <v>0.43370805107694627</v>
      </c>
    </row>
    <row r="31" spans="1:11" ht="13.5" thickBot="1">
      <c r="A31" s="44" t="s">
        <v>161</v>
      </c>
      <c r="B31" s="41">
        <f>7.45</f>
        <v>7.45</v>
      </c>
      <c r="C31" s="41">
        <f>B31-s_vk2</f>
        <v>2.5700000000000003</v>
      </c>
      <c r="D31" s="47">
        <f>(K_1*o_qfcv*L_1)/Brho</f>
        <v>-12.515266363823834</v>
      </c>
      <c r="E31" s="47">
        <f>-D32</f>
        <v>-17.16653408749448</v>
      </c>
      <c r="F31" s="56">
        <f>o_qdcv+1000*D32*TAN(C32/1000)</f>
        <v>-28.404296398155694</v>
      </c>
      <c r="K31" s="58"/>
    </row>
    <row r="32" spans="1:9" ht="13.5" thickBot="1">
      <c r="A32" s="44" t="s">
        <v>162</v>
      </c>
      <c r="B32" s="41">
        <f aca="true" t="shared" si="3" ref="B32:B37">B31+C32</f>
        <v>8.475</v>
      </c>
      <c r="C32" s="41">
        <f>0.35+0.4+0.275</f>
        <v>1.025</v>
      </c>
      <c r="D32" s="47">
        <f>(K_2*o_qdcv*L_2)/Brho</f>
        <v>17.16653408749448</v>
      </c>
      <c r="E32" s="47">
        <v>0</v>
      </c>
      <c r="F32" s="54">
        <v>-46</v>
      </c>
      <c r="H32" s="58" t="s">
        <v>177</v>
      </c>
      <c r="I32" s="87"/>
    </row>
    <row r="33" spans="1:9" ht="13.5" thickBot="1">
      <c r="A33" s="44" t="s">
        <v>163</v>
      </c>
      <c r="B33" s="41">
        <f t="shared" si="3"/>
        <v>21.525</v>
      </c>
      <c r="C33" s="41">
        <v>13.05</v>
      </c>
      <c r="D33" s="47">
        <f>D32</f>
        <v>17.16653408749448</v>
      </c>
      <c r="E33" s="47">
        <f>E32+D33</f>
        <v>17.16653408749448</v>
      </c>
      <c r="F33" s="47">
        <f>-(C33)*TAN(E32/1000)*1000+F32</f>
        <v>-46</v>
      </c>
      <c r="H33" s="89"/>
      <c r="I33" s="89" t="s">
        <v>175</v>
      </c>
    </row>
    <row r="34" spans="1:10" ht="13.5" thickBot="1">
      <c r="A34" s="44" t="s">
        <v>164</v>
      </c>
      <c r="B34" s="41">
        <f>B33+C34</f>
        <v>22.549999999999997</v>
      </c>
      <c r="C34" s="41">
        <f>0.275+0.4+0.35</f>
        <v>1.025</v>
      </c>
      <c r="D34" s="47">
        <f>D31</f>
        <v>-12.515266363823834</v>
      </c>
      <c r="E34" s="47">
        <f>E33+D34</f>
        <v>4.651267723670646</v>
      </c>
      <c r="F34" s="47">
        <f>(C34)*TAN(E33/1000)*1000+F33</f>
        <v>-28.402573931824694</v>
      </c>
      <c r="H34" s="50" t="s">
        <v>161</v>
      </c>
      <c r="I34" s="46">
        <f>D31</f>
        <v>-12.515266363823834</v>
      </c>
      <c r="J34" s="58"/>
    </row>
    <row r="35" spans="1:9" ht="13.5" thickBot="1">
      <c r="A35" s="44" t="s">
        <v>154</v>
      </c>
      <c r="B35" s="41">
        <f t="shared" si="3"/>
        <v>25.119999999999997</v>
      </c>
      <c r="C35" s="41">
        <f>C31</f>
        <v>2.5700000000000003</v>
      </c>
      <c r="D35" s="47">
        <f>D30</f>
        <v>3.296411170359468</v>
      </c>
      <c r="E35" s="47">
        <f>E34+D35</f>
        <v>7.947678894030114</v>
      </c>
      <c r="F35" s="47">
        <f>(C35)*TAN(E34/1000)*1000+F34</f>
        <v>-16.448729677550006</v>
      </c>
      <c r="H35" s="91" t="s">
        <v>162</v>
      </c>
      <c r="I35" s="53">
        <f>D32</f>
        <v>17.16653408749448</v>
      </c>
    </row>
    <row r="36" spans="1:11" ht="13.5" thickBot="1">
      <c r="A36" s="44" t="s">
        <v>151</v>
      </c>
      <c r="B36" s="41">
        <f t="shared" si="3"/>
        <v>27.189799999999998</v>
      </c>
      <c r="C36" s="41">
        <f>C30</f>
        <v>2.0698</v>
      </c>
      <c r="D36" s="47">
        <f>D29</f>
        <v>-7.947678894030114</v>
      </c>
      <c r="E36" s="47">
        <f>E35+D36</f>
        <v>0</v>
      </c>
      <c r="F36" s="47">
        <f>(C36)*TAN(E35/1000)*1000+F35</f>
        <v>0.001722466330996042</v>
      </c>
      <c r="H36" s="58"/>
      <c r="I36" s="58"/>
      <c r="K36" s="58"/>
    </row>
    <row r="37" spans="1:6" ht="13.5" thickBot="1">
      <c r="A37" s="44" t="s">
        <v>53</v>
      </c>
      <c r="B37" s="41">
        <f t="shared" si="3"/>
        <v>30</v>
      </c>
      <c r="C37" s="41">
        <f>C29</f>
        <v>2.8102</v>
      </c>
      <c r="D37" s="47">
        <v>0</v>
      </c>
      <c r="E37" s="47">
        <f>E36+D37</f>
        <v>0</v>
      </c>
      <c r="F37" s="47">
        <f>(C37)*TAN(E36/1000)*1000+F36</f>
        <v>0.001722466330996042</v>
      </c>
    </row>
    <row r="38" spans="1:4" ht="12.75">
      <c r="A38" s="45" t="s">
        <v>11</v>
      </c>
      <c r="B38" s="45">
        <v>480</v>
      </c>
      <c r="C38" s="45"/>
      <c r="D38" s="57"/>
    </row>
    <row r="64" spans="1:3" ht="12.75">
      <c r="A64" s="117"/>
      <c r="C64" s="118"/>
    </row>
    <row r="65" spans="1:4" ht="12.75">
      <c r="A65" s="117" t="s">
        <v>193</v>
      </c>
      <c r="C65" s="118">
        <v>0</v>
      </c>
      <c r="D65">
        <v>-100</v>
      </c>
    </row>
    <row r="66" spans="1:4" ht="12.75">
      <c r="A66" s="117"/>
      <c r="C66" s="118">
        <v>0</v>
      </c>
      <c r="D66">
        <v>100</v>
      </c>
    </row>
    <row r="67" spans="1:4" ht="12.75">
      <c r="A67" s="117"/>
      <c r="C67" s="118">
        <v>0.25</v>
      </c>
      <c r="D67">
        <v>100</v>
      </c>
    </row>
    <row r="68" spans="1:4" ht="12.75">
      <c r="A68" s="117"/>
      <c r="C68" s="118">
        <v>0.25</v>
      </c>
      <c r="D68">
        <v>-100</v>
      </c>
    </row>
    <row r="69" spans="1:4" ht="12.75">
      <c r="A69" s="119" t="s">
        <v>147</v>
      </c>
      <c r="B69">
        <v>0.84</v>
      </c>
      <c r="C69" s="120">
        <f>s_hk1-B69/2</f>
        <v>1.23</v>
      </c>
      <c r="D69">
        <v>-70</v>
      </c>
    </row>
    <row r="70" spans="3:4" ht="12.75">
      <c r="C70">
        <f>C69</f>
        <v>1.23</v>
      </c>
      <c r="D70">
        <v>70</v>
      </c>
    </row>
    <row r="71" spans="3:4" ht="12.75">
      <c r="C71" s="120">
        <f>s_hk1+B69/2</f>
        <v>2.07</v>
      </c>
      <c r="D71">
        <v>70</v>
      </c>
    </row>
    <row r="72" spans="3:4" ht="12.75">
      <c r="C72" s="120">
        <f>C71</f>
        <v>2.07</v>
      </c>
      <c r="D72">
        <v>-70</v>
      </c>
    </row>
    <row r="73" spans="1:4" ht="12.75">
      <c r="A73" s="119" t="s">
        <v>149</v>
      </c>
      <c r="B73" s="120">
        <v>0.84</v>
      </c>
      <c r="C73" s="120">
        <f>s_vk1-B73/2</f>
        <v>2.3902</v>
      </c>
      <c r="D73">
        <v>-70</v>
      </c>
    </row>
    <row r="74" spans="1:4" ht="12.75">
      <c r="A74" s="119"/>
      <c r="B74" s="120"/>
      <c r="C74" s="120">
        <f>C73</f>
        <v>2.3902</v>
      </c>
      <c r="D74">
        <v>70</v>
      </c>
    </row>
    <row r="75" spans="1:4" ht="12.75">
      <c r="A75" s="119"/>
      <c r="B75" s="120"/>
      <c r="C75" s="120">
        <f>s_vk1+B73/2</f>
        <v>3.2302</v>
      </c>
      <c r="D75">
        <v>70</v>
      </c>
    </row>
    <row r="76" spans="3:4" ht="12.75">
      <c r="C76">
        <f>C75</f>
        <v>3.2302</v>
      </c>
      <c r="D76">
        <v>-70</v>
      </c>
    </row>
    <row r="77" spans="1:4" ht="12.75">
      <c r="A77" s="121" t="s">
        <v>148</v>
      </c>
      <c r="B77" s="120">
        <v>0.43</v>
      </c>
      <c r="C77" s="120">
        <f>s_hk2-B77/2</f>
        <v>4.1251999999999995</v>
      </c>
      <c r="D77">
        <v>-90</v>
      </c>
    </row>
    <row r="78" spans="1:4" ht="12.75">
      <c r="A78" s="121"/>
      <c r="B78" s="120"/>
      <c r="C78" s="120">
        <f>C77</f>
        <v>4.1251999999999995</v>
      </c>
      <c r="D78">
        <v>90</v>
      </c>
    </row>
    <row r="79" spans="3:4" ht="12.75">
      <c r="C79" s="120">
        <f>s_hk2+B77/2</f>
        <v>4.555199999999999</v>
      </c>
      <c r="D79">
        <v>90</v>
      </c>
    </row>
    <row r="80" spans="3:4" ht="12.75">
      <c r="C80" s="120">
        <f>C79</f>
        <v>4.555199999999999</v>
      </c>
      <c r="D80">
        <v>-90</v>
      </c>
    </row>
    <row r="81" spans="1:4" ht="12.75">
      <c r="A81" s="119" t="s">
        <v>150</v>
      </c>
      <c r="B81" s="120">
        <v>0.43</v>
      </c>
      <c r="C81" s="120">
        <f>s_vk2-B81/2</f>
        <v>4.665</v>
      </c>
      <c r="D81">
        <v>-90</v>
      </c>
    </row>
    <row r="82" spans="1:4" ht="12.75">
      <c r="A82" s="119"/>
      <c r="B82" s="120"/>
      <c r="C82" s="120">
        <f>C81</f>
        <v>4.665</v>
      </c>
      <c r="D82">
        <v>90</v>
      </c>
    </row>
    <row r="83" spans="3:4" ht="12.75">
      <c r="C83" s="120">
        <f>s_vk2+B81/2</f>
        <v>5.095</v>
      </c>
      <c r="D83">
        <v>90</v>
      </c>
    </row>
    <row r="84" spans="3:4" ht="12.75">
      <c r="C84" s="120">
        <f>C83</f>
        <v>5.095</v>
      </c>
      <c r="D84">
        <v>-90</v>
      </c>
    </row>
    <row r="85" spans="1:4" ht="12.75">
      <c r="A85" s="121" t="s">
        <v>161</v>
      </c>
      <c r="B85" s="120">
        <v>0.7</v>
      </c>
      <c r="C85" s="120">
        <f>s_qfc-B85/2</f>
        <v>7.1000000000000005</v>
      </c>
      <c r="D85">
        <v>-150</v>
      </c>
    </row>
    <row r="86" spans="1:4" ht="12.75">
      <c r="A86" s="121"/>
      <c r="B86" s="120"/>
      <c r="C86" s="120">
        <f>C85</f>
        <v>7.1000000000000005</v>
      </c>
      <c r="D86">
        <v>150</v>
      </c>
    </row>
    <row r="87" spans="3:4" ht="12.75">
      <c r="C87" s="120">
        <f>s_qfc+B85/2</f>
        <v>7.8</v>
      </c>
      <c r="D87">
        <v>150</v>
      </c>
    </row>
    <row r="88" spans="3:4" ht="12.75">
      <c r="C88" s="120">
        <f>C87</f>
        <v>7.8</v>
      </c>
      <c r="D88">
        <v>-150</v>
      </c>
    </row>
    <row r="89" spans="1:4" ht="12.75">
      <c r="A89" s="121" t="s">
        <v>162</v>
      </c>
      <c r="B89" s="120">
        <v>0.55</v>
      </c>
      <c r="C89" s="120">
        <f>s_qdc-B89/2</f>
        <v>8.2</v>
      </c>
      <c r="D89">
        <v>-150</v>
      </c>
    </row>
    <row r="90" spans="1:4" ht="12.75">
      <c r="A90" s="121"/>
      <c r="B90" s="120"/>
      <c r="C90" s="120">
        <f>C89</f>
        <v>8.2</v>
      </c>
      <c r="D90">
        <v>150</v>
      </c>
    </row>
    <row r="91" spans="3:4" ht="12.75">
      <c r="C91" s="120">
        <f>s_qdc+B89/2</f>
        <v>8.75</v>
      </c>
      <c r="D91">
        <v>150</v>
      </c>
    </row>
    <row r="92" spans="3:4" ht="12.75">
      <c r="C92" s="120">
        <f>C91</f>
        <v>8.75</v>
      </c>
      <c r="D92">
        <v>-150</v>
      </c>
    </row>
    <row r="93" spans="1:4" ht="12.75">
      <c r="A93" s="121" t="s">
        <v>155</v>
      </c>
      <c r="B93" s="120">
        <v>0.875</v>
      </c>
      <c r="C93" s="120">
        <f>s_bnd1-B93/2</f>
        <v>11.2675</v>
      </c>
      <c r="D93">
        <v>-80</v>
      </c>
    </row>
    <row r="94" spans="1:4" ht="12.75">
      <c r="A94" s="121"/>
      <c r="B94" s="120"/>
      <c r="C94" s="120">
        <f>C93</f>
        <v>11.2675</v>
      </c>
      <c r="D94">
        <v>100</v>
      </c>
    </row>
    <row r="95" spans="3:4" ht="12.75">
      <c r="C95" s="120">
        <f>s_bnd1+B93/2</f>
        <v>12.1425</v>
      </c>
      <c r="D95">
        <v>100</v>
      </c>
    </row>
    <row r="96" spans="3:4" ht="12.75">
      <c r="C96" s="120">
        <f>C95</f>
        <v>12.1425</v>
      </c>
      <c r="D96">
        <v>-80</v>
      </c>
    </row>
    <row r="97" spans="1:4" ht="12.75">
      <c r="A97" s="121" t="s">
        <v>156</v>
      </c>
      <c r="B97" s="120">
        <v>0.874</v>
      </c>
      <c r="C97" s="120">
        <f>s_bnd2-B97/2</f>
        <v>13.649000000000001</v>
      </c>
      <c r="D97">
        <v>0</v>
      </c>
    </row>
    <row r="98" spans="1:4" ht="12.75">
      <c r="A98" s="121"/>
      <c r="B98" s="120"/>
      <c r="C98" s="120">
        <f>C97</f>
        <v>13.649000000000001</v>
      </c>
      <c r="D98">
        <v>170</v>
      </c>
    </row>
    <row r="99" spans="3:4" ht="12.75">
      <c r="C99" s="120">
        <f>s_bnd2+B97/2</f>
        <v>14.523</v>
      </c>
      <c r="D99">
        <v>170</v>
      </c>
    </row>
    <row r="100" spans="3:4" ht="12.75">
      <c r="C100" s="120">
        <f>C99</f>
        <v>14.523</v>
      </c>
      <c r="D100">
        <v>0</v>
      </c>
    </row>
    <row r="101" spans="1:4" ht="12.75">
      <c r="A101" s="121" t="s">
        <v>157</v>
      </c>
      <c r="B101" s="120">
        <v>0.99</v>
      </c>
      <c r="C101" s="120">
        <f>s_bnd3-B101/2</f>
        <v>15.405000000000001</v>
      </c>
      <c r="D101">
        <v>-30</v>
      </c>
    </row>
    <row r="102" spans="1:4" ht="12.75">
      <c r="A102" s="121"/>
      <c r="B102" s="120"/>
      <c r="C102" s="120">
        <f>C101</f>
        <v>15.405000000000001</v>
      </c>
      <c r="D102">
        <v>190</v>
      </c>
    </row>
    <row r="103" spans="3:4" ht="12.75">
      <c r="C103" s="120">
        <f>s_bnd3+B101/2</f>
        <v>16.395</v>
      </c>
      <c r="D103">
        <v>190</v>
      </c>
    </row>
    <row r="104" spans="3:4" ht="12.75">
      <c r="C104" s="120">
        <f>C103</f>
        <v>16.395</v>
      </c>
      <c r="D104">
        <v>-30</v>
      </c>
    </row>
    <row r="105" spans="1:4" ht="12.75">
      <c r="A105" s="121" t="s">
        <v>158</v>
      </c>
      <c r="B105" s="120">
        <v>0.905</v>
      </c>
      <c r="C105" s="120">
        <f>s_bnd4-B105/2</f>
        <v>17.4765</v>
      </c>
      <c r="D105">
        <v>-30</v>
      </c>
    </row>
    <row r="106" spans="1:4" ht="12.75">
      <c r="A106" s="121"/>
      <c r="B106" s="120"/>
      <c r="C106" s="120">
        <f>C105</f>
        <v>17.4765</v>
      </c>
      <c r="D106">
        <v>290</v>
      </c>
    </row>
    <row r="107" spans="3:4" ht="12.75">
      <c r="C107" s="120">
        <f>s_bnd4+B105/2</f>
        <v>18.381500000000003</v>
      </c>
      <c r="D107">
        <v>290</v>
      </c>
    </row>
    <row r="108" spans="3:4" ht="12.75">
      <c r="C108" s="120">
        <f>C107</f>
        <v>18.381500000000003</v>
      </c>
      <c r="D108">
        <v>-30</v>
      </c>
    </row>
    <row r="109" spans="1:4" ht="12.75">
      <c r="A109" s="121" t="s">
        <v>163</v>
      </c>
      <c r="B109" s="120">
        <v>0.55</v>
      </c>
      <c r="C109" s="120">
        <f>s_qdc2-B109/2</f>
        <v>21.250000000000004</v>
      </c>
      <c r="D109">
        <v>-150</v>
      </c>
    </row>
    <row r="110" spans="1:4" ht="12.75">
      <c r="A110" s="121"/>
      <c r="B110" s="120"/>
      <c r="C110" s="120">
        <f>C109</f>
        <v>21.250000000000004</v>
      </c>
      <c r="D110">
        <v>150</v>
      </c>
    </row>
    <row r="111" spans="3:4" ht="12.75">
      <c r="C111" s="120">
        <f>s_qdc2+B109/2</f>
        <v>21.8</v>
      </c>
      <c r="D111">
        <v>150</v>
      </c>
    </row>
    <row r="112" spans="3:4" ht="12.75">
      <c r="C112" s="120">
        <f>C111</f>
        <v>21.8</v>
      </c>
      <c r="D112">
        <v>-150</v>
      </c>
    </row>
    <row r="113" spans="1:4" ht="12.75">
      <c r="A113" s="121" t="s">
        <v>164</v>
      </c>
      <c r="B113" s="120">
        <v>0.7</v>
      </c>
      <c r="C113" s="120">
        <f>s_qfc2-B113/2</f>
        <v>22.2</v>
      </c>
      <c r="D113">
        <v>-150</v>
      </c>
    </row>
    <row r="114" spans="1:4" ht="12.75">
      <c r="A114" s="121"/>
      <c r="B114" s="120"/>
      <c r="C114" s="120">
        <f>C113</f>
        <v>22.2</v>
      </c>
      <c r="D114">
        <v>150</v>
      </c>
    </row>
    <row r="115" spans="3:4" ht="12.75">
      <c r="C115" s="120">
        <f>s_qfc2+B113/2</f>
        <v>22.900000000000002</v>
      </c>
      <c r="D115">
        <v>150</v>
      </c>
    </row>
    <row r="116" spans="3:4" ht="12.75">
      <c r="C116" s="120">
        <f>C115</f>
        <v>22.900000000000002</v>
      </c>
      <c r="D116">
        <v>-150</v>
      </c>
    </row>
    <row r="117" spans="1:4" ht="12.75">
      <c r="A117" s="121" t="s">
        <v>154</v>
      </c>
      <c r="B117" s="120">
        <v>0.43</v>
      </c>
      <c r="C117" s="120">
        <f>s_vk22-B117/2</f>
        <v>24.904999999999998</v>
      </c>
      <c r="D117">
        <v>-90</v>
      </c>
    </row>
    <row r="118" spans="1:4" ht="12.75">
      <c r="A118" s="121"/>
      <c r="B118" s="120"/>
      <c r="C118" s="120">
        <f>C117</f>
        <v>24.904999999999998</v>
      </c>
      <c r="D118">
        <v>90</v>
      </c>
    </row>
    <row r="119" spans="3:4" ht="12.75">
      <c r="C119" s="120">
        <f>s_vk22+B117/2</f>
        <v>25.334999999999997</v>
      </c>
      <c r="D119">
        <v>90</v>
      </c>
    </row>
    <row r="120" spans="3:4" ht="12.75">
      <c r="C120" s="120">
        <f>C119</f>
        <v>25.334999999999997</v>
      </c>
      <c r="D120">
        <v>-90</v>
      </c>
    </row>
    <row r="121" spans="1:4" ht="12.75">
      <c r="A121" s="121" t="s">
        <v>152</v>
      </c>
      <c r="B121" s="120">
        <v>0.43</v>
      </c>
      <c r="C121" s="120">
        <f>s_hk22-B121/2</f>
        <v>25.4448</v>
      </c>
      <c r="D121">
        <v>-90</v>
      </c>
    </row>
    <row r="122" spans="1:4" ht="12.75">
      <c r="A122" s="121"/>
      <c r="B122" s="120"/>
      <c r="C122" s="120">
        <f>C121</f>
        <v>25.4448</v>
      </c>
      <c r="D122">
        <v>90</v>
      </c>
    </row>
    <row r="123" spans="3:4" ht="12.75">
      <c r="C123" s="120">
        <f>s_hk22+B121/2</f>
        <v>25.8748</v>
      </c>
      <c r="D123">
        <v>90</v>
      </c>
    </row>
    <row r="124" spans="3:4" ht="12.75">
      <c r="C124" s="120">
        <f>C123</f>
        <v>25.8748</v>
      </c>
      <c r="D124">
        <v>-90</v>
      </c>
    </row>
    <row r="125" spans="1:4" ht="12.75">
      <c r="A125" s="121" t="s">
        <v>151</v>
      </c>
      <c r="B125" s="120">
        <v>0.84</v>
      </c>
      <c r="C125" s="120">
        <f>s_vk12-B125/2</f>
        <v>26.769799999999996</v>
      </c>
      <c r="D125">
        <v>-70</v>
      </c>
    </row>
    <row r="126" spans="1:4" ht="12.75">
      <c r="A126" s="121"/>
      <c r="B126" s="120"/>
      <c r="C126" s="120">
        <f>C125</f>
        <v>26.769799999999996</v>
      </c>
      <c r="D126">
        <v>70</v>
      </c>
    </row>
    <row r="127" spans="3:4" ht="12.75">
      <c r="C127" s="120">
        <f>s_vk12+B125/2</f>
        <v>27.6098</v>
      </c>
      <c r="D127">
        <v>70</v>
      </c>
    </row>
    <row r="128" spans="3:4" ht="12.75">
      <c r="C128" s="120">
        <f>C127</f>
        <v>27.6098</v>
      </c>
      <c r="D128">
        <v>-70</v>
      </c>
    </row>
    <row r="129" spans="1:4" ht="12.75">
      <c r="A129" s="121" t="s">
        <v>153</v>
      </c>
      <c r="B129" s="120">
        <v>0.84</v>
      </c>
      <c r="C129" s="120">
        <f>s_hk12-B129/2</f>
        <v>27.93</v>
      </c>
      <c r="D129">
        <v>-70</v>
      </c>
    </row>
    <row r="130" spans="1:4" ht="12.75">
      <c r="A130" s="121"/>
      <c r="B130" s="120"/>
      <c r="C130" s="120">
        <f>C129</f>
        <v>27.93</v>
      </c>
      <c r="D130">
        <v>70</v>
      </c>
    </row>
    <row r="131" spans="3:4" ht="12.75">
      <c r="C131" s="120">
        <f>s_hk12+B129/2</f>
        <v>28.770000000000003</v>
      </c>
      <c r="D131">
        <v>70</v>
      </c>
    </row>
    <row r="132" spans="3:4" ht="12.75">
      <c r="C132">
        <f>C131</f>
        <v>28.770000000000003</v>
      </c>
      <c r="D132">
        <v>-70</v>
      </c>
    </row>
    <row r="133" spans="3:4" ht="12.75">
      <c r="C133">
        <f>30-0.25</f>
        <v>29.75</v>
      </c>
      <c r="D133">
        <v>-100</v>
      </c>
    </row>
    <row r="134" spans="3:4" ht="12.75">
      <c r="C134">
        <f>30-0.25</f>
        <v>29.75</v>
      </c>
      <c r="D134">
        <v>100</v>
      </c>
    </row>
    <row r="135" spans="3:4" ht="12.75">
      <c r="C135">
        <v>30</v>
      </c>
      <c r="D135">
        <v>100</v>
      </c>
    </row>
    <row r="136" spans="3:4" ht="12.75">
      <c r="C136">
        <v>30</v>
      </c>
      <c r="D136">
        <v>-100</v>
      </c>
    </row>
  </sheetData>
  <printOptions/>
  <pageMargins left="0.75" right="0.75" top="0.44" bottom="0.44" header="0.38" footer="0.42"/>
  <pageSetup horizontalDpi="600" verticalDpi="600" orientation="landscape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"/>
  <sheetViews>
    <sheetView workbookViewId="0" topLeftCell="A1">
      <selection activeCell="H12" sqref="H12"/>
    </sheetView>
  </sheetViews>
  <sheetFormatPr defaultColWidth="9.140625" defaultRowHeight="12.75"/>
  <cols>
    <col min="1" max="8" width="10.7109375" style="0" customWidth="1"/>
  </cols>
  <sheetData>
    <row r="1" ht="16.5">
      <c r="A1" s="111" t="s">
        <v>187</v>
      </c>
    </row>
    <row r="2" ht="16.5">
      <c r="A2" s="111" t="s">
        <v>188</v>
      </c>
    </row>
    <row r="3" ht="13.5" thickBot="1"/>
    <row r="4" spans="2:9" ht="17.25" thickBot="1">
      <c r="B4" s="122" t="s">
        <v>185</v>
      </c>
      <c r="C4" s="122"/>
      <c r="D4" s="103" t="s">
        <v>179</v>
      </c>
      <c r="E4" s="103" t="s">
        <v>180</v>
      </c>
      <c r="F4" s="103" t="s">
        <v>181</v>
      </c>
      <c r="G4" s="103" t="s">
        <v>182</v>
      </c>
      <c r="H4" s="103" t="s">
        <v>183</v>
      </c>
      <c r="I4" s="103" t="s">
        <v>184</v>
      </c>
    </row>
    <row r="5" spans="2:9" ht="16.5">
      <c r="B5" s="104">
        <v>6.3</v>
      </c>
      <c r="C5" s="105">
        <v>5.8</v>
      </c>
      <c r="D5" s="106">
        <v>3.58775</v>
      </c>
      <c r="E5" s="106">
        <v>-3.8281</v>
      </c>
      <c r="F5" s="104">
        <v>9.39</v>
      </c>
      <c r="G5" s="104">
        <v>0.25</v>
      </c>
      <c r="H5" s="104">
        <v>-8.17</v>
      </c>
      <c r="I5" s="104">
        <v>3.68</v>
      </c>
    </row>
    <row r="6" spans="2:9" ht="16.5">
      <c r="B6" s="104">
        <v>6.23</v>
      </c>
      <c r="C6" s="105">
        <v>6.2</v>
      </c>
      <c r="D6" s="106">
        <v>3.561087</v>
      </c>
      <c r="E6" s="106">
        <v>-3.838722</v>
      </c>
      <c r="F6" s="104">
        <v>9.64</v>
      </c>
      <c r="G6" s="104">
        <v>-0.21</v>
      </c>
      <c r="H6" s="104">
        <v>-7.95</v>
      </c>
      <c r="I6" s="104">
        <v>3.3</v>
      </c>
    </row>
    <row r="7" spans="2:9" ht="16.5">
      <c r="B7" s="104">
        <v>6.4</v>
      </c>
      <c r="C7" s="105">
        <v>6.3</v>
      </c>
      <c r="D7" s="106">
        <v>3.734041</v>
      </c>
      <c r="E7" s="106">
        <v>-4.035118</v>
      </c>
      <c r="F7" s="104">
        <v>9.03</v>
      </c>
      <c r="G7" s="104">
        <v>1.19</v>
      </c>
      <c r="H7" s="104">
        <v>-6.66</v>
      </c>
      <c r="I7" s="104">
        <v>1.32</v>
      </c>
    </row>
    <row r="8" spans="2:9" ht="17.25" thickBot="1">
      <c r="B8" s="107">
        <v>6.23</v>
      </c>
      <c r="C8" s="108">
        <v>5.24</v>
      </c>
      <c r="D8" s="109">
        <v>3.670259</v>
      </c>
      <c r="E8" s="109">
        <v>-4.074391</v>
      </c>
      <c r="F8" s="107">
        <v>9.7</v>
      </c>
      <c r="G8" s="110">
        <v>-0.001</v>
      </c>
      <c r="H8" s="107">
        <v>-5.98</v>
      </c>
      <c r="I8" s="107">
        <v>0.17</v>
      </c>
    </row>
  </sheetData>
  <mergeCells count="1">
    <mergeCell ref="B4:C4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20"/>
  <sheetViews>
    <sheetView workbookViewId="0" topLeftCell="A1">
      <selection activeCell="A3" sqref="A3"/>
    </sheetView>
  </sheetViews>
  <sheetFormatPr defaultColWidth="9.140625" defaultRowHeight="12.75"/>
  <cols>
    <col min="1" max="1" width="10.7109375" style="0" customWidth="1"/>
    <col min="2" max="2" width="10.7109375" style="26" customWidth="1"/>
    <col min="3" max="4" width="10.7109375" style="0" customWidth="1"/>
    <col min="5" max="6" width="10.7109375" style="26" customWidth="1"/>
    <col min="7" max="7" width="10.7109375" style="52" customWidth="1"/>
    <col min="8" max="16384" width="10.7109375" style="0" customWidth="1"/>
  </cols>
  <sheetData>
    <row r="1" ht="12.75">
      <c r="A1" s="58" t="s">
        <v>189</v>
      </c>
    </row>
    <row r="2" ht="13.5" thickBot="1">
      <c r="A2" s="58" t="s">
        <v>190</v>
      </c>
    </row>
    <row r="3" spans="1:11" ht="13.5" thickBot="1">
      <c r="A3" s="70" t="s">
        <v>6</v>
      </c>
      <c r="B3" s="80" t="s">
        <v>12</v>
      </c>
      <c r="C3" s="70" t="s">
        <v>13</v>
      </c>
      <c r="D3" s="70" t="s">
        <v>1</v>
      </c>
      <c r="E3" s="80" t="s">
        <v>7</v>
      </c>
      <c r="F3" s="80" t="s">
        <v>8</v>
      </c>
      <c r="G3" s="86" t="s">
        <v>64</v>
      </c>
      <c r="H3" s="70" t="s">
        <v>14</v>
      </c>
      <c r="I3" s="70" t="s">
        <v>14</v>
      </c>
      <c r="J3" s="70" t="s">
        <v>15</v>
      </c>
      <c r="K3" s="70" t="s">
        <v>15</v>
      </c>
    </row>
    <row r="4" spans="1:16" ht="12.75">
      <c r="A4" s="42" t="s">
        <v>80</v>
      </c>
      <c r="B4" s="81">
        <v>0</v>
      </c>
      <c r="C4" s="46">
        <v>0</v>
      </c>
      <c r="D4" s="46">
        <v>0</v>
      </c>
      <c r="E4" s="81">
        <v>2.44822</v>
      </c>
      <c r="F4" s="81">
        <v>12.5989</v>
      </c>
      <c r="G4" s="68">
        <v>2.65212E-06</v>
      </c>
      <c r="H4" s="46">
        <f>SQRT(E4*emmit)+C4</f>
        <v>34.280396730493074</v>
      </c>
      <c r="I4" s="46">
        <f>-SQRT(emmit*E4)+C4</f>
        <v>-34.280396730493074</v>
      </c>
      <c r="J4" s="46">
        <f>SQRT(emmit*F4)+D4</f>
        <v>77.76549363310183</v>
      </c>
      <c r="K4" s="46">
        <f aca="true" t="shared" si="0" ref="K4:K56">D4-SQRT(F4*emmit)</f>
        <v>-77.76549363310183</v>
      </c>
      <c r="P4" s="52"/>
    </row>
    <row r="5" spans="1:16" ht="12.75">
      <c r="A5" s="42" t="s">
        <v>81</v>
      </c>
      <c r="B5" s="81">
        <v>0.25</v>
      </c>
      <c r="C5" s="46">
        <v>0</v>
      </c>
      <c r="D5" s="46">
        <v>0</v>
      </c>
      <c r="E5" s="81">
        <v>2.48087</v>
      </c>
      <c r="F5" s="81">
        <v>12.5321</v>
      </c>
      <c r="G5" s="68">
        <v>2.45334E-06</v>
      </c>
      <c r="H5" s="46">
        <f aca="true" t="shared" si="1" ref="H5:H56">SQRT(E5*emmit)+C5</f>
        <v>34.508225106487295</v>
      </c>
      <c r="I5" s="46">
        <f aca="true" t="shared" si="2" ref="I5:I59">-SQRT(emmit*E5)+C5</f>
        <v>-34.508225106487295</v>
      </c>
      <c r="J5" s="46">
        <f aca="true" t="shared" si="3" ref="J5:J59">SQRT(emmit*F5)+D5</f>
        <v>77.55906136616146</v>
      </c>
      <c r="K5" s="46">
        <f t="shared" si="0"/>
        <v>-77.55906136616146</v>
      </c>
      <c r="P5" s="52"/>
    </row>
    <row r="6" spans="1:16" ht="12.75">
      <c r="A6" s="42" t="s">
        <v>83</v>
      </c>
      <c r="B6" s="81">
        <v>0.495125</v>
      </c>
      <c r="C6" s="46">
        <v>0</v>
      </c>
      <c r="D6" s="46">
        <v>0</v>
      </c>
      <c r="E6" s="81">
        <v>2.6402</v>
      </c>
      <c r="F6" s="81">
        <v>12.0927</v>
      </c>
      <c r="G6" s="68">
        <v>2.29718E-06</v>
      </c>
      <c r="H6" s="46">
        <f t="shared" si="1"/>
        <v>35.599101112247205</v>
      </c>
      <c r="I6" s="46">
        <f t="shared" si="2"/>
        <v>-35.599101112247205</v>
      </c>
      <c r="J6" s="46">
        <f t="shared" si="3"/>
        <v>76.187243026638</v>
      </c>
      <c r="K6" s="46">
        <f t="shared" si="0"/>
        <v>-76.187243026638</v>
      </c>
      <c r="P6" s="52"/>
    </row>
    <row r="7" spans="1:16" ht="12.75">
      <c r="A7" s="42" t="s">
        <v>83</v>
      </c>
      <c r="B7" s="81">
        <v>0.74025</v>
      </c>
      <c r="C7" s="46">
        <v>0</v>
      </c>
      <c r="D7" s="46">
        <v>0</v>
      </c>
      <c r="E7" s="81">
        <v>2.85154</v>
      </c>
      <c r="F7" s="81">
        <v>11.6709</v>
      </c>
      <c r="G7" s="68">
        <v>2.14101E-06</v>
      </c>
      <c r="H7" s="46">
        <f t="shared" si="1"/>
        <v>36.9964755078102</v>
      </c>
      <c r="I7" s="46">
        <f t="shared" si="2"/>
        <v>-36.9964755078102</v>
      </c>
      <c r="J7" s="46">
        <f t="shared" si="3"/>
        <v>74.84672337517522</v>
      </c>
      <c r="K7" s="46">
        <f t="shared" si="0"/>
        <v>-74.84672337517522</v>
      </c>
      <c r="P7" s="52"/>
    </row>
    <row r="8" spans="1:16" ht="12.75">
      <c r="A8" s="42" t="s">
        <v>83</v>
      </c>
      <c r="B8" s="81">
        <v>0.985375</v>
      </c>
      <c r="C8" s="46">
        <v>0</v>
      </c>
      <c r="D8" s="46">
        <v>0</v>
      </c>
      <c r="E8" s="81">
        <v>3.11491</v>
      </c>
      <c r="F8" s="81">
        <v>11.2666</v>
      </c>
      <c r="G8" s="68">
        <v>1.98485E-06</v>
      </c>
      <c r="H8" s="46">
        <f t="shared" si="1"/>
        <v>38.66725746675086</v>
      </c>
      <c r="I8" s="46">
        <f t="shared" si="2"/>
        <v>-38.66725746675086</v>
      </c>
      <c r="J8" s="46">
        <f t="shared" si="3"/>
        <v>73.5388876717618</v>
      </c>
      <c r="K8" s="46">
        <f t="shared" si="0"/>
        <v>-73.5388876717618</v>
      </c>
      <c r="P8" s="52"/>
    </row>
    <row r="9" spans="1:16" ht="12.75">
      <c r="A9" s="42" t="s">
        <v>83</v>
      </c>
      <c r="B9" s="81">
        <v>1.2305</v>
      </c>
      <c r="C9" s="46">
        <v>0</v>
      </c>
      <c r="D9" s="46">
        <v>0</v>
      </c>
      <c r="E9" s="81">
        <v>3.4303</v>
      </c>
      <c r="F9" s="81">
        <v>10.88</v>
      </c>
      <c r="G9" s="68">
        <v>1.82868E-06</v>
      </c>
      <c r="H9" s="46">
        <f t="shared" si="1"/>
        <v>40.57762930482755</v>
      </c>
      <c r="I9" s="46">
        <f t="shared" si="2"/>
        <v>-40.57762930482755</v>
      </c>
      <c r="J9" s="46">
        <f t="shared" si="3"/>
        <v>72.26617466007178</v>
      </c>
      <c r="K9" s="46">
        <f t="shared" si="0"/>
        <v>-72.26617466007178</v>
      </c>
      <c r="P9" s="52"/>
    </row>
    <row r="10" spans="1:16" ht="12.75">
      <c r="A10" s="71" t="s">
        <v>85</v>
      </c>
      <c r="B10" s="82">
        <v>1.65</v>
      </c>
      <c r="C10" s="72">
        <v>0</v>
      </c>
      <c r="D10" s="72">
        <v>0</v>
      </c>
      <c r="E10" s="82">
        <v>4.09073</v>
      </c>
      <c r="F10" s="82">
        <v>10.2592</v>
      </c>
      <c r="G10" s="73">
        <v>1.56143E-06</v>
      </c>
      <c r="H10" s="72">
        <f t="shared" si="1"/>
        <v>44.31196678099495</v>
      </c>
      <c r="I10" s="72">
        <f t="shared" si="2"/>
        <v>-44.31196678099495</v>
      </c>
      <c r="J10" s="72">
        <f t="shared" si="3"/>
        <v>70.17418328701802</v>
      </c>
      <c r="K10" s="72">
        <f t="shared" si="0"/>
        <v>-70.17418328701802</v>
      </c>
      <c r="P10" s="52"/>
    </row>
    <row r="11" spans="1:16" ht="12.75">
      <c r="A11" s="71" t="s">
        <v>85</v>
      </c>
      <c r="B11" s="82">
        <v>2.0695</v>
      </c>
      <c r="C11" s="72">
        <f aca="true" t="shared" si="4" ref="C11:C22">(B11-s_hk1)*TAN(k_hk1/1000)*1000+o_hk1</f>
        <v>0</v>
      </c>
      <c r="D11" s="72">
        <v>0</v>
      </c>
      <c r="E11" s="82">
        <v>4.90353</v>
      </c>
      <c r="F11" s="82">
        <v>9.68993</v>
      </c>
      <c r="G11" s="73">
        <v>1.29417E-06</v>
      </c>
      <c r="H11" s="72">
        <f t="shared" si="1"/>
        <v>48.51488843643774</v>
      </c>
      <c r="I11" s="72">
        <f t="shared" si="2"/>
        <v>-48.51488843643774</v>
      </c>
      <c r="J11" s="72">
        <f t="shared" si="3"/>
        <v>68.19946040842258</v>
      </c>
      <c r="K11" s="72">
        <f t="shared" si="0"/>
        <v>-68.19946040842258</v>
      </c>
      <c r="P11" s="52"/>
    </row>
    <row r="12" spans="1:16" ht="12.75">
      <c r="A12" s="42" t="s">
        <v>87</v>
      </c>
      <c r="B12" s="81">
        <v>2.14975</v>
      </c>
      <c r="C12" s="46">
        <f t="shared" si="4"/>
        <v>0</v>
      </c>
      <c r="D12" s="46">
        <v>0</v>
      </c>
      <c r="E12" s="81">
        <v>5.07638</v>
      </c>
      <c r="F12" s="81">
        <v>9.58691</v>
      </c>
      <c r="G12" s="68">
        <v>1.24305E-06</v>
      </c>
      <c r="H12" s="46">
        <f t="shared" si="1"/>
        <v>49.36256071153522</v>
      </c>
      <c r="I12" s="46">
        <f t="shared" si="2"/>
        <v>-49.36256071153522</v>
      </c>
      <c r="J12" s="46">
        <f t="shared" si="3"/>
        <v>67.83595506809056</v>
      </c>
      <c r="K12" s="46">
        <f t="shared" si="0"/>
        <v>-67.83595506809056</v>
      </c>
      <c r="P12" s="52"/>
    </row>
    <row r="13" spans="1:16" ht="12.75">
      <c r="A13" s="42" t="s">
        <v>87</v>
      </c>
      <c r="B13" s="81">
        <v>2.23</v>
      </c>
      <c r="C13" s="46">
        <f t="shared" si="4"/>
        <v>0</v>
      </c>
      <c r="D13" s="46">
        <v>0</v>
      </c>
      <c r="E13" s="81">
        <v>5.25481</v>
      </c>
      <c r="F13" s="81">
        <v>9.48577</v>
      </c>
      <c r="G13" s="68">
        <v>1.19192E-06</v>
      </c>
      <c r="H13" s="46">
        <f t="shared" si="1"/>
        <v>50.22259252567513</v>
      </c>
      <c r="I13" s="46">
        <f t="shared" si="2"/>
        <v>-50.22259252567513</v>
      </c>
      <c r="J13" s="46">
        <f t="shared" si="3"/>
        <v>67.47717836424401</v>
      </c>
      <c r="K13" s="46">
        <f t="shared" si="0"/>
        <v>-67.47717836424401</v>
      </c>
      <c r="P13" s="52"/>
    </row>
    <row r="14" spans="1:16" ht="12.75">
      <c r="A14" s="42" t="s">
        <v>87</v>
      </c>
      <c r="B14" s="81">
        <v>2.31025</v>
      </c>
      <c r="C14" s="46">
        <f t="shared" si="4"/>
        <v>0</v>
      </c>
      <c r="D14" s="46">
        <v>0</v>
      </c>
      <c r="E14" s="81">
        <v>5.43881</v>
      </c>
      <c r="F14" s="81">
        <v>9.38652</v>
      </c>
      <c r="G14" s="68">
        <v>1.1408E-06</v>
      </c>
      <c r="H14" s="46">
        <f t="shared" si="1"/>
        <v>51.094312795065555</v>
      </c>
      <c r="I14" s="46">
        <f t="shared" si="2"/>
        <v>-51.094312795065555</v>
      </c>
      <c r="J14" s="46">
        <f t="shared" si="3"/>
        <v>67.12324187641715</v>
      </c>
      <c r="K14" s="46">
        <f t="shared" si="0"/>
        <v>-67.12324187641715</v>
      </c>
      <c r="P14" s="52"/>
    </row>
    <row r="15" spans="1:16" ht="12.75">
      <c r="A15" s="42" t="s">
        <v>87</v>
      </c>
      <c r="B15" s="81">
        <v>2.3905</v>
      </c>
      <c r="C15" s="46">
        <f t="shared" si="4"/>
        <v>0</v>
      </c>
      <c r="D15" s="46">
        <v>0</v>
      </c>
      <c r="E15" s="81">
        <v>5.62838</v>
      </c>
      <c r="F15" s="81">
        <v>9.28916</v>
      </c>
      <c r="G15" s="68">
        <v>1.08967E-06</v>
      </c>
      <c r="H15" s="46">
        <f t="shared" si="1"/>
        <v>51.97713343384762</v>
      </c>
      <c r="I15" s="46">
        <f t="shared" si="2"/>
        <v>-51.97713343384762</v>
      </c>
      <c r="J15" s="46">
        <f t="shared" si="3"/>
        <v>66.77422257128869</v>
      </c>
      <c r="K15" s="46">
        <f t="shared" si="0"/>
        <v>-66.77422257128869</v>
      </c>
      <c r="P15" s="52"/>
    </row>
    <row r="16" spans="1:16" ht="12.75">
      <c r="A16" s="71" t="s">
        <v>88</v>
      </c>
      <c r="B16" s="82">
        <v>2.81</v>
      </c>
      <c r="C16" s="72">
        <f t="shared" si="4"/>
        <v>0</v>
      </c>
      <c r="D16" s="72">
        <f aca="true" t="shared" si="5" ref="D16:D29">(B16-s_vk1)*TAN(k_vk1/1000)*1000+o_vk1</f>
        <v>0.0015895692476451048</v>
      </c>
      <c r="E16" s="82">
        <v>6.71013</v>
      </c>
      <c r="F16" s="82">
        <v>8.81093</v>
      </c>
      <c r="G16" s="73">
        <v>8.22417E-07</v>
      </c>
      <c r="H16" s="72">
        <f t="shared" si="1"/>
        <v>56.75264222923899</v>
      </c>
      <c r="I16" s="72">
        <f t="shared" si="2"/>
        <v>-56.75264222923899</v>
      </c>
      <c r="J16" s="72">
        <f t="shared" si="3"/>
        <v>65.03424598123807</v>
      </c>
      <c r="K16" s="72">
        <f t="shared" si="0"/>
        <v>-65.03106684274279</v>
      </c>
      <c r="P16" s="52"/>
    </row>
    <row r="17" spans="1:16" ht="12.75">
      <c r="A17" s="71" t="s">
        <v>88</v>
      </c>
      <c r="B17" s="82">
        <v>3.2295</v>
      </c>
      <c r="C17" s="72">
        <f t="shared" si="4"/>
        <v>0</v>
      </c>
      <c r="D17" s="72">
        <f t="shared" si="5"/>
        <v>-3.332531927688328</v>
      </c>
      <c r="E17" s="82">
        <v>7.94423</v>
      </c>
      <c r="F17" s="82">
        <v>8.38426</v>
      </c>
      <c r="G17" s="73">
        <v>5.55162E-07</v>
      </c>
      <c r="H17" s="72">
        <f t="shared" si="1"/>
        <v>61.75135949920455</v>
      </c>
      <c r="I17" s="72">
        <f t="shared" si="2"/>
        <v>-61.75135949920455</v>
      </c>
      <c r="J17" s="72">
        <f t="shared" si="3"/>
        <v>60.10598003468355</v>
      </c>
      <c r="K17" s="72">
        <f t="shared" si="0"/>
        <v>-66.7710438900602</v>
      </c>
      <c r="P17" s="52"/>
    </row>
    <row r="18" spans="1:16" ht="12.75">
      <c r="A18" s="42" t="s">
        <v>90</v>
      </c>
      <c r="B18" s="81">
        <v>3.45362</v>
      </c>
      <c r="C18" s="46">
        <f t="shared" si="4"/>
        <v>0</v>
      </c>
      <c r="D18" s="46">
        <f t="shared" si="5"/>
        <v>-5.11380322659963</v>
      </c>
      <c r="E18" s="81">
        <v>8.66602</v>
      </c>
      <c r="F18" s="81">
        <v>8.17743</v>
      </c>
      <c r="G18" s="68">
        <v>4.12376E-07</v>
      </c>
      <c r="H18" s="46">
        <f t="shared" si="1"/>
        <v>64.49565566764943</v>
      </c>
      <c r="I18" s="46">
        <f t="shared" si="2"/>
        <v>-64.49565566764943</v>
      </c>
      <c r="J18" s="46">
        <f t="shared" si="3"/>
        <v>57.53734520660947</v>
      </c>
      <c r="K18" s="46">
        <f t="shared" si="0"/>
        <v>-67.76495165980873</v>
      </c>
      <c r="P18" s="52"/>
    </row>
    <row r="19" spans="1:16" ht="12.75">
      <c r="A19" s="42" t="s">
        <v>90</v>
      </c>
      <c r="B19" s="81">
        <v>3.67775</v>
      </c>
      <c r="C19" s="46">
        <f t="shared" si="4"/>
        <v>0</v>
      </c>
      <c r="D19" s="46">
        <f t="shared" si="5"/>
        <v>-6.895154003973314</v>
      </c>
      <c r="E19" s="81">
        <v>9.4313</v>
      </c>
      <c r="F19" s="81">
        <v>7.98533</v>
      </c>
      <c r="G19" s="68">
        <v>2.69591E-07</v>
      </c>
      <c r="H19" s="46">
        <f t="shared" si="1"/>
        <v>67.28316282696586</v>
      </c>
      <c r="I19" s="46">
        <f t="shared" si="2"/>
        <v>-67.28316282696586</v>
      </c>
      <c r="J19" s="46">
        <f t="shared" si="3"/>
        <v>55.01573679885716</v>
      </c>
      <c r="K19" s="46">
        <f t="shared" si="0"/>
        <v>-68.8060448068038</v>
      </c>
      <c r="P19" s="52"/>
    </row>
    <row r="20" spans="1:16" ht="12.75">
      <c r="A20" s="42" t="s">
        <v>90</v>
      </c>
      <c r="B20" s="81">
        <v>3.90188</v>
      </c>
      <c r="C20" s="46">
        <f t="shared" si="4"/>
        <v>0</v>
      </c>
      <c r="D20" s="46">
        <f t="shared" si="5"/>
        <v>-8.676504781346994</v>
      </c>
      <c r="E20" s="81">
        <v>10.2401</v>
      </c>
      <c r="F20" s="81">
        <v>7.80794</v>
      </c>
      <c r="G20" s="68">
        <v>1.26805E-07</v>
      </c>
      <c r="H20" s="46">
        <f t="shared" si="1"/>
        <v>70.10882968642395</v>
      </c>
      <c r="I20" s="46">
        <f t="shared" si="2"/>
        <v>-70.10882968642395</v>
      </c>
      <c r="J20" s="46">
        <f t="shared" si="3"/>
        <v>52.54286470250183</v>
      </c>
      <c r="K20" s="46">
        <f t="shared" si="0"/>
        <v>-69.89587426519581</v>
      </c>
      <c r="P20" s="52"/>
    </row>
    <row r="21" spans="1:16" ht="12.75">
      <c r="A21" s="42" t="s">
        <v>90</v>
      </c>
      <c r="B21" s="81">
        <v>4.126</v>
      </c>
      <c r="C21" s="46">
        <f t="shared" si="4"/>
        <v>0</v>
      </c>
      <c r="D21" s="46">
        <f t="shared" si="5"/>
        <v>-10.4577760802583</v>
      </c>
      <c r="E21" s="81">
        <v>11.0923</v>
      </c>
      <c r="F21" s="81">
        <v>7.64527</v>
      </c>
      <c r="G21" s="68">
        <v>-1.59806E-08</v>
      </c>
      <c r="H21" s="46">
        <f t="shared" si="1"/>
        <v>72.96782852737225</v>
      </c>
      <c r="I21" s="46">
        <f t="shared" si="2"/>
        <v>-72.96782852737225</v>
      </c>
      <c r="J21" s="46">
        <f t="shared" si="3"/>
        <v>50.12051706175752</v>
      </c>
      <c r="K21" s="46">
        <f t="shared" si="0"/>
        <v>-71.03606922227412</v>
      </c>
      <c r="P21" s="52"/>
    </row>
    <row r="22" spans="1:16" ht="12.75">
      <c r="A22" s="71" t="s">
        <v>91</v>
      </c>
      <c r="B22" s="82">
        <v>4.34</v>
      </c>
      <c r="C22" s="72">
        <f t="shared" si="4"/>
        <v>0</v>
      </c>
      <c r="D22" s="72">
        <f t="shared" si="5"/>
        <v>-12.158615175238745</v>
      </c>
      <c r="E22" s="82">
        <v>11.9467</v>
      </c>
      <c r="F22" s="82">
        <v>7.50369</v>
      </c>
      <c r="G22" s="73">
        <v>-1.52316E-07</v>
      </c>
      <c r="H22" s="72">
        <f t="shared" si="1"/>
        <v>75.72592686788323</v>
      </c>
      <c r="I22" s="72">
        <f t="shared" si="2"/>
        <v>-75.72592686788323</v>
      </c>
      <c r="J22" s="72">
        <f t="shared" si="3"/>
        <v>47.856143009727724</v>
      </c>
      <c r="K22" s="72">
        <f t="shared" si="0"/>
        <v>-72.17337336020522</v>
      </c>
      <c r="P22" s="52"/>
    </row>
    <row r="23" spans="1:16" ht="12.75">
      <c r="A23" s="71" t="s">
        <v>91</v>
      </c>
      <c r="B23" s="82">
        <v>4.554</v>
      </c>
      <c r="C23" s="72">
        <f aca="true" t="shared" si="6" ref="C23:C35">(B23-s_hk2)*TAN(k_hk2/1000)*1000+o_hk2</f>
        <v>0</v>
      </c>
      <c r="D23" s="72">
        <f t="shared" si="5"/>
        <v>-13.859454270219198</v>
      </c>
      <c r="E23" s="82">
        <v>12.8407</v>
      </c>
      <c r="F23" s="82">
        <v>7.37552</v>
      </c>
      <c r="G23" s="73">
        <v>-2.88651E-07</v>
      </c>
      <c r="H23" s="72">
        <f t="shared" si="1"/>
        <v>78.50819065549786</v>
      </c>
      <c r="I23" s="72">
        <f t="shared" si="2"/>
        <v>-78.50819065549786</v>
      </c>
      <c r="J23" s="72">
        <f t="shared" si="3"/>
        <v>45.64054236843617</v>
      </c>
      <c r="K23" s="72">
        <f t="shared" si="0"/>
        <v>-73.35945090887456</v>
      </c>
      <c r="P23" s="52"/>
    </row>
    <row r="24" spans="1:16" ht="12.75">
      <c r="A24" s="42" t="s">
        <v>80</v>
      </c>
      <c r="B24" s="81">
        <v>4.554</v>
      </c>
      <c r="C24" s="46">
        <f t="shared" si="6"/>
        <v>0</v>
      </c>
      <c r="D24" s="46">
        <f t="shared" si="5"/>
        <v>-13.859454270219198</v>
      </c>
      <c r="E24" s="81">
        <v>12.8407</v>
      </c>
      <c r="F24" s="81">
        <v>7.37552</v>
      </c>
      <c r="G24" s="68">
        <v>-2.88651E-07</v>
      </c>
      <c r="H24" s="46">
        <f t="shared" si="1"/>
        <v>78.50819065549786</v>
      </c>
      <c r="I24" s="46">
        <f t="shared" si="2"/>
        <v>-78.50819065549786</v>
      </c>
      <c r="J24" s="46">
        <f t="shared" si="3"/>
        <v>45.64054236843617</v>
      </c>
      <c r="K24" s="46">
        <f aca="true" t="shared" si="7" ref="K24:K39">D24-SQRT(F24*emmit)</f>
        <v>-73.35945090887456</v>
      </c>
      <c r="P24" s="52"/>
    </row>
    <row r="25" spans="1:16" ht="12.75">
      <c r="A25" s="42" t="s">
        <v>92</v>
      </c>
      <c r="B25" s="81">
        <v>4.554</v>
      </c>
      <c r="C25" s="46">
        <f t="shared" si="6"/>
        <v>0</v>
      </c>
      <c r="D25" s="46">
        <f t="shared" si="5"/>
        <v>-13.859454270219198</v>
      </c>
      <c r="E25" s="81">
        <v>12.8407</v>
      </c>
      <c r="F25" s="81">
        <v>7.37552</v>
      </c>
      <c r="G25" s="68">
        <v>-2.88651E-07</v>
      </c>
      <c r="H25" s="46">
        <f t="shared" si="1"/>
        <v>78.50819065549786</v>
      </c>
      <c r="I25" s="46">
        <f t="shared" si="2"/>
        <v>-78.50819065549786</v>
      </c>
      <c r="J25" s="46">
        <f t="shared" si="3"/>
        <v>45.64054236843617</v>
      </c>
      <c r="K25" s="46">
        <f t="shared" si="7"/>
        <v>-73.35945090887456</v>
      </c>
      <c r="P25" s="52"/>
    </row>
    <row r="26" spans="1:16" ht="12.75">
      <c r="A26" s="42" t="s">
        <v>93</v>
      </c>
      <c r="B26" s="81">
        <v>4.582</v>
      </c>
      <c r="C26" s="46">
        <f t="shared" si="6"/>
        <v>0</v>
      </c>
      <c r="D26" s="46">
        <f t="shared" si="5"/>
        <v>-14.081993964889534</v>
      </c>
      <c r="E26" s="81">
        <v>12.9606</v>
      </c>
      <c r="F26" s="81">
        <v>7.35975</v>
      </c>
      <c r="G26" s="68">
        <v>-3.06489E-07</v>
      </c>
      <c r="H26" s="46">
        <f t="shared" si="1"/>
        <v>78.87387400147149</v>
      </c>
      <c r="I26" s="46">
        <f t="shared" si="2"/>
        <v>-78.87387400147149</v>
      </c>
      <c r="J26" s="46">
        <f t="shared" si="3"/>
        <v>45.3543585476932</v>
      </c>
      <c r="K26" s="46">
        <f t="shared" si="7"/>
        <v>-73.51834647747228</v>
      </c>
      <c r="P26" s="52"/>
    </row>
    <row r="27" spans="1:16" ht="12.75">
      <c r="A27" s="42" t="s">
        <v>93</v>
      </c>
      <c r="B27" s="81">
        <v>4.61</v>
      </c>
      <c r="C27" s="46">
        <f t="shared" si="6"/>
        <v>0</v>
      </c>
      <c r="D27" s="46">
        <f t="shared" si="5"/>
        <v>-14.304533659559876</v>
      </c>
      <c r="E27" s="81">
        <v>13.0811</v>
      </c>
      <c r="F27" s="81">
        <v>7.3442</v>
      </c>
      <c r="G27" s="68">
        <v>-3.24327E-07</v>
      </c>
      <c r="H27" s="46">
        <f t="shared" si="1"/>
        <v>79.23968702613608</v>
      </c>
      <c r="I27" s="46">
        <f t="shared" si="2"/>
        <v>-79.23968702613608</v>
      </c>
      <c r="J27" s="46">
        <f t="shared" si="3"/>
        <v>45.06899579591379</v>
      </c>
      <c r="K27" s="46">
        <f t="shared" si="7"/>
        <v>-73.67806311503355</v>
      </c>
      <c r="P27" s="52"/>
    </row>
    <row r="28" spans="1:16" ht="12.75">
      <c r="A28" s="42" t="s">
        <v>93</v>
      </c>
      <c r="B28" s="81">
        <v>4.638</v>
      </c>
      <c r="C28" s="46">
        <f t="shared" si="6"/>
        <v>0</v>
      </c>
      <c r="D28" s="46">
        <f t="shared" si="5"/>
        <v>-14.527073354230213</v>
      </c>
      <c r="E28" s="81">
        <v>13.2024</v>
      </c>
      <c r="F28" s="81">
        <v>7.32888</v>
      </c>
      <c r="G28" s="68">
        <v>-3.42165E-07</v>
      </c>
      <c r="H28" s="46">
        <f t="shared" si="1"/>
        <v>79.6062309119079</v>
      </c>
      <c r="I28" s="46">
        <f t="shared" si="2"/>
        <v>-79.6062309119079</v>
      </c>
      <c r="J28" s="46">
        <f t="shared" si="3"/>
        <v>44.784497186432425</v>
      </c>
      <c r="K28" s="46">
        <f t="shared" si="7"/>
        <v>-73.83864389489285</v>
      </c>
      <c r="P28" s="52"/>
    </row>
    <row r="29" spans="1:16" ht="12.75">
      <c r="A29" s="42" t="s">
        <v>93</v>
      </c>
      <c r="B29" s="81">
        <v>4.666</v>
      </c>
      <c r="C29" s="46">
        <f t="shared" si="6"/>
        <v>0</v>
      </c>
      <c r="D29" s="46">
        <f t="shared" si="5"/>
        <v>-14.749613048900555</v>
      </c>
      <c r="E29" s="81">
        <v>13.3243</v>
      </c>
      <c r="F29" s="81">
        <v>7.31379</v>
      </c>
      <c r="G29" s="68">
        <v>-3.60004E-07</v>
      </c>
      <c r="H29" s="46">
        <f t="shared" si="1"/>
        <v>79.97289540838196</v>
      </c>
      <c r="I29" s="46">
        <f t="shared" si="2"/>
        <v>-79.97289540838196</v>
      </c>
      <c r="J29" s="46">
        <f t="shared" si="3"/>
        <v>44.5008654301801</v>
      </c>
      <c r="K29" s="46">
        <f t="shared" si="7"/>
        <v>-74.00009152798121</v>
      </c>
      <c r="P29" s="52"/>
    </row>
    <row r="30" spans="1:16" ht="12.75">
      <c r="A30" s="71" t="s">
        <v>94</v>
      </c>
      <c r="B30" s="82">
        <v>4.88</v>
      </c>
      <c r="C30" s="72">
        <f t="shared" si="6"/>
        <v>0</v>
      </c>
      <c r="D30" s="72">
        <f>(B30-s_vk1)*TAN(k_vk1/1000)*1000+o_vk1</f>
        <v>-16.450452143881</v>
      </c>
      <c r="E30" s="82">
        <v>14.2787</v>
      </c>
      <c r="F30" s="82">
        <v>7.20607</v>
      </c>
      <c r="G30" s="73">
        <v>-4.96339E-07</v>
      </c>
      <c r="H30" s="72">
        <f t="shared" si="1"/>
        <v>82.78753529366604</v>
      </c>
      <c r="I30" s="72">
        <f t="shared" si="2"/>
        <v>-82.78753529366604</v>
      </c>
      <c r="J30" s="72">
        <f>SQRT(emmit*F30)+D30</f>
        <v>42.36207713347622</v>
      </c>
      <c r="K30" s="72">
        <f t="shared" si="7"/>
        <v>-75.26298142123822</v>
      </c>
      <c r="P30" s="52"/>
    </row>
    <row r="31" spans="1:16" ht="12.75">
      <c r="A31" s="71" t="s">
        <v>94</v>
      </c>
      <c r="B31" s="82">
        <v>5.094</v>
      </c>
      <c r="C31" s="72">
        <f t="shared" si="6"/>
        <v>0</v>
      </c>
      <c r="D31" s="72">
        <f>(B31-s_vk2)*TAN(k_vk2/1000)*1000+o_vk2</f>
        <v>-17.445830614859517</v>
      </c>
      <c r="E31" s="82">
        <v>15.2728</v>
      </c>
      <c r="F31" s="82">
        <v>7.11176</v>
      </c>
      <c r="G31" s="73">
        <v>-6.32674E-07</v>
      </c>
      <c r="H31" s="72">
        <f t="shared" si="1"/>
        <v>85.62093202015498</v>
      </c>
      <c r="I31" s="72">
        <f t="shared" si="2"/>
        <v>-85.62093202015498</v>
      </c>
      <c r="J31" s="72">
        <f t="shared" si="3"/>
        <v>40.98057437466555</v>
      </c>
      <c r="K31" s="72">
        <f t="shared" si="7"/>
        <v>-75.87223560438458</v>
      </c>
      <c r="P31" s="52"/>
    </row>
    <row r="32" spans="1:16" ht="12.75">
      <c r="A32" s="42" t="s">
        <v>95</v>
      </c>
      <c r="B32" s="81">
        <v>5.5955</v>
      </c>
      <c r="C32" s="46">
        <f t="shared" si="6"/>
        <v>0</v>
      </c>
      <c r="D32" s="46">
        <f>(B32-s_vk2)*TAN(k_vk2/1000)*1000+o_vk2</f>
        <v>-19.778458199886273</v>
      </c>
      <c r="E32" s="81">
        <v>17.7576</v>
      </c>
      <c r="F32" s="81">
        <v>6.94333</v>
      </c>
      <c r="G32" s="68">
        <v>-9.5217E-07</v>
      </c>
      <c r="H32" s="46">
        <f t="shared" si="1"/>
        <v>92.32360478230905</v>
      </c>
      <c r="I32" s="46">
        <f t="shared" si="2"/>
        <v>-92.32360478230905</v>
      </c>
      <c r="J32" s="46">
        <f t="shared" si="3"/>
        <v>37.95193587463915</v>
      </c>
      <c r="K32" s="46">
        <f t="shared" si="7"/>
        <v>-77.5088522744117</v>
      </c>
      <c r="P32" s="52"/>
    </row>
    <row r="33" spans="1:16" ht="12.75">
      <c r="A33" s="42" t="s">
        <v>95</v>
      </c>
      <c r="B33" s="81">
        <v>6.097</v>
      </c>
      <c r="C33" s="46">
        <f t="shared" si="6"/>
        <v>0</v>
      </c>
      <c r="D33" s="46">
        <f>(B33-s_vk2)*TAN(k_vk2/1000)*1000+o_vk2</f>
        <v>-22.111085784913026</v>
      </c>
      <c r="E33" s="81">
        <v>20.4602</v>
      </c>
      <c r="F33" s="81">
        <v>6.84859</v>
      </c>
      <c r="G33" s="68">
        <v>-1.27167E-06</v>
      </c>
      <c r="H33" s="46">
        <f t="shared" si="1"/>
        <v>99.10043390419641</v>
      </c>
      <c r="I33" s="46">
        <f t="shared" si="2"/>
        <v>-99.10043390419641</v>
      </c>
      <c r="J33" s="46">
        <f t="shared" si="3"/>
        <v>35.22409713098949</v>
      </c>
      <c r="K33" s="46">
        <f t="shared" si="7"/>
        <v>-79.44626870081554</v>
      </c>
      <c r="P33" s="52"/>
    </row>
    <row r="34" spans="1:16" ht="12.75">
      <c r="A34" s="42" t="s">
        <v>95</v>
      </c>
      <c r="B34" s="81">
        <v>6.5985</v>
      </c>
      <c r="C34" s="46">
        <f t="shared" si="6"/>
        <v>0</v>
      </c>
      <c r="D34" s="46">
        <f>(B34-s_vk2)*TAN(k_vk2/1000)*1000+o_vk2</f>
        <v>-24.443713369939776</v>
      </c>
      <c r="E34" s="81">
        <v>23.3805</v>
      </c>
      <c r="F34" s="81">
        <v>6.82753</v>
      </c>
      <c r="G34" s="68">
        <v>-1.59116E-06</v>
      </c>
      <c r="H34" s="46">
        <f t="shared" si="1"/>
        <v>105.9369623880164</v>
      </c>
      <c r="I34" s="46">
        <f t="shared" si="2"/>
        <v>-105.9369623880164</v>
      </c>
      <c r="J34" s="46">
        <f t="shared" si="3"/>
        <v>32.80324637466151</v>
      </c>
      <c r="K34" s="46">
        <f t="shared" si="7"/>
        <v>-81.69067311454106</v>
      </c>
      <c r="P34" s="52"/>
    </row>
    <row r="35" spans="1:16" ht="12.75">
      <c r="A35" s="42" t="s">
        <v>95</v>
      </c>
      <c r="B35" s="81">
        <v>7.1</v>
      </c>
      <c r="C35" s="46">
        <f t="shared" si="6"/>
        <v>0</v>
      </c>
      <c r="D35" s="46">
        <f>(B35-s_qfc)*TAN(k_qfcv/1000)*1000+o_qfcv</f>
        <v>-22.395419204144602</v>
      </c>
      <c r="E35" s="81">
        <v>26.5185</v>
      </c>
      <c r="F35" s="81">
        <v>6.88017</v>
      </c>
      <c r="G35" s="68">
        <v>-1.91066E-06</v>
      </c>
      <c r="H35" s="46">
        <f t="shared" si="1"/>
        <v>112.82233821367115</v>
      </c>
      <c r="I35" s="46">
        <f t="shared" si="2"/>
        <v>-112.82233821367115</v>
      </c>
      <c r="J35" s="46">
        <f t="shared" si="3"/>
        <v>35.07180275759634</v>
      </c>
      <c r="K35" s="46">
        <f t="shared" si="7"/>
        <v>-79.86264116588555</v>
      </c>
      <c r="P35" s="52"/>
    </row>
    <row r="36" spans="1:16" ht="12.75">
      <c r="A36" s="74" t="s">
        <v>9</v>
      </c>
      <c r="B36" s="83">
        <v>7.45</v>
      </c>
      <c r="C36" s="75">
        <f>(B36-s_hk2)*TAN(k_hk2/1000)*1000+o_hk2</f>
        <v>0</v>
      </c>
      <c r="D36" s="75">
        <f>(B36-s_qfc)*TAN(k_qfcv/1000)*1000+o_qfcv</f>
        <v>-28.404296398155694</v>
      </c>
      <c r="E36" s="83">
        <v>26.7134</v>
      </c>
      <c r="F36" s="83">
        <v>7.51279</v>
      </c>
      <c r="G36" s="76">
        <v>-2.05702E-06</v>
      </c>
      <c r="H36" s="75">
        <f t="shared" si="1"/>
        <v>113.23617796446506</v>
      </c>
      <c r="I36" s="75">
        <f t="shared" si="2"/>
        <v>-113.23617796446506</v>
      </c>
      <c r="J36" s="75">
        <f t="shared" si="3"/>
        <v>31.646841809208873</v>
      </c>
      <c r="K36" s="75">
        <f t="shared" si="7"/>
        <v>-88.45543460552025</v>
      </c>
      <c r="P36" s="52"/>
    </row>
    <row r="37" spans="1:16" ht="12.75">
      <c r="A37" s="74" t="s">
        <v>9</v>
      </c>
      <c r="B37" s="83">
        <v>7.8</v>
      </c>
      <c r="C37" s="75">
        <f>(B37-s_qfc)*TAN(k_qfc/1000)*1000+o_qfc</f>
        <v>0</v>
      </c>
      <c r="D37" s="75">
        <f>(B37-s_qfc)*TAN(k_qfcv/1000)*1000+o_qfcv</f>
        <v>-34.41317359216677</v>
      </c>
      <c r="E37" s="83">
        <v>22.9381</v>
      </c>
      <c r="F37" s="83">
        <v>9.48089</v>
      </c>
      <c r="G37" s="76">
        <v>-2.04462E-06</v>
      </c>
      <c r="H37" s="75">
        <f t="shared" si="1"/>
        <v>104.92991947009203</v>
      </c>
      <c r="I37" s="75">
        <f t="shared" si="2"/>
        <v>-104.92991947009203</v>
      </c>
      <c r="J37" s="75">
        <f t="shared" si="3"/>
        <v>33.046645559680954</v>
      </c>
      <c r="K37" s="75">
        <f t="shared" si="7"/>
        <v>-101.8729927440145</v>
      </c>
      <c r="P37" s="52"/>
    </row>
    <row r="38" spans="1:16" ht="12.75">
      <c r="A38" s="42" t="s">
        <v>96</v>
      </c>
      <c r="B38" s="81">
        <v>8.2</v>
      </c>
      <c r="C38" s="46">
        <f>(B38-s_qfc)*TAN(k_qfc/1000)*1000+o_qfc</f>
        <v>0</v>
      </c>
      <c r="D38" s="46">
        <f>(B38-s_qfc)*TAN(k_qfcv/1000)*1000+o_qfcv</f>
        <v>-41.28046181389371</v>
      </c>
      <c r="E38" s="81">
        <v>17.1219</v>
      </c>
      <c r="F38" s="81">
        <v>12.9708</v>
      </c>
      <c r="G38" s="68">
        <v>-1.93891E-06</v>
      </c>
      <c r="H38" s="46">
        <f t="shared" si="1"/>
        <v>90.65600917754983</v>
      </c>
      <c r="I38" s="46">
        <f t="shared" si="2"/>
        <v>-90.65600917754983</v>
      </c>
      <c r="J38" s="46">
        <f t="shared" si="3"/>
        <v>37.62444297661979</v>
      </c>
      <c r="K38" s="46">
        <f t="shared" si="7"/>
        <v>-120.1853666044072</v>
      </c>
      <c r="P38" s="52"/>
    </row>
    <row r="39" spans="1:16" ht="12.75">
      <c r="A39" s="74" t="s">
        <v>10</v>
      </c>
      <c r="B39" s="83">
        <v>8.475</v>
      </c>
      <c r="C39" s="75">
        <f>(B39-s_qfc)*TAN(k_qfc/1000)*1000+o_qfc</f>
        <v>0</v>
      </c>
      <c r="D39" s="75">
        <f>(B39-s_qfc)*TAN(k_qfcv/1000)*1000+o_qfcv</f>
        <v>-46.00172246633099</v>
      </c>
      <c r="E39" s="83">
        <v>14.3919</v>
      </c>
      <c r="F39" s="83">
        <v>14.9612</v>
      </c>
      <c r="G39" s="76">
        <v>-1.91542E-06</v>
      </c>
      <c r="H39" s="75">
        <f t="shared" si="1"/>
        <v>83.1150527882886</v>
      </c>
      <c r="I39" s="75">
        <f t="shared" si="2"/>
        <v>-83.1150527882886</v>
      </c>
      <c r="J39" s="75">
        <f t="shared" si="3"/>
        <v>38.74127724455958</v>
      </c>
      <c r="K39" s="75">
        <f t="shared" si="7"/>
        <v>-130.74472217722155</v>
      </c>
      <c r="P39" s="52"/>
    </row>
    <row r="40" spans="1:16" ht="12.75">
      <c r="A40" s="74" t="s">
        <v>10</v>
      </c>
      <c r="B40" s="83">
        <v>8.75</v>
      </c>
      <c r="C40" s="75">
        <f aca="true" t="shared" si="8" ref="C40:C47">(B40-s_qdc)*TAN(k_qdc/1000)*1000+o_qdc</f>
        <v>0</v>
      </c>
      <c r="D40" s="75">
        <f aca="true" t="shared" si="9" ref="D40:D67">(B40-s_qdc2)*TAN(-k_qdcv/1000)*1000+o_qdcv</f>
        <v>-46</v>
      </c>
      <c r="E40" s="83">
        <v>13.2913</v>
      </c>
      <c r="F40" s="83">
        <v>15.5138</v>
      </c>
      <c r="G40" s="76">
        <v>-1.99032E-06</v>
      </c>
      <c r="H40" s="75">
        <f t="shared" si="1"/>
        <v>79.8738004604764</v>
      </c>
      <c r="I40" s="75">
        <f t="shared" si="2"/>
        <v>-79.8738004604764</v>
      </c>
      <c r="J40" s="75">
        <f t="shared" si="3"/>
        <v>40.29382364920447</v>
      </c>
      <c r="K40" s="75">
        <f t="shared" si="0"/>
        <v>-132.29382364920446</v>
      </c>
      <c r="P40" s="52"/>
    </row>
    <row r="41" spans="1:16" ht="12.75">
      <c r="A41" s="42" t="s">
        <v>92</v>
      </c>
      <c r="B41" s="81">
        <v>8.75</v>
      </c>
      <c r="C41" s="46">
        <f t="shared" si="8"/>
        <v>0</v>
      </c>
      <c r="D41" s="46">
        <f t="shared" si="9"/>
        <v>-46</v>
      </c>
      <c r="E41" s="81">
        <v>13.2913</v>
      </c>
      <c r="F41" s="81">
        <v>15.5138</v>
      </c>
      <c r="G41" s="68">
        <v>-1.99032E-06</v>
      </c>
      <c r="H41" s="46">
        <f t="shared" si="1"/>
        <v>79.8738004604764</v>
      </c>
      <c r="I41" s="46">
        <f t="shared" si="2"/>
        <v>-79.8738004604764</v>
      </c>
      <c r="J41" s="46">
        <f t="shared" si="3"/>
        <v>40.29382364920447</v>
      </c>
      <c r="K41" s="46">
        <f t="shared" si="0"/>
        <v>-132.29382364920446</v>
      </c>
      <c r="P41" s="52"/>
    </row>
    <row r="42" spans="1:16" ht="12.75">
      <c r="A42" s="42" t="s">
        <v>79</v>
      </c>
      <c r="B42" s="81">
        <v>8.75</v>
      </c>
      <c r="C42" s="46">
        <f t="shared" si="8"/>
        <v>0</v>
      </c>
      <c r="D42" s="46">
        <f t="shared" si="9"/>
        <v>-46</v>
      </c>
      <c r="E42" s="81">
        <v>13.2913</v>
      </c>
      <c r="F42" s="81">
        <v>15.5138</v>
      </c>
      <c r="G42" s="68">
        <v>-1.99032E-06</v>
      </c>
      <c r="H42" s="46">
        <f t="shared" si="1"/>
        <v>79.8738004604764</v>
      </c>
      <c r="I42" s="46">
        <f t="shared" si="2"/>
        <v>-79.8738004604764</v>
      </c>
      <c r="J42" s="46">
        <f t="shared" si="3"/>
        <v>40.29382364920447</v>
      </c>
      <c r="K42" s="46">
        <f t="shared" si="0"/>
        <v>-132.29382364920446</v>
      </c>
      <c r="P42" s="52"/>
    </row>
    <row r="43" spans="1:16" ht="12.75">
      <c r="A43" s="42" t="s">
        <v>97</v>
      </c>
      <c r="B43" s="81">
        <v>8.75</v>
      </c>
      <c r="C43" s="46">
        <f t="shared" si="8"/>
        <v>0</v>
      </c>
      <c r="D43" s="46">
        <f t="shared" si="9"/>
        <v>-46</v>
      </c>
      <c r="E43" s="81">
        <v>13.2913</v>
      </c>
      <c r="F43" s="81">
        <v>15.5138</v>
      </c>
      <c r="G43" s="68">
        <v>-1.99032E-06</v>
      </c>
      <c r="H43" s="46">
        <f t="shared" si="1"/>
        <v>79.8738004604764</v>
      </c>
      <c r="I43" s="46">
        <f t="shared" si="2"/>
        <v>-79.8738004604764</v>
      </c>
      <c r="J43" s="46">
        <f t="shared" si="3"/>
        <v>40.29382364920447</v>
      </c>
      <c r="K43" s="46">
        <f t="shared" si="0"/>
        <v>-132.29382364920446</v>
      </c>
      <c r="P43" s="52"/>
    </row>
    <row r="44" spans="1:16" ht="12.75">
      <c r="A44" s="42" t="s">
        <v>98</v>
      </c>
      <c r="B44" s="81">
        <v>9.38087</v>
      </c>
      <c r="C44" s="46">
        <f t="shared" si="8"/>
        <v>0</v>
      </c>
      <c r="D44" s="46">
        <f t="shared" si="9"/>
        <v>-46</v>
      </c>
      <c r="E44" s="81">
        <v>12.4481</v>
      </c>
      <c r="F44" s="81">
        <v>15.0172</v>
      </c>
      <c r="G44" s="68">
        <v>-2.27696E-06</v>
      </c>
      <c r="H44" s="46">
        <f t="shared" si="1"/>
        <v>77.29869339128572</v>
      </c>
      <c r="I44" s="46">
        <f t="shared" si="2"/>
        <v>-77.29869339128572</v>
      </c>
      <c r="J44" s="46">
        <f t="shared" si="3"/>
        <v>38.90144875089</v>
      </c>
      <c r="K44" s="46">
        <f t="shared" si="0"/>
        <v>-130.90144875088998</v>
      </c>
      <c r="P44" s="52"/>
    </row>
    <row r="45" spans="1:16" ht="12.75">
      <c r="A45" s="42" t="s">
        <v>98</v>
      </c>
      <c r="B45" s="81">
        <v>10.0118</v>
      </c>
      <c r="C45" s="46">
        <f t="shared" si="8"/>
        <v>0</v>
      </c>
      <c r="D45" s="46">
        <f t="shared" si="9"/>
        <v>-46</v>
      </c>
      <c r="E45" s="81">
        <v>11.6944</v>
      </c>
      <c r="F45" s="81">
        <v>14.5808</v>
      </c>
      <c r="G45" s="68">
        <v>-2.56361E-06</v>
      </c>
      <c r="H45" s="46">
        <f t="shared" si="1"/>
        <v>74.9220394810499</v>
      </c>
      <c r="I45" s="46">
        <f t="shared" si="2"/>
        <v>-74.9220394810499</v>
      </c>
      <c r="J45" s="46">
        <f t="shared" si="3"/>
        <v>37.65873534784039</v>
      </c>
      <c r="K45" s="46">
        <f t="shared" si="0"/>
        <v>-129.65873534784038</v>
      </c>
      <c r="P45" s="52"/>
    </row>
    <row r="46" spans="1:16" ht="12.75">
      <c r="A46" s="42" t="s">
        <v>98</v>
      </c>
      <c r="B46" s="81">
        <v>10.6426</v>
      </c>
      <c r="C46" s="46">
        <f t="shared" si="8"/>
        <v>0</v>
      </c>
      <c r="D46" s="46">
        <f t="shared" si="9"/>
        <v>-46</v>
      </c>
      <c r="E46" s="81">
        <v>11.0303</v>
      </c>
      <c r="F46" s="81">
        <v>14.2047</v>
      </c>
      <c r="G46" s="68">
        <v>-2.85026E-06</v>
      </c>
      <c r="H46" s="46">
        <f t="shared" si="1"/>
        <v>72.76361728226546</v>
      </c>
      <c r="I46" s="46">
        <f t="shared" si="2"/>
        <v>-72.76361728226546</v>
      </c>
      <c r="J46" s="46">
        <f t="shared" si="3"/>
        <v>36.572731576471426</v>
      </c>
      <c r="K46" s="46">
        <f t="shared" si="0"/>
        <v>-128.57273157647143</v>
      </c>
      <c r="P46" s="52"/>
    </row>
    <row r="47" spans="1:16" ht="12.75">
      <c r="A47" s="42" t="s">
        <v>98</v>
      </c>
      <c r="B47" s="81">
        <v>11.2735</v>
      </c>
      <c r="C47" s="46">
        <f t="shared" si="8"/>
        <v>0</v>
      </c>
      <c r="D47" s="46">
        <f t="shared" si="9"/>
        <v>-46</v>
      </c>
      <c r="E47" s="81">
        <v>10.4558</v>
      </c>
      <c r="F47" s="81">
        <v>13.8889</v>
      </c>
      <c r="G47" s="68">
        <v>-3.13691E-06</v>
      </c>
      <c r="H47" s="46">
        <f t="shared" si="1"/>
        <v>70.84337654290626</v>
      </c>
      <c r="I47" s="46">
        <f t="shared" si="2"/>
        <v>-70.84337654290626</v>
      </c>
      <c r="J47" s="46">
        <f t="shared" si="3"/>
        <v>35.64969075262931</v>
      </c>
      <c r="K47" s="46">
        <f t="shared" si="0"/>
        <v>-127.64969075262931</v>
      </c>
      <c r="P47" s="52"/>
    </row>
    <row r="48" spans="1:16" ht="12.75">
      <c r="A48" s="77" t="s">
        <v>138</v>
      </c>
      <c r="B48" s="84">
        <v>11.7051</v>
      </c>
      <c r="C48" s="78">
        <f>(B48-s_qdc)*TAN(k_qdc/1000)*1000+o_qdc</f>
        <v>0</v>
      </c>
      <c r="D48" s="78">
        <f t="shared" si="9"/>
        <v>-46</v>
      </c>
      <c r="E48" s="84">
        <v>10.1098</v>
      </c>
      <c r="F48" s="84">
        <v>13.7075</v>
      </c>
      <c r="G48" s="79">
        <v>-0.00453525</v>
      </c>
      <c r="H48" s="78">
        <f t="shared" si="1"/>
        <v>69.66135226938965</v>
      </c>
      <c r="I48" s="78">
        <f t="shared" si="2"/>
        <v>-69.66135226938965</v>
      </c>
      <c r="J48" s="78">
        <f t="shared" si="3"/>
        <v>35.1147335568576</v>
      </c>
      <c r="K48" s="78">
        <f t="shared" si="0"/>
        <v>-127.1147335568576</v>
      </c>
      <c r="P48" s="52"/>
    </row>
    <row r="49" spans="1:16" ht="12.75">
      <c r="A49" s="77" t="s">
        <v>139</v>
      </c>
      <c r="B49" s="84">
        <v>12.1368</v>
      </c>
      <c r="C49" s="78">
        <f>(B49-s_bnd1)*TAN(k_bnd1/1000)*1000+o_bnd1</f>
        <v>18.135237295254054</v>
      </c>
      <c r="D49" s="78">
        <f t="shared" si="9"/>
        <v>-46</v>
      </c>
      <c r="E49" s="84">
        <v>9.79713</v>
      </c>
      <c r="F49" s="84">
        <v>13.5543</v>
      </c>
      <c r="G49" s="79">
        <v>-0.0181292</v>
      </c>
      <c r="H49" s="78">
        <f t="shared" si="1"/>
        <v>86.71090644984561</v>
      </c>
      <c r="I49" s="78">
        <f t="shared" si="2"/>
        <v>-50.440431859337494</v>
      </c>
      <c r="J49" s="78">
        <f t="shared" si="3"/>
        <v>34.66017604741512</v>
      </c>
      <c r="K49" s="78">
        <f t="shared" si="0"/>
        <v>-126.66017604741512</v>
      </c>
      <c r="P49" s="52"/>
    </row>
    <row r="50" spans="1:16" ht="12.75">
      <c r="A50" s="42" t="s">
        <v>101</v>
      </c>
      <c r="B50" s="81">
        <v>13.6516</v>
      </c>
      <c r="C50" s="46">
        <f>(B50-s_bnd1)*TAN(k_bnd1/1000)*1000+o_bnd1</f>
        <v>81.75556488870224</v>
      </c>
      <c r="D50" s="46">
        <f t="shared" si="9"/>
        <v>-46</v>
      </c>
      <c r="E50" s="81">
        <v>9.0781</v>
      </c>
      <c r="F50" s="81">
        <v>13.1575</v>
      </c>
      <c r="G50" s="68">
        <v>-0.0817904</v>
      </c>
      <c r="H50" s="46">
        <f t="shared" si="1"/>
        <v>147.76683665345465</v>
      </c>
      <c r="I50" s="46">
        <f t="shared" si="2"/>
        <v>15.74429312394983</v>
      </c>
      <c r="J50" s="46">
        <f t="shared" si="3"/>
        <v>33.47074933584055</v>
      </c>
      <c r="K50" s="46">
        <f t="shared" si="0"/>
        <v>-125.47074933584055</v>
      </c>
      <c r="P50" s="52"/>
    </row>
    <row r="51" spans="1:16" ht="12.75">
      <c r="A51" s="77" t="s">
        <v>140</v>
      </c>
      <c r="B51" s="84">
        <v>14.0877</v>
      </c>
      <c r="C51" s="78">
        <f>(B51-s_bnd1)*TAN(k_bnd1/1000)*1000+o_bnd1</f>
        <v>100.07139857202856</v>
      </c>
      <c r="D51" s="78">
        <f t="shared" si="9"/>
        <v>-46</v>
      </c>
      <c r="E51" s="84">
        <v>8.97948</v>
      </c>
      <c r="F51" s="84">
        <v>13.0835</v>
      </c>
      <c r="G51" s="79">
        <v>-0.0952674</v>
      </c>
      <c r="H51" s="78">
        <f t="shared" si="1"/>
        <v>165.72313426880964</v>
      </c>
      <c r="I51" s="78">
        <f t="shared" si="2"/>
        <v>34.41966287524747</v>
      </c>
      <c r="J51" s="78">
        <f t="shared" si="3"/>
        <v>33.24695577749344</v>
      </c>
      <c r="K51" s="78">
        <f t="shared" si="0"/>
        <v>-125.24695577749344</v>
      </c>
      <c r="P51" s="52"/>
    </row>
    <row r="52" spans="1:16" ht="12.75">
      <c r="A52" s="77" t="s">
        <v>141</v>
      </c>
      <c r="B52" s="84">
        <v>14.5238</v>
      </c>
      <c r="C52" s="78">
        <f>(B52-s_bnd2)*TAN(k_bnd2/1000)*1000+o_bnd2</f>
        <v>98.1612291880149</v>
      </c>
      <c r="D52" s="78">
        <f t="shared" si="9"/>
        <v>-46</v>
      </c>
      <c r="E52" s="84">
        <v>8.91449</v>
      </c>
      <c r="F52" s="84">
        <v>13.0387</v>
      </c>
      <c r="G52" s="79">
        <v>-0.0988838</v>
      </c>
      <c r="H52" s="78">
        <f t="shared" si="1"/>
        <v>163.57495251882676</v>
      </c>
      <c r="I52" s="78">
        <f t="shared" si="2"/>
        <v>32.74750585720304</v>
      </c>
      <c r="J52" s="78">
        <f t="shared" si="3"/>
        <v>33.11116229711203</v>
      </c>
      <c r="K52" s="78">
        <f t="shared" si="0"/>
        <v>-125.11116229711203</v>
      </c>
      <c r="P52" s="52"/>
    </row>
    <row r="53" spans="1:16" ht="12.75">
      <c r="A53" s="42" t="s">
        <v>103</v>
      </c>
      <c r="B53" s="81">
        <v>14.5238</v>
      </c>
      <c r="C53" s="46">
        <f>(B53-s_bnd2)*TAN(k_bnd2/1000)*1000+o_bnd2</f>
        <v>98.1612291880149</v>
      </c>
      <c r="D53" s="46">
        <f t="shared" si="9"/>
        <v>-46</v>
      </c>
      <c r="E53" s="81">
        <v>8.91449</v>
      </c>
      <c r="F53" s="81">
        <v>13.0387</v>
      </c>
      <c r="G53" s="68">
        <v>-0.0988838</v>
      </c>
      <c r="H53" s="46">
        <f t="shared" si="1"/>
        <v>163.57495251882676</v>
      </c>
      <c r="I53" s="46">
        <f t="shared" si="2"/>
        <v>32.74750585720304</v>
      </c>
      <c r="J53" s="46">
        <f t="shared" si="3"/>
        <v>33.11116229711203</v>
      </c>
      <c r="K53" s="46">
        <f t="shared" si="0"/>
        <v>-125.11116229711203</v>
      </c>
      <c r="P53" s="52"/>
    </row>
    <row r="54" spans="1:16" ht="12.75">
      <c r="A54" s="42" t="s">
        <v>105</v>
      </c>
      <c r="B54" s="81">
        <v>15.4068</v>
      </c>
      <c r="C54" s="46">
        <f>(B54-s_bnd2)*TAN(k_bnd2/1000)*1000+o_bnd2</f>
        <v>94.45260738129302</v>
      </c>
      <c r="D54" s="46">
        <f t="shared" si="9"/>
        <v>-46</v>
      </c>
      <c r="E54" s="81">
        <v>8.90722</v>
      </c>
      <c r="F54" s="81">
        <v>13.0339</v>
      </c>
      <c r="G54" s="68">
        <v>-0.0962352</v>
      </c>
      <c r="H54" s="46">
        <f t="shared" si="1"/>
        <v>159.83965196965164</v>
      </c>
      <c r="I54" s="46">
        <f t="shared" si="2"/>
        <v>29.065562792934386</v>
      </c>
      <c r="J54" s="46">
        <f>SQRT(emmit*F54)+D54</f>
        <v>33.09659916835868</v>
      </c>
      <c r="K54" s="46">
        <f t="shared" si="0"/>
        <v>-125.09659916835868</v>
      </c>
      <c r="P54" s="52"/>
    </row>
    <row r="55" spans="1:16" ht="12.75">
      <c r="A55" s="77" t="s">
        <v>142</v>
      </c>
      <c r="B55" s="84">
        <v>15.902</v>
      </c>
      <c r="C55" s="78">
        <f>(B55-s_bnd2)*TAN(k_bnd2/1000)*1000+o_bnd2</f>
        <v>92.37275515174754</v>
      </c>
      <c r="D55" s="78">
        <f t="shared" si="9"/>
        <v>-46</v>
      </c>
      <c r="E55" s="84">
        <v>8.9745</v>
      </c>
      <c r="F55" s="84">
        <v>13.0853</v>
      </c>
      <c r="G55" s="79">
        <v>-0.0893234</v>
      </c>
      <c r="H55" s="78">
        <f t="shared" si="1"/>
        <v>158.00628316906503</v>
      </c>
      <c r="I55" s="78">
        <f t="shared" si="2"/>
        <v>26.739227134430053</v>
      </c>
      <c r="J55" s="78">
        <f t="shared" si="3"/>
        <v>33.252406903513034</v>
      </c>
      <c r="K55" s="78">
        <f t="shared" si="0"/>
        <v>-125.25240690351303</v>
      </c>
      <c r="P55" s="52"/>
    </row>
    <row r="56" spans="1:16" ht="12.75">
      <c r="A56" s="77" t="s">
        <v>143</v>
      </c>
      <c r="B56" s="84">
        <v>16.3972</v>
      </c>
      <c r="C56" s="78">
        <f>(B56-s_bnd3)*TAN(k_bnd3/1000)*1000+o_bnd3</f>
        <v>69.74344679009657</v>
      </c>
      <c r="D56" s="78">
        <f t="shared" si="9"/>
        <v>-46</v>
      </c>
      <c r="E56" s="84">
        <v>9.08835</v>
      </c>
      <c r="F56" s="84">
        <v>13.1743</v>
      </c>
      <c r="G56" s="79">
        <v>-0.0715745</v>
      </c>
      <c r="H56" s="78">
        <f t="shared" si="1"/>
        <v>135.79197440426827</v>
      </c>
      <c r="I56" s="78">
        <f t="shared" si="2"/>
        <v>3.6949191759248805</v>
      </c>
      <c r="J56" s="78">
        <f t="shared" si="3"/>
        <v>33.5214687993123</v>
      </c>
      <c r="K56" s="78">
        <f t="shared" si="0"/>
        <v>-125.5214687993123</v>
      </c>
      <c r="P56" s="52"/>
    </row>
    <row r="57" spans="1:16" ht="12.75">
      <c r="A57" s="42" t="s">
        <v>107</v>
      </c>
      <c r="B57" s="81">
        <v>17.4874</v>
      </c>
      <c r="C57" s="46">
        <f>(B57-s_bnd3)*TAN(k_bnd3/1000)*1000+o_bnd3</f>
        <v>20.106218894442236</v>
      </c>
      <c r="D57" s="46">
        <f t="shared" si="9"/>
        <v>-46</v>
      </c>
      <c r="E57" s="81">
        <v>9.5648</v>
      </c>
      <c r="F57" s="81">
        <v>13.4437</v>
      </c>
      <c r="G57" s="68">
        <v>-0.0207356</v>
      </c>
      <c r="H57" s="46">
        <f>SQRT(E57*emmit)+C57</f>
        <v>87.86390480534094</v>
      </c>
      <c r="I57" s="46">
        <f t="shared" si="2"/>
        <v>-47.651467016456465</v>
      </c>
      <c r="J57" s="46">
        <f t="shared" si="3"/>
        <v>34.33041765109901</v>
      </c>
      <c r="K57" s="46">
        <f>D57-SQRT(F57*emmit)</f>
        <v>-126.33041765109901</v>
      </c>
      <c r="P57" s="52"/>
    </row>
    <row r="58" spans="1:16" ht="12.75">
      <c r="A58" s="77" t="s">
        <v>144</v>
      </c>
      <c r="B58" s="84">
        <v>17.9326</v>
      </c>
      <c r="C58" s="78">
        <f>(B58-s_bnd3)*TAN(k_bnd3/1000)*1000+o_bnd3</f>
        <v>-0.16390939316124786</v>
      </c>
      <c r="D58" s="78">
        <f t="shared" si="9"/>
        <v>-46</v>
      </c>
      <c r="E58" s="84">
        <v>9.85218</v>
      </c>
      <c r="F58" s="84">
        <v>13.5766</v>
      </c>
      <c r="G58" s="79">
        <v>-0.00518093</v>
      </c>
      <c r="H58" s="78">
        <f>SQRT(E58*emmit)+C58</f>
        <v>68.604152961394</v>
      </c>
      <c r="I58" s="78">
        <f t="shared" si="2"/>
        <v>-68.9319717477165</v>
      </c>
      <c r="J58" s="78">
        <f t="shared" si="3"/>
        <v>34.72650122481464</v>
      </c>
      <c r="K58" s="78">
        <f>D58-SQRT(F58*emmit)</f>
        <v>-126.72650122481464</v>
      </c>
      <c r="P58" s="52"/>
    </row>
    <row r="59" spans="1:16" ht="12.75">
      <c r="A59" s="77" t="s">
        <v>145</v>
      </c>
      <c r="B59" s="84">
        <v>18.3777</v>
      </c>
      <c r="C59" s="78">
        <f aca="true" t="shared" si="10" ref="C59:C66">(B59-s_bnd4)*TAN(k_bnd4/1000)*1000+o_bnd4</f>
        <v>0</v>
      </c>
      <c r="D59" s="78">
        <f t="shared" si="9"/>
        <v>-46</v>
      </c>
      <c r="E59" s="84">
        <v>10.1738</v>
      </c>
      <c r="F59" s="84">
        <v>13.7395</v>
      </c>
      <c r="G59" s="79">
        <v>4.75687E-06</v>
      </c>
      <c r="H59" s="78">
        <f>SQRT(E59*emmit)+C59</f>
        <v>69.88149969770254</v>
      </c>
      <c r="I59" s="78">
        <f t="shared" si="2"/>
        <v>-69.88149969770254</v>
      </c>
      <c r="J59" s="78">
        <f t="shared" si="3"/>
        <v>35.209359066550945</v>
      </c>
      <c r="K59" s="78">
        <f>D59-SQRT(F59*emmit)</f>
        <v>-127.20935906655095</v>
      </c>
      <c r="P59" s="52"/>
    </row>
    <row r="60" spans="1:16" ht="12.75">
      <c r="A60" s="42" t="s">
        <v>109</v>
      </c>
      <c r="B60" s="81">
        <v>19.0967</v>
      </c>
      <c r="C60" s="46">
        <f t="shared" si="10"/>
        <v>0</v>
      </c>
      <c r="D60" s="46">
        <f t="shared" si="9"/>
        <v>-46</v>
      </c>
      <c r="E60" s="81">
        <v>10.7787</v>
      </c>
      <c r="F60" s="81">
        <v>14.0659</v>
      </c>
      <c r="G60" s="68">
        <v>4.43018E-06</v>
      </c>
      <c r="H60" s="46">
        <f aca="true" t="shared" si="11" ref="H60:H104">SQRT(E60*emmit)+C60</f>
        <v>71.9289649584922</v>
      </c>
      <c r="I60" s="46">
        <f aca="true" t="shared" si="12" ref="I60:I104">-SQRT(emmit*E60)+C60</f>
        <v>-71.9289649584922</v>
      </c>
      <c r="J60" s="46">
        <f aca="true" t="shared" si="13" ref="J60:J104">SQRT(emmit*F60)+D60</f>
        <v>36.168315061220525</v>
      </c>
      <c r="K60" s="46">
        <f aca="true" t="shared" si="14" ref="K60:K104">D60-SQRT(F60*emmit)</f>
        <v>-128.16831506122054</v>
      </c>
      <c r="P60" s="52"/>
    </row>
    <row r="61" spans="1:16" ht="12.75">
      <c r="A61" s="42" t="s">
        <v>109</v>
      </c>
      <c r="B61" s="81">
        <v>19.8157</v>
      </c>
      <c r="C61" s="46">
        <f t="shared" si="10"/>
        <v>0</v>
      </c>
      <c r="D61" s="46">
        <f t="shared" si="9"/>
        <v>-46</v>
      </c>
      <c r="E61" s="81">
        <v>11.4999</v>
      </c>
      <c r="F61" s="81">
        <v>14.4705</v>
      </c>
      <c r="G61" s="68">
        <v>4.10349E-06</v>
      </c>
      <c r="H61" s="46">
        <f t="shared" si="11"/>
        <v>74.29637945418337</v>
      </c>
      <c r="I61" s="46">
        <f t="shared" si="12"/>
        <v>-74.29637945418337</v>
      </c>
      <c r="J61" s="46">
        <f t="shared" si="13"/>
        <v>37.34170624603267</v>
      </c>
      <c r="K61" s="46">
        <f t="shared" si="14"/>
        <v>-129.3417062460327</v>
      </c>
      <c r="P61" s="52"/>
    </row>
    <row r="62" spans="1:16" ht="12.75">
      <c r="A62" s="42" t="s">
        <v>109</v>
      </c>
      <c r="B62" s="81">
        <v>20.5347</v>
      </c>
      <c r="C62" s="46">
        <f t="shared" si="10"/>
        <v>0</v>
      </c>
      <c r="D62" s="46">
        <f t="shared" si="9"/>
        <v>-46</v>
      </c>
      <c r="E62" s="81">
        <v>12.3374</v>
      </c>
      <c r="F62" s="81">
        <v>14.9535</v>
      </c>
      <c r="G62" s="68">
        <v>3.7768E-06</v>
      </c>
      <c r="H62" s="46">
        <f t="shared" si="11"/>
        <v>76.95422015718177</v>
      </c>
      <c r="I62" s="46">
        <f t="shared" si="12"/>
        <v>-76.95422015718177</v>
      </c>
      <c r="J62" s="46">
        <f t="shared" si="13"/>
        <v>38.72118979334509</v>
      </c>
      <c r="K62" s="46">
        <f t="shared" si="14"/>
        <v>-130.7211897933451</v>
      </c>
      <c r="P62" s="52"/>
    </row>
    <row r="63" spans="1:11" ht="12.75">
      <c r="A63" s="42" t="s">
        <v>109</v>
      </c>
      <c r="B63" s="81">
        <v>21.2537</v>
      </c>
      <c r="C63" s="46">
        <f t="shared" si="10"/>
        <v>0</v>
      </c>
      <c r="D63" s="46">
        <f t="shared" si="9"/>
        <v>-46</v>
      </c>
      <c r="E63" s="81">
        <v>13.2913</v>
      </c>
      <c r="F63" s="81">
        <v>15.5146</v>
      </c>
      <c r="G63" s="68">
        <v>3.45012E-06</v>
      </c>
      <c r="H63" s="46">
        <f t="shared" si="11"/>
        <v>79.8738004604764</v>
      </c>
      <c r="I63" s="46">
        <f t="shared" si="12"/>
        <v>-79.8738004604764</v>
      </c>
      <c r="J63" s="46">
        <f t="shared" si="13"/>
        <v>40.29604857697714</v>
      </c>
      <c r="K63" s="46">
        <f t="shared" si="14"/>
        <v>-132.29604857697714</v>
      </c>
    </row>
    <row r="64" spans="1:11" ht="12.75">
      <c r="A64" s="42" t="s">
        <v>97</v>
      </c>
      <c r="B64" s="81">
        <v>21.2537</v>
      </c>
      <c r="C64" s="46">
        <f t="shared" si="10"/>
        <v>0</v>
      </c>
      <c r="D64" s="46">
        <f t="shared" si="9"/>
        <v>-46</v>
      </c>
      <c r="E64" s="81">
        <v>13.2913</v>
      </c>
      <c r="F64" s="81">
        <v>15.5146</v>
      </c>
      <c r="G64" s="68">
        <v>3.45012E-06</v>
      </c>
      <c r="H64" s="46">
        <f t="shared" si="11"/>
        <v>79.8738004604764</v>
      </c>
      <c r="I64" s="46">
        <f t="shared" si="12"/>
        <v>-79.8738004604764</v>
      </c>
      <c r="J64" s="46">
        <f t="shared" si="13"/>
        <v>40.29604857697714</v>
      </c>
      <c r="K64" s="46">
        <f t="shared" si="14"/>
        <v>-132.29604857697714</v>
      </c>
    </row>
    <row r="65" spans="1:11" ht="12.75">
      <c r="A65" s="42" t="s">
        <v>110</v>
      </c>
      <c r="B65" s="81">
        <v>21.2537</v>
      </c>
      <c r="C65" s="46">
        <f t="shared" si="10"/>
        <v>0</v>
      </c>
      <c r="D65" s="46">
        <f t="shared" si="9"/>
        <v>-46</v>
      </c>
      <c r="E65" s="81">
        <v>13.2913</v>
      </c>
      <c r="F65" s="81">
        <v>15.5146</v>
      </c>
      <c r="G65" s="68">
        <v>3.45012E-06</v>
      </c>
      <c r="H65" s="46">
        <f t="shared" si="11"/>
        <v>79.8738004604764</v>
      </c>
      <c r="I65" s="46">
        <f t="shared" si="12"/>
        <v>-79.8738004604764</v>
      </c>
      <c r="J65" s="46">
        <f t="shared" si="13"/>
        <v>40.29604857697714</v>
      </c>
      <c r="K65" s="46">
        <f t="shared" si="14"/>
        <v>-132.29604857697714</v>
      </c>
    </row>
    <row r="66" spans="1:11" ht="12.75">
      <c r="A66" s="42" t="s">
        <v>111</v>
      </c>
      <c r="B66" s="81">
        <v>21.2537</v>
      </c>
      <c r="C66" s="46">
        <f t="shared" si="10"/>
        <v>0</v>
      </c>
      <c r="D66" s="46">
        <f t="shared" si="9"/>
        <v>-46</v>
      </c>
      <c r="E66" s="81">
        <v>13.2913</v>
      </c>
      <c r="F66" s="81">
        <v>15.5146</v>
      </c>
      <c r="G66" s="68">
        <v>3.45012E-06</v>
      </c>
      <c r="H66" s="46">
        <f t="shared" si="11"/>
        <v>79.8738004604764</v>
      </c>
      <c r="I66" s="46">
        <f t="shared" si="12"/>
        <v>-79.8738004604764</v>
      </c>
      <c r="J66" s="46">
        <f t="shared" si="13"/>
        <v>40.29604857697714</v>
      </c>
      <c r="K66" s="46">
        <f t="shared" si="14"/>
        <v>-132.29604857697714</v>
      </c>
    </row>
    <row r="67" spans="1:11" ht="12.75">
      <c r="A67" s="74" t="s">
        <v>10</v>
      </c>
      <c r="B67" s="83">
        <v>21.5287</v>
      </c>
      <c r="C67" s="75">
        <f>(B67-s_qdc2)*TAN(-k_qdc/1000)*1000+o_qdc</f>
        <v>0</v>
      </c>
      <c r="D67" s="75">
        <f t="shared" si="9"/>
        <v>-46</v>
      </c>
      <c r="E67" s="83">
        <v>14.3919</v>
      </c>
      <c r="F67" s="83">
        <v>14.962</v>
      </c>
      <c r="G67" s="76">
        <v>3.41271E-06</v>
      </c>
      <c r="H67" s="75">
        <f t="shared" si="11"/>
        <v>83.1150527882886</v>
      </c>
      <c r="I67" s="75">
        <f t="shared" si="12"/>
        <v>-83.1150527882886</v>
      </c>
      <c r="J67" s="75">
        <f t="shared" si="13"/>
        <v>38.74526535447275</v>
      </c>
      <c r="K67" s="75">
        <f t="shared" si="14"/>
        <v>-130.74526535447274</v>
      </c>
    </row>
    <row r="68" spans="1:11" ht="12.75">
      <c r="A68" s="74" t="s">
        <v>10</v>
      </c>
      <c r="B68" s="83">
        <v>21.8037</v>
      </c>
      <c r="C68" s="75">
        <f>(B68-s_qfc2)*TAN(-k_qfc/1000)*1000+o_qfc</f>
        <v>0</v>
      </c>
      <c r="D68" s="75">
        <f>(B68-s_qfc2)*TAN(-k_qfcv/1000)*1000+o_qfcv</f>
        <v>-41.21693939784277</v>
      </c>
      <c r="E68" s="83">
        <v>17.1219</v>
      </c>
      <c r="F68" s="83">
        <v>12.9714</v>
      </c>
      <c r="G68" s="76">
        <v>3.55062E-06</v>
      </c>
      <c r="H68" s="75">
        <f t="shared" si="11"/>
        <v>90.65600917754983</v>
      </c>
      <c r="I68" s="75">
        <f t="shared" si="12"/>
        <v>-90.65600917754983</v>
      </c>
      <c r="J68" s="75">
        <f t="shared" si="13"/>
        <v>37.689790353174025</v>
      </c>
      <c r="K68" s="75">
        <f t="shared" si="14"/>
        <v>-120.12366914885956</v>
      </c>
    </row>
    <row r="69" spans="1:11" ht="12.75">
      <c r="A69" s="42" t="s">
        <v>96</v>
      </c>
      <c r="B69" s="81">
        <v>22.2037</v>
      </c>
      <c r="C69" s="46">
        <f>(B69-s_qfc2)*TAN(-k_qfc/1000)*1000+o_qfc</f>
        <v>0</v>
      </c>
      <c r="D69" s="46">
        <f>(B69-s_qfc2)*TAN(-k_qfcv/1000)*1000+o_qfcv</f>
        <v>-34.349651176115785</v>
      </c>
      <c r="E69" s="81">
        <v>22.9381</v>
      </c>
      <c r="F69" s="81">
        <v>9.48134</v>
      </c>
      <c r="G69" s="68">
        <v>3.88104E-06</v>
      </c>
      <c r="H69" s="46">
        <f t="shared" si="11"/>
        <v>104.92991947009203</v>
      </c>
      <c r="I69" s="46">
        <f t="shared" si="12"/>
        <v>-104.92991947009203</v>
      </c>
      <c r="J69" s="46">
        <f t="shared" si="13"/>
        <v>33.111768909737734</v>
      </c>
      <c r="K69" s="46">
        <f t="shared" si="14"/>
        <v>-101.8110712619693</v>
      </c>
    </row>
    <row r="70" spans="1:11" ht="12.75">
      <c r="A70" s="74" t="s">
        <v>9</v>
      </c>
      <c r="B70" s="83">
        <v>22.5537</v>
      </c>
      <c r="C70" s="75">
        <f>(B70-s_qfc2)*TAN(-k_qfc/1000)*1000+o_qfc</f>
        <v>0</v>
      </c>
      <c r="D70" s="75">
        <f>(B70-s_qfc2)*TAN(-k_qfcv/1000)*1000+o_qfcv</f>
        <v>-28.340773982104746</v>
      </c>
      <c r="E70" s="83">
        <v>26.7134</v>
      </c>
      <c r="F70" s="83">
        <v>7.51312</v>
      </c>
      <c r="G70" s="76">
        <v>4.01665E-06</v>
      </c>
      <c r="H70" s="75">
        <f t="shared" si="11"/>
        <v>113.23617796446506</v>
      </c>
      <c r="I70" s="75">
        <f t="shared" si="12"/>
        <v>-113.23617796446506</v>
      </c>
      <c r="J70" s="75">
        <f t="shared" si="13"/>
        <v>31.711683086694695</v>
      </c>
      <c r="K70" s="75">
        <f t="shared" si="14"/>
        <v>-88.39323105090419</v>
      </c>
    </row>
    <row r="71" spans="1:11" ht="12.75">
      <c r="A71" s="74" t="s">
        <v>9</v>
      </c>
      <c r="B71" s="83">
        <v>22.9037</v>
      </c>
      <c r="C71" s="75">
        <f aca="true" t="shared" si="15" ref="C71:C76">(B71-s_hk22)*TAN(-k_hk2/1000)*1000+o_hk2</f>
        <v>0</v>
      </c>
      <c r="D71" s="75">
        <f aca="true" t="shared" si="16" ref="D71:D76">(B71-s_vk22)*TAN(-k_vk2/1000)*1000+o_vk2</f>
        <v>-26.759131140281372</v>
      </c>
      <c r="E71" s="83">
        <v>26.5185</v>
      </c>
      <c r="F71" s="83">
        <v>6.88045</v>
      </c>
      <c r="G71" s="76">
        <v>3.84224E-06</v>
      </c>
      <c r="H71" s="75">
        <f t="shared" si="11"/>
        <v>112.82233821367115</v>
      </c>
      <c r="I71" s="75">
        <f t="shared" si="12"/>
        <v>-112.82233821367115</v>
      </c>
      <c r="J71" s="75">
        <f t="shared" si="13"/>
        <v>30.709260171812968</v>
      </c>
      <c r="K71" s="75">
        <f t="shared" si="14"/>
        <v>-84.22752245237571</v>
      </c>
    </row>
    <row r="72" spans="1:11" ht="12.75">
      <c r="A72" s="42" t="s">
        <v>112</v>
      </c>
      <c r="B72" s="81">
        <v>23.4052</v>
      </c>
      <c r="C72" s="46">
        <f t="shared" si="15"/>
        <v>0</v>
      </c>
      <c r="D72" s="46">
        <f t="shared" si="16"/>
        <v>-24.42650355525462</v>
      </c>
      <c r="E72" s="81">
        <v>23.3805</v>
      </c>
      <c r="F72" s="81">
        <v>6.82775</v>
      </c>
      <c r="G72" s="68">
        <v>3.37385E-06</v>
      </c>
      <c r="H72" s="46">
        <f t="shared" si="11"/>
        <v>105.9369623880164</v>
      </c>
      <c r="I72" s="46">
        <f t="shared" si="12"/>
        <v>-105.9369623880164</v>
      </c>
      <c r="J72" s="46">
        <f t="shared" si="13"/>
        <v>32.82137850163898</v>
      </c>
      <c r="K72" s="46">
        <f t="shared" si="14"/>
        <v>-81.67438561214823</v>
      </c>
    </row>
    <row r="73" spans="1:11" ht="12.75">
      <c r="A73" s="42" t="s">
        <v>112</v>
      </c>
      <c r="B73" s="81">
        <v>23.9067</v>
      </c>
      <c r="C73" s="46">
        <f t="shared" si="15"/>
        <v>0</v>
      </c>
      <c r="D73" s="46">
        <f t="shared" si="16"/>
        <v>-22.093875970227863</v>
      </c>
      <c r="E73" s="81">
        <v>20.4602</v>
      </c>
      <c r="F73" s="81">
        <v>6.84875</v>
      </c>
      <c r="G73" s="68">
        <v>2.90545E-06</v>
      </c>
      <c r="H73" s="46">
        <f t="shared" si="11"/>
        <v>99.10043390419641</v>
      </c>
      <c r="I73" s="46">
        <f t="shared" si="12"/>
        <v>-99.10043390419641</v>
      </c>
      <c r="J73" s="46">
        <f t="shared" si="13"/>
        <v>35.24197668759872</v>
      </c>
      <c r="K73" s="46">
        <f t="shared" si="14"/>
        <v>-79.42972862805445</v>
      </c>
    </row>
    <row r="74" spans="1:11" ht="12.75">
      <c r="A74" s="42" t="s">
        <v>112</v>
      </c>
      <c r="B74" s="81">
        <v>24.4082</v>
      </c>
      <c r="C74" s="46">
        <f t="shared" si="15"/>
        <v>0</v>
      </c>
      <c r="D74" s="46">
        <f t="shared" si="16"/>
        <v>-19.76124838520111</v>
      </c>
      <c r="E74" s="81">
        <v>17.7576</v>
      </c>
      <c r="F74" s="81">
        <v>6.94344</v>
      </c>
      <c r="G74" s="68">
        <v>2.43706E-06</v>
      </c>
      <c r="H74" s="46">
        <f t="shared" si="11"/>
        <v>92.32360478230905</v>
      </c>
      <c r="I74" s="46">
        <f t="shared" si="12"/>
        <v>-92.32360478230905</v>
      </c>
      <c r="J74" s="46">
        <f t="shared" si="13"/>
        <v>37.96960298562141</v>
      </c>
      <c r="K74" s="46">
        <f t="shared" si="14"/>
        <v>-77.49209975602362</v>
      </c>
    </row>
    <row r="75" spans="1:11" ht="12.75">
      <c r="A75" s="42" t="s">
        <v>112</v>
      </c>
      <c r="B75" s="81">
        <v>24.9097</v>
      </c>
      <c r="C75" s="46">
        <f t="shared" si="15"/>
        <v>0</v>
      </c>
      <c r="D75" s="46">
        <f t="shared" si="16"/>
        <v>-17.428620800174357</v>
      </c>
      <c r="E75" s="81">
        <v>15.2728</v>
      </c>
      <c r="F75" s="81">
        <v>7.11182</v>
      </c>
      <c r="G75" s="68">
        <v>1.96866E-06</v>
      </c>
      <c r="H75" s="46">
        <f t="shared" si="11"/>
        <v>85.62093202015498</v>
      </c>
      <c r="I75" s="46">
        <f t="shared" si="12"/>
        <v>-85.62093202015498</v>
      </c>
      <c r="J75" s="46">
        <f t="shared" si="13"/>
        <v>40.99803065273709</v>
      </c>
      <c r="K75" s="46">
        <f t="shared" si="14"/>
        <v>-75.85527225308581</v>
      </c>
    </row>
    <row r="76" spans="1:11" ht="12.75">
      <c r="A76" s="71" t="s">
        <v>113</v>
      </c>
      <c r="B76" s="82">
        <v>25.1237</v>
      </c>
      <c r="C76" s="72">
        <f t="shared" si="15"/>
        <v>0</v>
      </c>
      <c r="D76" s="72">
        <f t="shared" si="16"/>
        <v>-16.43324232919585</v>
      </c>
      <c r="E76" s="82">
        <v>14.2787</v>
      </c>
      <c r="F76" s="82">
        <v>7.2061</v>
      </c>
      <c r="G76" s="73">
        <v>1.76879E-06</v>
      </c>
      <c r="H76" s="72">
        <f t="shared" si="11"/>
        <v>82.78753529366604</v>
      </c>
      <c r="I76" s="72">
        <f t="shared" si="12"/>
        <v>-82.78753529366604</v>
      </c>
      <c r="J76" s="72">
        <f t="shared" si="13"/>
        <v>42.37940937092731</v>
      </c>
      <c r="K76" s="72">
        <f t="shared" si="14"/>
        <v>-75.245894029319</v>
      </c>
    </row>
    <row r="77" spans="1:11" ht="12.75">
      <c r="A77" s="71" t="s">
        <v>113</v>
      </c>
      <c r="B77" s="82">
        <v>25.3377</v>
      </c>
      <c r="C77" s="72">
        <f>(B77-s_hk12)*TAN(-k_hk1/1000)*1000+o_hk1</f>
        <v>0</v>
      </c>
      <c r="D77" s="72">
        <f aca="true" t="shared" si="17" ref="D77:D82">(B77-s_vk22)*TAN(-k_vk2/1000)*1000+o_vk2</f>
        <v>-15.437863858217325</v>
      </c>
      <c r="E77" s="82">
        <v>13.3243</v>
      </c>
      <c r="F77" s="82">
        <v>7.3138</v>
      </c>
      <c r="G77" s="73">
        <v>1.56891E-06</v>
      </c>
      <c r="H77" s="72">
        <f t="shared" si="11"/>
        <v>79.97289540838196</v>
      </c>
      <c r="I77" s="72">
        <f t="shared" si="12"/>
        <v>-79.97289540838196</v>
      </c>
      <c r="J77" s="72">
        <f t="shared" si="13"/>
        <v>43.81265512685149</v>
      </c>
      <c r="K77" s="72">
        <f t="shared" si="14"/>
        <v>-74.68838284328613</v>
      </c>
    </row>
    <row r="78" spans="1:11" ht="12.75">
      <c r="A78" s="42" t="s">
        <v>114</v>
      </c>
      <c r="B78" s="81">
        <v>25.3657</v>
      </c>
      <c r="C78" s="46">
        <f>(B78-s_hk12)*TAN(-k_hk1/1000)*1000+o_hk1</f>
        <v>0</v>
      </c>
      <c r="D78" s="46">
        <f t="shared" si="17"/>
        <v>-15.307627422762199</v>
      </c>
      <c r="E78" s="81">
        <v>13.2024</v>
      </c>
      <c r="F78" s="81">
        <v>7.32888</v>
      </c>
      <c r="G78" s="68">
        <v>1.54276E-06</v>
      </c>
      <c r="H78" s="46">
        <f t="shared" si="11"/>
        <v>79.6062309119079</v>
      </c>
      <c r="I78" s="46">
        <f t="shared" si="12"/>
        <v>-79.6062309119079</v>
      </c>
      <c r="J78" s="46">
        <f t="shared" si="13"/>
        <v>44.003943117900434</v>
      </c>
      <c r="K78" s="46">
        <f t="shared" si="14"/>
        <v>-74.61919796342484</v>
      </c>
    </row>
    <row r="79" spans="1:11" ht="12.75">
      <c r="A79" s="42" t="s">
        <v>114</v>
      </c>
      <c r="B79" s="81">
        <v>25.3937</v>
      </c>
      <c r="C79" s="46">
        <f>(B79-s_hk12)*TAN(-k_hk1/1000)*1000+o_hk1</f>
        <v>0</v>
      </c>
      <c r="D79" s="46">
        <f t="shared" si="17"/>
        <v>-15.17739098730707</v>
      </c>
      <c r="E79" s="81">
        <v>13.0811</v>
      </c>
      <c r="F79" s="81">
        <v>7.3442</v>
      </c>
      <c r="G79" s="68">
        <v>1.51661E-06</v>
      </c>
      <c r="H79" s="46">
        <f t="shared" si="11"/>
        <v>79.23968702613608</v>
      </c>
      <c r="I79" s="46">
        <f t="shared" si="12"/>
        <v>-79.23968702613608</v>
      </c>
      <c r="J79" s="46">
        <f t="shared" si="13"/>
        <v>44.1961384681666</v>
      </c>
      <c r="K79" s="46">
        <f t="shared" si="14"/>
        <v>-74.55092044278075</v>
      </c>
    </row>
    <row r="80" spans="1:11" ht="12.75">
      <c r="A80" s="42" t="s">
        <v>114</v>
      </c>
      <c r="B80" s="81">
        <v>25.4217</v>
      </c>
      <c r="C80" s="46">
        <f>(B80-s_hk12)*TAN(-k_hk1/1000)*1000+o_hk1</f>
        <v>0</v>
      </c>
      <c r="D80" s="46">
        <f t="shared" si="17"/>
        <v>-15.047154551851929</v>
      </c>
      <c r="E80" s="81">
        <v>12.9606</v>
      </c>
      <c r="F80" s="81">
        <v>7.35974</v>
      </c>
      <c r="G80" s="68">
        <v>1.49046E-06</v>
      </c>
      <c r="H80" s="46">
        <f t="shared" si="11"/>
        <v>78.87387400147149</v>
      </c>
      <c r="I80" s="46">
        <f t="shared" si="12"/>
        <v>-78.87387400147149</v>
      </c>
      <c r="J80" s="46">
        <f t="shared" si="13"/>
        <v>44.389157581388645</v>
      </c>
      <c r="K80" s="46">
        <f t="shared" si="14"/>
        <v>-74.4834666850925</v>
      </c>
    </row>
    <row r="81" spans="1:11" ht="12.75">
      <c r="A81" s="42" t="s">
        <v>114</v>
      </c>
      <c r="B81" s="81">
        <v>25.4497</v>
      </c>
      <c r="C81" s="46">
        <f>(B81-s_hk12)*TAN(-k_hk1/1000)*1000+o_hk1</f>
        <v>0</v>
      </c>
      <c r="D81" s="46">
        <f t="shared" si="17"/>
        <v>-14.9169181163968</v>
      </c>
      <c r="E81" s="81">
        <v>12.8407</v>
      </c>
      <c r="F81" s="81">
        <v>7.37551</v>
      </c>
      <c r="G81" s="68">
        <v>1.4643E-06</v>
      </c>
      <c r="H81" s="46">
        <f t="shared" si="11"/>
        <v>78.50819065549786</v>
      </c>
      <c r="I81" s="46">
        <f t="shared" si="12"/>
        <v>-78.50819065549786</v>
      </c>
      <c r="J81" s="46">
        <f t="shared" si="13"/>
        <v>44.58303818610816</v>
      </c>
      <c r="K81" s="46">
        <f t="shared" si="14"/>
        <v>-74.41687441890176</v>
      </c>
    </row>
    <row r="82" spans="1:11" ht="12.75">
      <c r="A82" s="71" t="s">
        <v>115</v>
      </c>
      <c r="B82" s="82">
        <v>25.6637</v>
      </c>
      <c r="C82" s="72">
        <f aca="true" t="shared" si="18" ref="C82:C95">(B82-s_hk12)*TAN(-k_hk1/1000)*1000+o_hk1</f>
        <v>0</v>
      </c>
      <c r="D82" s="72">
        <f t="shared" si="17"/>
        <v>-13.921539645418292</v>
      </c>
      <c r="E82" s="82">
        <v>11.9467</v>
      </c>
      <c r="F82" s="82">
        <v>7.50365</v>
      </c>
      <c r="G82" s="73">
        <v>1.26443E-06</v>
      </c>
      <c r="H82" s="72">
        <f t="shared" si="11"/>
        <v>75.72592686788323</v>
      </c>
      <c r="I82" s="72">
        <f t="shared" si="12"/>
        <v>-75.72592686788323</v>
      </c>
      <c r="J82" s="72">
        <f t="shared" si="13"/>
        <v>46.093058578680484</v>
      </c>
      <c r="K82" s="72">
        <f t="shared" si="14"/>
        <v>-73.93613786951707</v>
      </c>
    </row>
    <row r="83" spans="1:11" ht="12.75">
      <c r="A83" s="71" t="s">
        <v>115</v>
      </c>
      <c r="B83" s="82">
        <v>25.8777</v>
      </c>
      <c r="C83" s="72">
        <f t="shared" si="18"/>
        <v>0</v>
      </c>
      <c r="D83" s="72">
        <f aca="true" t="shared" si="19" ref="D83:D89">(B83-s_vk12)*TAN(-k_vk1/1000)*1000+o_vk1</f>
        <v>-10.42836904917684</v>
      </c>
      <c r="E83" s="82">
        <v>11.0923</v>
      </c>
      <c r="F83" s="82">
        <v>7.64521</v>
      </c>
      <c r="G83" s="73">
        <v>1.06456E-06</v>
      </c>
      <c r="H83" s="72">
        <f t="shared" si="11"/>
        <v>72.96782852737225</v>
      </c>
      <c r="I83" s="72">
        <f t="shared" si="12"/>
        <v>-72.96782852737225</v>
      </c>
      <c r="J83" s="72">
        <f t="shared" si="13"/>
        <v>50.14968638346312</v>
      </c>
      <c r="K83" s="72">
        <f t="shared" si="14"/>
        <v>-71.0064244818168</v>
      </c>
    </row>
    <row r="84" spans="1:11" ht="12.75">
      <c r="A84" s="42" t="s">
        <v>111</v>
      </c>
      <c r="B84" s="81">
        <v>25.8777</v>
      </c>
      <c r="C84" s="46">
        <f t="shared" si="18"/>
        <v>0</v>
      </c>
      <c r="D84" s="46">
        <f t="shared" si="19"/>
        <v>-10.42836904917684</v>
      </c>
      <c r="E84" s="81">
        <v>11.0923</v>
      </c>
      <c r="F84" s="81">
        <v>7.64521</v>
      </c>
      <c r="G84" s="68">
        <v>1.06456E-06</v>
      </c>
      <c r="H84" s="46">
        <f t="shared" si="11"/>
        <v>72.96782852737225</v>
      </c>
      <c r="I84" s="46">
        <f t="shared" si="12"/>
        <v>-72.96782852737225</v>
      </c>
      <c r="J84" s="46">
        <f t="shared" si="13"/>
        <v>50.14968638346312</v>
      </c>
      <c r="K84" s="46">
        <f t="shared" si="14"/>
        <v>-71.0064244818168</v>
      </c>
    </row>
    <row r="85" spans="1:11" ht="12.75">
      <c r="A85" s="42" t="s">
        <v>116</v>
      </c>
      <c r="B85" s="81">
        <v>25.8777</v>
      </c>
      <c r="C85" s="46">
        <f t="shared" si="18"/>
        <v>0</v>
      </c>
      <c r="D85" s="46">
        <f t="shared" si="19"/>
        <v>-10.42836904917684</v>
      </c>
      <c r="E85" s="81">
        <v>11.0923</v>
      </c>
      <c r="F85" s="81">
        <v>7.64521</v>
      </c>
      <c r="G85" s="68">
        <v>1.06456E-06</v>
      </c>
      <c r="H85" s="46">
        <f t="shared" si="11"/>
        <v>72.96782852737225</v>
      </c>
      <c r="I85" s="46">
        <f t="shared" si="12"/>
        <v>-72.96782852737225</v>
      </c>
      <c r="J85" s="46">
        <f t="shared" si="13"/>
        <v>50.14968638346312</v>
      </c>
      <c r="K85" s="46">
        <f t="shared" si="14"/>
        <v>-71.0064244818168</v>
      </c>
    </row>
    <row r="86" spans="1:11" ht="12.75">
      <c r="A86" s="42" t="s">
        <v>117</v>
      </c>
      <c r="B86" s="81">
        <v>26.1018</v>
      </c>
      <c r="C86" s="46">
        <f t="shared" si="18"/>
        <v>0</v>
      </c>
      <c r="D86" s="46">
        <f t="shared" si="19"/>
        <v>-8.647256707190303</v>
      </c>
      <c r="E86" s="81">
        <v>10.2401</v>
      </c>
      <c r="F86" s="81">
        <v>7.80785</v>
      </c>
      <c r="G86" s="68">
        <v>8.55226E-07</v>
      </c>
      <c r="H86" s="46">
        <f t="shared" si="11"/>
        <v>70.10882968642395</v>
      </c>
      <c r="I86" s="46">
        <f t="shared" si="12"/>
        <v>-70.10882968642395</v>
      </c>
      <c r="J86" s="46">
        <f t="shared" si="13"/>
        <v>52.571759946134016</v>
      </c>
      <c r="K86" s="46">
        <f t="shared" si="14"/>
        <v>-69.86627336051463</v>
      </c>
    </row>
    <row r="87" spans="1:11" ht="12.75">
      <c r="A87" s="42" t="s">
        <v>117</v>
      </c>
      <c r="B87" s="81">
        <v>26.326</v>
      </c>
      <c r="C87" s="46">
        <f t="shared" si="18"/>
        <v>0</v>
      </c>
      <c r="D87" s="46">
        <f t="shared" si="19"/>
        <v>-6.865349580579946</v>
      </c>
      <c r="E87" s="81">
        <v>9.4313</v>
      </c>
      <c r="F87" s="81">
        <v>7.98521</v>
      </c>
      <c r="G87" s="68">
        <v>6.45896E-07</v>
      </c>
      <c r="H87" s="46">
        <f t="shared" si="11"/>
        <v>67.28316282696586</v>
      </c>
      <c r="I87" s="46">
        <f t="shared" si="12"/>
        <v>-67.28316282696586</v>
      </c>
      <c r="J87" s="46">
        <f t="shared" si="13"/>
        <v>55.04507603578939</v>
      </c>
      <c r="K87" s="46">
        <f t="shared" si="14"/>
        <v>-68.77577519694928</v>
      </c>
    </row>
    <row r="88" spans="1:11" ht="12.75">
      <c r="A88" s="42" t="s">
        <v>117</v>
      </c>
      <c r="B88" s="81">
        <v>26.5501</v>
      </c>
      <c r="C88" s="46">
        <f t="shared" si="18"/>
        <v>0</v>
      </c>
      <c r="D88" s="46">
        <f t="shared" si="19"/>
        <v>-5.08423723859341</v>
      </c>
      <c r="E88" s="81">
        <v>8.66602</v>
      </c>
      <c r="F88" s="81">
        <v>8.17728</v>
      </c>
      <c r="G88" s="68">
        <v>4.36565E-07</v>
      </c>
      <c r="H88" s="46">
        <f t="shared" si="11"/>
        <v>64.49565566764943</v>
      </c>
      <c r="I88" s="46">
        <f t="shared" si="12"/>
        <v>-64.49565566764943</v>
      </c>
      <c r="J88" s="46">
        <f t="shared" si="13"/>
        <v>57.566336581603956</v>
      </c>
      <c r="K88" s="46">
        <f t="shared" si="14"/>
        <v>-67.73481105879077</v>
      </c>
    </row>
    <row r="89" spans="1:11" ht="12.75">
      <c r="A89" s="42" t="s">
        <v>117</v>
      </c>
      <c r="B89" s="81">
        <v>26.7742</v>
      </c>
      <c r="C89" s="46">
        <f t="shared" si="18"/>
        <v>0</v>
      </c>
      <c r="D89" s="46">
        <f t="shared" si="19"/>
        <v>-3.303124896606874</v>
      </c>
      <c r="E89" s="81">
        <v>7.94423</v>
      </c>
      <c r="F89" s="81">
        <v>8.38408</v>
      </c>
      <c r="G89" s="68">
        <v>2.27234E-07</v>
      </c>
      <c r="H89" s="46">
        <f t="shared" si="11"/>
        <v>61.75135949920455</v>
      </c>
      <c r="I89" s="46">
        <f t="shared" si="12"/>
        <v>-61.75135949920455</v>
      </c>
      <c r="J89" s="46">
        <f t="shared" si="13"/>
        <v>60.134706087751354</v>
      </c>
      <c r="K89" s="46">
        <f t="shared" si="14"/>
        <v>-66.7409558809651</v>
      </c>
    </row>
    <row r="90" spans="1:11" ht="12.75">
      <c r="A90" s="71" t="s">
        <v>118</v>
      </c>
      <c r="B90" s="82">
        <v>27.1937</v>
      </c>
      <c r="C90" s="72">
        <f t="shared" si="18"/>
        <v>0</v>
      </c>
      <c r="D90" s="72">
        <f>(B90-s_vk12)*TAN(-k_vk1/1000)*1000+o_vk1</f>
        <v>0.030996600329095427</v>
      </c>
      <c r="E90" s="82">
        <v>6.71013</v>
      </c>
      <c r="F90" s="82">
        <v>8.81069</v>
      </c>
      <c r="G90" s="73">
        <v>-1.64575E-07</v>
      </c>
      <c r="H90" s="72">
        <f t="shared" si="11"/>
        <v>56.75264222923899</v>
      </c>
      <c r="I90" s="72">
        <f t="shared" si="12"/>
        <v>-56.75264222923899</v>
      </c>
      <c r="J90" s="72">
        <f t="shared" si="13"/>
        <v>65.0627672974276</v>
      </c>
      <c r="K90" s="72">
        <f t="shared" si="14"/>
        <v>-65.00077409676942</v>
      </c>
    </row>
    <row r="91" spans="1:11" ht="12.75">
      <c r="A91" s="71" t="s">
        <v>118</v>
      </c>
      <c r="B91" s="82">
        <v>27.6132</v>
      </c>
      <c r="C91" s="72">
        <f t="shared" si="18"/>
        <v>0</v>
      </c>
      <c r="D91" s="72">
        <v>0</v>
      </c>
      <c r="E91" s="82">
        <v>5.62838</v>
      </c>
      <c r="F91" s="82">
        <v>9.28887</v>
      </c>
      <c r="G91" s="73">
        <v>-5.56384E-07</v>
      </c>
      <c r="H91" s="72">
        <f t="shared" si="11"/>
        <v>51.97713343384762</v>
      </c>
      <c r="I91" s="72">
        <f t="shared" si="12"/>
        <v>-51.97713343384762</v>
      </c>
      <c r="J91" s="72">
        <f t="shared" si="13"/>
        <v>66.77318024476594</v>
      </c>
      <c r="K91" s="72">
        <f t="shared" si="14"/>
        <v>-66.77318024476594</v>
      </c>
    </row>
    <row r="92" spans="1:11" ht="12.75">
      <c r="A92" s="42" t="s">
        <v>119</v>
      </c>
      <c r="B92" s="81">
        <v>27.6935</v>
      </c>
      <c r="C92" s="46">
        <f t="shared" si="18"/>
        <v>0</v>
      </c>
      <c r="D92" s="46">
        <v>0</v>
      </c>
      <c r="E92" s="81">
        <v>5.43881</v>
      </c>
      <c r="F92" s="81">
        <v>9.38622</v>
      </c>
      <c r="G92" s="68">
        <v>-6.31336E-07</v>
      </c>
      <c r="H92" s="46">
        <f t="shared" si="11"/>
        <v>51.094312795065555</v>
      </c>
      <c r="I92" s="46">
        <f t="shared" si="12"/>
        <v>-51.094312795065555</v>
      </c>
      <c r="J92" s="46">
        <f t="shared" si="13"/>
        <v>67.12216921405326</v>
      </c>
      <c r="K92" s="46">
        <f t="shared" si="14"/>
        <v>-67.12216921405326</v>
      </c>
    </row>
    <row r="93" spans="1:11" ht="12.75">
      <c r="A93" s="42" t="s">
        <v>119</v>
      </c>
      <c r="B93" s="81">
        <v>27.7737</v>
      </c>
      <c r="C93" s="46">
        <f t="shared" si="18"/>
        <v>0</v>
      </c>
      <c r="D93" s="46">
        <v>0</v>
      </c>
      <c r="E93" s="81">
        <v>5.25481</v>
      </c>
      <c r="F93" s="81">
        <v>9.48545</v>
      </c>
      <c r="G93" s="68">
        <v>-7.06289E-07</v>
      </c>
      <c r="H93" s="46">
        <f t="shared" si="11"/>
        <v>50.22259252567513</v>
      </c>
      <c r="I93" s="46">
        <f t="shared" si="12"/>
        <v>-50.22259252567513</v>
      </c>
      <c r="J93" s="46">
        <f t="shared" si="13"/>
        <v>67.47604019205632</v>
      </c>
      <c r="K93" s="46">
        <f t="shared" si="14"/>
        <v>-67.47604019205632</v>
      </c>
    </row>
    <row r="94" spans="1:11" ht="12.75">
      <c r="A94" s="42" t="s">
        <v>119</v>
      </c>
      <c r="B94" s="81">
        <v>27.854</v>
      </c>
      <c r="C94" s="46">
        <f t="shared" si="18"/>
        <v>0</v>
      </c>
      <c r="D94" s="46">
        <v>0</v>
      </c>
      <c r="E94" s="81">
        <v>5.07638</v>
      </c>
      <c r="F94" s="81">
        <v>9.58658</v>
      </c>
      <c r="G94" s="68">
        <v>-7.81242E-07</v>
      </c>
      <c r="H94" s="46">
        <f t="shared" si="11"/>
        <v>49.36256071153522</v>
      </c>
      <c r="I94" s="46">
        <f t="shared" si="12"/>
        <v>-49.36256071153522</v>
      </c>
      <c r="J94" s="46">
        <f t="shared" si="13"/>
        <v>67.83478753560004</v>
      </c>
      <c r="K94" s="46">
        <f t="shared" si="14"/>
        <v>-67.83478753560004</v>
      </c>
    </row>
    <row r="95" spans="1:11" ht="12.75">
      <c r="A95" s="42" t="s">
        <v>119</v>
      </c>
      <c r="B95" s="81">
        <v>27.9342</v>
      </c>
      <c r="C95" s="46">
        <f t="shared" si="18"/>
        <v>0</v>
      </c>
      <c r="D95" s="46">
        <v>0</v>
      </c>
      <c r="E95" s="81">
        <v>4.90353</v>
      </c>
      <c r="F95" s="81">
        <v>9.68959</v>
      </c>
      <c r="G95" s="68">
        <v>-8.56195E-07</v>
      </c>
      <c r="H95" s="46">
        <f t="shared" si="11"/>
        <v>48.51488843643774</v>
      </c>
      <c r="I95" s="46">
        <f t="shared" si="12"/>
        <v>-48.51488843643774</v>
      </c>
      <c r="J95" s="46">
        <f t="shared" si="13"/>
        <v>68.19826390752186</v>
      </c>
      <c r="K95" s="46">
        <f t="shared" si="14"/>
        <v>-68.19826390752186</v>
      </c>
    </row>
    <row r="96" spans="1:11" ht="12.75">
      <c r="A96" s="71" t="s">
        <v>120</v>
      </c>
      <c r="B96" s="82">
        <v>28.3537</v>
      </c>
      <c r="C96" s="72">
        <f>(B96-s_hk12)*TAN(-k_hk1/1000)*1000+o_hk1</f>
        <v>0</v>
      </c>
      <c r="D96" s="72">
        <v>0</v>
      </c>
      <c r="E96" s="82">
        <v>4.09073</v>
      </c>
      <c r="F96" s="82">
        <v>10.2588</v>
      </c>
      <c r="G96" s="73">
        <v>-1.248E-06</v>
      </c>
      <c r="H96" s="72">
        <f t="shared" si="11"/>
        <v>44.31196678099495</v>
      </c>
      <c r="I96" s="72">
        <f t="shared" si="12"/>
        <v>-44.31196678099495</v>
      </c>
      <c r="J96" s="72">
        <f t="shared" si="13"/>
        <v>70.17281524921171</v>
      </c>
      <c r="K96" s="72">
        <f t="shared" si="14"/>
        <v>-70.17281524921171</v>
      </c>
    </row>
    <row r="97" spans="1:11" ht="12.75">
      <c r="A97" s="71" t="s">
        <v>120</v>
      </c>
      <c r="B97" s="82">
        <v>28.7732</v>
      </c>
      <c r="C97" s="72">
        <v>0</v>
      </c>
      <c r="D97" s="72">
        <v>0</v>
      </c>
      <c r="E97" s="82">
        <v>3.4303</v>
      </c>
      <c r="F97" s="82">
        <v>10.8795</v>
      </c>
      <c r="G97" s="73">
        <v>-1.63981E-06</v>
      </c>
      <c r="H97" s="72">
        <f t="shared" si="11"/>
        <v>40.57762930482755</v>
      </c>
      <c r="I97" s="72">
        <f t="shared" si="12"/>
        <v>-40.57762930482755</v>
      </c>
      <c r="J97" s="72">
        <f t="shared" si="13"/>
        <v>72.2645141130832</v>
      </c>
      <c r="K97" s="72">
        <f t="shared" si="14"/>
        <v>-72.2645141130832</v>
      </c>
    </row>
    <row r="98" spans="1:11" ht="12.75">
      <c r="A98" s="42" t="s">
        <v>121</v>
      </c>
      <c r="B98" s="81">
        <v>29.0183</v>
      </c>
      <c r="C98" s="46">
        <v>0</v>
      </c>
      <c r="D98" s="46">
        <v>0</v>
      </c>
      <c r="E98" s="81">
        <v>3.11491</v>
      </c>
      <c r="F98" s="81">
        <v>11.2661</v>
      </c>
      <c r="G98" s="68">
        <v>-1.86876E-06</v>
      </c>
      <c r="H98" s="46">
        <f t="shared" si="11"/>
        <v>38.66725746675086</v>
      </c>
      <c r="I98" s="46">
        <f t="shared" si="12"/>
        <v>-38.66725746675086</v>
      </c>
      <c r="J98" s="46">
        <f t="shared" si="13"/>
        <v>73.53725586394967</v>
      </c>
      <c r="K98" s="46">
        <f t="shared" si="14"/>
        <v>-73.53725586394967</v>
      </c>
    </row>
    <row r="99" spans="1:11" ht="12.75">
      <c r="A99" s="42" t="s">
        <v>121</v>
      </c>
      <c r="B99" s="81">
        <v>29.2635</v>
      </c>
      <c r="C99" s="46">
        <v>0</v>
      </c>
      <c r="D99" s="46">
        <v>0</v>
      </c>
      <c r="E99" s="81">
        <v>2.85154</v>
      </c>
      <c r="F99" s="81">
        <v>11.6703</v>
      </c>
      <c r="G99" s="68">
        <v>-2.0977E-06</v>
      </c>
      <c r="H99" s="46">
        <f t="shared" si="11"/>
        <v>36.9964755078102</v>
      </c>
      <c r="I99" s="46">
        <f t="shared" si="12"/>
        <v>-36.9964755078102</v>
      </c>
      <c r="J99" s="46">
        <f t="shared" si="13"/>
        <v>74.84479941853007</v>
      </c>
      <c r="K99" s="46">
        <f t="shared" si="14"/>
        <v>-74.84479941853007</v>
      </c>
    </row>
    <row r="100" spans="1:11" ht="12.75">
      <c r="A100" s="42" t="s">
        <v>121</v>
      </c>
      <c r="B100" s="81">
        <v>29.5086</v>
      </c>
      <c r="C100" s="46">
        <v>0</v>
      </c>
      <c r="D100" s="46">
        <v>0</v>
      </c>
      <c r="E100" s="81">
        <v>2.6402</v>
      </c>
      <c r="F100" s="81">
        <v>12.0921</v>
      </c>
      <c r="G100" s="68">
        <v>-2.32665E-06</v>
      </c>
      <c r="H100" s="46">
        <f t="shared" si="11"/>
        <v>35.599101112247205</v>
      </c>
      <c r="I100" s="46">
        <f t="shared" si="12"/>
        <v>-35.599101112247205</v>
      </c>
      <c r="J100" s="46">
        <f t="shared" si="13"/>
        <v>76.18535292298645</v>
      </c>
      <c r="K100" s="46">
        <f t="shared" si="14"/>
        <v>-76.18535292298645</v>
      </c>
    </row>
    <row r="101" spans="1:11" ht="12.75">
      <c r="A101" s="42" t="s">
        <v>121</v>
      </c>
      <c r="B101" s="81">
        <v>29.7537</v>
      </c>
      <c r="C101" s="46">
        <v>0</v>
      </c>
      <c r="D101" s="46">
        <v>0</v>
      </c>
      <c r="E101" s="81">
        <v>2.48087</v>
      </c>
      <c r="F101" s="81">
        <v>12.5315</v>
      </c>
      <c r="G101" s="68">
        <v>-2.55559E-06</v>
      </c>
      <c r="H101" s="46">
        <f t="shared" si="11"/>
        <v>34.508225106487295</v>
      </c>
      <c r="I101" s="46">
        <f t="shared" si="12"/>
        <v>-34.508225106487295</v>
      </c>
      <c r="J101" s="46">
        <f t="shared" si="13"/>
        <v>77.55720469434158</v>
      </c>
      <c r="K101" s="46">
        <f t="shared" si="14"/>
        <v>-77.55720469434158</v>
      </c>
    </row>
    <row r="102" spans="1:11" ht="12.75">
      <c r="A102" s="42" t="s">
        <v>81</v>
      </c>
      <c r="B102" s="81">
        <v>30.0037</v>
      </c>
      <c r="C102" s="46">
        <v>0</v>
      </c>
      <c r="D102" s="46">
        <v>0</v>
      </c>
      <c r="E102" s="81">
        <v>2.44822</v>
      </c>
      <c r="F102" s="81">
        <v>12.5982</v>
      </c>
      <c r="G102" s="68">
        <v>-2.8306E-06</v>
      </c>
      <c r="H102" s="46">
        <f t="shared" si="11"/>
        <v>34.280396730493074</v>
      </c>
      <c r="I102" s="46">
        <f t="shared" si="12"/>
        <v>-34.280396730493074</v>
      </c>
      <c r="J102" s="46">
        <f t="shared" si="13"/>
        <v>77.7633332618915</v>
      </c>
      <c r="K102" s="46">
        <f t="shared" si="14"/>
        <v>-77.7633332618915</v>
      </c>
    </row>
    <row r="103" spans="1:11" ht="12.75">
      <c r="A103" s="42" t="s">
        <v>116</v>
      </c>
      <c r="B103" s="81">
        <v>30.0037</v>
      </c>
      <c r="C103" s="46">
        <v>0</v>
      </c>
      <c r="D103" s="46">
        <v>0</v>
      </c>
      <c r="E103" s="81">
        <v>2.44822</v>
      </c>
      <c r="F103" s="81">
        <v>12.5982</v>
      </c>
      <c r="G103" s="68">
        <v>-2.8306E-06</v>
      </c>
      <c r="H103" s="46">
        <f t="shared" si="11"/>
        <v>34.280396730493074</v>
      </c>
      <c r="I103" s="46">
        <f t="shared" si="12"/>
        <v>-34.280396730493074</v>
      </c>
      <c r="J103" s="46">
        <f t="shared" si="13"/>
        <v>77.7633332618915</v>
      </c>
      <c r="K103" s="46">
        <f t="shared" si="14"/>
        <v>-77.7633332618915</v>
      </c>
    </row>
    <row r="104" spans="1:11" ht="13.5" thickBot="1">
      <c r="A104" s="55" t="s">
        <v>110</v>
      </c>
      <c r="B104" s="85">
        <v>30.0037</v>
      </c>
      <c r="C104" s="53">
        <v>0</v>
      </c>
      <c r="D104" s="53">
        <v>0</v>
      </c>
      <c r="E104" s="85">
        <v>2.44822</v>
      </c>
      <c r="F104" s="85">
        <v>12.5982</v>
      </c>
      <c r="G104" s="69">
        <v>-2.8306E-06</v>
      </c>
      <c r="H104" s="53">
        <f t="shared" si="11"/>
        <v>34.280396730493074</v>
      </c>
      <c r="I104" s="53">
        <f t="shared" si="12"/>
        <v>-34.280396730493074</v>
      </c>
      <c r="J104" s="53">
        <f t="shared" si="13"/>
        <v>77.7633332618915</v>
      </c>
      <c r="K104" s="53">
        <f t="shared" si="14"/>
        <v>-77.7633332618915</v>
      </c>
    </row>
    <row r="116" ht="12.75">
      <c r="P116" s="52"/>
    </row>
    <row r="117" ht="12.75">
      <c r="P117" s="52"/>
    </row>
    <row r="118" ht="12.75">
      <c r="P118" s="52"/>
    </row>
    <row r="119" ht="12.75">
      <c r="P119" s="52"/>
    </row>
    <row r="120" ht="12.75">
      <c r="P120" s="52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88"/>
  <sheetViews>
    <sheetView workbookViewId="0" topLeftCell="A115">
      <selection activeCell="H58" sqref="H3:H58"/>
    </sheetView>
  </sheetViews>
  <sheetFormatPr defaultColWidth="10.28125" defaultRowHeight="12.75"/>
  <cols>
    <col min="1" max="16384" width="10.28125" style="65" customWidth="1"/>
  </cols>
  <sheetData>
    <row r="1" ht="15.75">
      <c r="A1" s="67" t="s">
        <v>137</v>
      </c>
    </row>
    <row r="2" spans="1:9" ht="15.75">
      <c r="A2" s="65" t="s">
        <v>6</v>
      </c>
      <c r="B2" s="65" t="s">
        <v>72</v>
      </c>
      <c r="C2" s="65" t="s">
        <v>63</v>
      </c>
      <c r="D2" s="65" t="s">
        <v>73</v>
      </c>
      <c r="E2" s="65" t="s">
        <v>74</v>
      </c>
      <c r="F2" s="65" t="s">
        <v>7</v>
      </c>
      <c r="G2" s="65" t="s">
        <v>64</v>
      </c>
      <c r="H2" s="65" t="s">
        <v>8</v>
      </c>
      <c r="I2" s="65" t="s">
        <v>75</v>
      </c>
    </row>
    <row r="3" spans="1:9" ht="15.75">
      <c r="A3" s="65" t="s">
        <v>76</v>
      </c>
      <c r="B3" s="65" t="s">
        <v>77</v>
      </c>
      <c r="C3" s="65">
        <v>0</v>
      </c>
      <c r="D3" s="65">
        <v>0</v>
      </c>
      <c r="E3" s="65">
        <v>0</v>
      </c>
      <c r="F3" s="65">
        <v>2.44822</v>
      </c>
      <c r="G3" s="66">
        <v>2.65212E-06</v>
      </c>
      <c r="H3" s="65">
        <v>12.5989</v>
      </c>
      <c r="I3" s="65">
        <v>0</v>
      </c>
    </row>
    <row r="4" spans="1:9" ht="15.75">
      <c r="A4" s="65" t="s">
        <v>78</v>
      </c>
      <c r="B4" s="65" t="s">
        <v>77</v>
      </c>
      <c r="C4" s="65">
        <v>0</v>
      </c>
      <c r="D4" s="65">
        <v>0</v>
      </c>
      <c r="E4" s="65">
        <v>0</v>
      </c>
      <c r="F4" s="65">
        <v>2.44822</v>
      </c>
      <c r="G4" s="66">
        <v>2.65212E-06</v>
      </c>
      <c r="H4" s="65">
        <v>12.5989</v>
      </c>
      <c r="I4" s="65">
        <v>0</v>
      </c>
    </row>
    <row r="5" spans="1:9" ht="15.75">
      <c r="A5" s="65" t="s">
        <v>79</v>
      </c>
      <c r="B5" s="65" t="s">
        <v>77</v>
      </c>
      <c r="C5" s="65">
        <v>0</v>
      </c>
      <c r="D5" s="65">
        <v>0</v>
      </c>
      <c r="E5" s="65">
        <v>0</v>
      </c>
      <c r="F5" s="65">
        <v>2.44822</v>
      </c>
      <c r="G5" s="66">
        <v>2.65212E-06</v>
      </c>
      <c r="H5" s="65">
        <v>12.5989</v>
      </c>
      <c r="I5" s="65">
        <v>0</v>
      </c>
    </row>
    <row r="6" spans="1:9" ht="15.75">
      <c r="A6" s="65" t="s">
        <v>80</v>
      </c>
      <c r="B6" s="65" t="s">
        <v>77</v>
      </c>
      <c r="C6" s="65">
        <v>0</v>
      </c>
      <c r="D6" s="65">
        <v>0</v>
      </c>
      <c r="E6" s="65">
        <v>0</v>
      </c>
      <c r="F6" s="65">
        <v>2.44822</v>
      </c>
      <c r="G6" s="66">
        <v>2.65212E-06</v>
      </c>
      <c r="H6" s="65">
        <v>12.5989</v>
      </c>
      <c r="I6" s="65">
        <v>0</v>
      </c>
    </row>
    <row r="7" spans="1:9" ht="15.75">
      <c r="A7" s="65" t="s">
        <v>81</v>
      </c>
      <c r="B7" s="65" t="s">
        <v>82</v>
      </c>
      <c r="C7" s="65">
        <v>0.25</v>
      </c>
      <c r="D7" s="65">
        <v>0.25</v>
      </c>
      <c r="E7" s="65">
        <v>-0.125784</v>
      </c>
      <c r="F7" s="65">
        <v>2.48087</v>
      </c>
      <c r="G7" s="66">
        <v>2.45334E-06</v>
      </c>
      <c r="H7" s="65">
        <v>12.5321</v>
      </c>
      <c r="I7" s="65">
        <v>0</v>
      </c>
    </row>
    <row r="8" spans="1:9" ht="15.75">
      <c r="A8" s="65" t="s">
        <v>83</v>
      </c>
      <c r="B8" s="65" t="s">
        <v>84</v>
      </c>
      <c r="C8" s="65">
        <v>1.2305</v>
      </c>
      <c r="D8" s="65">
        <v>0.9805</v>
      </c>
      <c r="E8" s="65">
        <v>0</v>
      </c>
      <c r="F8" s="65">
        <v>3.4303</v>
      </c>
      <c r="G8" s="66">
        <v>1.82868E-06</v>
      </c>
      <c r="H8" s="65">
        <v>10.88</v>
      </c>
      <c r="I8" s="65">
        <v>0</v>
      </c>
    </row>
    <row r="9" spans="1:10" ht="15.75">
      <c r="A9" s="65" t="s">
        <v>85</v>
      </c>
      <c r="B9" s="65" t="s">
        <v>86</v>
      </c>
      <c r="C9" s="65">
        <v>2.0695</v>
      </c>
      <c r="D9" s="65">
        <v>0.839</v>
      </c>
      <c r="E9" s="65">
        <v>0</v>
      </c>
      <c r="F9" s="65">
        <v>4.90353</v>
      </c>
      <c r="G9" s="66">
        <v>1.29417E-06</v>
      </c>
      <c r="H9" s="65">
        <v>9.68993</v>
      </c>
      <c r="I9" s="65">
        <v>0</v>
      </c>
      <c r="J9" s="65">
        <f>C9-D9/2</f>
        <v>1.6500000000000001</v>
      </c>
    </row>
    <row r="10" spans="1:9" ht="15.75">
      <c r="A10" s="65" t="s">
        <v>87</v>
      </c>
      <c r="B10" s="65" t="s">
        <v>84</v>
      </c>
      <c r="C10" s="65">
        <v>2.3905</v>
      </c>
      <c r="D10" s="65">
        <v>0.321</v>
      </c>
      <c r="E10" s="65">
        <v>0</v>
      </c>
      <c r="F10" s="65">
        <v>5.62838</v>
      </c>
      <c r="G10" s="66">
        <v>1.08967E-06</v>
      </c>
      <c r="H10" s="65">
        <v>9.28916</v>
      </c>
      <c r="I10" s="65">
        <v>0</v>
      </c>
    </row>
    <row r="11" spans="1:10" ht="15.75">
      <c r="A11" s="65" t="s">
        <v>88</v>
      </c>
      <c r="B11" s="65" t="s">
        <v>89</v>
      </c>
      <c r="C11" s="65">
        <v>3.2295</v>
      </c>
      <c r="D11" s="65">
        <v>0.839</v>
      </c>
      <c r="E11" s="65">
        <v>0</v>
      </c>
      <c r="F11" s="65">
        <v>7.94423</v>
      </c>
      <c r="G11" s="66">
        <v>5.55162E-07</v>
      </c>
      <c r="H11" s="65">
        <v>8.38426</v>
      </c>
      <c r="I11" s="65">
        <v>0</v>
      </c>
      <c r="J11" s="65">
        <f>C11-D11/2</f>
        <v>2.8099999999999996</v>
      </c>
    </row>
    <row r="12" spans="1:9" ht="15.75">
      <c r="A12" s="65" t="s">
        <v>90</v>
      </c>
      <c r="B12" s="65" t="s">
        <v>84</v>
      </c>
      <c r="C12" s="65">
        <v>4.126</v>
      </c>
      <c r="D12" s="65">
        <v>0.8965</v>
      </c>
      <c r="E12" s="65">
        <v>0</v>
      </c>
      <c r="F12" s="65">
        <v>11.0923</v>
      </c>
      <c r="G12" s="66">
        <v>-1.59804E-08</v>
      </c>
      <c r="H12" s="65">
        <v>7.64527</v>
      </c>
      <c r="I12" s="65">
        <v>0</v>
      </c>
    </row>
    <row r="13" spans="1:10" ht="15.75">
      <c r="A13" s="65" t="s">
        <v>91</v>
      </c>
      <c r="B13" s="65" t="s">
        <v>86</v>
      </c>
      <c r="C13" s="65">
        <v>4.554</v>
      </c>
      <c r="D13" s="65">
        <v>0.428</v>
      </c>
      <c r="E13" s="65">
        <v>0</v>
      </c>
      <c r="F13" s="65">
        <v>12.8407</v>
      </c>
      <c r="G13" s="66">
        <v>-2.88651E-07</v>
      </c>
      <c r="H13" s="65">
        <v>7.37552</v>
      </c>
      <c r="I13" s="65">
        <v>0</v>
      </c>
      <c r="J13" s="65">
        <f>C13-D13/2</f>
        <v>4.34</v>
      </c>
    </row>
    <row r="14" spans="1:9" ht="15.75">
      <c r="A14" s="65" t="s">
        <v>80</v>
      </c>
      <c r="B14" s="65" t="s">
        <v>77</v>
      </c>
      <c r="C14" s="65">
        <v>4.554</v>
      </c>
      <c r="D14" s="65">
        <v>0</v>
      </c>
      <c r="E14" s="65">
        <v>0</v>
      </c>
      <c r="F14" s="65">
        <v>12.8407</v>
      </c>
      <c r="G14" s="66">
        <v>-2.88651E-07</v>
      </c>
      <c r="H14" s="65">
        <v>7.37552</v>
      </c>
      <c r="I14" s="65">
        <v>0</v>
      </c>
    </row>
    <row r="15" spans="1:9" ht="15.75">
      <c r="A15" s="65" t="s">
        <v>92</v>
      </c>
      <c r="B15" s="65" t="s">
        <v>77</v>
      </c>
      <c r="C15" s="65">
        <v>4.554</v>
      </c>
      <c r="D15" s="65">
        <v>0</v>
      </c>
      <c r="E15" s="65">
        <v>0</v>
      </c>
      <c r="F15" s="65">
        <v>12.8407</v>
      </c>
      <c r="G15" s="66">
        <v>-2.88651E-07</v>
      </c>
      <c r="H15" s="65">
        <v>7.37552</v>
      </c>
      <c r="I15" s="65">
        <v>0</v>
      </c>
    </row>
    <row r="16" spans="1:9" ht="15.75">
      <c r="A16" s="65" t="s">
        <v>93</v>
      </c>
      <c r="B16" s="65" t="s">
        <v>84</v>
      </c>
      <c r="C16" s="65">
        <v>4.666</v>
      </c>
      <c r="D16" s="65">
        <v>0.112</v>
      </c>
      <c r="E16" s="65">
        <v>0</v>
      </c>
      <c r="F16" s="65">
        <v>13.3243</v>
      </c>
      <c r="G16" s="66">
        <v>-3.60004E-07</v>
      </c>
      <c r="H16" s="65">
        <v>7.31379</v>
      </c>
      <c r="I16" s="65">
        <v>0</v>
      </c>
    </row>
    <row r="17" spans="1:10" ht="15.75">
      <c r="A17" s="65" t="s">
        <v>94</v>
      </c>
      <c r="B17" s="65" t="s">
        <v>89</v>
      </c>
      <c r="C17" s="65">
        <v>5.094</v>
      </c>
      <c r="D17" s="65">
        <v>0.428</v>
      </c>
      <c r="E17" s="65">
        <v>0</v>
      </c>
      <c r="F17" s="65">
        <v>15.2728</v>
      </c>
      <c r="G17" s="66">
        <v>-6.32674E-07</v>
      </c>
      <c r="H17" s="65">
        <v>7.11176</v>
      </c>
      <c r="I17" s="65">
        <v>0</v>
      </c>
      <c r="J17" s="65">
        <f>C17-D17/2</f>
        <v>4.88</v>
      </c>
    </row>
    <row r="18" spans="1:9" ht="15.75">
      <c r="A18" s="65" t="s">
        <v>95</v>
      </c>
      <c r="B18" s="65" t="s">
        <v>84</v>
      </c>
      <c r="C18" s="65">
        <v>7.1</v>
      </c>
      <c r="D18" s="65">
        <v>2.006</v>
      </c>
      <c r="E18" s="65">
        <v>0</v>
      </c>
      <c r="F18" s="65">
        <v>26.5185</v>
      </c>
      <c r="G18" s="66">
        <v>-1.91066E-06</v>
      </c>
      <c r="H18" s="65">
        <v>6.88017</v>
      </c>
      <c r="I18" s="65">
        <v>0</v>
      </c>
    </row>
    <row r="19" spans="1:9" ht="15.75">
      <c r="A19" s="65" t="s">
        <v>9</v>
      </c>
      <c r="B19" s="65" t="s">
        <v>82</v>
      </c>
      <c r="C19" s="65">
        <v>7.45</v>
      </c>
      <c r="D19" s="65">
        <v>0.35</v>
      </c>
      <c r="E19" s="65">
        <v>0.221955</v>
      </c>
      <c r="F19" s="65">
        <v>26.7134</v>
      </c>
      <c r="G19" s="66">
        <v>-2.05702E-06</v>
      </c>
      <c r="H19" s="65">
        <v>7.51279</v>
      </c>
      <c r="I19" s="65">
        <v>0</v>
      </c>
    </row>
    <row r="20" spans="1:9" ht="15.75">
      <c r="A20" s="65" t="s">
        <v>9</v>
      </c>
      <c r="B20" s="65" t="s">
        <v>82</v>
      </c>
      <c r="C20" s="65">
        <v>7.8</v>
      </c>
      <c r="D20" s="65">
        <v>0.35</v>
      </c>
      <c r="E20" s="65">
        <v>0.221955</v>
      </c>
      <c r="F20" s="65">
        <v>22.9381</v>
      </c>
      <c r="G20" s="66">
        <v>-2.04462E-06</v>
      </c>
      <c r="H20" s="65">
        <v>9.48089</v>
      </c>
      <c r="I20" s="65">
        <v>0</v>
      </c>
    </row>
    <row r="21" spans="1:9" ht="15.75">
      <c r="A21" s="65" t="s">
        <v>96</v>
      </c>
      <c r="B21" s="65" t="s">
        <v>84</v>
      </c>
      <c r="C21" s="65">
        <v>8.2</v>
      </c>
      <c r="D21" s="65">
        <v>0.4</v>
      </c>
      <c r="E21" s="65">
        <v>0</v>
      </c>
      <c r="F21" s="65">
        <v>17.1219</v>
      </c>
      <c r="G21" s="66">
        <v>-1.93891E-06</v>
      </c>
      <c r="H21" s="65">
        <v>12.9708</v>
      </c>
      <c r="I21" s="65">
        <v>0</v>
      </c>
    </row>
    <row r="22" spans="1:9" ht="15.75">
      <c r="A22" s="65" t="s">
        <v>10</v>
      </c>
      <c r="B22" s="65" t="s">
        <v>82</v>
      </c>
      <c r="C22" s="65">
        <v>8.475</v>
      </c>
      <c r="D22" s="65">
        <v>0.275</v>
      </c>
      <c r="E22" s="65">
        <v>-0.186004</v>
      </c>
      <c r="F22" s="65">
        <v>14.3919</v>
      </c>
      <c r="G22" s="66">
        <v>-1.91542E-06</v>
      </c>
      <c r="H22" s="65">
        <v>14.9612</v>
      </c>
      <c r="I22" s="65">
        <v>0</v>
      </c>
    </row>
    <row r="23" spans="1:9" ht="15.75">
      <c r="A23" s="65" t="s">
        <v>10</v>
      </c>
      <c r="B23" s="65" t="s">
        <v>82</v>
      </c>
      <c r="C23" s="65">
        <v>8.75</v>
      </c>
      <c r="D23" s="65">
        <v>0.275</v>
      </c>
      <c r="E23" s="65">
        <v>-0.186004</v>
      </c>
      <c r="F23" s="65">
        <v>13.2913</v>
      </c>
      <c r="G23" s="66">
        <v>-1.99032E-06</v>
      </c>
      <c r="H23" s="65">
        <v>15.5138</v>
      </c>
      <c r="I23" s="65">
        <v>0</v>
      </c>
    </row>
    <row r="24" spans="1:9" ht="15.75">
      <c r="A24" s="65" t="s">
        <v>92</v>
      </c>
      <c r="B24" s="65" t="s">
        <v>77</v>
      </c>
      <c r="C24" s="65">
        <v>8.75</v>
      </c>
      <c r="D24" s="65">
        <v>0</v>
      </c>
      <c r="E24" s="65">
        <v>0</v>
      </c>
      <c r="F24" s="65">
        <v>13.2913</v>
      </c>
      <c r="G24" s="66">
        <v>-1.99032E-06</v>
      </c>
      <c r="H24" s="65">
        <v>15.5138</v>
      </c>
      <c r="I24" s="65">
        <v>0</v>
      </c>
    </row>
    <row r="25" spans="1:9" ht="15.75">
      <c r="A25" s="65" t="s">
        <v>79</v>
      </c>
      <c r="B25" s="65" t="s">
        <v>77</v>
      </c>
      <c r="C25" s="65">
        <v>8.75</v>
      </c>
      <c r="D25" s="65">
        <v>0</v>
      </c>
      <c r="E25" s="65">
        <v>0</v>
      </c>
      <c r="F25" s="65">
        <v>13.2913</v>
      </c>
      <c r="G25" s="66">
        <v>-1.99032E-06</v>
      </c>
      <c r="H25" s="65">
        <v>15.5138</v>
      </c>
      <c r="I25" s="65">
        <v>0</v>
      </c>
    </row>
    <row r="26" spans="1:9" ht="15.75">
      <c r="A26" s="65" t="s">
        <v>97</v>
      </c>
      <c r="B26" s="65" t="s">
        <v>77</v>
      </c>
      <c r="C26" s="65">
        <v>8.75</v>
      </c>
      <c r="D26" s="65">
        <v>0</v>
      </c>
      <c r="E26" s="65">
        <v>0</v>
      </c>
      <c r="F26" s="65">
        <v>13.2913</v>
      </c>
      <c r="G26" s="66">
        <v>-1.99032E-06</v>
      </c>
      <c r="H26" s="65">
        <v>15.5138</v>
      </c>
      <c r="I26" s="65">
        <v>0</v>
      </c>
    </row>
    <row r="27" spans="1:9" ht="15.75">
      <c r="A27" s="65" t="s">
        <v>98</v>
      </c>
      <c r="B27" s="65" t="s">
        <v>84</v>
      </c>
      <c r="C27" s="65">
        <v>11.2735</v>
      </c>
      <c r="D27" s="65">
        <v>2.5235</v>
      </c>
      <c r="E27" s="65">
        <v>0</v>
      </c>
      <c r="F27" s="65">
        <v>10.4558</v>
      </c>
      <c r="G27" s="66">
        <v>-3.13691E-06</v>
      </c>
      <c r="H27" s="65">
        <v>13.8889</v>
      </c>
      <c r="I27" s="65">
        <v>0</v>
      </c>
    </row>
    <row r="28" spans="1:10" ht="15.75">
      <c r="A28" s="65" t="s">
        <v>99</v>
      </c>
      <c r="B28" s="65" t="s">
        <v>100</v>
      </c>
      <c r="C28" s="65">
        <v>12.1368</v>
      </c>
      <c r="D28" s="65">
        <v>0.863254</v>
      </c>
      <c r="E28" s="65">
        <v>0</v>
      </c>
      <c r="F28" s="65">
        <v>9.79713</v>
      </c>
      <c r="G28" s="66">
        <v>-0.0181292</v>
      </c>
      <c r="H28" s="65">
        <v>13.5543</v>
      </c>
      <c r="I28" s="65">
        <v>0</v>
      </c>
      <c r="J28" s="65">
        <f>C28-D28/2</f>
        <v>11.705172999999998</v>
      </c>
    </row>
    <row r="29" spans="1:9" ht="15.75">
      <c r="A29" s="65" t="s">
        <v>101</v>
      </c>
      <c r="B29" s="65" t="s">
        <v>84</v>
      </c>
      <c r="C29" s="65">
        <v>13.6516</v>
      </c>
      <c r="D29" s="65">
        <v>1.51484</v>
      </c>
      <c r="E29" s="65">
        <v>0</v>
      </c>
      <c r="F29" s="65">
        <v>9.0781</v>
      </c>
      <c r="G29" s="66">
        <v>-0.0817904</v>
      </c>
      <c r="H29" s="65">
        <v>13.1575</v>
      </c>
      <c r="I29" s="65">
        <v>0</v>
      </c>
    </row>
    <row r="30" spans="1:10" ht="15.75">
      <c r="A30" s="65" t="s">
        <v>102</v>
      </c>
      <c r="B30" s="65" t="s">
        <v>100</v>
      </c>
      <c r="C30" s="65">
        <v>14.5238</v>
      </c>
      <c r="D30" s="65">
        <v>0.872239</v>
      </c>
      <c r="E30" s="65">
        <v>0</v>
      </c>
      <c r="F30" s="65">
        <v>8.91449</v>
      </c>
      <c r="G30" s="66">
        <v>-0.0988838</v>
      </c>
      <c r="H30" s="65">
        <v>13.0387</v>
      </c>
      <c r="I30" s="65">
        <v>0</v>
      </c>
      <c r="J30" s="65">
        <f>C30-D30/2</f>
        <v>14.0876805</v>
      </c>
    </row>
    <row r="31" spans="1:9" ht="15.75">
      <c r="A31" s="65" t="s">
        <v>103</v>
      </c>
      <c r="B31" s="65" t="s">
        <v>104</v>
      </c>
      <c r="C31" s="65">
        <v>14.5238</v>
      </c>
      <c r="D31" s="65">
        <v>0</v>
      </c>
      <c r="E31" s="65">
        <v>0</v>
      </c>
      <c r="F31" s="65">
        <v>8.91449</v>
      </c>
      <c r="G31" s="66">
        <v>-0.0988838</v>
      </c>
      <c r="H31" s="65">
        <v>13.0387</v>
      </c>
      <c r="I31" s="65">
        <v>0</v>
      </c>
    </row>
    <row r="32" spans="1:9" ht="15.75">
      <c r="A32" s="65" t="s">
        <v>105</v>
      </c>
      <c r="B32" s="65" t="s">
        <v>84</v>
      </c>
      <c r="C32" s="65">
        <v>15.4068</v>
      </c>
      <c r="D32" s="65">
        <v>0.883004</v>
      </c>
      <c r="E32" s="65">
        <v>0</v>
      </c>
      <c r="F32" s="65">
        <v>8.90722</v>
      </c>
      <c r="G32" s="66">
        <v>-0.0962352</v>
      </c>
      <c r="H32" s="65">
        <v>13.0339</v>
      </c>
      <c r="I32" s="65">
        <v>0</v>
      </c>
    </row>
    <row r="33" spans="1:10" ht="15.75">
      <c r="A33" s="65" t="s">
        <v>106</v>
      </c>
      <c r="B33" s="65" t="s">
        <v>100</v>
      </c>
      <c r="C33" s="65">
        <v>16.3972</v>
      </c>
      <c r="D33" s="65">
        <v>0.990383</v>
      </c>
      <c r="E33" s="65">
        <v>0</v>
      </c>
      <c r="F33" s="65">
        <v>9.08835</v>
      </c>
      <c r="G33" s="66">
        <v>-0.0715745</v>
      </c>
      <c r="H33" s="65">
        <v>13.1743</v>
      </c>
      <c r="I33" s="65">
        <v>0</v>
      </c>
      <c r="J33" s="65">
        <f>C33-D33/2</f>
        <v>15.9020085</v>
      </c>
    </row>
    <row r="34" spans="1:9" ht="15.75">
      <c r="A34" s="65" t="s">
        <v>107</v>
      </c>
      <c r="B34" s="65" t="s">
        <v>84</v>
      </c>
      <c r="C34" s="65">
        <v>17.4874</v>
      </c>
      <c r="D34" s="65">
        <v>1.09018</v>
      </c>
      <c r="E34" s="65">
        <v>0</v>
      </c>
      <c r="F34" s="65">
        <v>9.5648</v>
      </c>
      <c r="G34" s="66">
        <v>-0.0207356</v>
      </c>
      <c r="H34" s="65">
        <v>13.4437</v>
      </c>
      <c r="I34" s="65">
        <v>0</v>
      </c>
    </row>
    <row r="35" spans="1:10" ht="15.75">
      <c r="A35" s="65" t="s">
        <v>108</v>
      </c>
      <c r="B35" s="65" t="s">
        <v>100</v>
      </c>
      <c r="C35" s="65">
        <v>18.3777</v>
      </c>
      <c r="D35" s="65">
        <v>0.890322</v>
      </c>
      <c r="E35" s="65">
        <v>0</v>
      </c>
      <c r="F35" s="65">
        <v>10.1738</v>
      </c>
      <c r="G35" s="66">
        <v>4.75687E-06</v>
      </c>
      <c r="H35" s="65">
        <v>13.7395</v>
      </c>
      <c r="I35" s="65">
        <v>0</v>
      </c>
      <c r="J35" s="65">
        <f>C35-D35/2</f>
        <v>17.932539000000002</v>
      </c>
    </row>
    <row r="36" spans="1:9" ht="15.75">
      <c r="A36" s="65" t="s">
        <v>109</v>
      </c>
      <c r="B36" s="65" t="s">
        <v>84</v>
      </c>
      <c r="C36" s="65">
        <v>21.2537</v>
      </c>
      <c r="D36" s="65">
        <v>2.876</v>
      </c>
      <c r="E36" s="65">
        <v>0</v>
      </c>
      <c r="F36" s="65">
        <v>13.2913</v>
      </c>
      <c r="G36" s="66">
        <v>3.45012E-06</v>
      </c>
      <c r="H36" s="65">
        <v>15.5146</v>
      </c>
      <c r="I36" s="65">
        <v>0</v>
      </c>
    </row>
    <row r="37" spans="1:9" ht="15.75">
      <c r="A37" s="65" t="s">
        <v>97</v>
      </c>
      <c r="B37" s="65" t="s">
        <v>77</v>
      </c>
      <c r="C37" s="65">
        <v>21.2537</v>
      </c>
      <c r="D37" s="65">
        <v>0</v>
      </c>
      <c r="E37" s="65">
        <v>0</v>
      </c>
      <c r="F37" s="65">
        <v>13.2913</v>
      </c>
      <c r="G37" s="66">
        <v>3.45012E-06</v>
      </c>
      <c r="H37" s="65">
        <v>15.5146</v>
      </c>
      <c r="I37" s="65">
        <v>0</v>
      </c>
    </row>
    <row r="38" spans="1:9" ht="15.75">
      <c r="A38" s="65" t="s">
        <v>110</v>
      </c>
      <c r="B38" s="65" t="s">
        <v>77</v>
      </c>
      <c r="C38" s="65">
        <v>21.2537</v>
      </c>
      <c r="D38" s="65">
        <v>0</v>
      </c>
      <c r="E38" s="65">
        <v>0</v>
      </c>
      <c r="F38" s="65">
        <v>13.2913</v>
      </c>
      <c r="G38" s="66">
        <v>3.45012E-06</v>
      </c>
      <c r="H38" s="65">
        <v>15.5146</v>
      </c>
      <c r="I38" s="65">
        <v>0</v>
      </c>
    </row>
    <row r="39" spans="1:9" ht="15.75">
      <c r="A39" s="65" t="s">
        <v>111</v>
      </c>
      <c r="B39" s="65" t="s">
        <v>77</v>
      </c>
      <c r="C39" s="65">
        <v>21.2537</v>
      </c>
      <c r="D39" s="65">
        <v>0</v>
      </c>
      <c r="E39" s="65">
        <v>0</v>
      </c>
      <c r="F39" s="65">
        <v>13.2913</v>
      </c>
      <c r="G39" s="66">
        <v>3.45012E-06</v>
      </c>
      <c r="H39" s="65">
        <v>15.5146</v>
      </c>
      <c r="I39" s="65">
        <v>0</v>
      </c>
    </row>
    <row r="40" spans="1:9" ht="15.75">
      <c r="A40" s="65" t="s">
        <v>10</v>
      </c>
      <c r="B40" s="65" t="s">
        <v>82</v>
      </c>
      <c r="C40" s="65">
        <v>21.5287</v>
      </c>
      <c r="D40" s="65">
        <v>0.275</v>
      </c>
      <c r="E40" s="65">
        <v>-0.186004</v>
      </c>
      <c r="F40" s="65">
        <v>14.3919</v>
      </c>
      <c r="G40" s="66">
        <v>3.41271E-06</v>
      </c>
      <c r="H40" s="65">
        <v>14.962</v>
      </c>
      <c r="I40" s="65">
        <v>0</v>
      </c>
    </row>
    <row r="41" spans="1:9" ht="15.75">
      <c r="A41" s="65" t="s">
        <v>10</v>
      </c>
      <c r="B41" s="65" t="s">
        <v>82</v>
      </c>
      <c r="C41" s="65">
        <v>21.8037</v>
      </c>
      <c r="D41" s="65">
        <v>0.275</v>
      </c>
      <c r="E41" s="65">
        <v>-0.186004</v>
      </c>
      <c r="F41" s="65">
        <v>17.1219</v>
      </c>
      <c r="G41" s="66">
        <v>3.55062E-06</v>
      </c>
      <c r="H41" s="65">
        <v>12.9714</v>
      </c>
      <c r="I41" s="65">
        <v>0</v>
      </c>
    </row>
    <row r="42" spans="1:9" ht="15.75">
      <c r="A42" s="65" t="s">
        <v>96</v>
      </c>
      <c r="B42" s="65" t="s">
        <v>84</v>
      </c>
      <c r="C42" s="65">
        <v>22.2037</v>
      </c>
      <c r="D42" s="65">
        <v>0.4</v>
      </c>
      <c r="E42" s="65">
        <v>0</v>
      </c>
      <c r="F42" s="65">
        <v>22.9381</v>
      </c>
      <c r="G42" s="66">
        <v>3.88104E-06</v>
      </c>
      <c r="H42" s="65">
        <v>9.48134</v>
      </c>
      <c r="I42" s="65">
        <v>0</v>
      </c>
    </row>
    <row r="43" spans="1:9" ht="15.75">
      <c r="A43" s="65" t="s">
        <v>9</v>
      </c>
      <c r="B43" s="65" t="s">
        <v>82</v>
      </c>
      <c r="C43" s="65">
        <v>22.5537</v>
      </c>
      <c r="D43" s="65">
        <v>0.35</v>
      </c>
      <c r="E43" s="65">
        <v>0.221955</v>
      </c>
      <c r="F43" s="65">
        <v>26.7134</v>
      </c>
      <c r="G43" s="66">
        <v>4.01665E-06</v>
      </c>
      <c r="H43" s="65">
        <v>7.51312</v>
      </c>
      <c r="I43" s="65">
        <v>0</v>
      </c>
    </row>
    <row r="44" spans="1:9" ht="15.75">
      <c r="A44" s="65" t="s">
        <v>9</v>
      </c>
      <c r="B44" s="65" t="s">
        <v>82</v>
      </c>
      <c r="C44" s="65">
        <v>22.9037</v>
      </c>
      <c r="D44" s="65">
        <v>0.35</v>
      </c>
      <c r="E44" s="65">
        <v>0.221955</v>
      </c>
      <c r="F44" s="65">
        <v>26.5185</v>
      </c>
      <c r="G44" s="66">
        <v>3.84224E-06</v>
      </c>
      <c r="H44" s="65">
        <v>6.88045</v>
      </c>
      <c r="I44" s="65">
        <v>0</v>
      </c>
    </row>
    <row r="45" spans="1:9" ht="15.75">
      <c r="A45" s="65" t="s">
        <v>112</v>
      </c>
      <c r="B45" s="65" t="s">
        <v>84</v>
      </c>
      <c r="C45" s="65">
        <v>24.9097</v>
      </c>
      <c r="D45" s="65">
        <v>2.006</v>
      </c>
      <c r="E45" s="65">
        <v>0</v>
      </c>
      <c r="F45" s="65">
        <v>15.2728</v>
      </c>
      <c r="G45" s="66">
        <v>1.96866E-06</v>
      </c>
      <c r="H45" s="65">
        <v>7.11182</v>
      </c>
      <c r="I45" s="65">
        <v>0</v>
      </c>
    </row>
    <row r="46" spans="1:10" ht="15.75">
      <c r="A46" s="65" t="s">
        <v>113</v>
      </c>
      <c r="B46" s="65" t="s">
        <v>89</v>
      </c>
      <c r="C46" s="65">
        <v>25.3377</v>
      </c>
      <c r="D46" s="65">
        <v>0.428</v>
      </c>
      <c r="E46" s="65">
        <v>0</v>
      </c>
      <c r="F46" s="65">
        <v>13.3243</v>
      </c>
      <c r="G46" s="66">
        <v>1.56891E-06</v>
      </c>
      <c r="H46" s="65">
        <v>7.3138</v>
      </c>
      <c r="I46" s="65">
        <v>0</v>
      </c>
      <c r="J46" s="65">
        <f>C46-D46/2</f>
        <v>25.123700000000003</v>
      </c>
    </row>
    <row r="47" spans="1:9" ht="15.75">
      <c r="A47" s="65" t="s">
        <v>114</v>
      </c>
      <c r="B47" s="65" t="s">
        <v>84</v>
      </c>
      <c r="C47" s="65">
        <v>25.4497</v>
      </c>
      <c r="D47" s="65">
        <v>0.112</v>
      </c>
      <c r="E47" s="65">
        <v>0</v>
      </c>
      <c r="F47" s="65">
        <v>12.8407</v>
      </c>
      <c r="G47" s="66">
        <v>1.4643E-06</v>
      </c>
      <c r="H47" s="65">
        <v>7.37551</v>
      </c>
      <c r="I47" s="65">
        <v>0</v>
      </c>
    </row>
    <row r="48" spans="1:10" ht="15.75">
      <c r="A48" s="65" t="s">
        <v>115</v>
      </c>
      <c r="B48" s="65" t="s">
        <v>86</v>
      </c>
      <c r="C48" s="65">
        <v>25.8777</v>
      </c>
      <c r="D48" s="65">
        <v>0.428</v>
      </c>
      <c r="E48" s="65">
        <v>0</v>
      </c>
      <c r="F48" s="65">
        <v>11.0923</v>
      </c>
      <c r="G48" s="66">
        <v>1.06456E-06</v>
      </c>
      <c r="H48" s="65">
        <v>7.64521</v>
      </c>
      <c r="I48" s="65">
        <v>0</v>
      </c>
      <c r="J48" s="65">
        <f>C48-D48/2</f>
        <v>25.663700000000002</v>
      </c>
    </row>
    <row r="49" spans="1:9" ht="15.75">
      <c r="A49" s="65" t="s">
        <v>111</v>
      </c>
      <c r="B49" s="65" t="s">
        <v>77</v>
      </c>
      <c r="C49" s="65">
        <v>25.8777</v>
      </c>
      <c r="D49" s="65">
        <v>0</v>
      </c>
      <c r="E49" s="65">
        <v>0</v>
      </c>
      <c r="F49" s="65">
        <v>11.0923</v>
      </c>
      <c r="G49" s="66">
        <v>1.06456E-06</v>
      </c>
      <c r="H49" s="65">
        <v>7.64521</v>
      </c>
      <c r="I49" s="65">
        <v>0</v>
      </c>
    </row>
    <row r="50" spans="1:9" ht="15.75">
      <c r="A50" s="65" t="s">
        <v>116</v>
      </c>
      <c r="B50" s="65" t="s">
        <v>77</v>
      </c>
      <c r="C50" s="65">
        <v>25.8777</v>
      </c>
      <c r="D50" s="65">
        <v>0</v>
      </c>
      <c r="E50" s="65">
        <v>0</v>
      </c>
      <c r="F50" s="65">
        <v>11.0923</v>
      </c>
      <c r="G50" s="66">
        <v>1.06456E-06</v>
      </c>
      <c r="H50" s="65">
        <v>7.64521</v>
      </c>
      <c r="I50" s="65">
        <v>0</v>
      </c>
    </row>
    <row r="51" spans="1:9" ht="15.75">
      <c r="A51" s="65" t="s">
        <v>117</v>
      </c>
      <c r="B51" s="65" t="s">
        <v>84</v>
      </c>
      <c r="C51" s="65">
        <v>26.7742</v>
      </c>
      <c r="D51" s="65">
        <v>0.8965</v>
      </c>
      <c r="E51" s="65">
        <v>0</v>
      </c>
      <c r="F51" s="65">
        <v>7.94423</v>
      </c>
      <c r="G51" s="66">
        <v>2.27234E-07</v>
      </c>
      <c r="H51" s="65">
        <v>8.38408</v>
      </c>
      <c r="I51" s="65">
        <v>0</v>
      </c>
    </row>
    <row r="52" spans="1:10" ht="15.75">
      <c r="A52" s="65" t="s">
        <v>118</v>
      </c>
      <c r="B52" s="65" t="s">
        <v>89</v>
      </c>
      <c r="C52" s="65">
        <v>27.6132</v>
      </c>
      <c r="D52" s="65">
        <v>0.839</v>
      </c>
      <c r="E52" s="65">
        <v>0</v>
      </c>
      <c r="F52" s="65">
        <v>5.62838</v>
      </c>
      <c r="G52" s="66">
        <v>-5.56384E-07</v>
      </c>
      <c r="H52" s="65">
        <v>9.28887</v>
      </c>
      <c r="I52" s="65">
        <v>0</v>
      </c>
      <c r="J52" s="65">
        <f>C52-D52/2</f>
        <v>27.1937</v>
      </c>
    </row>
    <row r="53" spans="1:9" ht="15.75">
      <c r="A53" s="65" t="s">
        <v>119</v>
      </c>
      <c r="B53" s="65" t="s">
        <v>84</v>
      </c>
      <c r="C53" s="65">
        <v>27.9342</v>
      </c>
      <c r="D53" s="65">
        <v>0.321</v>
      </c>
      <c r="E53" s="65">
        <v>0</v>
      </c>
      <c r="F53" s="65">
        <v>4.90353</v>
      </c>
      <c r="G53" s="66">
        <v>-8.56195E-07</v>
      </c>
      <c r="H53" s="65">
        <v>9.68959</v>
      </c>
      <c r="I53" s="65">
        <v>0</v>
      </c>
    </row>
    <row r="54" spans="1:10" ht="15.75">
      <c r="A54" s="65" t="s">
        <v>120</v>
      </c>
      <c r="B54" s="65" t="s">
        <v>86</v>
      </c>
      <c r="C54" s="65">
        <v>28.7732</v>
      </c>
      <c r="D54" s="65">
        <v>0.839</v>
      </c>
      <c r="E54" s="65">
        <v>0</v>
      </c>
      <c r="F54" s="65">
        <v>3.4303</v>
      </c>
      <c r="G54" s="66">
        <v>-1.63981E-06</v>
      </c>
      <c r="H54" s="65">
        <v>10.8795</v>
      </c>
      <c r="I54" s="65">
        <v>0</v>
      </c>
      <c r="J54" s="65">
        <f>C54-D54/2</f>
        <v>28.3537</v>
      </c>
    </row>
    <row r="55" spans="1:9" ht="15.75">
      <c r="A55" s="65" t="s">
        <v>121</v>
      </c>
      <c r="B55" s="65" t="s">
        <v>84</v>
      </c>
      <c r="C55" s="65">
        <v>29.7537</v>
      </c>
      <c r="D55" s="65">
        <v>0.9805</v>
      </c>
      <c r="E55" s="65">
        <v>0</v>
      </c>
      <c r="F55" s="65">
        <v>2.48087</v>
      </c>
      <c r="G55" s="66">
        <v>-2.55559E-06</v>
      </c>
      <c r="H55" s="65">
        <v>12.5315</v>
      </c>
      <c r="I55" s="65">
        <v>0</v>
      </c>
    </row>
    <row r="56" spans="1:9" ht="15.75">
      <c r="A56" s="65" t="s">
        <v>81</v>
      </c>
      <c r="B56" s="65" t="s">
        <v>82</v>
      </c>
      <c r="C56" s="65">
        <v>30.0037</v>
      </c>
      <c r="D56" s="65">
        <v>0.25</v>
      </c>
      <c r="E56" s="65">
        <v>-0.125784</v>
      </c>
      <c r="F56" s="65">
        <v>2.44822</v>
      </c>
      <c r="G56" s="66">
        <v>-2.8306E-06</v>
      </c>
      <c r="H56" s="65">
        <v>12.5982</v>
      </c>
      <c r="I56" s="65">
        <v>0</v>
      </c>
    </row>
    <row r="57" spans="1:9" ht="15.75">
      <c r="A57" s="65" t="s">
        <v>116</v>
      </c>
      <c r="B57" s="65" t="s">
        <v>77</v>
      </c>
      <c r="C57" s="65">
        <v>30.0037</v>
      </c>
      <c r="D57" s="65">
        <v>0</v>
      </c>
      <c r="E57" s="65">
        <v>0</v>
      </c>
      <c r="F57" s="65">
        <v>2.44822</v>
      </c>
      <c r="G57" s="66">
        <v>-2.8306E-06</v>
      </c>
      <c r="H57" s="65">
        <v>12.5982</v>
      </c>
      <c r="I57" s="65">
        <v>0</v>
      </c>
    </row>
    <row r="58" spans="1:9" ht="15.75">
      <c r="A58" s="65" t="s">
        <v>110</v>
      </c>
      <c r="B58" s="65" t="s">
        <v>77</v>
      </c>
      <c r="C58" s="65">
        <v>30.0037</v>
      </c>
      <c r="D58" s="65">
        <v>0</v>
      </c>
      <c r="E58" s="65">
        <v>0</v>
      </c>
      <c r="F58" s="65">
        <v>2.44822</v>
      </c>
      <c r="G58" s="66">
        <v>-2.8306E-06</v>
      </c>
      <c r="H58" s="65">
        <v>12.5982</v>
      </c>
      <c r="I58" s="65">
        <v>0</v>
      </c>
    </row>
    <row r="59" spans="1:9" ht="15.75">
      <c r="A59" s="65" t="s">
        <v>122</v>
      </c>
      <c r="B59" s="65" t="s">
        <v>77</v>
      </c>
      <c r="C59" s="65">
        <v>30.0037</v>
      </c>
      <c r="D59" s="65">
        <v>0</v>
      </c>
      <c r="E59" s="65">
        <v>0</v>
      </c>
      <c r="F59" s="65">
        <v>2.44822</v>
      </c>
      <c r="G59" s="66">
        <v>-2.8306E-06</v>
      </c>
      <c r="H59" s="65">
        <v>12.5982</v>
      </c>
      <c r="I59" s="65">
        <v>0</v>
      </c>
    </row>
    <row r="60" spans="1:9" ht="15.75">
      <c r="A60" s="65" t="s">
        <v>123</v>
      </c>
      <c r="B60" s="65" t="s">
        <v>77</v>
      </c>
      <c r="C60" s="65">
        <v>30.0037</v>
      </c>
      <c r="D60" s="65">
        <v>0</v>
      </c>
      <c r="E60" s="65">
        <v>0</v>
      </c>
      <c r="F60" s="65">
        <v>2.44822</v>
      </c>
      <c r="G60" s="66">
        <v>-2.8306E-06</v>
      </c>
      <c r="H60" s="65">
        <v>12.5982</v>
      </c>
      <c r="I60" s="65">
        <v>0</v>
      </c>
    </row>
    <row r="61" spans="1:9" ht="15.75">
      <c r="A61" s="65" t="s">
        <v>81</v>
      </c>
      <c r="B61" s="65" t="s">
        <v>82</v>
      </c>
      <c r="C61" s="65">
        <v>30.2537</v>
      </c>
      <c r="D61" s="65">
        <v>0.25</v>
      </c>
      <c r="E61" s="65">
        <v>-0.125784</v>
      </c>
      <c r="F61" s="65">
        <v>2.62376</v>
      </c>
      <c r="G61" s="66">
        <v>-3.19486E-06</v>
      </c>
      <c r="H61" s="65">
        <v>11.8948</v>
      </c>
      <c r="I61" s="65">
        <v>0</v>
      </c>
    </row>
    <row r="62" spans="1:9" ht="15.75">
      <c r="A62" s="65" t="s">
        <v>124</v>
      </c>
      <c r="B62" s="65" t="s">
        <v>84</v>
      </c>
      <c r="C62" s="65">
        <v>31.2537</v>
      </c>
      <c r="D62" s="65">
        <v>1</v>
      </c>
      <c r="E62" s="65">
        <v>0</v>
      </c>
      <c r="F62" s="65">
        <v>4.2677</v>
      </c>
      <c r="G62" s="66">
        <v>-4.84467E-06</v>
      </c>
      <c r="H62" s="65">
        <v>8.09418</v>
      </c>
      <c r="I62" s="65">
        <v>0</v>
      </c>
    </row>
    <row r="63" spans="1:9" ht="15.75">
      <c r="A63" s="65" t="s">
        <v>125</v>
      </c>
      <c r="B63" s="65" t="s">
        <v>100</v>
      </c>
      <c r="C63" s="65">
        <v>32.0037</v>
      </c>
      <c r="D63" s="65">
        <v>0.75</v>
      </c>
      <c r="E63" s="65">
        <v>0</v>
      </c>
      <c r="F63" s="65">
        <v>6.11093</v>
      </c>
      <c r="G63" s="66">
        <v>0.0367799</v>
      </c>
      <c r="H63" s="65">
        <v>5.8564</v>
      </c>
      <c r="I63" s="65">
        <v>0</v>
      </c>
    </row>
    <row r="64" spans="1:9" ht="15.75">
      <c r="A64" s="65" t="s">
        <v>126</v>
      </c>
      <c r="B64" s="65" t="s">
        <v>100</v>
      </c>
      <c r="C64" s="65">
        <v>32.7537</v>
      </c>
      <c r="D64" s="65">
        <v>0.75</v>
      </c>
      <c r="E64" s="65">
        <v>0</v>
      </c>
      <c r="F64" s="65">
        <v>8.36738</v>
      </c>
      <c r="G64" s="65">
        <v>0.146782</v>
      </c>
      <c r="H64" s="65">
        <v>4.1438</v>
      </c>
      <c r="I64" s="65">
        <v>0</v>
      </c>
    </row>
    <row r="65" spans="1:9" ht="15.75">
      <c r="A65" s="65" t="s">
        <v>127</v>
      </c>
      <c r="B65" s="65" t="s">
        <v>84</v>
      </c>
      <c r="C65" s="65">
        <v>33.7537</v>
      </c>
      <c r="D65" s="65">
        <v>1</v>
      </c>
      <c r="E65" s="65">
        <v>0</v>
      </c>
      <c r="F65" s="65">
        <v>12.049</v>
      </c>
      <c r="G65" s="65">
        <v>0.341871</v>
      </c>
      <c r="H65" s="65">
        <v>2.67729</v>
      </c>
      <c r="I65" s="65">
        <v>0</v>
      </c>
    </row>
    <row r="66" spans="1:9" ht="15.75">
      <c r="A66" s="65" t="s">
        <v>128</v>
      </c>
      <c r="B66" s="65" t="s">
        <v>82</v>
      </c>
      <c r="C66" s="65">
        <v>34.0037</v>
      </c>
      <c r="D66" s="65">
        <v>0.25</v>
      </c>
      <c r="E66" s="65">
        <v>0.171873</v>
      </c>
      <c r="F66" s="65">
        <v>12.5652</v>
      </c>
      <c r="G66" s="65">
        <v>0.382976</v>
      </c>
      <c r="H66" s="65">
        <v>2.56644</v>
      </c>
      <c r="I66" s="65">
        <v>0</v>
      </c>
    </row>
    <row r="67" spans="1:9" ht="15.75">
      <c r="A67" s="65" t="s">
        <v>128</v>
      </c>
      <c r="B67" s="65" t="s">
        <v>82</v>
      </c>
      <c r="C67" s="65">
        <v>34.2537</v>
      </c>
      <c r="D67" s="65">
        <v>0.25</v>
      </c>
      <c r="E67" s="65">
        <v>0.171873</v>
      </c>
      <c r="F67" s="65">
        <v>12.0268</v>
      </c>
      <c r="G67" s="65">
        <v>0.407685</v>
      </c>
      <c r="H67" s="65">
        <v>2.72885</v>
      </c>
      <c r="I67" s="65">
        <v>0</v>
      </c>
    </row>
    <row r="68" spans="1:9" ht="15.75">
      <c r="A68" s="65" t="s">
        <v>124</v>
      </c>
      <c r="B68" s="65" t="s">
        <v>84</v>
      </c>
      <c r="C68" s="65">
        <v>35.2537</v>
      </c>
      <c r="D68" s="65">
        <v>1</v>
      </c>
      <c r="E68" s="65">
        <v>0</v>
      </c>
      <c r="F68" s="65">
        <v>8.27697</v>
      </c>
      <c r="G68" s="65">
        <v>0.472068</v>
      </c>
      <c r="H68" s="65">
        <v>4.44875</v>
      </c>
      <c r="I68" s="65">
        <v>0</v>
      </c>
    </row>
    <row r="69" spans="1:9" ht="15.75">
      <c r="A69" s="65" t="s">
        <v>125</v>
      </c>
      <c r="B69" s="65" t="s">
        <v>100</v>
      </c>
      <c r="C69" s="65">
        <v>36.0037</v>
      </c>
      <c r="D69" s="65">
        <v>0.75</v>
      </c>
      <c r="E69" s="65">
        <v>0</v>
      </c>
      <c r="F69" s="65">
        <v>5.99042</v>
      </c>
      <c r="G69" s="65">
        <v>0.55479</v>
      </c>
      <c r="H69" s="65">
        <v>6.39791</v>
      </c>
      <c r="I69" s="65">
        <v>0</v>
      </c>
    </row>
    <row r="70" spans="1:9" ht="15.75">
      <c r="A70" s="65" t="s">
        <v>126</v>
      </c>
      <c r="B70" s="65" t="s">
        <v>100</v>
      </c>
      <c r="C70" s="65">
        <v>36.7537</v>
      </c>
      <c r="D70" s="65">
        <v>0.75</v>
      </c>
      <c r="E70" s="65">
        <v>0</v>
      </c>
      <c r="F70" s="65">
        <v>4.13706</v>
      </c>
      <c r="G70" s="65">
        <v>0.705742</v>
      </c>
      <c r="H70" s="65">
        <v>8.91214</v>
      </c>
      <c r="I70" s="65">
        <v>0</v>
      </c>
    </row>
    <row r="71" spans="1:9" ht="15.75">
      <c r="A71" s="65" t="s">
        <v>127</v>
      </c>
      <c r="B71" s="65" t="s">
        <v>84</v>
      </c>
      <c r="C71" s="65">
        <v>37.7537</v>
      </c>
      <c r="D71" s="65">
        <v>1</v>
      </c>
      <c r="E71" s="65">
        <v>0</v>
      </c>
      <c r="F71" s="65">
        <v>2.50911</v>
      </c>
      <c r="G71" s="65">
        <v>0.951922</v>
      </c>
      <c r="H71" s="65">
        <v>13.1434</v>
      </c>
      <c r="I71" s="65">
        <v>0</v>
      </c>
    </row>
    <row r="72" spans="1:9" ht="15.75">
      <c r="A72" s="65" t="s">
        <v>129</v>
      </c>
      <c r="B72" s="65" t="s">
        <v>82</v>
      </c>
      <c r="C72" s="65">
        <v>38.0037</v>
      </c>
      <c r="D72" s="65">
        <v>0.25</v>
      </c>
      <c r="E72" s="65">
        <v>-0.182261</v>
      </c>
      <c r="F72" s="65">
        <v>2.37293</v>
      </c>
      <c r="G72" s="65">
        <v>1.03571</v>
      </c>
      <c r="H72" s="65">
        <v>13.7323</v>
      </c>
      <c r="I72" s="65">
        <v>0</v>
      </c>
    </row>
    <row r="73" spans="1:9" ht="15.75">
      <c r="A73" s="65" t="s">
        <v>123</v>
      </c>
      <c r="B73" s="65" t="s">
        <v>77</v>
      </c>
      <c r="C73" s="65">
        <v>38.0037</v>
      </c>
      <c r="D73" s="65">
        <v>0</v>
      </c>
      <c r="E73" s="65">
        <v>0</v>
      </c>
      <c r="F73" s="65">
        <v>2.37293</v>
      </c>
      <c r="G73" s="65">
        <v>1.03571</v>
      </c>
      <c r="H73" s="65">
        <v>13.7323</v>
      </c>
      <c r="I73" s="65">
        <v>0</v>
      </c>
    </row>
    <row r="74" spans="1:9" ht="15.75">
      <c r="A74" s="65" t="s">
        <v>65</v>
      </c>
      <c r="B74" s="65" t="s">
        <v>77</v>
      </c>
      <c r="C74" s="65">
        <v>38.0037</v>
      </c>
      <c r="D74" s="65">
        <v>0</v>
      </c>
      <c r="E74" s="65">
        <v>0</v>
      </c>
      <c r="F74" s="65">
        <v>2.37293</v>
      </c>
      <c r="G74" s="65">
        <v>1.03571</v>
      </c>
      <c r="H74" s="65">
        <v>13.7323</v>
      </c>
      <c r="I74" s="65">
        <v>0</v>
      </c>
    </row>
    <row r="75" spans="1:9" ht="15.75">
      <c r="A75" s="65" t="s">
        <v>129</v>
      </c>
      <c r="B75" s="65" t="s">
        <v>82</v>
      </c>
      <c r="C75" s="65">
        <v>38.2537</v>
      </c>
      <c r="D75" s="65">
        <v>0.25</v>
      </c>
      <c r="E75" s="65">
        <v>-0.182261</v>
      </c>
      <c r="F75" s="65">
        <v>2.50978</v>
      </c>
      <c r="G75" s="65">
        <v>1.16686</v>
      </c>
      <c r="H75" s="65">
        <v>13.0976</v>
      </c>
      <c r="I75" s="65">
        <v>0</v>
      </c>
    </row>
    <row r="76" spans="1:9" ht="15.75">
      <c r="A76" s="65" t="s">
        <v>124</v>
      </c>
      <c r="B76" s="65" t="s">
        <v>84</v>
      </c>
      <c r="C76" s="65">
        <v>39.2537</v>
      </c>
      <c r="D76" s="65">
        <v>1</v>
      </c>
      <c r="E76" s="65">
        <v>0</v>
      </c>
      <c r="F76" s="65">
        <v>4.14107</v>
      </c>
      <c r="G76" s="65">
        <v>1.79345</v>
      </c>
      <c r="H76" s="65">
        <v>8.72757</v>
      </c>
      <c r="I76" s="65">
        <v>0</v>
      </c>
    </row>
    <row r="77" spans="1:9" ht="15.75">
      <c r="A77" s="65" t="s">
        <v>125</v>
      </c>
      <c r="B77" s="65" t="s">
        <v>100</v>
      </c>
      <c r="C77" s="65">
        <v>40.0037</v>
      </c>
      <c r="D77" s="65">
        <v>0.75</v>
      </c>
      <c r="E77" s="65">
        <v>0</v>
      </c>
      <c r="F77" s="65">
        <v>5.99753</v>
      </c>
      <c r="G77" s="65">
        <v>2.29079</v>
      </c>
      <c r="H77" s="65">
        <v>6.15319</v>
      </c>
      <c r="I77" s="65">
        <v>0</v>
      </c>
    </row>
    <row r="78" spans="1:9" ht="15.75">
      <c r="A78" s="65" t="s">
        <v>126</v>
      </c>
      <c r="B78" s="65" t="s">
        <v>100</v>
      </c>
      <c r="C78" s="65">
        <v>40.7537</v>
      </c>
      <c r="D78" s="65">
        <v>0.75</v>
      </c>
      <c r="E78" s="65">
        <v>0</v>
      </c>
      <c r="F78" s="65">
        <v>8.28752</v>
      </c>
      <c r="G78" s="65">
        <v>2.83964</v>
      </c>
      <c r="H78" s="65">
        <v>4.18148</v>
      </c>
      <c r="I78" s="65">
        <v>0</v>
      </c>
    </row>
    <row r="79" spans="1:9" ht="15.75">
      <c r="A79" s="65" t="s">
        <v>127</v>
      </c>
      <c r="B79" s="65" t="s">
        <v>84</v>
      </c>
      <c r="C79" s="65">
        <v>41.7537</v>
      </c>
      <c r="D79" s="65">
        <v>1</v>
      </c>
      <c r="E79" s="65">
        <v>0</v>
      </c>
      <c r="F79" s="65">
        <v>12.0426</v>
      </c>
      <c r="G79" s="65">
        <v>3.60348</v>
      </c>
      <c r="H79" s="65">
        <v>2.49003</v>
      </c>
      <c r="I79" s="65">
        <v>0</v>
      </c>
    </row>
    <row r="80" spans="1:9" ht="15.75">
      <c r="A80" s="65" t="s">
        <v>128</v>
      </c>
      <c r="B80" s="65" t="s">
        <v>82</v>
      </c>
      <c r="C80" s="65">
        <v>42.0037</v>
      </c>
      <c r="D80" s="65">
        <v>0.25</v>
      </c>
      <c r="E80" s="65">
        <v>0.171873</v>
      </c>
      <c r="F80" s="65">
        <v>12.5816</v>
      </c>
      <c r="G80" s="65">
        <v>3.71594</v>
      </c>
      <c r="H80" s="65">
        <v>2.33524</v>
      </c>
      <c r="I80" s="65">
        <v>0</v>
      </c>
    </row>
    <row r="81" spans="1:9" ht="15.75">
      <c r="A81" s="65" t="s">
        <v>128</v>
      </c>
      <c r="B81" s="65" t="s">
        <v>82</v>
      </c>
      <c r="C81" s="65">
        <v>42.2537</v>
      </c>
      <c r="D81" s="65">
        <v>0.25</v>
      </c>
      <c r="E81" s="65">
        <v>0.171873</v>
      </c>
      <c r="F81" s="65">
        <v>12.0647</v>
      </c>
      <c r="G81" s="65">
        <v>3.6693</v>
      </c>
      <c r="H81" s="65">
        <v>2.43847</v>
      </c>
      <c r="I81" s="65">
        <v>0</v>
      </c>
    </row>
    <row r="82" spans="1:9" ht="15.75">
      <c r="A82" s="65" t="s">
        <v>124</v>
      </c>
      <c r="B82" s="65" t="s">
        <v>84</v>
      </c>
      <c r="C82" s="65">
        <v>43.2537</v>
      </c>
      <c r="D82" s="65">
        <v>1</v>
      </c>
      <c r="E82" s="65">
        <v>0</v>
      </c>
      <c r="F82" s="65">
        <v>8.37793</v>
      </c>
      <c r="G82" s="65">
        <v>3.16493</v>
      </c>
      <c r="H82" s="65">
        <v>3.87653</v>
      </c>
      <c r="I82" s="65">
        <v>0</v>
      </c>
    </row>
    <row r="83" spans="1:9" ht="15.75">
      <c r="A83" s="65" t="s">
        <v>125</v>
      </c>
      <c r="B83" s="65" t="s">
        <v>100</v>
      </c>
      <c r="C83" s="65">
        <v>44.0037</v>
      </c>
      <c r="D83" s="65">
        <v>0.75</v>
      </c>
      <c r="E83" s="65">
        <v>0</v>
      </c>
      <c r="F83" s="65">
        <v>6.11804</v>
      </c>
      <c r="G83" s="65">
        <v>2.8088</v>
      </c>
      <c r="H83" s="65">
        <v>5.61168</v>
      </c>
      <c r="I83" s="65">
        <v>0</v>
      </c>
    </row>
    <row r="84" spans="1:9" ht="15.75">
      <c r="A84" s="65" t="s">
        <v>126</v>
      </c>
      <c r="B84" s="65" t="s">
        <v>100</v>
      </c>
      <c r="C84" s="65">
        <v>44.7537</v>
      </c>
      <c r="D84" s="65">
        <v>0.75</v>
      </c>
      <c r="E84" s="65">
        <v>0</v>
      </c>
      <c r="F84" s="65">
        <v>4.27171</v>
      </c>
      <c r="G84" s="65">
        <v>2.4992</v>
      </c>
      <c r="H84" s="65">
        <v>7.90962</v>
      </c>
      <c r="I84" s="65">
        <v>0</v>
      </c>
    </row>
    <row r="85" spans="1:9" ht="15.75">
      <c r="A85" s="65" t="s">
        <v>127</v>
      </c>
      <c r="B85" s="65" t="s">
        <v>84</v>
      </c>
      <c r="C85" s="65">
        <v>45.7537</v>
      </c>
      <c r="D85" s="65">
        <v>1</v>
      </c>
      <c r="E85" s="65">
        <v>0</v>
      </c>
      <c r="F85" s="65">
        <v>2.62443</v>
      </c>
      <c r="G85" s="65">
        <v>2.11879</v>
      </c>
      <c r="H85" s="65">
        <v>11.849</v>
      </c>
      <c r="I85" s="65">
        <v>0</v>
      </c>
    </row>
    <row r="86" spans="1:9" ht="15.75">
      <c r="A86" s="65" t="s">
        <v>129</v>
      </c>
      <c r="B86" s="65" t="s">
        <v>82</v>
      </c>
      <c r="C86" s="65">
        <v>46.0037</v>
      </c>
      <c r="D86" s="65">
        <v>0.25</v>
      </c>
      <c r="E86" s="65">
        <v>-0.182261</v>
      </c>
      <c r="F86" s="65">
        <v>2.48365</v>
      </c>
      <c r="G86" s="65">
        <v>2.07142</v>
      </c>
      <c r="H86" s="65">
        <v>12.4245</v>
      </c>
      <c r="I86" s="65">
        <v>0</v>
      </c>
    </row>
    <row r="87" spans="1:9" ht="15.75">
      <c r="A87" s="65" t="s">
        <v>65</v>
      </c>
      <c r="B87" s="65" t="s">
        <v>77</v>
      </c>
      <c r="C87" s="65">
        <v>46.0037</v>
      </c>
      <c r="D87" s="65">
        <v>0</v>
      </c>
      <c r="E87" s="65">
        <v>0</v>
      </c>
      <c r="F87" s="65">
        <v>2.48365</v>
      </c>
      <c r="G87" s="65">
        <v>2.07142</v>
      </c>
      <c r="H87" s="65">
        <v>12.4245</v>
      </c>
      <c r="I87" s="65">
        <v>0</v>
      </c>
    </row>
    <row r="88" spans="1:9" ht="15.75">
      <c r="A88" s="65" t="s">
        <v>65</v>
      </c>
      <c r="B88" s="65" t="s">
        <v>77</v>
      </c>
      <c r="C88" s="65">
        <v>46.0037</v>
      </c>
      <c r="D88" s="65">
        <v>0</v>
      </c>
      <c r="E88" s="65">
        <v>0</v>
      </c>
      <c r="F88" s="65">
        <v>2.48365</v>
      </c>
      <c r="G88" s="65">
        <v>2.07142</v>
      </c>
      <c r="H88" s="65">
        <v>12.4245</v>
      </c>
      <c r="I88" s="65">
        <v>0</v>
      </c>
    </row>
    <row r="89" spans="1:9" ht="15.75">
      <c r="A89" s="65" t="s">
        <v>129</v>
      </c>
      <c r="B89" s="65" t="s">
        <v>82</v>
      </c>
      <c r="C89" s="65">
        <v>46.2537</v>
      </c>
      <c r="D89" s="65">
        <v>0.25</v>
      </c>
      <c r="E89" s="65">
        <v>-0.182261</v>
      </c>
      <c r="F89" s="65">
        <v>2.62376</v>
      </c>
      <c r="G89" s="65">
        <v>2.11879</v>
      </c>
      <c r="H89" s="65">
        <v>11.8948</v>
      </c>
      <c r="I89" s="65">
        <v>0</v>
      </c>
    </row>
    <row r="90" spans="1:9" ht="15.75">
      <c r="A90" s="65" t="s">
        <v>124</v>
      </c>
      <c r="B90" s="65" t="s">
        <v>84</v>
      </c>
      <c r="C90" s="65">
        <v>47.2537</v>
      </c>
      <c r="D90" s="65">
        <v>1</v>
      </c>
      <c r="E90" s="65">
        <v>0</v>
      </c>
      <c r="F90" s="65">
        <v>4.2677</v>
      </c>
      <c r="G90" s="65">
        <v>2.4992</v>
      </c>
      <c r="H90" s="65">
        <v>8.09418</v>
      </c>
      <c r="I90" s="65">
        <v>0</v>
      </c>
    </row>
    <row r="91" spans="1:9" ht="15.75">
      <c r="A91" s="65" t="s">
        <v>125</v>
      </c>
      <c r="B91" s="65" t="s">
        <v>100</v>
      </c>
      <c r="C91" s="65">
        <v>48.0037</v>
      </c>
      <c r="D91" s="65">
        <v>0.75</v>
      </c>
      <c r="E91" s="65">
        <v>0</v>
      </c>
      <c r="F91" s="65">
        <v>6.11093</v>
      </c>
      <c r="G91" s="65">
        <v>2.80881</v>
      </c>
      <c r="H91" s="65">
        <v>5.8564</v>
      </c>
      <c r="I91" s="65">
        <v>0</v>
      </c>
    </row>
    <row r="92" spans="1:9" ht="15.75">
      <c r="A92" s="65" t="s">
        <v>126</v>
      </c>
      <c r="B92" s="65" t="s">
        <v>100</v>
      </c>
      <c r="C92" s="65">
        <v>48.7537</v>
      </c>
      <c r="D92" s="65">
        <v>0.75</v>
      </c>
      <c r="E92" s="65">
        <v>0</v>
      </c>
      <c r="F92" s="65">
        <v>8.36738</v>
      </c>
      <c r="G92" s="65">
        <v>3.16493</v>
      </c>
      <c r="H92" s="65">
        <v>4.1438</v>
      </c>
      <c r="I92" s="65">
        <v>0</v>
      </c>
    </row>
    <row r="93" spans="1:9" ht="15.75">
      <c r="A93" s="65" t="s">
        <v>127</v>
      </c>
      <c r="B93" s="65" t="s">
        <v>84</v>
      </c>
      <c r="C93" s="65">
        <v>49.7537</v>
      </c>
      <c r="D93" s="65">
        <v>1</v>
      </c>
      <c r="E93" s="65">
        <v>0</v>
      </c>
      <c r="F93" s="65">
        <v>12.049</v>
      </c>
      <c r="G93" s="65">
        <v>3.66931</v>
      </c>
      <c r="H93" s="65">
        <v>2.67729</v>
      </c>
      <c r="I93" s="65">
        <v>0</v>
      </c>
    </row>
    <row r="94" spans="1:9" ht="15.75">
      <c r="A94" s="65" t="s">
        <v>128</v>
      </c>
      <c r="B94" s="65" t="s">
        <v>82</v>
      </c>
      <c r="C94" s="65">
        <v>50.0037</v>
      </c>
      <c r="D94" s="65">
        <v>0.25</v>
      </c>
      <c r="E94" s="65">
        <v>0.171873</v>
      </c>
      <c r="F94" s="65">
        <v>12.5652</v>
      </c>
      <c r="G94" s="65">
        <v>3.71595</v>
      </c>
      <c r="H94" s="65">
        <v>2.56644</v>
      </c>
      <c r="I94" s="65">
        <v>0</v>
      </c>
    </row>
    <row r="95" spans="1:9" ht="15.75">
      <c r="A95" s="65" t="s">
        <v>128</v>
      </c>
      <c r="B95" s="65" t="s">
        <v>82</v>
      </c>
      <c r="C95" s="65">
        <v>50.2537</v>
      </c>
      <c r="D95" s="65">
        <v>0.25</v>
      </c>
      <c r="E95" s="65">
        <v>0.171873</v>
      </c>
      <c r="F95" s="65">
        <v>12.0268</v>
      </c>
      <c r="G95" s="65">
        <v>3.60349</v>
      </c>
      <c r="H95" s="65">
        <v>2.72885</v>
      </c>
      <c r="I95" s="65">
        <v>0</v>
      </c>
    </row>
    <row r="96" spans="1:9" ht="15.75">
      <c r="A96" s="65" t="s">
        <v>124</v>
      </c>
      <c r="B96" s="65" t="s">
        <v>84</v>
      </c>
      <c r="C96" s="65">
        <v>51.2537</v>
      </c>
      <c r="D96" s="65">
        <v>1</v>
      </c>
      <c r="E96" s="65">
        <v>0</v>
      </c>
      <c r="F96" s="65">
        <v>8.27697</v>
      </c>
      <c r="G96" s="65">
        <v>2.83965</v>
      </c>
      <c r="H96" s="65">
        <v>4.44875</v>
      </c>
      <c r="I96" s="65">
        <v>0</v>
      </c>
    </row>
    <row r="97" spans="1:9" ht="15.75">
      <c r="A97" s="65" t="s">
        <v>125</v>
      </c>
      <c r="B97" s="65" t="s">
        <v>100</v>
      </c>
      <c r="C97" s="65">
        <v>52.0037</v>
      </c>
      <c r="D97" s="65">
        <v>0.75</v>
      </c>
      <c r="E97" s="65">
        <v>0</v>
      </c>
      <c r="F97" s="65">
        <v>5.99042</v>
      </c>
      <c r="G97" s="65">
        <v>2.2908</v>
      </c>
      <c r="H97" s="65">
        <v>6.39791</v>
      </c>
      <c r="I97" s="65">
        <v>0</v>
      </c>
    </row>
    <row r="98" spans="1:9" ht="15.75">
      <c r="A98" s="65" t="s">
        <v>126</v>
      </c>
      <c r="B98" s="65" t="s">
        <v>100</v>
      </c>
      <c r="C98" s="65">
        <v>52.7537</v>
      </c>
      <c r="D98" s="65">
        <v>0.75</v>
      </c>
      <c r="E98" s="65">
        <v>0</v>
      </c>
      <c r="F98" s="65">
        <v>4.13706</v>
      </c>
      <c r="G98" s="65">
        <v>1.79346</v>
      </c>
      <c r="H98" s="65">
        <v>8.91214</v>
      </c>
      <c r="I98" s="65">
        <v>0</v>
      </c>
    </row>
    <row r="99" spans="1:9" ht="15.75">
      <c r="A99" s="65" t="s">
        <v>127</v>
      </c>
      <c r="B99" s="65" t="s">
        <v>84</v>
      </c>
      <c r="C99" s="65">
        <v>53.7537</v>
      </c>
      <c r="D99" s="65">
        <v>1</v>
      </c>
      <c r="E99" s="65">
        <v>0</v>
      </c>
      <c r="F99" s="65">
        <v>2.50911</v>
      </c>
      <c r="G99" s="65">
        <v>1.16687</v>
      </c>
      <c r="H99" s="65">
        <v>13.1434</v>
      </c>
      <c r="I99" s="65">
        <v>0</v>
      </c>
    </row>
    <row r="100" spans="1:9" ht="15.75">
      <c r="A100" s="65" t="s">
        <v>129</v>
      </c>
      <c r="B100" s="65" t="s">
        <v>82</v>
      </c>
      <c r="C100" s="65">
        <v>54.0037</v>
      </c>
      <c r="D100" s="65">
        <v>0.25</v>
      </c>
      <c r="E100" s="65">
        <v>-0.182261</v>
      </c>
      <c r="F100" s="65">
        <v>2.37293</v>
      </c>
      <c r="G100" s="65">
        <v>1.03571</v>
      </c>
      <c r="H100" s="65">
        <v>13.7323</v>
      </c>
      <c r="I100" s="65">
        <v>0</v>
      </c>
    </row>
    <row r="101" spans="1:9" ht="15.75">
      <c r="A101" s="65" t="s">
        <v>65</v>
      </c>
      <c r="B101" s="65" t="s">
        <v>77</v>
      </c>
      <c r="C101" s="65">
        <v>54.0037</v>
      </c>
      <c r="D101" s="65">
        <v>0</v>
      </c>
      <c r="E101" s="65">
        <v>0</v>
      </c>
      <c r="F101" s="65">
        <v>2.37293</v>
      </c>
      <c r="G101" s="65">
        <v>1.03571</v>
      </c>
      <c r="H101" s="65">
        <v>13.7323</v>
      </c>
      <c r="I101" s="65">
        <v>0</v>
      </c>
    </row>
    <row r="102" spans="1:9" ht="15.75">
      <c r="A102" s="65" t="s">
        <v>130</v>
      </c>
      <c r="B102" s="65" t="s">
        <v>77</v>
      </c>
      <c r="C102" s="65">
        <v>54.0037</v>
      </c>
      <c r="D102" s="65">
        <v>0</v>
      </c>
      <c r="E102" s="65">
        <v>0</v>
      </c>
      <c r="F102" s="65">
        <v>2.37293</v>
      </c>
      <c r="G102" s="65">
        <v>1.03571</v>
      </c>
      <c r="H102" s="65">
        <v>13.7323</v>
      </c>
      <c r="I102" s="65">
        <v>0</v>
      </c>
    </row>
    <row r="103" spans="1:9" ht="15.75">
      <c r="A103" s="65" t="s">
        <v>129</v>
      </c>
      <c r="B103" s="65" t="s">
        <v>82</v>
      </c>
      <c r="C103" s="65">
        <v>54.2537</v>
      </c>
      <c r="D103" s="65">
        <v>0.25</v>
      </c>
      <c r="E103" s="65">
        <v>-0.182261</v>
      </c>
      <c r="F103" s="65">
        <v>2.50978</v>
      </c>
      <c r="G103" s="65">
        <v>0.951927</v>
      </c>
      <c r="H103" s="65">
        <v>13.0976</v>
      </c>
      <c r="I103" s="65">
        <v>0</v>
      </c>
    </row>
    <row r="104" spans="1:9" ht="15.75">
      <c r="A104" s="65" t="s">
        <v>124</v>
      </c>
      <c r="B104" s="65" t="s">
        <v>84</v>
      </c>
      <c r="C104" s="65">
        <v>55.2537</v>
      </c>
      <c r="D104" s="65">
        <v>1</v>
      </c>
      <c r="E104" s="65">
        <v>0</v>
      </c>
      <c r="F104" s="65">
        <v>4.14107</v>
      </c>
      <c r="G104" s="65">
        <v>0.705747</v>
      </c>
      <c r="H104" s="65">
        <v>8.72757</v>
      </c>
      <c r="I104" s="65">
        <v>0</v>
      </c>
    </row>
    <row r="105" spans="1:9" ht="15.75">
      <c r="A105" s="65" t="s">
        <v>125</v>
      </c>
      <c r="B105" s="65" t="s">
        <v>100</v>
      </c>
      <c r="C105" s="65">
        <v>56.0037</v>
      </c>
      <c r="D105" s="65">
        <v>0.75</v>
      </c>
      <c r="E105" s="65">
        <v>0</v>
      </c>
      <c r="F105" s="65">
        <v>5.99753</v>
      </c>
      <c r="G105" s="65">
        <v>0.554796</v>
      </c>
      <c r="H105" s="65">
        <v>6.15319</v>
      </c>
      <c r="I105" s="65">
        <v>0</v>
      </c>
    </row>
    <row r="106" spans="1:9" ht="15.75">
      <c r="A106" s="65" t="s">
        <v>126</v>
      </c>
      <c r="B106" s="65" t="s">
        <v>100</v>
      </c>
      <c r="C106" s="65">
        <v>56.7537</v>
      </c>
      <c r="D106" s="65">
        <v>0.75</v>
      </c>
      <c r="E106" s="65">
        <v>0</v>
      </c>
      <c r="F106" s="65">
        <v>8.28752</v>
      </c>
      <c r="G106" s="65">
        <v>0.472074</v>
      </c>
      <c r="H106" s="65">
        <v>4.18148</v>
      </c>
      <c r="I106" s="65">
        <v>0</v>
      </c>
    </row>
    <row r="107" spans="1:9" ht="15.75">
      <c r="A107" s="65" t="s">
        <v>127</v>
      </c>
      <c r="B107" s="65" t="s">
        <v>84</v>
      </c>
      <c r="C107" s="65">
        <v>57.7537</v>
      </c>
      <c r="D107" s="65">
        <v>1</v>
      </c>
      <c r="E107" s="65">
        <v>0</v>
      </c>
      <c r="F107" s="65">
        <v>12.0426</v>
      </c>
      <c r="G107" s="65">
        <v>0.407692</v>
      </c>
      <c r="H107" s="65">
        <v>2.49003</v>
      </c>
      <c r="I107" s="65">
        <v>0</v>
      </c>
    </row>
    <row r="108" spans="1:9" ht="15.75">
      <c r="A108" s="65" t="s">
        <v>128</v>
      </c>
      <c r="B108" s="65" t="s">
        <v>82</v>
      </c>
      <c r="C108" s="65">
        <v>58.0037</v>
      </c>
      <c r="D108" s="65">
        <v>0.25</v>
      </c>
      <c r="E108" s="65">
        <v>0.171873</v>
      </c>
      <c r="F108" s="65">
        <v>12.5816</v>
      </c>
      <c r="G108" s="65">
        <v>0.382984</v>
      </c>
      <c r="H108" s="65">
        <v>2.33524</v>
      </c>
      <c r="I108" s="65">
        <v>0</v>
      </c>
    </row>
    <row r="109" spans="1:9" ht="15.75">
      <c r="A109" s="65" t="s">
        <v>128</v>
      </c>
      <c r="B109" s="65" t="s">
        <v>82</v>
      </c>
      <c r="C109" s="65">
        <v>58.2537</v>
      </c>
      <c r="D109" s="65">
        <v>0.25</v>
      </c>
      <c r="E109" s="65">
        <v>0.171873</v>
      </c>
      <c r="F109" s="65">
        <v>12.0647</v>
      </c>
      <c r="G109" s="65">
        <v>0.341878</v>
      </c>
      <c r="H109" s="65">
        <v>2.43847</v>
      </c>
      <c r="I109" s="65">
        <v>0</v>
      </c>
    </row>
    <row r="110" spans="1:9" ht="15.75">
      <c r="A110" s="65" t="s">
        <v>124</v>
      </c>
      <c r="B110" s="65" t="s">
        <v>84</v>
      </c>
      <c r="C110" s="65">
        <v>59.2537</v>
      </c>
      <c r="D110" s="65">
        <v>1</v>
      </c>
      <c r="E110" s="65">
        <v>0</v>
      </c>
      <c r="F110" s="65">
        <v>8.37793</v>
      </c>
      <c r="G110" s="65">
        <v>0.146788</v>
      </c>
      <c r="H110" s="65">
        <v>3.87653</v>
      </c>
      <c r="I110" s="65">
        <v>0</v>
      </c>
    </row>
    <row r="111" spans="1:9" ht="15.75">
      <c r="A111" s="65" t="s">
        <v>125</v>
      </c>
      <c r="B111" s="65" t="s">
        <v>100</v>
      </c>
      <c r="C111" s="65">
        <v>60.0037</v>
      </c>
      <c r="D111" s="65">
        <v>0.75</v>
      </c>
      <c r="E111" s="65">
        <v>0</v>
      </c>
      <c r="F111" s="65">
        <v>6.11804</v>
      </c>
      <c r="G111" s="66">
        <v>0.0367838</v>
      </c>
      <c r="H111" s="65">
        <v>5.61168</v>
      </c>
      <c r="I111" s="65">
        <v>0</v>
      </c>
    </row>
    <row r="112" spans="1:9" ht="15.75">
      <c r="A112" s="65" t="s">
        <v>126</v>
      </c>
      <c r="B112" s="65" t="s">
        <v>100</v>
      </c>
      <c r="C112" s="65">
        <v>60.7537</v>
      </c>
      <c r="D112" s="65">
        <v>0.75</v>
      </c>
      <c r="E112" s="65">
        <v>0</v>
      </c>
      <c r="F112" s="65">
        <v>4.27171</v>
      </c>
      <c r="G112" s="66">
        <v>-2.42315E-06</v>
      </c>
      <c r="H112" s="65">
        <v>7.90962</v>
      </c>
      <c r="I112" s="65">
        <v>0</v>
      </c>
    </row>
    <row r="113" spans="1:9" ht="15.75">
      <c r="A113" s="65" t="s">
        <v>127</v>
      </c>
      <c r="B113" s="65" t="s">
        <v>84</v>
      </c>
      <c r="C113" s="65">
        <v>61.7537</v>
      </c>
      <c r="D113" s="65">
        <v>1</v>
      </c>
      <c r="E113" s="65">
        <v>0</v>
      </c>
      <c r="F113" s="65">
        <v>2.62443</v>
      </c>
      <c r="G113" s="66">
        <v>-2.71635E-06</v>
      </c>
      <c r="H113" s="65">
        <v>11.849</v>
      </c>
      <c r="I113" s="65">
        <v>0</v>
      </c>
    </row>
    <row r="114" spans="1:9" ht="15.75">
      <c r="A114" s="65" t="s">
        <v>81</v>
      </c>
      <c r="B114" s="65" t="s">
        <v>82</v>
      </c>
      <c r="C114" s="65">
        <v>62.0037</v>
      </c>
      <c r="D114" s="65">
        <v>0.25</v>
      </c>
      <c r="E114" s="65">
        <v>-0.125784</v>
      </c>
      <c r="F114" s="65">
        <v>2.44821</v>
      </c>
      <c r="G114" s="66">
        <v>-2.83285E-06</v>
      </c>
      <c r="H114" s="65">
        <v>12.598</v>
      </c>
      <c r="I114" s="65">
        <v>0</v>
      </c>
    </row>
    <row r="115" spans="1:9" ht="15.75">
      <c r="A115" s="65" t="s">
        <v>130</v>
      </c>
      <c r="B115" s="65" t="s">
        <v>77</v>
      </c>
      <c r="C115" s="65">
        <v>62.0037</v>
      </c>
      <c r="D115" s="65">
        <v>0</v>
      </c>
      <c r="E115" s="65">
        <v>0</v>
      </c>
      <c r="F115" s="65">
        <v>2.44821</v>
      </c>
      <c r="G115" s="66">
        <v>-2.83285E-06</v>
      </c>
      <c r="H115" s="65">
        <v>12.598</v>
      </c>
      <c r="I115" s="65">
        <v>0</v>
      </c>
    </row>
    <row r="116" spans="1:9" ht="15.75">
      <c r="A116" s="65" t="s">
        <v>122</v>
      </c>
      <c r="B116" s="65" t="s">
        <v>77</v>
      </c>
      <c r="C116" s="65">
        <v>62.0037</v>
      </c>
      <c r="D116" s="65">
        <v>0</v>
      </c>
      <c r="E116" s="65">
        <v>0</v>
      </c>
      <c r="F116" s="65">
        <v>2.44821</v>
      </c>
      <c r="G116" s="66">
        <v>-2.83285E-06</v>
      </c>
      <c r="H116" s="65">
        <v>12.598</v>
      </c>
      <c r="I116" s="65">
        <v>0</v>
      </c>
    </row>
    <row r="117" spans="1:9" ht="15.75">
      <c r="A117" s="65" t="s">
        <v>78</v>
      </c>
      <c r="B117" s="65" t="s">
        <v>77</v>
      </c>
      <c r="C117" s="65">
        <v>62.0037</v>
      </c>
      <c r="D117" s="65">
        <v>0</v>
      </c>
      <c r="E117" s="65">
        <v>0</v>
      </c>
      <c r="F117" s="65">
        <v>2.44821</v>
      </c>
      <c r="G117" s="66">
        <v>-2.83285E-06</v>
      </c>
      <c r="H117" s="65">
        <v>12.598</v>
      </c>
      <c r="I117" s="65">
        <v>0</v>
      </c>
    </row>
    <row r="118" spans="1:9" ht="15.75">
      <c r="A118" s="65" t="s">
        <v>131</v>
      </c>
      <c r="B118" s="65" t="s">
        <v>77</v>
      </c>
      <c r="C118" s="65">
        <v>62.0037</v>
      </c>
      <c r="D118" s="65">
        <v>0</v>
      </c>
      <c r="E118" s="65">
        <v>0</v>
      </c>
      <c r="F118" s="65">
        <v>2.44821</v>
      </c>
      <c r="G118" s="66">
        <v>-2.83285E-06</v>
      </c>
      <c r="H118" s="65">
        <v>12.598</v>
      </c>
      <c r="I118" s="65">
        <v>0</v>
      </c>
    </row>
    <row r="119" spans="1:9" ht="15.75">
      <c r="A119" s="65" t="s">
        <v>132</v>
      </c>
      <c r="B119" s="65" t="s">
        <v>77</v>
      </c>
      <c r="C119" s="65">
        <v>62.0037</v>
      </c>
      <c r="D119" s="65">
        <v>0</v>
      </c>
      <c r="E119" s="65">
        <v>0</v>
      </c>
      <c r="F119" s="65">
        <v>2.44821</v>
      </c>
      <c r="G119" s="66">
        <v>-2.83285E-06</v>
      </c>
      <c r="H119" s="65">
        <v>12.598</v>
      </c>
      <c r="I119" s="65">
        <v>0</v>
      </c>
    </row>
    <row r="120" spans="1:9" ht="15.75">
      <c r="A120" s="65" t="s">
        <v>133</v>
      </c>
      <c r="B120" s="65" t="s">
        <v>77</v>
      </c>
      <c r="C120" s="65">
        <v>62.0037</v>
      </c>
      <c r="D120" s="65">
        <v>0</v>
      </c>
      <c r="E120" s="65">
        <v>0</v>
      </c>
      <c r="F120" s="65">
        <v>2.44821</v>
      </c>
      <c r="G120" s="66">
        <v>-2.83285E-06</v>
      </c>
      <c r="H120" s="65">
        <v>12.598</v>
      </c>
      <c r="I120" s="65">
        <v>0</v>
      </c>
    </row>
    <row r="121" spans="1:9" ht="15.75">
      <c r="A121" s="65" t="s">
        <v>81</v>
      </c>
      <c r="B121" s="65" t="s">
        <v>82</v>
      </c>
      <c r="C121" s="65">
        <v>62.2537</v>
      </c>
      <c r="D121" s="65">
        <v>0.25</v>
      </c>
      <c r="E121" s="65">
        <v>-0.125784</v>
      </c>
      <c r="F121" s="65">
        <v>2.48021</v>
      </c>
      <c r="G121" s="66">
        <v>-3.03868E-06</v>
      </c>
      <c r="H121" s="65">
        <v>12.5782</v>
      </c>
      <c r="I121" s="65">
        <v>0</v>
      </c>
    </row>
    <row r="122" spans="1:9" ht="15.75">
      <c r="A122" s="65" t="s">
        <v>134</v>
      </c>
      <c r="B122" s="65" t="s">
        <v>84</v>
      </c>
      <c r="C122" s="65">
        <v>63.9662</v>
      </c>
      <c r="D122" s="65">
        <v>1.7125</v>
      </c>
      <c r="E122" s="65">
        <v>0</v>
      </c>
      <c r="F122" s="65">
        <v>4.67593</v>
      </c>
      <c r="G122" s="66">
        <v>-4.76761E-06</v>
      </c>
      <c r="H122" s="65">
        <v>10.1506</v>
      </c>
      <c r="I122" s="65">
        <v>0</v>
      </c>
    </row>
    <row r="123" spans="1:9" ht="15.75">
      <c r="A123" s="65" t="s">
        <v>134</v>
      </c>
      <c r="B123" s="65" t="s">
        <v>84</v>
      </c>
      <c r="C123" s="65">
        <v>65.6787</v>
      </c>
      <c r="D123" s="65">
        <v>1.7125</v>
      </c>
      <c r="E123" s="65">
        <v>0</v>
      </c>
      <c r="F123" s="65">
        <v>9.40962</v>
      </c>
      <c r="G123" s="66">
        <v>-6.49654E-06</v>
      </c>
      <c r="H123" s="65">
        <v>8.50504</v>
      </c>
      <c r="I123" s="65">
        <v>0</v>
      </c>
    </row>
    <row r="124" spans="1:9" ht="15.75">
      <c r="A124" s="65" t="s">
        <v>134</v>
      </c>
      <c r="B124" s="65" t="s">
        <v>84</v>
      </c>
      <c r="C124" s="65">
        <v>67.3912</v>
      </c>
      <c r="D124" s="65">
        <v>1.7125</v>
      </c>
      <c r="E124" s="65">
        <v>0</v>
      </c>
      <c r="F124" s="65">
        <v>16.6813</v>
      </c>
      <c r="G124" s="66">
        <v>-8.22547E-06</v>
      </c>
      <c r="H124" s="65">
        <v>7.64165</v>
      </c>
      <c r="I124" s="65">
        <v>0</v>
      </c>
    </row>
    <row r="125" spans="1:9" ht="15.75">
      <c r="A125" s="65" t="s">
        <v>134</v>
      </c>
      <c r="B125" s="65" t="s">
        <v>84</v>
      </c>
      <c r="C125" s="65">
        <v>69.1037</v>
      </c>
      <c r="D125" s="65">
        <v>1.7125</v>
      </c>
      <c r="E125" s="65">
        <v>0</v>
      </c>
      <c r="F125" s="65">
        <v>26.4909</v>
      </c>
      <c r="G125" s="66">
        <v>-9.9544E-06</v>
      </c>
      <c r="H125" s="65">
        <v>7.56041</v>
      </c>
      <c r="I125" s="65">
        <v>0</v>
      </c>
    </row>
    <row r="126" spans="1:9" ht="15.75">
      <c r="A126" s="65" t="s">
        <v>9</v>
      </c>
      <c r="B126" s="65" t="s">
        <v>82</v>
      </c>
      <c r="C126" s="65">
        <v>69.4537</v>
      </c>
      <c r="D126" s="65">
        <v>0.35</v>
      </c>
      <c r="E126" s="65">
        <v>0.221955</v>
      </c>
      <c r="F126" s="65">
        <v>26.6862</v>
      </c>
      <c r="G126" s="66">
        <v>-9.91905E-06</v>
      </c>
      <c r="H126" s="65">
        <v>8.24652</v>
      </c>
      <c r="I126" s="65">
        <v>0</v>
      </c>
    </row>
    <row r="127" spans="1:9" ht="15.75">
      <c r="A127" s="65" t="s">
        <v>9</v>
      </c>
      <c r="B127" s="65" t="s">
        <v>82</v>
      </c>
      <c r="C127" s="65">
        <v>69.8037</v>
      </c>
      <c r="D127" s="65">
        <v>0.35</v>
      </c>
      <c r="E127" s="65">
        <v>0.221955</v>
      </c>
      <c r="F127" s="65">
        <v>22.9152</v>
      </c>
      <c r="G127" s="66">
        <v>-9.11812E-06</v>
      </c>
      <c r="H127" s="65">
        <v>10.3903</v>
      </c>
      <c r="I127" s="65">
        <v>0</v>
      </c>
    </row>
    <row r="128" spans="1:9" ht="15.75">
      <c r="A128" s="65" t="s">
        <v>96</v>
      </c>
      <c r="B128" s="65" t="s">
        <v>84</v>
      </c>
      <c r="C128" s="65">
        <v>70.2037</v>
      </c>
      <c r="D128" s="65">
        <v>0.4</v>
      </c>
      <c r="E128" s="65">
        <v>0</v>
      </c>
      <c r="F128" s="65">
        <v>17.1054</v>
      </c>
      <c r="G128" s="66">
        <v>-7.78341E-06</v>
      </c>
      <c r="H128" s="65">
        <v>14.1888</v>
      </c>
      <c r="I128" s="65">
        <v>0</v>
      </c>
    </row>
    <row r="129" spans="1:9" ht="15.75">
      <c r="A129" s="65" t="s">
        <v>10</v>
      </c>
      <c r="B129" s="65" t="s">
        <v>82</v>
      </c>
      <c r="C129" s="65">
        <v>70.4787</v>
      </c>
      <c r="D129" s="65">
        <v>0.275</v>
      </c>
      <c r="E129" s="65">
        <v>-0.186004</v>
      </c>
      <c r="F129" s="65">
        <v>14.3785</v>
      </c>
      <c r="G129" s="66">
        <v>-7.05787E-06</v>
      </c>
      <c r="H129" s="65">
        <v>16.3469</v>
      </c>
      <c r="I129" s="65">
        <v>0</v>
      </c>
    </row>
    <row r="130" spans="1:9" ht="15.75">
      <c r="A130" s="65" t="s">
        <v>10</v>
      </c>
      <c r="B130" s="65" t="s">
        <v>82</v>
      </c>
      <c r="C130" s="65">
        <v>70.7537</v>
      </c>
      <c r="D130" s="65">
        <v>0.275</v>
      </c>
      <c r="E130" s="65">
        <v>-0.186004</v>
      </c>
      <c r="F130" s="65">
        <v>13.2794</v>
      </c>
      <c r="G130" s="66">
        <v>-6.69488E-06</v>
      </c>
      <c r="H130" s="65">
        <v>16.9307</v>
      </c>
      <c r="I130" s="65">
        <v>0</v>
      </c>
    </row>
    <row r="131" spans="1:9" ht="15.75">
      <c r="A131" s="65" t="s">
        <v>135</v>
      </c>
      <c r="B131" s="65" t="s">
        <v>84</v>
      </c>
      <c r="C131" s="65">
        <v>73.8787</v>
      </c>
      <c r="D131" s="65">
        <v>3.125</v>
      </c>
      <c r="E131" s="65">
        <v>0</v>
      </c>
      <c r="F131" s="65">
        <v>9.98877</v>
      </c>
      <c r="G131" s="66">
        <v>-4.54252E-06</v>
      </c>
      <c r="H131" s="65">
        <v>14.5645</v>
      </c>
      <c r="I131" s="65">
        <v>0</v>
      </c>
    </row>
    <row r="132" spans="1:9" ht="15.75">
      <c r="A132" s="65" t="s">
        <v>135</v>
      </c>
      <c r="B132" s="65" t="s">
        <v>84</v>
      </c>
      <c r="C132" s="65">
        <v>77.0037</v>
      </c>
      <c r="D132" s="65">
        <v>3.125</v>
      </c>
      <c r="E132" s="65">
        <v>0</v>
      </c>
      <c r="F132" s="65">
        <v>8.89413</v>
      </c>
      <c r="G132" s="66">
        <v>-2.39016E-06</v>
      </c>
      <c r="H132" s="65">
        <v>13.6327</v>
      </c>
      <c r="I132" s="65">
        <v>0</v>
      </c>
    </row>
    <row r="133" spans="1:9" ht="15.75">
      <c r="A133" s="65" t="s">
        <v>133</v>
      </c>
      <c r="B133" s="65" t="s">
        <v>77</v>
      </c>
      <c r="C133" s="65">
        <v>77.0037</v>
      </c>
      <c r="D133" s="65">
        <v>0</v>
      </c>
      <c r="E133" s="65">
        <v>0</v>
      </c>
      <c r="F133" s="65">
        <v>8.89413</v>
      </c>
      <c r="G133" s="66">
        <v>-2.39016E-06</v>
      </c>
      <c r="H133" s="65">
        <v>13.6327</v>
      </c>
      <c r="I133" s="65">
        <v>0</v>
      </c>
    </row>
    <row r="134" spans="1:9" ht="15.75">
      <c r="A134" s="65" t="s">
        <v>136</v>
      </c>
      <c r="B134" s="65" t="s">
        <v>77</v>
      </c>
      <c r="C134" s="65">
        <v>77.0037</v>
      </c>
      <c r="D134" s="65">
        <v>0</v>
      </c>
      <c r="E134" s="65">
        <v>0</v>
      </c>
      <c r="F134" s="65">
        <v>8.89413</v>
      </c>
      <c r="G134" s="66">
        <v>-2.39016E-06</v>
      </c>
      <c r="H134" s="65">
        <v>13.6327</v>
      </c>
      <c r="I134" s="65">
        <v>0</v>
      </c>
    </row>
    <row r="135" spans="1:9" ht="15.75">
      <c r="A135" s="65" t="s">
        <v>135</v>
      </c>
      <c r="B135" s="65" t="s">
        <v>84</v>
      </c>
      <c r="C135" s="65">
        <v>80.1287</v>
      </c>
      <c r="D135" s="65">
        <v>3.125</v>
      </c>
      <c r="E135" s="65">
        <v>0</v>
      </c>
      <c r="F135" s="65">
        <v>9.99546</v>
      </c>
      <c r="G135" s="66">
        <v>-2.37801E-07</v>
      </c>
      <c r="H135" s="65">
        <v>14.1353</v>
      </c>
      <c r="I135" s="65">
        <v>0</v>
      </c>
    </row>
    <row r="136" spans="1:9" ht="15.75">
      <c r="A136" s="65" t="s">
        <v>135</v>
      </c>
      <c r="B136" s="65" t="s">
        <v>84</v>
      </c>
      <c r="C136" s="65">
        <v>83.2537</v>
      </c>
      <c r="D136" s="65">
        <v>3.125</v>
      </c>
      <c r="E136" s="65">
        <v>0</v>
      </c>
      <c r="F136" s="65">
        <v>13.2928</v>
      </c>
      <c r="G136" s="66">
        <v>1.91456E-06</v>
      </c>
      <c r="H136" s="65">
        <v>16.0722</v>
      </c>
      <c r="I136" s="65">
        <v>0</v>
      </c>
    </row>
    <row r="137" spans="1:9" ht="15.75">
      <c r="A137" s="65" t="s">
        <v>10</v>
      </c>
      <c r="B137" s="65" t="s">
        <v>82</v>
      </c>
      <c r="C137" s="65">
        <v>83.5287</v>
      </c>
      <c r="D137" s="65">
        <v>0.275</v>
      </c>
      <c r="E137" s="65">
        <v>-0.186004</v>
      </c>
      <c r="F137" s="65">
        <v>14.3931</v>
      </c>
      <c r="G137" s="66">
        <v>2.15476E-06</v>
      </c>
      <c r="H137" s="65">
        <v>15.4951</v>
      </c>
      <c r="I137" s="65">
        <v>0</v>
      </c>
    </row>
    <row r="138" spans="1:9" ht="15.75">
      <c r="A138" s="65" t="s">
        <v>10</v>
      </c>
      <c r="B138" s="65" t="s">
        <v>82</v>
      </c>
      <c r="C138" s="65">
        <v>83.8037</v>
      </c>
      <c r="D138" s="65">
        <v>0.275</v>
      </c>
      <c r="E138" s="65">
        <v>-0.186004</v>
      </c>
      <c r="F138" s="65">
        <v>17.123</v>
      </c>
      <c r="G138" s="66">
        <v>2.50565E-06</v>
      </c>
      <c r="H138" s="65">
        <v>13.4287</v>
      </c>
      <c r="I138" s="65">
        <v>0</v>
      </c>
    </row>
    <row r="139" spans="1:9" ht="15.75">
      <c r="A139" s="65" t="s">
        <v>96</v>
      </c>
      <c r="B139" s="65" t="s">
        <v>84</v>
      </c>
      <c r="C139" s="65">
        <v>84.2037</v>
      </c>
      <c r="D139" s="65">
        <v>0.4</v>
      </c>
      <c r="E139" s="65">
        <v>0</v>
      </c>
      <c r="F139" s="65">
        <v>22.9391</v>
      </c>
      <c r="G139" s="66">
        <v>3.10453E-06</v>
      </c>
      <c r="H139" s="65">
        <v>9.80762</v>
      </c>
      <c r="I139" s="65">
        <v>0</v>
      </c>
    </row>
    <row r="140" spans="1:9" ht="15.75">
      <c r="A140" s="65" t="s">
        <v>9</v>
      </c>
      <c r="B140" s="65" t="s">
        <v>82</v>
      </c>
      <c r="C140" s="65">
        <v>84.5537</v>
      </c>
      <c r="D140" s="65">
        <v>0.35</v>
      </c>
      <c r="E140" s="65">
        <v>0.221955</v>
      </c>
      <c r="F140" s="65">
        <v>26.7142</v>
      </c>
      <c r="G140" s="66">
        <v>3.50198E-06</v>
      </c>
      <c r="H140" s="65">
        <v>7.76265</v>
      </c>
      <c r="I140" s="65">
        <v>0</v>
      </c>
    </row>
    <row r="141" spans="1:9" ht="15.75">
      <c r="A141" s="65" t="s">
        <v>9</v>
      </c>
      <c r="B141" s="65" t="s">
        <v>82</v>
      </c>
      <c r="C141" s="65">
        <v>84.9037</v>
      </c>
      <c r="D141" s="65">
        <v>0.35</v>
      </c>
      <c r="E141" s="65">
        <v>0.221955</v>
      </c>
      <c r="F141" s="65">
        <v>26.5188</v>
      </c>
      <c r="G141" s="66">
        <v>3.62914E-06</v>
      </c>
      <c r="H141" s="65">
        <v>7.09724</v>
      </c>
      <c r="I141" s="65">
        <v>0</v>
      </c>
    </row>
    <row r="142" spans="1:9" ht="15.75">
      <c r="A142" s="65" t="s">
        <v>134</v>
      </c>
      <c r="B142" s="65" t="s">
        <v>84</v>
      </c>
      <c r="C142" s="65">
        <v>86.6162</v>
      </c>
      <c r="D142" s="65">
        <v>1.7125</v>
      </c>
      <c r="E142" s="65">
        <v>0</v>
      </c>
      <c r="F142" s="65">
        <v>16.6991</v>
      </c>
      <c r="G142" s="66">
        <v>3.56523E-06</v>
      </c>
      <c r="H142" s="65">
        <v>7.13574</v>
      </c>
      <c r="I142" s="65">
        <v>0</v>
      </c>
    </row>
    <row r="143" spans="1:9" ht="15.75">
      <c r="A143" s="65" t="s">
        <v>134</v>
      </c>
      <c r="B143" s="65" t="s">
        <v>84</v>
      </c>
      <c r="C143" s="65">
        <v>88.3287</v>
      </c>
      <c r="D143" s="65">
        <v>1.7125</v>
      </c>
      <c r="E143" s="65">
        <v>0</v>
      </c>
      <c r="F143" s="65">
        <v>9.41935</v>
      </c>
      <c r="G143" s="66">
        <v>3.50132E-06</v>
      </c>
      <c r="H143" s="65">
        <v>8.01082</v>
      </c>
      <c r="I143" s="65">
        <v>0</v>
      </c>
    </row>
    <row r="144" spans="1:9" ht="15.75">
      <c r="A144" s="65" t="s">
        <v>134</v>
      </c>
      <c r="B144" s="65" t="s">
        <v>84</v>
      </c>
      <c r="C144" s="65">
        <v>90.0412</v>
      </c>
      <c r="D144" s="65">
        <v>1.7125</v>
      </c>
      <c r="E144" s="65">
        <v>0</v>
      </c>
      <c r="F144" s="65">
        <v>4.67947</v>
      </c>
      <c r="G144" s="66">
        <v>3.43741E-06</v>
      </c>
      <c r="H144" s="65">
        <v>9.72248</v>
      </c>
      <c r="I144" s="65">
        <v>0</v>
      </c>
    </row>
    <row r="145" spans="1:9" ht="15.75">
      <c r="A145" s="65" t="s">
        <v>134</v>
      </c>
      <c r="B145" s="65" t="s">
        <v>84</v>
      </c>
      <c r="C145" s="65">
        <v>91.7537</v>
      </c>
      <c r="D145" s="65">
        <v>1.7125</v>
      </c>
      <c r="E145" s="65">
        <v>0</v>
      </c>
      <c r="F145" s="65">
        <v>2.47952</v>
      </c>
      <c r="G145" s="66">
        <v>3.37351E-06</v>
      </c>
      <c r="H145" s="65">
        <v>12.2707</v>
      </c>
      <c r="I145" s="65">
        <v>0</v>
      </c>
    </row>
    <row r="146" spans="1:9" ht="15.75">
      <c r="A146" s="65" t="s">
        <v>81</v>
      </c>
      <c r="B146" s="65" t="s">
        <v>82</v>
      </c>
      <c r="C146" s="65">
        <v>92.0037</v>
      </c>
      <c r="D146" s="65">
        <v>0.25</v>
      </c>
      <c r="E146" s="65">
        <v>-0.125784</v>
      </c>
      <c r="F146" s="65">
        <v>2.44703</v>
      </c>
      <c r="G146" s="66">
        <v>3.41731E-06</v>
      </c>
      <c r="H146" s="65">
        <v>12.3218</v>
      </c>
      <c r="I146" s="65">
        <v>0</v>
      </c>
    </row>
    <row r="147" spans="1:9" ht="15.75">
      <c r="A147" s="65" t="s">
        <v>136</v>
      </c>
      <c r="B147" s="65" t="s">
        <v>77</v>
      </c>
      <c r="C147" s="65">
        <v>92.0037</v>
      </c>
      <c r="D147" s="65">
        <v>0</v>
      </c>
      <c r="E147" s="65">
        <v>0</v>
      </c>
      <c r="F147" s="65">
        <v>2.44703</v>
      </c>
      <c r="G147" s="66">
        <v>3.41731E-06</v>
      </c>
      <c r="H147" s="65">
        <v>12.3218</v>
      </c>
      <c r="I147" s="65">
        <v>0</v>
      </c>
    </row>
    <row r="148" spans="1:9" ht="15.75">
      <c r="A148" s="65" t="s">
        <v>132</v>
      </c>
      <c r="B148" s="65" t="s">
        <v>77</v>
      </c>
      <c r="C148" s="65">
        <v>92.0037</v>
      </c>
      <c r="D148" s="65">
        <v>0</v>
      </c>
      <c r="E148" s="65">
        <v>0</v>
      </c>
      <c r="F148" s="65">
        <v>2.44703</v>
      </c>
      <c r="G148" s="66">
        <v>3.41731E-06</v>
      </c>
      <c r="H148" s="65">
        <v>12.3218</v>
      </c>
      <c r="I148" s="65">
        <v>0</v>
      </c>
    </row>
    <row r="149" spans="1:9" ht="15.75">
      <c r="A149" s="65" t="s">
        <v>122</v>
      </c>
      <c r="B149" s="65" t="s">
        <v>77</v>
      </c>
      <c r="C149" s="65">
        <v>92.0037</v>
      </c>
      <c r="D149" s="65">
        <v>0</v>
      </c>
      <c r="E149" s="65">
        <v>0</v>
      </c>
      <c r="F149" s="65">
        <v>2.44703</v>
      </c>
      <c r="G149" s="66">
        <v>3.41731E-06</v>
      </c>
      <c r="H149" s="65">
        <v>12.3218</v>
      </c>
      <c r="I149" s="65">
        <v>0</v>
      </c>
    </row>
    <row r="150" spans="1:9" ht="15.75">
      <c r="A150" s="65" t="s">
        <v>123</v>
      </c>
      <c r="B150" s="65" t="s">
        <v>77</v>
      </c>
      <c r="C150" s="65">
        <v>92.0037</v>
      </c>
      <c r="D150" s="65">
        <v>0</v>
      </c>
      <c r="E150" s="65">
        <v>0</v>
      </c>
      <c r="F150" s="65">
        <v>2.44703</v>
      </c>
      <c r="G150" s="66">
        <v>3.41731E-06</v>
      </c>
      <c r="H150" s="65">
        <v>12.3218</v>
      </c>
      <c r="I150" s="65">
        <v>0</v>
      </c>
    </row>
    <row r="151" spans="1:9" ht="15.75">
      <c r="A151" s="65" t="s">
        <v>81</v>
      </c>
      <c r="B151" s="65" t="s">
        <v>82</v>
      </c>
      <c r="C151" s="65">
        <v>92.2537</v>
      </c>
      <c r="D151" s="65">
        <v>0.25</v>
      </c>
      <c r="E151" s="65">
        <v>-0.125784</v>
      </c>
      <c r="F151" s="65">
        <v>2.62269</v>
      </c>
      <c r="G151" s="66">
        <v>3.56885E-06</v>
      </c>
      <c r="H151" s="65">
        <v>11.6204</v>
      </c>
      <c r="I151" s="65">
        <v>0</v>
      </c>
    </row>
    <row r="152" spans="1:9" ht="15.75">
      <c r="A152" s="65" t="s">
        <v>124</v>
      </c>
      <c r="B152" s="65" t="s">
        <v>84</v>
      </c>
      <c r="C152" s="65">
        <v>93.2537</v>
      </c>
      <c r="D152" s="65">
        <v>1</v>
      </c>
      <c r="E152" s="65">
        <v>0</v>
      </c>
      <c r="F152" s="65">
        <v>4.26735</v>
      </c>
      <c r="G152" s="66">
        <v>4.39573E-06</v>
      </c>
      <c r="H152" s="65">
        <v>7.86669</v>
      </c>
      <c r="I152" s="65">
        <v>0</v>
      </c>
    </row>
    <row r="153" spans="1:9" ht="15.75">
      <c r="A153" s="65" t="s">
        <v>125</v>
      </c>
      <c r="B153" s="65" t="s">
        <v>100</v>
      </c>
      <c r="C153" s="65">
        <v>94.0037</v>
      </c>
      <c r="D153" s="65">
        <v>0.75</v>
      </c>
      <c r="E153" s="65">
        <v>0</v>
      </c>
      <c r="F153" s="65">
        <v>6.1115</v>
      </c>
      <c r="G153" s="66">
        <v>0.036791</v>
      </c>
      <c r="H153" s="65">
        <v>5.66804</v>
      </c>
      <c r="I153" s="65">
        <v>0</v>
      </c>
    </row>
    <row r="154" spans="1:9" ht="15.75">
      <c r="A154" s="65" t="s">
        <v>126</v>
      </c>
      <c r="B154" s="65" t="s">
        <v>100</v>
      </c>
      <c r="C154" s="65">
        <v>94.7537</v>
      </c>
      <c r="D154" s="65">
        <v>0.75</v>
      </c>
      <c r="E154" s="65">
        <v>0</v>
      </c>
      <c r="F154" s="65">
        <v>8.36917</v>
      </c>
      <c r="G154" s="65">
        <v>0.146795</v>
      </c>
      <c r="H154" s="65">
        <v>3.99795</v>
      </c>
      <c r="I154" s="65">
        <v>0</v>
      </c>
    </row>
    <row r="155" spans="1:9" ht="15.75">
      <c r="A155" s="65" t="s">
        <v>127</v>
      </c>
      <c r="B155" s="65" t="s">
        <v>84</v>
      </c>
      <c r="C155" s="65">
        <v>95.7537</v>
      </c>
      <c r="D155" s="65">
        <v>1</v>
      </c>
      <c r="E155" s="65">
        <v>0</v>
      </c>
      <c r="F155" s="65">
        <v>12.0529</v>
      </c>
      <c r="G155" s="65">
        <v>0.341886</v>
      </c>
      <c r="H155" s="65">
        <v>2.59337</v>
      </c>
      <c r="I155" s="65">
        <v>0</v>
      </c>
    </row>
    <row r="156" spans="1:9" ht="15.75">
      <c r="A156" s="65" t="s">
        <v>128</v>
      </c>
      <c r="B156" s="65" t="s">
        <v>82</v>
      </c>
      <c r="C156" s="65">
        <v>96.0037</v>
      </c>
      <c r="D156" s="65">
        <v>0.25</v>
      </c>
      <c r="E156" s="65">
        <v>0.171873</v>
      </c>
      <c r="F156" s="65">
        <v>12.5695</v>
      </c>
      <c r="G156" s="65">
        <v>0.382992</v>
      </c>
      <c r="H156" s="65">
        <v>2.49576</v>
      </c>
      <c r="I156" s="65">
        <v>0</v>
      </c>
    </row>
    <row r="157" spans="1:9" ht="15.75">
      <c r="A157" s="65" t="s">
        <v>128</v>
      </c>
      <c r="B157" s="65" t="s">
        <v>82</v>
      </c>
      <c r="C157" s="65">
        <v>96.2537</v>
      </c>
      <c r="D157" s="65">
        <v>0.25</v>
      </c>
      <c r="E157" s="65">
        <v>0.171873</v>
      </c>
      <c r="F157" s="65">
        <v>12.0312</v>
      </c>
      <c r="G157" s="65">
        <v>0.407699</v>
      </c>
      <c r="H157" s="65">
        <v>2.66677</v>
      </c>
      <c r="I157" s="65">
        <v>0</v>
      </c>
    </row>
    <row r="158" spans="1:9" ht="15.75">
      <c r="A158" s="65" t="s">
        <v>124</v>
      </c>
      <c r="B158" s="65" t="s">
        <v>84</v>
      </c>
      <c r="C158" s="65">
        <v>97.2537</v>
      </c>
      <c r="D158" s="65">
        <v>1</v>
      </c>
      <c r="E158" s="65">
        <v>0</v>
      </c>
      <c r="F158" s="65">
        <v>8.28069</v>
      </c>
      <c r="G158" s="65">
        <v>0.472079</v>
      </c>
      <c r="H158" s="65">
        <v>4.43205</v>
      </c>
      <c r="I158" s="65">
        <v>0</v>
      </c>
    </row>
    <row r="159" spans="1:9" ht="15.75">
      <c r="A159" s="65" t="s">
        <v>125</v>
      </c>
      <c r="B159" s="65" t="s">
        <v>100</v>
      </c>
      <c r="C159" s="65">
        <v>98.0037</v>
      </c>
      <c r="D159" s="65">
        <v>0.75</v>
      </c>
      <c r="E159" s="65">
        <v>0</v>
      </c>
      <c r="F159" s="65">
        <v>5.99355</v>
      </c>
      <c r="G159" s="65">
        <v>0.554799</v>
      </c>
      <c r="H159" s="65">
        <v>6.4389</v>
      </c>
      <c r="I159" s="65">
        <v>0</v>
      </c>
    </row>
    <row r="160" spans="1:9" ht="15.75">
      <c r="A160" s="65" t="s">
        <v>126</v>
      </c>
      <c r="B160" s="65" t="s">
        <v>100</v>
      </c>
      <c r="C160" s="65">
        <v>98.7537</v>
      </c>
      <c r="D160" s="65">
        <v>0.75</v>
      </c>
      <c r="E160" s="65">
        <v>0</v>
      </c>
      <c r="F160" s="65">
        <v>4.13949</v>
      </c>
      <c r="G160" s="65">
        <v>0.705749</v>
      </c>
      <c r="H160" s="65">
        <v>9.03107</v>
      </c>
      <c r="I160" s="65">
        <v>0</v>
      </c>
    </row>
    <row r="161" spans="1:9" ht="15.75">
      <c r="A161" s="65" t="s">
        <v>127</v>
      </c>
      <c r="B161" s="65" t="s">
        <v>84</v>
      </c>
      <c r="C161" s="65">
        <v>99.7537</v>
      </c>
      <c r="D161" s="65">
        <v>1</v>
      </c>
      <c r="E161" s="65">
        <v>0</v>
      </c>
      <c r="F161" s="65">
        <v>2.51049</v>
      </c>
      <c r="G161" s="65">
        <v>0.951926</v>
      </c>
      <c r="H161" s="65">
        <v>13.3978</v>
      </c>
      <c r="I161" s="65">
        <v>0</v>
      </c>
    </row>
    <row r="162" spans="1:9" ht="15.75">
      <c r="A162" s="65" t="s">
        <v>129</v>
      </c>
      <c r="B162" s="65" t="s">
        <v>82</v>
      </c>
      <c r="C162" s="65">
        <v>100.004</v>
      </c>
      <c r="D162" s="65">
        <v>0.25</v>
      </c>
      <c r="E162" s="65">
        <v>-0.182261</v>
      </c>
      <c r="F162" s="65">
        <v>2.37408</v>
      </c>
      <c r="G162" s="65">
        <v>1.03571</v>
      </c>
      <c r="H162" s="65">
        <v>14.0136</v>
      </c>
      <c r="I162" s="65">
        <v>0</v>
      </c>
    </row>
    <row r="163" spans="1:9" ht="15.75">
      <c r="A163" s="65" t="s">
        <v>123</v>
      </c>
      <c r="B163" s="65" t="s">
        <v>77</v>
      </c>
      <c r="C163" s="65">
        <v>100.004</v>
      </c>
      <c r="D163" s="65">
        <v>0</v>
      </c>
      <c r="E163" s="65">
        <v>0</v>
      </c>
      <c r="F163" s="65">
        <v>2.37408</v>
      </c>
      <c r="G163" s="65">
        <v>1.03571</v>
      </c>
      <c r="H163" s="65">
        <v>14.0136</v>
      </c>
      <c r="I163" s="65">
        <v>0</v>
      </c>
    </row>
    <row r="164" spans="1:9" ht="15.75">
      <c r="A164" s="65" t="s">
        <v>65</v>
      </c>
      <c r="B164" s="65" t="s">
        <v>77</v>
      </c>
      <c r="C164" s="65">
        <v>100.004</v>
      </c>
      <c r="D164" s="65">
        <v>0</v>
      </c>
      <c r="E164" s="65">
        <v>0</v>
      </c>
      <c r="F164" s="65">
        <v>2.37408</v>
      </c>
      <c r="G164" s="65">
        <v>1.03571</v>
      </c>
      <c r="H164" s="65">
        <v>14.0136</v>
      </c>
      <c r="I164" s="65">
        <v>0</v>
      </c>
    </row>
    <row r="165" spans="1:9" ht="15.75">
      <c r="A165" s="65" t="s">
        <v>129</v>
      </c>
      <c r="B165" s="65" t="s">
        <v>82</v>
      </c>
      <c r="C165" s="65">
        <v>100.254</v>
      </c>
      <c r="D165" s="65">
        <v>0.25</v>
      </c>
      <c r="E165" s="65">
        <v>-0.182261</v>
      </c>
      <c r="F165" s="65">
        <v>2.51079</v>
      </c>
      <c r="G165" s="65">
        <v>1.16686</v>
      </c>
      <c r="H165" s="65">
        <v>13.3803</v>
      </c>
      <c r="I165" s="65">
        <v>0</v>
      </c>
    </row>
    <row r="166" spans="1:9" ht="15.75">
      <c r="A166" s="65" t="s">
        <v>124</v>
      </c>
      <c r="B166" s="65" t="s">
        <v>84</v>
      </c>
      <c r="C166" s="65">
        <v>101.254</v>
      </c>
      <c r="D166" s="65">
        <v>1</v>
      </c>
      <c r="E166" s="65">
        <v>0</v>
      </c>
      <c r="F166" s="65">
        <v>4.14133</v>
      </c>
      <c r="G166" s="65">
        <v>1.79345</v>
      </c>
      <c r="H166" s="65">
        <v>8.96066</v>
      </c>
      <c r="I166" s="65">
        <v>0</v>
      </c>
    </row>
    <row r="167" spans="1:9" ht="15.75">
      <c r="A167" s="65" t="s">
        <v>125</v>
      </c>
      <c r="B167" s="65" t="s">
        <v>100</v>
      </c>
      <c r="C167" s="65">
        <v>102.004</v>
      </c>
      <c r="D167" s="65">
        <v>0.75</v>
      </c>
      <c r="E167" s="65">
        <v>0</v>
      </c>
      <c r="F167" s="65">
        <v>5.99682</v>
      </c>
      <c r="G167" s="65">
        <v>2.29079</v>
      </c>
      <c r="H167" s="65">
        <v>6.34554</v>
      </c>
      <c r="I167" s="65">
        <v>0</v>
      </c>
    </row>
    <row r="168" spans="1:9" ht="15.75">
      <c r="A168" s="65" t="s">
        <v>126</v>
      </c>
      <c r="B168" s="65" t="s">
        <v>100</v>
      </c>
      <c r="C168" s="65">
        <v>102.754</v>
      </c>
      <c r="D168" s="65">
        <v>0.75</v>
      </c>
      <c r="E168" s="65">
        <v>0</v>
      </c>
      <c r="F168" s="65">
        <v>8.28554</v>
      </c>
      <c r="G168" s="65">
        <v>2.83964</v>
      </c>
      <c r="H168" s="65">
        <v>4.33009</v>
      </c>
      <c r="I168" s="65">
        <v>0</v>
      </c>
    </row>
    <row r="169" spans="1:9" ht="15.75">
      <c r="A169" s="65" t="s">
        <v>127</v>
      </c>
      <c r="B169" s="65" t="s">
        <v>84</v>
      </c>
      <c r="C169" s="65">
        <v>103.754</v>
      </c>
      <c r="D169" s="65">
        <v>1</v>
      </c>
      <c r="E169" s="65">
        <v>0</v>
      </c>
      <c r="F169" s="65">
        <v>12.0384</v>
      </c>
      <c r="G169" s="65">
        <v>3.60348</v>
      </c>
      <c r="H169" s="65">
        <v>2.57566</v>
      </c>
      <c r="I169" s="65">
        <v>0</v>
      </c>
    </row>
    <row r="170" spans="1:9" ht="15.75">
      <c r="A170" s="65" t="s">
        <v>128</v>
      </c>
      <c r="B170" s="65" t="s">
        <v>82</v>
      </c>
      <c r="C170" s="65">
        <v>104.004</v>
      </c>
      <c r="D170" s="65">
        <v>0.25</v>
      </c>
      <c r="E170" s="65">
        <v>0.171873</v>
      </c>
      <c r="F170" s="65">
        <v>12.5771</v>
      </c>
      <c r="G170" s="65">
        <v>3.71593</v>
      </c>
      <c r="H170" s="65">
        <v>2.40755</v>
      </c>
      <c r="I170" s="65">
        <v>0</v>
      </c>
    </row>
    <row r="171" spans="1:9" ht="15.75">
      <c r="A171" s="65" t="s">
        <v>128</v>
      </c>
      <c r="B171" s="65" t="s">
        <v>82</v>
      </c>
      <c r="C171" s="65">
        <v>104.254</v>
      </c>
      <c r="D171" s="65">
        <v>0.25</v>
      </c>
      <c r="E171" s="65">
        <v>0.171873</v>
      </c>
      <c r="F171" s="65">
        <v>12.0601</v>
      </c>
      <c r="G171" s="65">
        <v>3.66929</v>
      </c>
      <c r="H171" s="65">
        <v>2.50226</v>
      </c>
      <c r="I171" s="65">
        <v>0</v>
      </c>
    </row>
    <row r="172" spans="1:9" ht="15.75">
      <c r="A172" s="65" t="s">
        <v>124</v>
      </c>
      <c r="B172" s="65" t="s">
        <v>84</v>
      </c>
      <c r="C172" s="65">
        <v>105.254</v>
      </c>
      <c r="D172" s="65">
        <v>1</v>
      </c>
      <c r="E172" s="65">
        <v>0</v>
      </c>
      <c r="F172" s="65">
        <v>8.37403</v>
      </c>
      <c r="G172" s="65">
        <v>3.16492</v>
      </c>
      <c r="H172" s="65">
        <v>3.89599</v>
      </c>
      <c r="I172" s="65">
        <v>0</v>
      </c>
    </row>
    <row r="173" spans="1:9" ht="15.75">
      <c r="A173" s="65" t="s">
        <v>125</v>
      </c>
      <c r="B173" s="65" t="s">
        <v>100</v>
      </c>
      <c r="C173" s="65">
        <v>106.004</v>
      </c>
      <c r="D173" s="65">
        <v>0.75</v>
      </c>
      <c r="E173" s="65">
        <v>0</v>
      </c>
      <c r="F173" s="65">
        <v>6.11477</v>
      </c>
      <c r="G173" s="65">
        <v>2.8088</v>
      </c>
      <c r="H173" s="65">
        <v>5.57468</v>
      </c>
      <c r="I173" s="65">
        <v>0</v>
      </c>
    </row>
    <row r="174" spans="1:9" ht="15.75">
      <c r="A174" s="65" t="s">
        <v>126</v>
      </c>
      <c r="B174" s="65" t="s">
        <v>100</v>
      </c>
      <c r="C174" s="65">
        <v>106.754</v>
      </c>
      <c r="D174" s="65">
        <v>0.75</v>
      </c>
      <c r="E174" s="65">
        <v>0</v>
      </c>
      <c r="F174" s="65">
        <v>4.26919</v>
      </c>
      <c r="G174" s="65">
        <v>2.4992</v>
      </c>
      <c r="H174" s="65">
        <v>7.79627</v>
      </c>
      <c r="I174" s="65">
        <v>0</v>
      </c>
    </row>
    <row r="175" spans="1:9" ht="15.75">
      <c r="A175" s="65" t="s">
        <v>127</v>
      </c>
      <c r="B175" s="65" t="s">
        <v>84</v>
      </c>
      <c r="C175" s="65">
        <v>107.754</v>
      </c>
      <c r="D175" s="65">
        <v>1</v>
      </c>
      <c r="E175" s="65">
        <v>0</v>
      </c>
      <c r="F175" s="65">
        <v>2.623</v>
      </c>
      <c r="G175" s="65">
        <v>2.11878</v>
      </c>
      <c r="H175" s="65">
        <v>11.6029</v>
      </c>
      <c r="I175" s="65">
        <v>0</v>
      </c>
    </row>
    <row r="176" spans="1:9" ht="15.75">
      <c r="A176" s="65" t="s">
        <v>129</v>
      </c>
      <c r="B176" s="65" t="s">
        <v>82</v>
      </c>
      <c r="C176" s="65">
        <v>108.004</v>
      </c>
      <c r="D176" s="65">
        <v>0.25</v>
      </c>
      <c r="E176" s="65">
        <v>-0.182261</v>
      </c>
      <c r="F176" s="65">
        <v>2.48244</v>
      </c>
      <c r="G176" s="65">
        <v>2.07141</v>
      </c>
      <c r="H176" s="65">
        <v>12.1519</v>
      </c>
      <c r="I176" s="65">
        <v>0</v>
      </c>
    </row>
    <row r="177" spans="1:9" ht="15.75">
      <c r="A177" s="65" t="s">
        <v>65</v>
      </c>
      <c r="B177" s="65" t="s">
        <v>77</v>
      </c>
      <c r="C177" s="65">
        <v>108.004</v>
      </c>
      <c r="D177" s="65">
        <v>0</v>
      </c>
      <c r="E177" s="65">
        <v>0</v>
      </c>
      <c r="F177" s="65">
        <v>2.48244</v>
      </c>
      <c r="G177" s="65">
        <v>2.07141</v>
      </c>
      <c r="H177" s="65">
        <v>12.1519</v>
      </c>
      <c r="I177" s="65">
        <v>0</v>
      </c>
    </row>
    <row r="178" spans="1:9" ht="15.75">
      <c r="A178" s="65" t="s">
        <v>65</v>
      </c>
      <c r="B178" s="65" t="s">
        <v>77</v>
      </c>
      <c r="C178" s="65">
        <v>108.004</v>
      </c>
      <c r="D178" s="65">
        <v>0</v>
      </c>
      <c r="E178" s="65">
        <v>0</v>
      </c>
      <c r="F178" s="65">
        <v>2.48244</v>
      </c>
      <c r="G178" s="65">
        <v>2.07141</v>
      </c>
      <c r="H178" s="65">
        <v>12.1519</v>
      </c>
      <c r="I178" s="65">
        <v>0</v>
      </c>
    </row>
    <row r="179" spans="1:9" ht="15.75">
      <c r="A179" s="65" t="s">
        <v>129</v>
      </c>
      <c r="B179" s="65" t="s">
        <v>82</v>
      </c>
      <c r="C179" s="65">
        <v>108.254</v>
      </c>
      <c r="D179" s="65">
        <v>0.25</v>
      </c>
      <c r="E179" s="65">
        <v>-0.182261</v>
      </c>
      <c r="F179" s="65">
        <v>2.62269</v>
      </c>
      <c r="G179" s="65">
        <v>2.11878</v>
      </c>
      <c r="H179" s="65">
        <v>11.6204</v>
      </c>
      <c r="I179" s="65">
        <v>0</v>
      </c>
    </row>
    <row r="180" spans="1:9" ht="15.75">
      <c r="A180" s="65" t="s">
        <v>124</v>
      </c>
      <c r="B180" s="65" t="s">
        <v>84</v>
      </c>
      <c r="C180" s="65">
        <v>109.254</v>
      </c>
      <c r="D180" s="65">
        <v>1</v>
      </c>
      <c r="E180" s="65">
        <v>0</v>
      </c>
      <c r="F180" s="65">
        <v>4.26735</v>
      </c>
      <c r="G180" s="65">
        <v>2.4992</v>
      </c>
      <c r="H180" s="65">
        <v>7.86669</v>
      </c>
      <c r="I180" s="65">
        <v>0</v>
      </c>
    </row>
    <row r="181" spans="1:9" ht="15.75">
      <c r="A181" s="65" t="s">
        <v>125</v>
      </c>
      <c r="B181" s="65" t="s">
        <v>100</v>
      </c>
      <c r="C181" s="65">
        <v>110.004</v>
      </c>
      <c r="D181" s="65">
        <v>0.75</v>
      </c>
      <c r="E181" s="65">
        <v>0</v>
      </c>
      <c r="F181" s="65">
        <v>6.1115</v>
      </c>
      <c r="G181" s="65">
        <v>2.8088</v>
      </c>
      <c r="H181" s="65">
        <v>5.66804</v>
      </c>
      <c r="I181" s="65">
        <v>0</v>
      </c>
    </row>
    <row r="182" spans="1:9" ht="15.75">
      <c r="A182" s="65" t="s">
        <v>126</v>
      </c>
      <c r="B182" s="65" t="s">
        <v>100</v>
      </c>
      <c r="C182" s="65">
        <v>110.754</v>
      </c>
      <c r="D182" s="65">
        <v>0.75</v>
      </c>
      <c r="E182" s="65">
        <v>0</v>
      </c>
      <c r="F182" s="65">
        <v>8.36917</v>
      </c>
      <c r="G182" s="65">
        <v>3.16492</v>
      </c>
      <c r="H182" s="65">
        <v>3.99795</v>
      </c>
      <c r="I182" s="65">
        <v>0</v>
      </c>
    </row>
    <row r="183" spans="1:9" ht="15.75">
      <c r="A183" s="65" t="s">
        <v>127</v>
      </c>
      <c r="B183" s="65" t="s">
        <v>84</v>
      </c>
      <c r="C183" s="65">
        <v>111.754</v>
      </c>
      <c r="D183" s="65">
        <v>1</v>
      </c>
      <c r="E183" s="65">
        <v>0</v>
      </c>
      <c r="F183" s="65">
        <v>12.0529</v>
      </c>
      <c r="G183" s="65">
        <v>3.66929</v>
      </c>
      <c r="H183" s="65">
        <v>2.59337</v>
      </c>
      <c r="I183" s="65">
        <v>0</v>
      </c>
    </row>
    <row r="184" spans="1:9" ht="15.75">
      <c r="A184" s="65" t="s">
        <v>128</v>
      </c>
      <c r="B184" s="65" t="s">
        <v>82</v>
      </c>
      <c r="C184" s="65">
        <v>112.004</v>
      </c>
      <c r="D184" s="65">
        <v>0.25</v>
      </c>
      <c r="E184" s="65">
        <v>0.171873</v>
      </c>
      <c r="F184" s="65">
        <v>12.5695</v>
      </c>
      <c r="G184" s="65">
        <v>3.71593</v>
      </c>
      <c r="H184" s="65">
        <v>2.49576</v>
      </c>
      <c r="I184" s="65">
        <v>0</v>
      </c>
    </row>
    <row r="185" spans="1:9" ht="15.75">
      <c r="A185" s="65" t="s">
        <v>128</v>
      </c>
      <c r="B185" s="65" t="s">
        <v>82</v>
      </c>
      <c r="C185" s="65">
        <v>112.254</v>
      </c>
      <c r="D185" s="65">
        <v>0.25</v>
      </c>
      <c r="E185" s="65">
        <v>0.171873</v>
      </c>
      <c r="F185" s="65">
        <v>12.0312</v>
      </c>
      <c r="G185" s="65">
        <v>3.60348</v>
      </c>
      <c r="H185" s="65">
        <v>2.66677</v>
      </c>
      <c r="I185" s="65">
        <v>0</v>
      </c>
    </row>
    <row r="186" spans="1:9" ht="15.75">
      <c r="A186" s="65" t="s">
        <v>124</v>
      </c>
      <c r="B186" s="65" t="s">
        <v>84</v>
      </c>
      <c r="C186" s="65">
        <v>113.254</v>
      </c>
      <c r="D186" s="65">
        <v>1</v>
      </c>
      <c r="E186" s="65">
        <v>0</v>
      </c>
      <c r="F186" s="65">
        <v>8.28069</v>
      </c>
      <c r="G186" s="65">
        <v>2.83964</v>
      </c>
      <c r="H186" s="65">
        <v>4.43205</v>
      </c>
      <c r="I186" s="65">
        <v>0</v>
      </c>
    </row>
    <row r="187" spans="1:9" ht="15.75">
      <c r="A187" s="65" t="s">
        <v>125</v>
      </c>
      <c r="B187" s="65" t="s">
        <v>100</v>
      </c>
      <c r="C187" s="65">
        <v>114.004</v>
      </c>
      <c r="D187" s="65">
        <v>0.75</v>
      </c>
      <c r="E187" s="65">
        <v>0</v>
      </c>
      <c r="F187" s="65">
        <v>5.99355</v>
      </c>
      <c r="G187" s="65">
        <v>2.29079</v>
      </c>
      <c r="H187" s="65">
        <v>6.4389</v>
      </c>
      <c r="I187" s="65">
        <v>0</v>
      </c>
    </row>
    <row r="188" spans="1:9" ht="15.75">
      <c r="A188" s="65" t="s">
        <v>126</v>
      </c>
      <c r="B188" s="65" t="s">
        <v>100</v>
      </c>
      <c r="C188" s="65">
        <v>114.754</v>
      </c>
      <c r="D188" s="65">
        <v>0.75</v>
      </c>
      <c r="E188" s="65">
        <v>0</v>
      </c>
      <c r="F188" s="65">
        <v>4.13949</v>
      </c>
      <c r="G188" s="65">
        <v>1.79345</v>
      </c>
      <c r="H188" s="65">
        <v>9.03107</v>
      </c>
      <c r="I188" s="65">
        <v>0</v>
      </c>
    </row>
    <row r="189" spans="1:9" ht="15.75">
      <c r="A189" s="65" t="s">
        <v>127</v>
      </c>
      <c r="B189" s="65" t="s">
        <v>84</v>
      </c>
      <c r="C189" s="65">
        <v>115.754</v>
      </c>
      <c r="D189" s="65">
        <v>1</v>
      </c>
      <c r="E189" s="65">
        <v>0</v>
      </c>
      <c r="F189" s="65">
        <v>2.51049</v>
      </c>
      <c r="G189" s="65">
        <v>1.16686</v>
      </c>
      <c r="H189" s="65">
        <v>13.3978</v>
      </c>
      <c r="I189" s="65">
        <v>0</v>
      </c>
    </row>
    <row r="190" spans="1:9" ht="15.75">
      <c r="A190" s="65" t="s">
        <v>129</v>
      </c>
      <c r="B190" s="65" t="s">
        <v>82</v>
      </c>
      <c r="C190" s="65">
        <v>116.004</v>
      </c>
      <c r="D190" s="65">
        <v>0.25</v>
      </c>
      <c r="E190" s="65">
        <v>-0.182261</v>
      </c>
      <c r="F190" s="65">
        <v>2.37408</v>
      </c>
      <c r="G190" s="65">
        <v>1.03571</v>
      </c>
      <c r="H190" s="65">
        <v>14.0136</v>
      </c>
      <c r="I190" s="65">
        <v>0</v>
      </c>
    </row>
    <row r="191" spans="1:9" ht="15.75">
      <c r="A191" s="65" t="s">
        <v>65</v>
      </c>
      <c r="B191" s="65" t="s">
        <v>77</v>
      </c>
      <c r="C191" s="65">
        <v>116.004</v>
      </c>
      <c r="D191" s="65">
        <v>0</v>
      </c>
      <c r="E191" s="65">
        <v>0</v>
      </c>
      <c r="F191" s="65">
        <v>2.37408</v>
      </c>
      <c r="G191" s="65">
        <v>1.03571</v>
      </c>
      <c r="H191" s="65">
        <v>14.0136</v>
      </c>
      <c r="I191" s="65">
        <v>0</v>
      </c>
    </row>
    <row r="192" spans="1:9" ht="15.75">
      <c r="A192" s="65" t="s">
        <v>130</v>
      </c>
      <c r="B192" s="65" t="s">
        <v>77</v>
      </c>
      <c r="C192" s="65">
        <v>116.004</v>
      </c>
      <c r="D192" s="65">
        <v>0</v>
      </c>
      <c r="E192" s="65">
        <v>0</v>
      </c>
      <c r="F192" s="65">
        <v>2.37408</v>
      </c>
      <c r="G192" s="65">
        <v>1.03571</v>
      </c>
      <c r="H192" s="65">
        <v>14.0136</v>
      </c>
      <c r="I192" s="65">
        <v>0</v>
      </c>
    </row>
    <row r="193" spans="1:9" ht="15.75">
      <c r="A193" s="65" t="s">
        <v>129</v>
      </c>
      <c r="B193" s="65" t="s">
        <v>82</v>
      </c>
      <c r="C193" s="65">
        <v>116.254</v>
      </c>
      <c r="D193" s="65">
        <v>0.25</v>
      </c>
      <c r="E193" s="65">
        <v>-0.182261</v>
      </c>
      <c r="F193" s="65">
        <v>2.51079</v>
      </c>
      <c r="G193" s="65">
        <v>0.951925</v>
      </c>
      <c r="H193" s="65">
        <v>13.3803</v>
      </c>
      <c r="I193" s="65">
        <v>0</v>
      </c>
    </row>
    <row r="194" spans="1:9" ht="15.75">
      <c r="A194" s="65" t="s">
        <v>124</v>
      </c>
      <c r="B194" s="65" t="s">
        <v>84</v>
      </c>
      <c r="C194" s="65">
        <v>117.254</v>
      </c>
      <c r="D194" s="65">
        <v>1</v>
      </c>
      <c r="E194" s="65">
        <v>0</v>
      </c>
      <c r="F194" s="65">
        <v>4.14133</v>
      </c>
      <c r="G194" s="65">
        <v>0.705747</v>
      </c>
      <c r="H194" s="65">
        <v>8.96066</v>
      </c>
      <c r="I194" s="65">
        <v>0</v>
      </c>
    </row>
    <row r="195" spans="1:9" ht="15.75">
      <c r="A195" s="65" t="s">
        <v>125</v>
      </c>
      <c r="B195" s="65" t="s">
        <v>100</v>
      </c>
      <c r="C195" s="65">
        <v>118.004</v>
      </c>
      <c r="D195" s="65">
        <v>0.75</v>
      </c>
      <c r="E195" s="65">
        <v>0</v>
      </c>
      <c r="F195" s="65">
        <v>5.99682</v>
      </c>
      <c r="G195" s="65">
        <v>0.554797</v>
      </c>
      <c r="H195" s="65">
        <v>6.34554</v>
      </c>
      <c r="I195" s="65">
        <v>0</v>
      </c>
    </row>
    <row r="196" spans="1:9" ht="15.75">
      <c r="A196" s="65" t="s">
        <v>126</v>
      </c>
      <c r="B196" s="65" t="s">
        <v>100</v>
      </c>
      <c r="C196" s="65">
        <v>118.754</v>
      </c>
      <c r="D196" s="65">
        <v>0.75</v>
      </c>
      <c r="E196" s="65">
        <v>0</v>
      </c>
      <c r="F196" s="65">
        <v>8.28554</v>
      </c>
      <c r="G196" s="65">
        <v>0.472077</v>
      </c>
      <c r="H196" s="65">
        <v>4.33009</v>
      </c>
      <c r="I196" s="65">
        <v>0</v>
      </c>
    </row>
    <row r="197" spans="1:9" ht="15.75">
      <c r="A197" s="65" t="s">
        <v>127</v>
      </c>
      <c r="B197" s="65" t="s">
        <v>84</v>
      </c>
      <c r="C197" s="65">
        <v>119.754</v>
      </c>
      <c r="D197" s="65">
        <v>1</v>
      </c>
      <c r="E197" s="65">
        <v>0</v>
      </c>
      <c r="F197" s="65">
        <v>12.0384</v>
      </c>
      <c r="G197" s="65">
        <v>0.407697</v>
      </c>
      <c r="H197" s="65">
        <v>2.57566</v>
      </c>
      <c r="I197" s="65">
        <v>0</v>
      </c>
    </row>
    <row r="198" spans="1:9" ht="15.75">
      <c r="A198" s="65" t="s">
        <v>128</v>
      </c>
      <c r="B198" s="65" t="s">
        <v>82</v>
      </c>
      <c r="C198" s="65">
        <v>120.004</v>
      </c>
      <c r="D198" s="65">
        <v>0.25</v>
      </c>
      <c r="E198" s="65">
        <v>0.171873</v>
      </c>
      <c r="F198" s="65">
        <v>12.5771</v>
      </c>
      <c r="G198" s="65">
        <v>0.382989</v>
      </c>
      <c r="H198" s="65">
        <v>2.40755</v>
      </c>
      <c r="I198" s="65">
        <v>0</v>
      </c>
    </row>
    <row r="199" spans="1:9" ht="15.75">
      <c r="A199" s="65" t="s">
        <v>128</v>
      </c>
      <c r="B199" s="65" t="s">
        <v>82</v>
      </c>
      <c r="C199" s="65">
        <v>120.254</v>
      </c>
      <c r="D199" s="65">
        <v>0.25</v>
      </c>
      <c r="E199" s="65">
        <v>0.171873</v>
      </c>
      <c r="F199" s="65">
        <v>12.0601</v>
      </c>
      <c r="G199" s="65">
        <v>0.341884</v>
      </c>
      <c r="H199" s="65">
        <v>2.50226</v>
      </c>
      <c r="I199" s="65">
        <v>0</v>
      </c>
    </row>
    <row r="200" spans="1:9" ht="15.75">
      <c r="A200" s="65" t="s">
        <v>124</v>
      </c>
      <c r="B200" s="65" t="s">
        <v>84</v>
      </c>
      <c r="C200" s="65">
        <v>121.254</v>
      </c>
      <c r="D200" s="65">
        <v>1</v>
      </c>
      <c r="E200" s="65">
        <v>0</v>
      </c>
      <c r="F200" s="65">
        <v>8.37403</v>
      </c>
      <c r="G200" s="65">
        <v>0.146793</v>
      </c>
      <c r="H200" s="65">
        <v>3.89599</v>
      </c>
      <c r="I200" s="65">
        <v>0</v>
      </c>
    </row>
    <row r="201" spans="1:9" ht="15.75">
      <c r="A201" s="65" t="s">
        <v>125</v>
      </c>
      <c r="B201" s="65" t="s">
        <v>100</v>
      </c>
      <c r="C201" s="65">
        <v>122.004</v>
      </c>
      <c r="D201" s="65">
        <v>0.75</v>
      </c>
      <c r="E201" s="65">
        <v>0</v>
      </c>
      <c r="F201" s="65">
        <v>6.11477</v>
      </c>
      <c r="G201" s="66">
        <v>0.0367896</v>
      </c>
      <c r="H201" s="65">
        <v>5.57468</v>
      </c>
      <c r="I201" s="65">
        <v>0</v>
      </c>
    </row>
    <row r="202" spans="1:9" ht="15.75">
      <c r="A202" s="65" t="s">
        <v>126</v>
      </c>
      <c r="B202" s="65" t="s">
        <v>100</v>
      </c>
      <c r="C202" s="65">
        <v>122.754</v>
      </c>
      <c r="D202" s="65">
        <v>0.75</v>
      </c>
      <c r="E202" s="65">
        <v>0</v>
      </c>
      <c r="F202" s="65">
        <v>4.26919</v>
      </c>
      <c r="G202" s="66">
        <v>3.52531E-06</v>
      </c>
      <c r="H202" s="65">
        <v>7.79627</v>
      </c>
      <c r="I202" s="65">
        <v>0</v>
      </c>
    </row>
    <row r="203" spans="1:9" ht="15.75">
      <c r="A203" s="65" t="s">
        <v>127</v>
      </c>
      <c r="B203" s="65" t="s">
        <v>84</v>
      </c>
      <c r="C203" s="65">
        <v>123.754</v>
      </c>
      <c r="D203" s="65">
        <v>1</v>
      </c>
      <c r="E203" s="65">
        <v>0</v>
      </c>
      <c r="F203" s="65">
        <v>2.623</v>
      </c>
      <c r="G203" s="66">
        <v>3.39685E-06</v>
      </c>
      <c r="H203" s="65">
        <v>11.6029</v>
      </c>
      <c r="I203" s="65">
        <v>0</v>
      </c>
    </row>
    <row r="204" spans="1:9" ht="15.75">
      <c r="A204" s="65" t="s">
        <v>81</v>
      </c>
      <c r="B204" s="65" t="s">
        <v>82</v>
      </c>
      <c r="C204" s="65">
        <v>124.004</v>
      </c>
      <c r="D204" s="65">
        <v>0.25</v>
      </c>
      <c r="E204" s="65">
        <v>-0.125784</v>
      </c>
      <c r="F204" s="65">
        <v>2.44703</v>
      </c>
      <c r="G204" s="66">
        <v>3.41812E-06</v>
      </c>
      <c r="H204" s="65">
        <v>12.3217</v>
      </c>
      <c r="I204" s="65">
        <v>0</v>
      </c>
    </row>
    <row r="205" spans="1:9" ht="15.75">
      <c r="A205" s="65" t="s">
        <v>130</v>
      </c>
      <c r="B205" s="65" t="s">
        <v>77</v>
      </c>
      <c r="C205" s="65">
        <v>124.004</v>
      </c>
      <c r="D205" s="65">
        <v>0</v>
      </c>
      <c r="E205" s="65">
        <v>0</v>
      </c>
      <c r="F205" s="65">
        <v>2.44703</v>
      </c>
      <c r="G205" s="66">
        <v>3.41812E-06</v>
      </c>
      <c r="H205" s="65">
        <v>12.3217</v>
      </c>
      <c r="I205" s="65">
        <v>0</v>
      </c>
    </row>
    <row r="206" spans="1:9" ht="15.75">
      <c r="A206" s="65" t="s">
        <v>122</v>
      </c>
      <c r="B206" s="65" t="s">
        <v>77</v>
      </c>
      <c r="C206" s="65">
        <v>124.004</v>
      </c>
      <c r="D206" s="65">
        <v>0</v>
      </c>
      <c r="E206" s="65">
        <v>0</v>
      </c>
      <c r="F206" s="65">
        <v>2.44703</v>
      </c>
      <c r="G206" s="66">
        <v>3.41812E-06</v>
      </c>
      <c r="H206" s="65">
        <v>12.3217</v>
      </c>
      <c r="I206" s="65">
        <v>0</v>
      </c>
    </row>
    <row r="207" spans="1:9" ht="15.75">
      <c r="A207" s="65" t="s">
        <v>131</v>
      </c>
      <c r="B207" s="65" t="s">
        <v>77</v>
      </c>
      <c r="C207" s="65">
        <v>124.004</v>
      </c>
      <c r="D207" s="65">
        <v>0</v>
      </c>
      <c r="E207" s="65">
        <v>0</v>
      </c>
      <c r="F207" s="65">
        <v>2.44703</v>
      </c>
      <c r="G207" s="66">
        <v>3.41812E-06</v>
      </c>
      <c r="H207" s="65">
        <v>12.3217</v>
      </c>
      <c r="I207" s="65">
        <v>0</v>
      </c>
    </row>
    <row r="208" spans="1:9" ht="15.75">
      <c r="A208" s="65" t="s">
        <v>131</v>
      </c>
      <c r="B208" s="65" t="s">
        <v>77</v>
      </c>
      <c r="C208" s="65">
        <v>124.004</v>
      </c>
      <c r="D208" s="65">
        <v>0</v>
      </c>
      <c r="E208" s="65">
        <v>0</v>
      </c>
      <c r="F208" s="65">
        <v>2.44703</v>
      </c>
      <c r="G208" s="66">
        <v>3.41812E-06</v>
      </c>
      <c r="H208" s="65">
        <v>12.3217</v>
      </c>
      <c r="I208" s="65">
        <v>0</v>
      </c>
    </row>
    <row r="209" spans="1:9" ht="15.75">
      <c r="A209" s="65" t="s">
        <v>132</v>
      </c>
      <c r="B209" s="65" t="s">
        <v>77</v>
      </c>
      <c r="C209" s="65">
        <v>124.004</v>
      </c>
      <c r="D209" s="65">
        <v>0</v>
      </c>
      <c r="E209" s="65">
        <v>0</v>
      </c>
      <c r="F209" s="65">
        <v>2.44703</v>
      </c>
      <c r="G209" s="66">
        <v>3.41812E-06</v>
      </c>
      <c r="H209" s="65">
        <v>12.3217</v>
      </c>
      <c r="I209" s="65">
        <v>0</v>
      </c>
    </row>
    <row r="210" spans="1:9" ht="15.75">
      <c r="A210" s="65" t="s">
        <v>133</v>
      </c>
      <c r="B210" s="65" t="s">
        <v>77</v>
      </c>
      <c r="C210" s="65">
        <v>124.004</v>
      </c>
      <c r="D210" s="65">
        <v>0</v>
      </c>
      <c r="E210" s="65">
        <v>0</v>
      </c>
      <c r="F210" s="65">
        <v>2.44703</v>
      </c>
      <c r="G210" s="66">
        <v>3.41812E-06</v>
      </c>
      <c r="H210" s="65">
        <v>12.3217</v>
      </c>
      <c r="I210" s="65">
        <v>0</v>
      </c>
    </row>
    <row r="211" spans="1:9" ht="15.75">
      <c r="A211" s="65" t="s">
        <v>81</v>
      </c>
      <c r="B211" s="65" t="s">
        <v>82</v>
      </c>
      <c r="C211" s="65">
        <v>124.254</v>
      </c>
      <c r="D211" s="65">
        <v>0.25</v>
      </c>
      <c r="E211" s="65">
        <v>-0.125784</v>
      </c>
      <c r="F211" s="65">
        <v>2.47921</v>
      </c>
      <c r="G211" s="66">
        <v>3.54715E-06</v>
      </c>
      <c r="H211" s="65">
        <v>12.2886</v>
      </c>
      <c r="I211" s="65">
        <v>0</v>
      </c>
    </row>
    <row r="212" spans="1:9" ht="15.75">
      <c r="A212" s="65" t="s">
        <v>134</v>
      </c>
      <c r="B212" s="65" t="s">
        <v>84</v>
      </c>
      <c r="C212" s="65">
        <v>125.966</v>
      </c>
      <c r="D212" s="65">
        <v>1.7125</v>
      </c>
      <c r="E212" s="65">
        <v>0</v>
      </c>
      <c r="F212" s="65">
        <v>4.6768</v>
      </c>
      <c r="G212" s="66">
        <v>4.80746E-06</v>
      </c>
      <c r="H212" s="65">
        <v>9.84483</v>
      </c>
      <c r="I212" s="65">
        <v>0</v>
      </c>
    </row>
    <row r="213" spans="1:9" ht="15.75">
      <c r="A213" s="65" t="s">
        <v>134</v>
      </c>
      <c r="B213" s="65" t="s">
        <v>84</v>
      </c>
      <c r="C213" s="65">
        <v>127.679</v>
      </c>
      <c r="D213" s="65">
        <v>1.7125</v>
      </c>
      <c r="E213" s="65">
        <v>0</v>
      </c>
      <c r="F213" s="65">
        <v>9.41382</v>
      </c>
      <c r="G213" s="66">
        <v>6.06776E-06</v>
      </c>
      <c r="H213" s="65">
        <v>8.20827</v>
      </c>
      <c r="I213" s="65">
        <v>0</v>
      </c>
    </row>
    <row r="214" spans="1:9" ht="15.75">
      <c r="A214" s="65" t="s">
        <v>134</v>
      </c>
      <c r="B214" s="65" t="s">
        <v>84</v>
      </c>
      <c r="C214" s="65">
        <v>129.391</v>
      </c>
      <c r="D214" s="65">
        <v>1.7125</v>
      </c>
      <c r="E214" s="65">
        <v>0</v>
      </c>
      <c r="F214" s="65">
        <v>16.6903</v>
      </c>
      <c r="G214" s="66">
        <v>7.32806E-06</v>
      </c>
      <c r="H214" s="65">
        <v>7.37888</v>
      </c>
      <c r="I214" s="65">
        <v>0</v>
      </c>
    </row>
    <row r="215" spans="1:9" ht="15.75">
      <c r="A215" s="65" t="s">
        <v>134</v>
      </c>
      <c r="B215" s="65" t="s">
        <v>84</v>
      </c>
      <c r="C215" s="65">
        <v>131.104</v>
      </c>
      <c r="D215" s="65">
        <v>1.7125</v>
      </c>
      <c r="E215" s="65">
        <v>0</v>
      </c>
      <c r="F215" s="65">
        <v>26.5061</v>
      </c>
      <c r="G215" s="66">
        <v>8.58837E-06</v>
      </c>
      <c r="H215" s="65">
        <v>7.35665</v>
      </c>
      <c r="I215" s="65">
        <v>0</v>
      </c>
    </row>
    <row r="216" spans="1:9" ht="15.75">
      <c r="A216" s="65" t="s">
        <v>9</v>
      </c>
      <c r="B216" s="65" t="s">
        <v>82</v>
      </c>
      <c r="C216" s="65">
        <v>131.454</v>
      </c>
      <c r="D216" s="65">
        <v>0.35</v>
      </c>
      <c r="E216" s="65">
        <v>0.221955</v>
      </c>
      <c r="F216" s="65">
        <v>26.7016</v>
      </c>
      <c r="G216" s="66">
        <v>8.51119E-06</v>
      </c>
      <c r="H216" s="65">
        <v>8.04244</v>
      </c>
      <c r="I216" s="65">
        <v>0</v>
      </c>
    </row>
    <row r="217" spans="1:9" ht="15.75">
      <c r="A217" s="65" t="s">
        <v>9</v>
      </c>
      <c r="B217" s="65" t="s">
        <v>82</v>
      </c>
      <c r="C217" s="65">
        <v>131.804</v>
      </c>
      <c r="D217" s="65">
        <v>0.35</v>
      </c>
      <c r="E217" s="65">
        <v>0.221955</v>
      </c>
      <c r="F217" s="65">
        <v>22.9286</v>
      </c>
      <c r="G217" s="66">
        <v>7.7771E-06</v>
      </c>
      <c r="H217" s="65">
        <v>10.1544</v>
      </c>
      <c r="I217" s="65">
        <v>0</v>
      </c>
    </row>
    <row r="218" spans="1:9" ht="15.75">
      <c r="A218" s="65" t="s">
        <v>96</v>
      </c>
      <c r="B218" s="65" t="s">
        <v>84</v>
      </c>
      <c r="C218" s="65">
        <v>132.204</v>
      </c>
      <c r="D218" s="65">
        <v>0.4</v>
      </c>
      <c r="E218" s="65">
        <v>0</v>
      </c>
      <c r="F218" s="65">
        <v>17.1154</v>
      </c>
      <c r="G218" s="66">
        <v>6.57969E-06</v>
      </c>
      <c r="H218" s="65">
        <v>13.8932</v>
      </c>
      <c r="I218" s="65">
        <v>0</v>
      </c>
    </row>
    <row r="219" spans="1:9" ht="15.75">
      <c r="A219" s="65" t="s">
        <v>10</v>
      </c>
      <c r="B219" s="65" t="s">
        <v>82</v>
      </c>
      <c r="C219" s="65">
        <v>132.479</v>
      </c>
      <c r="D219" s="65">
        <v>0.275</v>
      </c>
      <c r="E219" s="65">
        <v>-0.186004</v>
      </c>
      <c r="F219" s="65">
        <v>14.387</v>
      </c>
      <c r="G219" s="66">
        <v>5.91843E-06</v>
      </c>
      <c r="H219" s="65">
        <v>16.0235</v>
      </c>
      <c r="I219" s="65">
        <v>0</v>
      </c>
    </row>
    <row r="220" spans="1:9" ht="15.75">
      <c r="A220" s="65" t="s">
        <v>10</v>
      </c>
      <c r="B220" s="65" t="s">
        <v>82</v>
      </c>
      <c r="C220" s="65">
        <v>132.754</v>
      </c>
      <c r="D220" s="65">
        <v>0.275</v>
      </c>
      <c r="E220" s="65">
        <v>-0.186004</v>
      </c>
      <c r="F220" s="65">
        <v>13.2873</v>
      </c>
      <c r="G220" s="66">
        <v>5.5612E-06</v>
      </c>
      <c r="H220" s="65">
        <v>16.6124</v>
      </c>
      <c r="I220" s="65">
        <v>0</v>
      </c>
    </row>
    <row r="221" spans="1:9" ht="15.75">
      <c r="A221" s="65" t="s">
        <v>135</v>
      </c>
      <c r="B221" s="65" t="s">
        <v>84</v>
      </c>
      <c r="C221" s="65">
        <v>135.879</v>
      </c>
      <c r="D221" s="65">
        <v>3.125</v>
      </c>
      <c r="E221" s="65">
        <v>0</v>
      </c>
      <c r="F221" s="65">
        <v>9.99424</v>
      </c>
      <c r="G221" s="66">
        <v>3.14555E-06</v>
      </c>
      <c r="H221" s="65">
        <v>14.4862</v>
      </c>
      <c r="I221" s="65">
        <v>0</v>
      </c>
    </row>
    <row r="222" spans="1:9" ht="15.75">
      <c r="A222" s="65" t="s">
        <v>135</v>
      </c>
      <c r="B222" s="65" t="s">
        <v>84</v>
      </c>
      <c r="C222" s="65">
        <v>139.004</v>
      </c>
      <c r="D222" s="65">
        <v>3.125</v>
      </c>
      <c r="E222" s="65">
        <v>0</v>
      </c>
      <c r="F222" s="65">
        <v>8.89655</v>
      </c>
      <c r="G222" s="66">
        <v>7.299E-07</v>
      </c>
      <c r="H222" s="65">
        <v>13.7776</v>
      </c>
      <c r="I222" s="65">
        <v>0</v>
      </c>
    </row>
    <row r="223" spans="1:9" ht="15.75">
      <c r="A223" s="65" t="s">
        <v>133</v>
      </c>
      <c r="B223" s="65" t="s">
        <v>77</v>
      </c>
      <c r="C223" s="65">
        <v>139.004</v>
      </c>
      <c r="D223" s="65">
        <v>0</v>
      </c>
      <c r="E223" s="65">
        <v>0</v>
      </c>
      <c r="F223" s="65">
        <v>8.89655</v>
      </c>
      <c r="G223" s="66">
        <v>7.299E-07</v>
      </c>
      <c r="H223" s="65">
        <v>13.7776</v>
      </c>
      <c r="I223" s="65">
        <v>0</v>
      </c>
    </row>
    <row r="224" spans="1:9" ht="15.75">
      <c r="A224" s="65" t="s">
        <v>136</v>
      </c>
      <c r="B224" s="65" t="s">
        <v>77</v>
      </c>
      <c r="C224" s="65">
        <v>139.004</v>
      </c>
      <c r="D224" s="65">
        <v>0</v>
      </c>
      <c r="E224" s="65">
        <v>0</v>
      </c>
      <c r="F224" s="65">
        <v>8.89655</v>
      </c>
      <c r="G224" s="66">
        <v>7.299E-07</v>
      </c>
      <c r="H224" s="65">
        <v>13.7776</v>
      </c>
      <c r="I224" s="65">
        <v>0</v>
      </c>
    </row>
    <row r="225" spans="1:9" ht="15.75">
      <c r="A225" s="65" t="s">
        <v>135</v>
      </c>
      <c r="B225" s="65" t="s">
        <v>84</v>
      </c>
      <c r="C225" s="65">
        <v>142.129</v>
      </c>
      <c r="D225" s="65">
        <v>3.125</v>
      </c>
      <c r="E225" s="65">
        <v>0</v>
      </c>
      <c r="F225" s="65">
        <v>9.99424</v>
      </c>
      <c r="G225" s="66">
        <v>-1.68575E-06</v>
      </c>
      <c r="H225" s="65">
        <v>14.4866</v>
      </c>
      <c r="I225" s="65">
        <v>0</v>
      </c>
    </row>
    <row r="226" spans="1:9" ht="15.75">
      <c r="A226" s="65" t="s">
        <v>135</v>
      </c>
      <c r="B226" s="65" t="s">
        <v>84</v>
      </c>
      <c r="C226" s="65">
        <v>145.254</v>
      </c>
      <c r="D226" s="65">
        <v>3.125</v>
      </c>
      <c r="E226" s="65">
        <v>0</v>
      </c>
      <c r="F226" s="65">
        <v>13.2873</v>
      </c>
      <c r="G226" s="66">
        <v>-4.1014E-06</v>
      </c>
      <c r="H226" s="65">
        <v>16.6132</v>
      </c>
      <c r="I226" s="65">
        <v>0</v>
      </c>
    </row>
    <row r="227" spans="1:9" ht="15.75">
      <c r="A227" s="65" t="s">
        <v>10</v>
      </c>
      <c r="B227" s="65" t="s">
        <v>82</v>
      </c>
      <c r="C227" s="65">
        <v>145.529</v>
      </c>
      <c r="D227" s="65">
        <v>0.275</v>
      </c>
      <c r="E227" s="65">
        <v>-0.186004</v>
      </c>
      <c r="F227" s="65">
        <v>14.387</v>
      </c>
      <c r="G227" s="66">
        <v>-4.42113E-06</v>
      </c>
      <c r="H227" s="65">
        <v>16.0243</v>
      </c>
      <c r="I227" s="65">
        <v>0</v>
      </c>
    </row>
    <row r="228" spans="1:9" ht="15.75">
      <c r="A228" s="65" t="s">
        <v>10</v>
      </c>
      <c r="B228" s="65" t="s">
        <v>82</v>
      </c>
      <c r="C228" s="65">
        <v>145.804</v>
      </c>
      <c r="D228" s="65">
        <v>0.275</v>
      </c>
      <c r="E228" s="65">
        <v>-0.186004</v>
      </c>
      <c r="F228" s="65">
        <v>17.1154</v>
      </c>
      <c r="G228" s="66">
        <v>-4.96798E-06</v>
      </c>
      <c r="H228" s="65">
        <v>13.8938</v>
      </c>
      <c r="I228" s="65">
        <v>0</v>
      </c>
    </row>
    <row r="229" spans="1:9" ht="15.75">
      <c r="A229" s="65" t="s">
        <v>96</v>
      </c>
      <c r="B229" s="65" t="s">
        <v>84</v>
      </c>
      <c r="C229" s="65">
        <v>146.204</v>
      </c>
      <c r="D229" s="65">
        <v>0.4</v>
      </c>
      <c r="E229" s="65">
        <v>0</v>
      </c>
      <c r="F229" s="65">
        <v>22.9286</v>
      </c>
      <c r="G229" s="66">
        <v>-5.94069E-06</v>
      </c>
      <c r="H229" s="65">
        <v>10.1549</v>
      </c>
      <c r="I229" s="65">
        <v>0</v>
      </c>
    </row>
    <row r="230" spans="1:9" ht="15.75">
      <c r="A230" s="65" t="s">
        <v>9</v>
      </c>
      <c r="B230" s="65" t="s">
        <v>82</v>
      </c>
      <c r="C230" s="65">
        <v>146.554</v>
      </c>
      <c r="D230" s="65">
        <v>0.35</v>
      </c>
      <c r="E230" s="65">
        <v>0.221955</v>
      </c>
      <c r="F230" s="65">
        <v>26.7016</v>
      </c>
      <c r="G230" s="66">
        <v>-6.55157E-06</v>
      </c>
      <c r="H230" s="65">
        <v>8.04286</v>
      </c>
      <c r="I230" s="65">
        <v>0</v>
      </c>
    </row>
    <row r="231" spans="1:9" ht="15.75">
      <c r="A231" s="65" t="s">
        <v>9</v>
      </c>
      <c r="B231" s="65" t="s">
        <v>82</v>
      </c>
      <c r="C231" s="65">
        <v>146.904</v>
      </c>
      <c r="D231" s="65">
        <v>0.35</v>
      </c>
      <c r="E231" s="65">
        <v>0.221955</v>
      </c>
      <c r="F231" s="65">
        <v>26.5061</v>
      </c>
      <c r="G231" s="66">
        <v>-6.65678E-06</v>
      </c>
      <c r="H231" s="65">
        <v>7.35706</v>
      </c>
      <c r="I231" s="65">
        <v>0</v>
      </c>
    </row>
    <row r="232" spans="1:9" ht="15.75">
      <c r="A232" s="65" t="s">
        <v>134</v>
      </c>
      <c r="B232" s="65" t="s">
        <v>84</v>
      </c>
      <c r="C232" s="65">
        <v>148.616</v>
      </c>
      <c r="D232" s="65">
        <v>1.7125</v>
      </c>
      <c r="E232" s="65">
        <v>0</v>
      </c>
      <c r="F232" s="65">
        <v>16.6903</v>
      </c>
      <c r="G232" s="66">
        <v>-5.90494E-06</v>
      </c>
      <c r="H232" s="65">
        <v>7.37932</v>
      </c>
      <c r="I232" s="65">
        <v>0</v>
      </c>
    </row>
    <row r="233" spans="1:9" ht="15.75">
      <c r="A233" s="65" t="s">
        <v>134</v>
      </c>
      <c r="B233" s="65" t="s">
        <v>84</v>
      </c>
      <c r="C233" s="65">
        <v>150.329</v>
      </c>
      <c r="D233" s="65">
        <v>1.7125</v>
      </c>
      <c r="E233" s="65">
        <v>0</v>
      </c>
      <c r="F233" s="65">
        <v>9.41382</v>
      </c>
      <c r="G233" s="66">
        <v>-5.15309E-06</v>
      </c>
      <c r="H233" s="65">
        <v>8.20871</v>
      </c>
      <c r="I233" s="65">
        <v>0</v>
      </c>
    </row>
    <row r="234" spans="1:9" ht="15.75">
      <c r="A234" s="65" t="s">
        <v>134</v>
      </c>
      <c r="B234" s="65" t="s">
        <v>84</v>
      </c>
      <c r="C234" s="65">
        <v>152.041</v>
      </c>
      <c r="D234" s="65">
        <v>1.7125</v>
      </c>
      <c r="E234" s="65">
        <v>0</v>
      </c>
      <c r="F234" s="65">
        <v>4.6768</v>
      </c>
      <c r="G234" s="66">
        <v>-4.40125E-06</v>
      </c>
      <c r="H234" s="65">
        <v>9.84521</v>
      </c>
      <c r="I234" s="65">
        <v>0</v>
      </c>
    </row>
    <row r="235" spans="1:9" ht="15.75">
      <c r="A235" s="65" t="s">
        <v>134</v>
      </c>
      <c r="B235" s="65" t="s">
        <v>84</v>
      </c>
      <c r="C235" s="65">
        <v>153.754</v>
      </c>
      <c r="D235" s="65">
        <v>1.7125</v>
      </c>
      <c r="E235" s="65">
        <v>0</v>
      </c>
      <c r="F235" s="65">
        <v>2.47921</v>
      </c>
      <c r="G235" s="66">
        <v>-3.6494E-06</v>
      </c>
      <c r="H235" s="65">
        <v>12.2888</v>
      </c>
      <c r="I235" s="65">
        <v>0</v>
      </c>
    </row>
    <row r="236" spans="1:9" ht="15.75">
      <c r="A236" s="65" t="s">
        <v>81</v>
      </c>
      <c r="B236" s="65" t="s">
        <v>82</v>
      </c>
      <c r="C236" s="65">
        <v>154.004</v>
      </c>
      <c r="D236" s="65">
        <v>0.25</v>
      </c>
      <c r="E236" s="65">
        <v>-0.125784</v>
      </c>
      <c r="F236" s="65">
        <v>2.44703</v>
      </c>
      <c r="G236" s="66">
        <v>-3.5966E-06</v>
      </c>
      <c r="H236" s="65">
        <v>12.3219</v>
      </c>
      <c r="I236" s="65">
        <v>0</v>
      </c>
    </row>
    <row r="237" spans="1:9" ht="15.75">
      <c r="A237" s="65" t="s">
        <v>136</v>
      </c>
      <c r="B237" s="65" t="s">
        <v>77</v>
      </c>
      <c r="C237" s="65">
        <v>154.004</v>
      </c>
      <c r="D237" s="65">
        <v>0</v>
      </c>
      <c r="E237" s="65">
        <v>0</v>
      </c>
      <c r="F237" s="65">
        <v>2.44703</v>
      </c>
      <c r="G237" s="66">
        <v>-3.5966E-06</v>
      </c>
      <c r="H237" s="65">
        <v>12.3219</v>
      </c>
      <c r="I237" s="65">
        <v>0</v>
      </c>
    </row>
    <row r="238" spans="1:9" ht="15.75">
      <c r="A238" s="65" t="s">
        <v>132</v>
      </c>
      <c r="B238" s="65" t="s">
        <v>77</v>
      </c>
      <c r="C238" s="65">
        <v>154.004</v>
      </c>
      <c r="D238" s="65">
        <v>0</v>
      </c>
      <c r="E238" s="65">
        <v>0</v>
      </c>
      <c r="F238" s="65">
        <v>2.44703</v>
      </c>
      <c r="G238" s="66">
        <v>-3.5966E-06</v>
      </c>
      <c r="H238" s="65">
        <v>12.3219</v>
      </c>
      <c r="I238" s="65">
        <v>0</v>
      </c>
    </row>
    <row r="239" spans="1:9" ht="15.75">
      <c r="A239" s="65" t="s">
        <v>122</v>
      </c>
      <c r="B239" s="65" t="s">
        <v>77</v>
      </c>
      <c r="C239" s="65">
        <v>154.004</v>
      </c>
      <c r="D239" s="65">
        <v>0</v>
      </c>
      <c r="E239" s="65">
        <v>0</v>
      </c>
      <c r="F239" s="65">
        <v>2.44703</v>
      </c>
      <c r="G239" s="66">
        <v>-3.5966E-06</v>
      </c>
      <c r="H239" s="65">
        <v>12.3219</v>
      </c>
      <c r="I239" s="65">
        <v>0</v>
      </c>
    </row>
    <row r="240" spans="1:9" ht="15.75">
      <c r="A240" s="65" t="s">
        <v>123</v>
      </c>
      <c r="B240" s="65" t="s">
        <v>77</v>
      </c>
      <c r="C240" s="65">
        <v>154.004</v>
      </c>
      <c r="D240" s="65">
        <v>0</v>
      </c>
      <c r="E240" s="65">
        <v>0</v>
      </c>
      <c r="F240" s="65">
        <v>2.44703</v>
      </c>
      <c r="G240" s="66">
        <v>-3.5966E-06</v>
      </c>
      <c r="H240" s="65">
        <v>12.3219</v>
      </c>
      <c r="I240" s="65">
        <v>0</v>
      </c>
    </row>
    <row r="241" spans="1:9" ht="15.75">
      <c r="A241" s="65" t="s">
        <v>81</v>
      </c>
      <c r="B241" s="65" t="s">
        <v>82</v>
      </c>
      <c r="C241" s="65">
        <v>154.254</v>
      </c>
      <c r="D241" s="65">
        <v>0.25</v>
      </c>
      <c r="E241" s="65">
        <v>-0.125784</v>
      </c>
      <c r="F241" s="65">
        <v>2.623</v>
      </c>
      <c r="G241" s="66">
        <v>-3.65719E-06</v>
      </c>
      <c r="H241" s="65">
        <v>11.6031</v>
      </c>
      <c r="I241" s="65">
        <v>0</v>
      </c>
    </row>
    <row r="242" spans="1:9" ht="15.75">
      <c r="A242" s="65" t="s">
        <v>124</v>
      </c>
      <c r="B242" s="65" t="s">
        <v>84</v>
      </c>
      <c r="C242" s="65">
        <v>155.254</v>
      </c>
      <c r="D242" s="65">
        <v>1</v>
      </c>
      <c r="E242" s="65">
        <v>0</v>
      </c>
      <c r="F242" s="65">
        <v>4.26919</v>
      </c>
      <c r="G242" s="66">
        <v>-4.12769E-06</v>
      </c>
      <c r="H242" s="65">
        <v>7.79631</v>
      </c>
      <c r="I242" s="65">
        <v>0</v>
      </c>
    </row>
    <row r="243" spans="1:9" ht="15.75">
      <c r="A243" s="65" t="s">
        <v>125</v>
      </c>
      <c r="B243" s="65" t="s">
        <v>100</v>
      </c>
      <c r="C243" s="65">
        <v>156.004</v>
      </c>
      <c r="D243" s="65">
        <v>0.75</v>
      </c>
      <c r="E243" s="65">
        <v>0</v>
      </c>
      <c r="F243" s="65">
        <v>6.11477</v>
      </c>
      <c r="G243" s="66">
        <v>0.0367815</v>
      </c>
      <c r="H243" s="65">
        <v>5.57463</v>
      </c>
      <c r="I243" s="65">
        <v>0</v>
      </c>
    </row>
    <row r="244" spans="1:9" ht="15.75">
      <c r="A244" s="65" t="s">
        <v>126</v>
      </c>
      <c r="B244" s="65" t="s">
        <v>100</v>
      </c>
      <c r="C244" s="65">
        <v>156.754</v>
      </c>
      <c r="D244" s="65">
        <v>0.75</v>
      </c>
      <c r="E244" s="65">
        <v>0</v>
      </c>
      <c r="F244" s="65">
        <v>8.37403</v>
      </c>
      <c r="G244" s="65">
        <v>0.146785</v>
      </c>
      <c r="H244" s="65">
        <v>3.89588</v>
      </c>
      <c r="I244" s="65">
        <v>0</v>
      </c>
    </row>
    <row r="245" spans="1:9" ht="15.75">
      <c r="A245" s="65" t="s">
        <v>127</v>
      </c>
      <c r="B245" s="65" t="s">
        <v>84</v>
      </c>
      <c r="C245" s="65">
        <v>157.754</v>
      </c>
      <c r="D245" s="65">
        <v>1</v>
      </c>
      <c r="E245" s="65">
        <v>0</v>
      </c>
      <c r="F245" s="65">
        <v>12.0601</v>
      </c>
      <c r="G245" s="65">
        <v>0.341875</v>
      </c>
      <c r="H245" s="65">
        <v>2.50212</v>
      </c>
      <c r="I245" s="65">
        <v>0</v>
      </c>
    </row>
    <row r="246" spans="1:9" ht="15.75">
      <c r="A246" s="65" t="s">
        <v>128</v>
      </c>
      <c r="B246" s="65" t="s">
        <v>82</v>
      </c>
      <c r="C246" s="65">
        <v>158.004</v>
      </c>
      <c r="D246" s="65">
        <v>0.25</v>
      </c>
      <c r="E246" s="65">
        <v>0.171873</v>
      </c>
      <c r="F246" s="65">
        <v>12.5771</v>
      </c>
      <c r="G246" s="65">
        <v>0.38298</v>
      </c>
      <c r="H246" s="65">
        <v>2.40741</v>
      </c>
      <c r="I246" s="65">
        <v>0</v>
      </c>
    </row>
    <row r="247" spans="1:9" ht="15.75">
      <c r="A247" s="65" t="s">
        <v>128</v>
      </c>
      <c r="B247" s="65" t="s">
        <v>82</v>
      </c>
      <c r="C247" s="65">
        <v>158.254</v>
      </c>
      <c r="D247" s="65">
        <v>0.25</v>
      </c>
      <c r="E247" s="65">
        <v>0.171873</v>
      </c>
      <c r="F247" s="65">
        <v>12.0384</v>
      </c>
      <c r="G247" s="65">
        <v>0.407688</v>
      </c>
      <c r="H247" s="65">
        <v>2.57551</v>
      </c>
      <c r="I247" s="65">
        <v>0</v>
      </c>
    </row>
    <row r="248" spans="1:9" ht="15.75">
      <c r="A248" s="65" t="s">
        <v>124</v>
      </c>
      <c r="B248" s="65" t="s">
        <v>84</v>
      </c>
      <c r="C248" s="65">
        <v>159.254</v>
      </c>
      <c r="D248" s="65">
        <v>1</v>
      </c>
      <c r="E248" s="65">
        <v>0</v>
      </c>
      <c r="F248" s="65">
        <v>8.28554</v>
      </c>
      <c r="G248" s="65">
        <v>0.472071</v>
      </c>
      <c r="H248" s="65">
        <v>4.32987</v>
      </c>
      <c r="I248" s="65">
        <v>0</v>
      </c>
    </row>
    <row r="249" spans="1:9" ht="15.75">
      <c r="A249" s="65" t="s">
        <v>125</v>
      </c>
      <c r="B249" s="65" t="s">
        <v>100</v>
      </c>
      <c r="C249" s="65">
        <v>160.004</v>
      </c>
      <c r="D249" s="65">
        <v>0.75</v>
      </c>
      <c r="E249" s="65">
        <v>0</v>
      </c>
      <c r="F249" s="65">
        <v>5.99682</v>
      </c>
      <c r="G249" s="65">
        <v>0.554794</v>
      </c>
      <c r="H249" s="65">
        <v>6.34528</v>
      </c>
      <c r="I249" s="65">
        <v>0</v>
      </c>
    </row>
    <row r="250" spans="1:9" ht="15.75">
      <c r="A250" s="65" t="s">
        <v>126</v>
      </c>
      <c r="B250" s="65" t="s">
        <v>100</v>
      </c>
      <c r="C250" s="65">
        <v>160.754</v>
      </c>
      <c r="D250" s="65">
        <v>0.75</v>
      </c>
      <c r="E250" s="65">
        <v>0</v>
      </c>
      <c r="F250" s="65">
        <v>4.14133</v>
      </c>
      <c r="G250" s="65">
        <v>0.705745</v>
      </c>
      <c r="H250" s="65">
        <v>8.96039</v>
      </c>
      <c r="I250" s="65">
        <v>0</v>
      </c>
    </row>
    <row r="251" spans="1:9" ht="15.75">
      <c r="A251" s="65" t="s">
        <v>127</v>
      </c>
      <c r="B251" s="65" t="s">
        <v>84</v>
      </c>
      <c r="C251" s="65">
        <v>161.754</v>
      </c>
      <c r="D251" s="65">
        <v>1</v>
      </c>
      <c r="E251" s="65">
        <v>0</v>
      </c>
      <c r="F251" s="65">
        <v>2.51079</v>
      </c>
      <c r="G251" s="65">
        <v>0.951926</v>
      </c>
      <c r="H251" s="65">
        <v>13.38</v>
      </c>
      <c r="I251" s="65">
        <v>0</v>
      </c>
    </row>
    <row r="252" spans="1:9" ht="15.75">
      <c r="A252" s="65" t="s">
        <v>129</v>
      </c>
      <c r="B252" s="65" t="s">
        <v>82</v>
      </c>
      <c r="C252" s="65">
        <v>162.004</v>
      </c>
      <c r="D252" s="65">
        <v>0.25</v>
      </c>
      <c r="E252" s="65">
        <v>-0.182261</v>
      </c>
      <c r="F252" s="65">
        <v>2.37408</v>
      </c>
      <c r="G252" s="65">
        <v>1.03571</v>
      </c>
      <c r="H252" s="65">
        <v>14.0133</v>
      </c>
      <c r="I252" s="65">
        <v>0</v>
      </c>
    </row>
    <row r="253" spans="1:9" ht="15.75">
      <c r="A253" s="65" t="s">
        <v>123</v>
      </c>
      <c r="B253" s="65" t="s">
        <v>77</v>
      </c>
      <c r="C253" s="65">
        <v>162.004</v>
      </c>
      <c r="D253" s="65">
        <v>0</v>
      </c>
      <c r="E253" s="65">
        <v>0</v>
      </c>
      <c r="F253" s="65">
        <v>2.37408</v>
      </c>
      <c r="G253" s="65">
        <v>1.03571</v>
      </c>
      <c r="H253" s="65">
        <v>14.0133</v>
      </c>
      <c r="I253" s="65">
        <v>0</v>
      </c>
    </row>
    <row r="254" spans="1:9" ht="15.75">
      <c r="A254" s="65" t="s">
        <v>65</v>
      </c>
      <c r="B254" s="65" t="s">
        <v>77</v>
      </c>
      <c r="C254" s="65">
        <v>162.004</v>
      </c>
      <c r="D254" s="65">
        <v>0</v>
      </c>
      <c r="E254" s="65">
        <v>0</v>
      </c>
      <c r="F254" s="65">
        <v>2.37408</v>
      </c>
      <c r="G254" s="65">
        <v>1.03571</v>
      </c>
      <c r="H254" s="65">
        <v>14.0133</v>
      </c>
      <c r="I254" s="65">
        <v>0</v>
      </c>
    </row>
    <row r="255" spans="1:9" ht="15.75">
      <c r="A255" s="65" t="s">
        <v>129</v>
      </c>
      <c r="B255" s="65" t="s">
        <v>82</v>
      </c>
      <c r="C255" s="65">
        <v>162.254</v>
      </c>
      <c r="D255" s="65">
        <v>0.25</v>
      </c>
      <c r="E255" s="65">
        <v>-0.182261</v>
      </c>
      <c r="F255" s="65">
        <v>2.51049</v>
      </c>
      <c r="G255" s="65">
        <v>1.16686</v>
      </c>
      <c r="H255" s="65">
        <v>13.3976</v>
      </c>
      <c r="I255" s="65">
        <v>0</v>
      </c>
    </row>
    <row r="256" spans="1:9" ht="15.75">
      <c r="A256" s="65" t="s">
        <v>124</v>
      </c>
      <c r="B256" s="65" t="s">
        <v>84</v>
      </c>
      <c r="C256" s="65">
        <v>163.254</v>
      </c>
      <c r="D256" s="65">
        <v>1</v>
      </c>
      <c r="E256" s="65">
        <v>0</v>
      </c>
      <c r="F256" s="65">
        <v>4.13949</v>
      </c>
      <c r="G256" s="65">
        <v>1.79346</v>
      </c>
      <c r="H256" s="65">
        <v>9.03103</v>
      </c>
      <c r="I256" s="65">
        <v>0</v>
      </c>
    </row>
    <row r="257" spans="1:9" ht="15.75">
      <c r="A257" s="65" t="s">
        <v>125</v>
      </c>
      <c r="B257" s="65" t="s">
        <v>100</v>
      </c>
      <c r="C257" s="65">
        <v>164.004</v>
      </c>
      <c r="D257" s="65">
        <v>0.75</v>
      </c>
      <c r="E257" s="65">
        <v>0</v>
      </c>
      <c r="F257" s="65">
        <v>5.99355</v>
      </c>
      <c r="G257" s="65">
        <v>2.2908</v>
      </c>
      <c r="H257" s="65">
        <v>6.43894</v>
      </c>
      <c r="I257" s="65">
        <v>0</v>
      </c>
    </row>
    <row r="258" spans="1:9" ht="15.75">
      <c r="A258" s="65" t="s">
        <v>126</v>
      </c>
      <c r="B258" s="65" t="s">
        <v>100</v>
      </c>
      <c r="C258" s="65">
        <v>164.754</v>
      </c>
      <c r="D258" s="65">
        <v>0.75</v>
      </c>
      <c r="E258" s="65">
        <v>0</v>
      </c>
      <c r="F258" s="65">
        <v>8.28069</v>
      </c>
      <c r="G258" s="65">
        <v>2.83965</v>
      </c>
      <c r="H258" s="65">
        <v>4.43216</v>
      </c>
      <c r="I258" s="65">
        <v>0</v>
      </c>
    </row>
    <row r="259" spans="1:9" ht="15.75">
      <c r="A259" s="65" t="s">
        <v>127</v>
      </c>
      <c r="B259" s="65" t="s">
        <v>84</v>
      </c>
      <c r="C259" s="65">
        <v>165.754</v>
      </c>
      <c r="D259" s="65">
        <v>1</v>
      </c>
      <c r="E259" s="65">
        <v>0</v>
      </c>
      <c r="F259" s="65">
        <v>12.0312</v>
      </c>
      <c r="G259" s="65">
        <v>3.60349</v>
      </c>
      <c r="H259" s="65">
        <v>2.66691</v>
      </c>
      <c r="I259" s="65">
        <v>0</v>
      </c>
    </row>
    <row r="260" spans="1:9" ht="15.75">
      <c r="A260" s="65" t="s">
        <v>128</v>
      </c>
      <c r="B260" s="65" t="s">
        <v>82</v>
      </c>
      <c r="C260" s="65">
        <v>166.004</v>
      </c>
      <c r="D260" s="65">
        <v>0.25</v>
      </c>
      <c r="E260" s="65">
        <v>0.171873</v>
      </c>
      <c r="F260" s="65">
        <v>12.5695</v>
      </c>
      <c r="G260" s="65">
        <v>3.71595</v>
      </c>
      <c r="H260" s="65">
        <v>2.4959</v>
      </c>
      <c r="I260" s="65">
        <v>0</v>
      </c>
    </row>
    <row r="261" spans="1:9" ht="15.75">
      <c r="A261" s="65" t="s">
        <v>128</v>
      </c>
      <c r="B261" s="65" t="s">
        <v>82</v>
      </c>
      <c r="C261" s="65">
        <v>166.254</v>
      </c>
      <c r="D261" s="65">
        <v>0.25</v>
      </c>
      <c r="E261" s="65">
        <v>0.171873</v>
      </c>
      <c r="F261" s="65">
        <v>12.0529</v>
      </c>
      <c r="G261" s="65">
        <v>3.6693</v>
      </c>
      <c r="H261" s="65">
        <v>2.59353</v>
      </c>
      <c r="I261" s="65">
        <v>0</v>
      </c>
    </row>
    <row r="262" spans="1:9" ht="15.75">
      <c r="A262" s="65" t="s">
        <v>124</v>
      </c>
      <c r="B262" s="65" t="s">
        <v>84</v>
      </c>
      <c r="C262" s="65">
        <v>167.254</v>
      </c>
      <c r="D262" s="65">
        <v>1</v>
      </c>
      <c r="E262" s="65">
        <v>0</v>
      </c>
      <c r="F262" s="65">
        <v>8.36917</v>
      </c>
      <c r="G262" s="65">
        <v>3.16493</v>
      </c>
      <c r="H262" s="65">
        <v>3.99817</v>
      </c>
      <c r="I262" s="65">
        <v>0</v>
      </c>
    </row>
    <row r="263" spans="1:9" ht="15.75">
      <c r="A263" s="65" t="s">
        <v>125</v>
      </c>
      <c r="B263" s="65" t="s">
        <v>100</v>
      </c>
      <c r="C263" s="65">
        <v>168.004</v>
      </c>
      <c r="D263" s="65">
        <v>0.75</v>
      </c>
      <c r="E263" s="65">
        <v>0</v>
      </c>
      <c r="F263" s="65">
        <v>6.1115</v>
      </c>
      <c r="G263" s="65">
        <v>2.80881</v>
      </c>
      <c r="H263" s="65">
        <v>5.66829</v>
      </c>
      <c r="I263" s="65">
        <v>0</v>
      </c>
    </row>
    <row r="264" spans="1:9" ht="15.75">
      <c r="A264" s="65" t="s">
        <v>126</v>
      </c>
      <c r="B264" s="65" t="s">
        <v>100</v>
      </c>
      <c r="C264" s="65">
        <v>168.754</v>
      </c>
      <c r="D264" s="65">
        <v>0.75</v>
      </c>
      <c r="E264" s="65">
        <v>0</v>
      </c>
      <c r="F264" s="65">
        <v>4.26735</v>
      </c>
      <c r="G264" s="65">
        <v>2.49921</v>
      </c>
      <c r="H264" s="65">
        <v>7.86695</v>
      </c>
      <c r="I264" s="65">
        <v>0</v>
      </c>
    </row>
    <row r="265" spans="1:9" ht="15.75">
      <c r="A265" s="65" t="s">
        <v>127</v>
      </c>
      <c r="B265" s="65" t="s">
        <v>84</v>
      </c>
      <c r="C265" s="65">
        <v>169.754</v>
      </c>
      <c r="D265" s="65">
        <v>1</v>
      </c>
      <c r="E265" s="65">
        <v>0</v>
      </c>
      <c r="F265" s="65">
        <v>2.62269</v>
      </c>
      <c r="G265" s="65">
        <v>2.11879</v>
      </c>
      <c r="H265" s="65">
        <v>11.6207</v>
      </c>
      <c r="I265" s="65">
        <v>0</v>
      </c>
    </row>
    <row r="266" spans="1:9" ht="15.75">
      <c r="A266" s="65" t="s">
        <v>129</v>
      </c>
      <c r="B266" s="65" t="s">
        <v>82</v>
      </c>
      <c r="C266" s="65">
        <v>170.004</v>
      </c>
      <c r="D266" s="65">
        <v>0.25</v>
      </c>
      <c r="E266" s="65">
        <v>-0.182261</v>
      </c>
      <c r="F266" s="65">
        <v>2.48244</v>
      </c>
      <c r="G266" s="65">
        <v>2.07142</v>
      </c>
      <c r="H266" s="65">
        <v>12.1522</v>
      </c>
      <c r="I266" s="65">
        <v>0</v>
      </c>
    </row>
    <row r="267" spans="1:9" ht="15.75">
      <c r="A267" s="65" t="s">
        <v>65</v>
      </c>
      <c r="B267" s="65" t="s">
        <v>77</v>
      </c>
      <c r="C267" s="65">
        <v>170.004</v>
      </c>
      <c r="D267" s="65">
        <v>0</v>
      </c>
      <c r="E267" s="65">
        <v>0</v>
      </c>
      <c r="F267" s="65">
        <v>2.48244</v>
      </c>
      <c r="G267" s="65">
        <v>2.07142</v>
      </c>
      <c r="H267" s="65">
        <v>12.1522</v>
      </c>
      <c r="I267" s="65">
        <v>0</v>
      </c>
    </row>
    <row r="268" spans="1:9" ht="15.75">
      <c r="A268" s="65" t="s">
        <v>65</v>
      </c>
      <c r="B268" s="65" t="s">
        <v>77</v>
      </c>
      <c r="C268" s="65">
        <v>170.004</v>
      </c>
      <c r="D268" s="65">
        <v>0</v>
      </c>
      <c r="E268" s="65">
        <v>0</v>
      </c>
      <c r="F268" s="65">
        <v>2.48244</v>
      </c>
      <c r="G268" s="65">
        <v>2.07142</v>
      </c>
      <c r="H268" s="65">
        <v>12.1522</v>
      </c>
      <c r="I268" s="65">
        <v>0</v>
      </c>
    </row>
    <row r="269" spans="1:9" ht="15.75">
      <c r="A269" s="65" t="s">
        <v>129</v>
      </c>
      <c r="B269" s="65" t="s">
        <v>82</v>
      </c>
      <c r="C269" s="65">
        <v>170.254</v>
      </c>
      <c r="D269" s="65">
        <v>0.25</v>
      </c>
      <c r="E269" s="65">
        <v>-0.182261</v>
      </c>
      <c r="F269" s="65">
        <v>2.623</v>
      </c>
      <c r="G269" s="65">
        <v>2.11879</v>
      </c>
      <c r="H269" s="65">
        <v>11.6031</v>
      </c>
      <c r="I269" s="65">
        <v>0</v>
      </c>
    </row>
    <row r="270" spans="1:9" ht="15.75">
      <c r="A270" s="65" t="s">
        <v>124</v>
      </c>
      <c r="B270" s="65" t="s">
        <v>84</v>
      </c>
      <c r="C270" s="65">
        <v>171.254</v>
      </c>
      <c r="D270" s="65">
        <v>1</v>
      </c>
      <c r="E270" s="65">
        <v>0</v>
      </c>
      <c r="F270" s="65">
        <v>4.26919</v>
      </c>
      <c r="G270" s="65">
        <v>2.4992</v>
      </c>
      <c r="H270" s="65">
        <v>7.79631</v>
      </c>
      <c r="I270" s="65">
        <v>0</v>
      </c>
    </row>
    <row r="271" spans="1:9" ht="15.75">
      <c r="A271" s="65" t="s">
        <v>125</v>
      </c>
      <c r="B271" s="65" t="s">
        <v>100</v>
      </c>
      <c r="C271" s="65">
        <v>172.004</v>
      </c>
      <c r="D271" s="65">
        <v>0.75</v>
      </c>
      <c r="E271" s="65">
        <v>0</v>
      </c>
      <c r="F271" s="65">
        <v>6.11477</v>
      </c>
      <c r="G271" s="65">
        <v>2.80881</v>
      </c>
      <c r="H271" s="65">
        <v>5.57463</v>
      </c>
      <c r="I271" s="65">
        <v>0</v>
      </c>
    </row>
    <row r="272" spans="1:9" ht="15.75">
      <c r="A272" s="65" t="s">
        <v>126</v>
      </c>
      <c r="B272" s="65" t="s">
        <v>100</v>
      </c>
      <c r="C272" s="65">
        <v>172.754</v>
      </c>
      <c r="D272" s="65">
        <v>0.75</v>
      </c>
      <c r="E272" s="65">
        <v>0</v>
      </c>
      <c r="F272" s="65">
        <v>8.37403</v>
      </c>
      <c r="G272" s="65">
        <v>3.16493</v>
      </c>
      <c r="H272" s="65">
        <v>3.89588</v>
      </c>
      <c r="I272" s="65">
        <v>0</v>
      </c>
    </row>
    <row r="273" spans="1:9" ht="15.75">
      <c r="A273" s="65" t="s">
        <v>127</v>
      </c>
      <c r="B273" s="65" t="s">
        <v>84</v>
      </c>
      <c r="C273" s="65">
        <v>173.754</v>
      </c>
      <c r="D273" s="65">
        <v>1</v>
      </c>
      <c r="E273" s="65">
        <v>0</v>
      </c>
      <c r="F273" s="65">
        <v>12.0601</v>
      </c>
      <c r="G273" s="65">
        <v>3.6693</v>
      </c>
      <c r="H273" s="65">
        <v>2.50212</v>
      </c>
      <c r="I273" s="65">
        <v>0</v>
      </c>
    </row>
    <row r="274" spans="1:9" ht="15.75">
      <c r="A274" s="65" t="s">
        <v>128</v>
      </c>
      <c r="B274" s="65" t="s">
        <v>82</v>
      </c>
      <c r="C274" s="65">
        <v>174.004</v>
      </c>
      <c r="D274" s="65">
        <v>0.25</v>
      </c>
      <c r="E274" s="65">
        <v>0.171873</v>
      </c>
      <c r="F274" s="65">
        <v>12.5771</v>
      </c>
      <c r="G274" s="65">
        <v>3.71594</v>
      </c>
      <c r="H274" s="65">
        <v>2.40741</v>
      </c>
      <c r="I274" s="65">
        <v>0</v>
      </c>
    </row>
    <row r="275" spans="1:9" ht="15.75">
      <c r="A275" s="65" t="s">
        <v>128</v>
      </c>
      <c r="B275" s="65" t="s">
        <v>82</v>
      </c>
      <c r="C275" s="65">
        <v>174.254</v>
      </c>
      <c r="D275" s="65">
        <v>0.25</v>
      </c>
      <c r="E275" s="65">
        <v>0.171873</v>
      </c>
      <c r="F275" s="65">
        <v>12.0384</v>
      </c>
      <c r="G275" s="65">
        <v>3.60349</v>
      </c>
      <c r="H275" s="65">
        <v>2.57551</v>
      </c>
      <c r="I275" s="65">
        <v>0</v>
      </c>
    </row>
    <row r="276" spans="1:9" ht="15.75">
      <c r="A276" s="65" t="s">
        <v>124</v>
      </c>
      <c r="B276" s="65" t="s">
        <v>84</v>
      </c>
      <c r="C276" s="65">
        <v>175.254</v>
      </c>
      <c r="D276" s="65">
        <v>1</v>
      </c>
      <c r="E276" s="65">
        <v>0</v>
      </c>
      <c r="F276" s="65">
        <v>8.28554</v>
      </c>
      <c r="G276" s="65">
        <v>2.83964</v>
      </c>
      <c r="H276" s="65">
        <v>4.32987</v>
      </c>
      <c r="I276" s="65">
        <v>0</v>
      </c>
    </row>
    <row r="277" spans="1:9" ht="15.75">
      <c r="A277" s="65" t="s">
        <v>125</v>
      </c>
      <c r="B277" s="65" t="s">
        <v>100</v>
      </c>
      <c r="C277" s="65">
        <v>176.004</v>
      </c>
      <c r="D277" s="65">
        <v>0.75</v>
      </c>
      <c r="E277" s="65">
        <v>0</v>
      </c>
      <c r="F277" s="65">
        <v>5.99682</v>
      </c>
      <c r="G277" s="65">
        <v>2.29079</v>
      </c>
      <c r="H277" s="65">
        <v>6.34528</v>
      </c>
      <c r="I277" s="65">
        <v>0</v>
      </c>
    </row>
    <row r="278" spans="1:9" ht="15.75">
      <c r="A278" s="65" t="s">
        <v>126</v>
      </c>
      <c r="B278" s="65" t="s">
        <v>100</v>
      </c>
      <c r="C278" s="65">
        <v>176.754</v>
      </c>
      <c r="D278" s="65">
        <v>0.75</v>
      </c>
      <c r="E278" s="65">
        <v>0</v>
      </c>
      <c r="F278" s="65">
        <v>4.14133</v>
      </c>
      <c r="G278" s="65">
        <v>1.79346</v>
      </c>
      <c r="H278" s="65">
        <v>8.96039</v>
      </c>
      <c r="I278" s="65">
        <v>0</v>
      </c>
    </row>
    <row r="279" spans="1:9" ht="15.75">
      <c r="A279" s="65" t="s">
        <v>127</v>
      </c>
      <c r="B279" s="65" t="s">
        <v>84</v>
      </c>
      <c r="C279" s="65">
        <v>177.754</v>
      </c>
      <c r="D279" s="65">
        <v>1</v>
      </c>
      <c r="E279" s="65">
        <v>0</v>
      </c>
      <c r="F279" s="65">
        <v>2.51079</v>
      </c>
      <c r="G279" s="65">
        <v>1.16686</v>
      </c>
      <c r="H279" s="65">
        <v>13.38</v>
      </c>
      <c r="I279" s="65">
        <v>0</v>
      </c>
    </row>
    <row r="280" spans="1:9" ht="15.75">
      <c r="A280" s="65" t="s">
        <v>129</v>
      </c>
      <c r="B280" s="65" t="s">
        <v>82</v>
      </c>
      <c r="C280" s="65">
        <v>178.004</v>
      </c>
      <c r="D280" s="65">
        <v>0.25</v>
      </c>
      <c r="E280" s="65">
        <v>-0.182261</v>
      </c>
      <c r="F280" s="65">
        <v>2.37408</v>
      </c>
      <c r="G280" s="65">
        <v>1.03571</v>
      </c>
      <c r="H280" s="65">
        <v>14.0133</v>
      </c>
      <c r="I280" s="65">
        <v>0</v>
      </c>
    </row>
    <row r="281" spans="1:9" ht="15.75">
      <c r="A281" s="65" t="s">
        <v>65</v>
      </c>
      <c r="B281" s="65" t="s">
        <v>77</v>
      </c>
      <c r="C281" s="65">
        <v>178.004</v>
      </c>
      <c r="D281" s="65">
        <v>0</v>
      </c>
      <c r="E281" s="65">
        <v>0</v>
      </c>
      <c r="F281" s="65">
        <v>2.37408</v>
      </c>
      <c r="G281" s="65">
        <v>1.03571</v>
      </c>
      <c r="H281" s="65">
        <v>14.0133</v>
      </c>
      <c r="I281" s="65">
        <v>0</v>
      </c>
    </row>
    <row r="282" spans="1:9" ht="15.75">
      <c r="A282" s="65" t="s">
        <v>130</v>
      </c>
      <c r="B282" s="65" t="s">
        <v>77</v>
      </c>
      <c r="C282" s="65">
        <v>178.004</v>
      </c>
      <c r="D282" s="65">
        <v>0</v>
      </c>
      <c r="E282" s="65">
        <v>0</v>
      </c>
      <c r="F282" s="65">
        <v>2.37408</v>
      </c>
      <c r="G282" s="65">
        <v>1.03571</v>
      </c>
      <c r="H282" s="65">
        <v>14.0133</v>
      </c>
      <c r="I282" s="65">
        <v>0</v>
      </c>
    </row>
    <row r="283" spans="1:9" ht="15.75">
      <c r="A283" s="65" t="s">
        <v>129</v>
      </c>
      <c r="B283" s="65" t="s">
        <v>82</v>
      </c>
      <c r="C283" s="65">
        <v>178.254</v>
      </c>
      <c r="D283" s="65">
        <v>0.25</v>
      </c>
      <c r="E283" s="65">
        <v>-0.182261</v>
      </c>
      <c r="F283" s="65">
        <v>2.51049</v>
      </c>
      <c r="G283" s="65">
        <v>0.951924</v>
      </c>
      <c r="H283" s="65">
        <v>13.3976</v>
      </c>
      <c r="I283" s="65">
        <v>0</v>
      </c>
    </row>
    <row r="284" spans="1:9" ht="15.75">
      <c r="A284" s="65" t="s">
        <v>124</v>
      </c>
      <c r="B284" s="65" t="s">
        <v>84</v>
      </c>
      <c r="C284" s="65">
        <v>179.254</v>
      </c>
      <c r="D284" s="65">
        <v>1</v>
      </c>
      <c r="E284" s="65">
        <v>0</v>
      </c>
      <c r="F284" s="65">
        <v>4.13949</v>
      </c>
      <c r="G284" s="65">
        <v>0.705743</v>
      </c>
      <c r="H284" s="65">
        <v>9.03103</v>
      </c>
      <c r="I284" s="65">
        <v>0</v>
      </c>
    </row>
    <row r="285" spans="1:9" ht="15.75">
      <c r="A285" s="65" t="s">
        <v>125</v>
      </c>
      <c r="B285" s="65" t="s">
        <v>100</v>
      </c>
      <c r="C285" s="65">
        <v>180.004</v>
      </c>
      <c r="D285" s="65">
        <v>0.75</v>
      </c>
      <c r="E285" s="65">
        <v>0</v>
      </c>
      <c r="F285" s="65">
        <v>5.99355</v>
      </c>
      <c r="G285" s="65">
        <v>0.554791</v>
      </c>
      <c r="H285" s="65">
        <v>6.43894</v>
      </c>
      <c r="I285" s="65">
        <v>0</v>
      </c>
    </row>
    <row r="286" spans="1:9" ht="15.75">
      <c r="A286" s="65" t="s">
        <v>126</v>
      </c>
      <c r="B286" s="65" t="s">
        <v>100</v>
      </c>
      <c r="C286" s="65">
        <v>180.754</v>
      </c>
      <c r="D286" s="65">
        <v>0.75</v>
      </c>
      <c r="E286" s="65">
        <v>0</v>
      </c>
      <c r="F286" s="65">
        <v>8.28069</v>
      </c>
      <c r="G286" s="65">
        <v>0.472069</v>
      </c>
      <c r="H286" s="65">
        <v>4.43216</v>
      </c>
      <c r="I286" s="65">
        <v>0</v>
      </c>
    </row>
    <row r="287" spans="1:9" ht="15.75">
      <c r="A287" s="65" t="s">
        <v>127</v>
      </c>
      <c r="B287" s="65" t="s">
        <v>84</v>
      </c>
      <c r="C287" s="65">
        <v>181.754</v>
      </c>
      <c r="D287" s="65">
        <v>1</v>
      </c>
      <c r="E287" s="65">
        <v>0</v>
      </c>
      <c r="F287" s="65">
        <v>12.0312</v>
      </c>
      <c r="G287" s="65">
        <v>0.407686</v>
      </c>
      <c r="H287" s="65">
        <v>2.66691</v>
      </c>
      <c r="I287" s="65">
        <v>0</v>
      </c>
    </row>
    <row r="288" spans="1:9" ht="15.75">
      <c r="A288" s="65" t="s">
        <v>128</v>
      </c>
      <c r="B288" s="65" t="s">
        <v>82</v>
      </c>
      <c r="C288" s="65">
        <v>182.004</v>
      </c>
      <c r="D288" s="65">
        <v>0.25</v>
      </c>
      <c r="E288" s="65">
        <v>0.171873</v>
      </c>
      <c r="F288" s="65">
        <v>12.5695</v>
      </c>
      <c r="G288" s="65">
        <v>0.382978</v>
      </c>
      <c r="H288" s="65">
        <v>2.4959</v>
      </c>
      <c r="I288" s="65">
        <v>0</v>
      </c>
    </row>
    <row r="289" spans="1:9" ht="15.75">
      <c r="A289" s="65" t="s">
        <v>128</v>
      </c>
      <c r="B289" s="65" t="s">
        <v>82</v>
      </c>
      <c r="C289" s="65">
        <v>182.254</v>
      </c>
      <c r="D289" s="65">
        <v>0.25</v>
      </c>
      <c r="E289" s="65">
        <v>0.171873</v>
      </c>
      <c r="F289" s="65">
        <v>12.0529</v>
      </c>
      <c r="G289" s="65">
        <v>0.341872</v>
      </c>
      <c r="H289" s="65">
        <v>2.59353</v>
      </c>
      <c r="I289" s="65">
        <v>0</v>
      </c>
    </row>
    <row r="290" spans="1:9" ht="15.75">
      <c r="A290" s="65" t="s">
        <v>124</v>
      </c>
      <c r="B290" s="65" t="s">
        <v>84</v>
      </c>
      <c r="C290" s="65">
        <v>183.254</v>
      </c>
      <c r="D290" s="65">
        <v>1</v>
      </c>
      <c r="E290" s="65">
        <v>0</v>
      </c>
      <c r="F290" s="65">
        <v>8.36917</v>
      </c>
      <c r="G290" s="65">
        <v>0.146783</v>
      </c>
      <c r="H290" s="65">
        <v>3.99817</v>
      </c>
      <c r="I290" s="65">
        <v>0</v>
      </c>
    </row>
    <row r="291" spans="1:9" ht="15.75">
      <c r="A291" s="65" t="s">
        <v>125</v>
      </c>
      <c r="B291" s="65" t="s">
        <v>100</v>
      </c>
      <c r="C291" s="65">
        <v>184.004</v>
      </c>
      <c r="D291" s="65">
        <v>0.75</v>
      </c>
      <c r="E291" s="65">
        <v>0</v>
      </c>
      <c r="F291" s="65">
        <v>6.1115</v>
      </c>
      <c r="G291" s="66">
        <v>0.0367801</v>
      </c>
      <c r="H291" s="65">
        <v>5.66829</v>
      </c>
      <c r="I291" s="65">
        <v>0</v>
      </c>
    </row>
    <row r="292" spans="1:9" ht="15.75">
      <c r="A292" s="65" t="s">
        <v>126</v>
      </c>
      <c r="B292" s="65" t="s">
        <v>100</v>
      </c>
      <c r="C292" s="65">
        <v>184.754</v>
      </c>
      <c r="D292" s="65">
        <v>0.75</v>
      </c>
      <c r="E292" s="65">
        <v>0</v>
      </c>
      <c r="F292" s="65">
        <v>4.26735</v>
      </c>
      <c r="G292" s="66">
        <v>-4.99811E-06</v>
      </c>
      <c r="H292" s="65">
        <v>7.86695</v>
      </c>
      <c r="I292" s="65">
        <v>0</v>
      </c>
    </row>
    <row r="293" spans="1:9" ht="15.75">
      <c r="A293" s="65" t="s">
        <v>127</v>
      </c>
      <c r="B293" s="65" t="s">
        <v>84</v>
      </c>
      <c r="C293" s="65">
        <v>185.754</v>
      </c>
      <c r="D293" s="65">
        <v>1</v>
      </c>
      <c r="E293" s="65">
        <v>0</v>
      </c>
      <c r="F293" s="65">
        <v>2.62269</v>
      </c>
      <c r="G293" s="66">
        <v>-3.82919E-06</v>
      </c>
      <c r="H293" s="65">
        <v>11.6207</v>
      </c>
      <c r="I293" s="65">
        <v>0</v>
      </c>
    </row>
    <row r="294" spans="1:9" ht="15.75">
      <c r="A294" s="65" t="s">
        <v>81</v>
      </c>
      <c r="B294" s="65" t="s">
        <v>82</v>
      </c>
      <c r="C294" s="65">
        <v>186.004</v>
      </c>
      <c r="D294" s="65">
        <v>0.25</v>
      </c>
      <c r="E294" s="65">
        <v>-0.125784</v>
      </c>
      <c r="F294" s="65">
        <v>2.44703</v>
      </c>
      <c r="G294" s="66">
        <v>-3.59579E-06</v>
      </c>
      <c r="H294" s="65">
        <v>12.322</v>
      </c>
      <c r="I294" s="65">
        <v>0</v>
      </c>
    </row>
    <row r="295" spans="1:9" ht="15.75">
      <c r="A295" s="65" t="s">
        <v>130</v>
      </c>
      <c r="B295" s="65" t="s">
        <v>77</v>
      </c>
      <c r="C295" s="65">
        <v>186.004</v>
      </c>
      <c r="D295" s="65">
        <v>0</v>
      </c>
      <c r="E295" s="65">
        <v>0</v>
      </c>
      <c r="F295" s="65">
        <v>2.44703</v>
      </c>
      <c r="G295" s="66">
        <v>-3.59579E-06</v>
      </c>
      <c r="H295" s="65">
        <v>12.322</v>
      </c>
      <c r="I295" s="65">
        <v>0</v>
      </c>
    </row>
    <row r="296" spans="1:9" ht="15.75">
      <c r="A296" s="65" t="s">
        <v>122</v>
      </c>
      <c r="B296" s="65" t="s">
        <v>77</v>
      </c>
      <c r="C296" s="65">
        <v>186.004</v>
      </c>
      <c r="D296" s="65">
        <v>0</v>
      </c>
      <c r="E296" s="65">
        <v>0</v>
      </c>
      <c r="F296" s="65">
        <v>2.44703</v>
      </c>
      <c r="G296" s="66">
        <v>-3.59579E-06</v>
      </c>
      <c r="H296" s="65">
        <v>12.322</v>
      </c>
      <c r="I296" s="65">
        <v>0</v>
      </c>
    </row>
    <row r="297" spans="1:9" ht="15.75">
      <c r="A297" s="65" t="s">
        <v>131</v>
      </c>
      <c r="B297" s="65" t="s">
        <v>77</v>
      </c>
      <c r="C297" s="65">
        <v>186.004</v>
      </c>
      <c r="D297" s="65">
        <v>0</v>
      </c>
      <c r="E297" s="65">
        <v>0</v>
      </c>
      <c r="F297" s="65">
        <v>2.44703</v>
      </c>
      <c r="G297" s="66">
        <v>-3.59579E-06</v>
      </c>
      <c r="H297" s="65">
        <v>12.322</v>
      </c>
      <c r="I297" s="65">
        <v>0</v>
      </c>
    </row>
    <row r="298" spans="1:9" ht="15.75">
      <c r="A298" s="65" t="s">
        <v>131</v>
      </c>
      <c r="B298" s="65" t="s">
        <v>77</v>
      </c>
      <c r="C298" s="65">
        <v>186.004</v>
      </c>
      <c r="D298" s="65">
        <v>0</v>
      </c>
      <c r="E298" s="65">
        <v>0</v>
      </c>
      <c r="F298" s="65">
        <v>2.44703</v>
      </c>
      <c r="G298" s="66">
        <v>-3.59579E-06</v>
      </c>
      <c r="H298" s="65">
        <v>12.322</v>
      </c>
      <c r="I298" s="65">
        <v>0</v>
      </c>
    </row>
    <row r="299" spans="1:9" ht="15.75">
      <c r="A299" s="65" t="s">
        <v>132</v>
      </c>
      <c r="B299" s="65" t="s">
        <v>77</v>
      </c>
      <c r="C299" s="65">
        <v>186.004</v>
      </c>
      <c r="D299" s="65">
        <v>0</v>
      </c>
      <c r="E299" s="65">
        <v>0</v>
      </c>
      <c r="F299" s="65">
        <v>2.44703</v>
      </c>
      <c r="G299" s="66">
        <v>-3.59579E-06</v>
      </c>
      <c r="H299" s="65">
        <v>12.322</v>
      </c>
      <c r="I299" s="65">
        <v>0</v>
      </c>
    </row>
    <row r="300" spans="1:9" ht="15.75">
      <c r="A300" s="65" t="s">
        <v>133</v>
      </c>
      <c r="B300" s="65" t="s">
        <v>77</v>
      </c>
      <c r="C300" s="65">
        <v>186.004</v>
      </c>
      <c r="D300" s="65">
        <v>0</v>
      </c>
      <c r="E300" s="65">
        <v>0</v>
      </c>
      <c r="F300" s="65">
        <v>2.44703</v>
      </c>
      <c r="G300" s="66">
        <v>-3.59579E-06</v>
      </c>
      <c r="H300" s="65">
        <v>12.322</v>
      </c>
      <c r="I300" s="65">
        <v>0</v>
      </c>
    </row>
    <row r="301" spans="1:9" ht="15.75">
      <c r="A301" s="65" t="s">
        <v>81</v>
      </c>
      <c r="B301" s="65" t="s">
        <v>82</v>
      </c>
      <c r="C301" s="65">
        <v>186.254</v>
      </c>
      <c r="D301" s="65">
        <v>0.25</v>
      </c>
      <c r="E301" s="65">
        <v>-0.125784</v>
      </c>
      <c r="F301" s="65">
        <v>2.47952</v>
      </c>
      <c r="G301" s="66">
        <v>-3.47575E-06</v>
      </c>
      <c r="H301" s="65">
        <v>12.2709</v>
      </c>
      <c r="I301" s="65">
        <v>0</v>
      </c>
    </row>
    <row r="302" spans="1:9" ht="15.75">
      <c r="A302" s="65" t="s">
        <v>134</v>
      </c>
      <c r="B302" s="65" t="s">
        <v>84</v>
      </c>
      <c r="C302" s="65">
        <v>187.966</v>
      </c>
      <c r="D302" s="65">
        <v>1.7125</v>
      </c>
      <c r="E302" s="65">
        <v>0</v>
      </c>
      <c r="F302" s="65">
        <v>4.67947</v>
      </c>
      <c r="G302" s="66">
        <v>-3.0312E-06</v>
      </c>
      <c r="H302" s="65">
        <v>9.72247</v>
      </c>
      <c r="I302" s="65">
        <v>0</v>
      </c>
    </row>
    <row r="303" spans="1:9" ht="15.75">
      <c r="A303" s="65" t="s">
        <v>134</v>
      </c>
      <c r="B303" s="65" t="s">
        <v>84</v>
      </c>
      <c r="C303" s="65">
        <v>189.679</v>
      </c>
      <c r="D303" s="65">
        <v>1.7125</v>
      </c>
      <c r="E303" s="65">
        <v>0</v>
      </c>
      <c r="F303" s="65">
        <v>9.41935</v>
      </c>
      <c r="G303" s="66">
        <v>-2.58665E-06</v>
      </c>
      <c r="H303" s="65">
        <v>8.01062</v>
      </c>
      <c r="I303" s="65">
        <v>0</v>
      </c>
    </row>
    <row r="304" spans="1:9" ht="15.75">
      <c r="A304" s="65" t="s">
        <v>134</v>
      </c>
      <c r="B304" s="65" t="s">
        <v>84</v>
      </c>
      <c r="C304" s="65">
        <v>191.391</v>
      </c>
      <c r="D304" s="65">
        <v>1.7125</v>
      </c>
      <c r="E304" s="65">
        <v>0</v>
      </c>
      <c r="F304" s="65">
        <v>16.6991</v>
      </c>
      <c r="G304" s="66">
        <v>-2.1421E-06</v>
      </c>
      <c r="H304" s="65">
        <v>7.13541</v>
      </c>
      <c r="I304" s="65">
        <v>0</v>
      </c>
    </row>
    <row r="305" spans="1:9" ht="15.75">
      <c r="A305" s="65" t="s">
        <v>134</v>
      </c>
      <c r="B305" s="65" t="s">
        <v>84</v>
      </c>
      <c r="C305" s="65">
        <v>193.104</v>
      </c>
      <c r="D305" s="65">
        <v>1.7125</v>
      </c>
      <c r="E305" s="65">
        <v>0</v>
      </c>
      <c r="F305" s="65">
        <v>26.5188</v>
      </c>
      <c r="G305" s="66">
        <v>-1.69755E-06</v>
      </c>
      <c r="H305" s="65">
        <v>7.09682</v>
      </c>
      <c r="I305" s="65">
        <v>0</v>
      </c>
    </row>
    <row r="306" spans="1:9" ht="15.75">
      <c r="A306" s="65" t="s">
        <v>9</v>
      </c>
      <c r="B306" s="65" t="s">
        <v>82</v>
      </c>
      <c r="C306" s="65">
        <v>193.454</v>
      </c>
      <c r="D306" s="65">
        <v>0.35</v>
      </c>
      <c r="E306" s="65">
        <v>0.221955</v>
      </c>
      <c r="F306" s="65">
        <v>26.7142</v>
      </c>
      <c r="G306" s="66">
        <v>-1.54236E-06</v>
      </c>
      <c r="H306" s="65">
        <v>7.76218</v>
      </c>
      <c r="I306" s="65">
        <v>0</v>
      </c>
    </row>
    <row r="307" spans="1:9" ht="15.75">
      <c r="A307" s="65" t="s">
        <v>9</v>
      </c>
      <c r="B307" s="65" t="s">
        <v>82</v>
      </c>
      <c r="C307" s="65">
        <v>193.804</v>
      </c>
      <c r="D307" s="65">
        <v>0.35</v>
      </c>
      <c r="E307" s="65">
        <v>0.221955</v>
      </c>
      <c r="F307" s="65">
        <v>22.9391</v>
      </c>
      <c r="G307" s="66">
        <v>-1.26812E-06</v>
      </c>
      <c r="H307" s="65">
        <v>9.80703</v>
      </c>
      <c r="I307" s="65">
        <v>0</v>
      </c>
    </row>
    <row r="308" spans="1:9" ht="15.75">
      <c r="A308" s="65" t="s">
        <v>96</v>
      </c>
      <c r="B308" s="65" t="s">
        <v>84</v>
      </c>
      <c r="C308" s="65">
        <v>194.204</v>
      </c>
      <c r="D308" s="65">
        <v>0.4</v>
      </c>
      <c r="E308" s="65">
        <v>0</v>
      </c>
      <c r="F308" s="65">
        <v>17.123</v>
      </c>
      <c r="G308" s="66">
        <v>-8.93947E-07</v>
      </c>
      <c r="H308" s="65">
        <v>13.4279</v>
      </c>
      <c r="I308" s="65">
        <v>0</v>
      </c>
    </row>
    <row r="309" spans="1:9" ht="15.75">
      <c r="A309" s="65" t="s">
        <v>10</v>
      </c>
      <c r="B309" s="65" t="s">
        <v>82</v>
      </c>
      <c r="C309" s="65">
        <v>194.479</v>
      </c>
      <c r="D309" s="65">
        <v>0.275</v>
      </c>
      <c r="E309" s="65">
        <v>-0.186004</v>
      </c>
      <c r="F309" s="65">
        <v>14.3931</v>
      </c>
      <c r="G309" s="66">
        <v>-6.57466E-07</v>
      </c>
      <c r="H309" s="65">
        <v>15.4942</v>
      </c>
      <c r="I309" s="65">
        <v>0</v>
      </c>
    </row>
    <row r="310" spans="1:9" ht="15.75">
      <c r="A310" s="65" t="s">
        <v>10</v>
      </c>
      <c r="B310" s="65" t="s">
        <v>82</v>
      </c>
      <c r="C310" s="65">
        <v>194.754</v>
      </c>
      <c r="D310" s="65">
        <v>0.275</v>
      </c>
      <c r="E310" s="65">
        <v>-0.186004</v>
      </c>
      <c r="F310" s="65">
        <v>13.2928</v>
      </c>
      <c r="G310" s="66">
        <v>-4.54759E-07</v>
      </c>
      <c r="H310" s="65">
        <v>16.0712</v>
      </c>
      <c r="I310" s="65">
        <v>0</v>
      </c>
    </row>
    <row r="311" spans="1:9" ht="15.75">
      <c r="A311" s="65" t="s">
        <v>135</v>
      </c>
      <c r="B311" s="65" t="s">
        <v>84</v>
      </c>
      <c r="C311" s="65">
        <v>197.879</v>
      </c>
      <c r="D311" s="65">
        <v>3.125</v>
      </c>
      <c r="E311" s="65">
        <v>0</v>
      </c>
      <c r="F311" s="65">
        <v>9.99546</v>
      </c>
      <c r="G311" s="66">
        <v>1.6976E-06</v>
      </c>
      <c r="H311" s="65">
        <v>14.1345</v>
      </c>
      <c r="I311" s="65">
        <v>0</v>
      </c>
    </row>
    <row r="312" spans="1:9" ht="15.75">
      <c r="A312" s="65" t="s">
        <v>135</v>
      </c>
      <c r="B312" s="65" t="s">
        <v>84</v>
      </c>
      <c r="C312" s="65">
        <v>201.004</v>
      </c>
      <c r="D312" s="65">
        <v>3.125</v>
      </c>
      <c r="E312" s="65">
        <v>0</v>
      </c>
      <c r="F312" s="65">
        <v>8.89413</v>
      </c>
      <c r="G312" s="66">
        <v>3.84996E-06</v>
      </c>
      <c r="H312" s="65">
        <v>13.6322</v>
      </c>
      <c r="I312" s="65">
        <v>0</v>
      </c>
    </row>
    <row r="313" spans="1:9" ht="15.75">
      <c r="A313" s="65" t="s">
        <v>133</v>
      </c>
      <c r="B313" s="65" t="s">
        <v>77</v>
      </c>
      <c r="C313" s="65">
        <v>201.004</v>
      </c>
      <c r="D313" s="65">
        <v>0</v>
      </c>
      <c r="E313" s="65">
        <v>0</v>
      </c>
      <c r="F313" s="65">
        <v>8.89413</v>
      </c>
      <c r="G313" s="66">
        <v>3.84996E-06</v>
      </c>
      <c r="H313" s="65">
        <v>13.6322</v>
      </c>
      <c r="I313" s="65">
        <v>0</v>
      </c>
    </row>
    <row r="314" spans="1:9" ht="15.75">
      <c r="A314" s="65" t="s">
        <v>136</v>
      </c>
      <c r="B314" s="65" t="s">
        <v>77</v>
      </c>
      <c r="C314" s="65">
        <v>201.004</v>
      </c>
      <c r="D314" s="65">
        <v>0</v>
      </c>
      <c r="E314" s="65">
        <v>0</v>
      </c>
      <c r="F314" s="65">
        <v>8.89413</v>
      </c>
      <c r="G314" s="66">
        <v>3.84996E-06</v>
      </c>
      <c r="H314" s="65">
        <v>13.6322</v>
      </c>
      <c r="I314" s="65">
        <v>0</v>
      </c>
    </row>
    <row r="315" spans="1:9" ht="15.75">
      <c r="A315" s="65" t="s">
        <v>135</v>
      </c>
      <c r="B315" s="65" t="s">
        <v>84</v>
      </c>
      <c r="C315" s="65">
        <v>204.129</v>
      </c>
      <c r="D315" s="65">
        <v>3.125</v>
      </c>
      <c r="E315" s="65">
        <v>0</v>
      </c>
      <c r="F315" s="65">
        <v>9.98877</v>
      </c>
      <c r="G315" s="66">
        <v>6.00232E-06</v>
      </c>
      <c r="H315" s="65">
        <v>14.5644</v>
      </c>
      <c r="I315" s="65">
        <v>0</v>
      </c>
    </row>
    <row r="316" spans="1:9" ht="15.75">
      <c r="A316" s="65" t="s">
        <v>135</v>
      </c>
      <c r="B316" s="65" t="s">
        <v>84</v>
      </c>
      <c r="C316" s="65">
        <v>207.254</v>
      </c>
      <c r="D316" s="65">
        <v>3.125</v>
      </c>
      <c r="E316" s="65">
        <v>0</v>
      </c>
      <c r="F316" s="65">
        <v>13.2794</v>
      </c>
      <c r="G316" s="66">
        <v>8.15468E-06</v>
      </c>
      <c r="H316" s="65">
        <v>16.9309</v>
      </c>
      <c r="I316" s="65">
        <v>0</v>
      </c>
    </row>
    <row r="317" spans="1:9" ht="15.75">
      <c r="A317" s="65" t="s">
        <v>10</v>
      </c>
      <c r="B317" s="65" t="s">
        <v>82</v>
      </c>
      <c r="C317" s="65">
        <v>207.529</v>
      </c>
      <c r="D317" s="65">
        <v>0.275</v>
      </c>
      <c r="E317" s="65">
        <v>-0.186004</v>
      </c>
      <c r="F317" s="65">
        <v>14.3785</v>
      </c>
      <c r="G317" s="66">
        <v>8.55516E-06</v>
      </c>
      <c r="H317" s="65">
        <v>16.3472</v>
      </c>
      <c r="I317" s="65">
        <v>0</v>
      </c>
    </row>
    <row r="318" spans="1:9" ht="15.75">
      <c r="A318" s="65" t="s">
        <v>10</v>
      </c>
      <c r="B318" s="65" t="s">
        <v>82</v>
      </c>
      <c r="C318" s="65">
        <v>207.804</v>
      </c>
      <c r="D318" s="65">
        <v>0.275</v>
      </c>
      <c r="E318" s="65">
        <v>-0.186004</v>
      </c>
      <c r="F318" s="65">
        <v>17.1054</v>
      </c>
      <c r="G318" s="66">
        <v>9.39511E-06</v>
      </c>
      <c r="H318" s="65">
        <v>14.1891</v>
      </c>
      <c r="I318" s="65">
        <v>0</v>
      </c>
    </row>
    <row r="319" spans="1:9" ht="15.75">
      <c r="A319" s="65" t="s">
        <v>96</v>
      </c>
      <c r="B319" s="65" t="s">
        <v>84</v>
      </c>
      <c r="C319" s="65">
        <v>208.204</v>
      </c>
      <c r="D319" s="65">
        <v>0.4</v>
      </c>
      <c r="E319" s="65">
        <v>0</v>
      </c>
      <c r="F319" s="65">
        <v>22.9152</v>
      </c>
      <c r="G319" s="66">
        <v>1.09545E-05</v>
      </c>
      <c r="H319" s="65">
        <v>10.3905</v>
      </c>
      <c r="I319" s="65">
        <v>0</v>
      </c>
    </row>
    <row r="320" spans="1:9" ht="15.75">
      <c r="A320" s="65" t="s">
        <v>9</v>
      </c>
      <c r="B320" s="65" t="s">
        <v>82</v>
      </c>
      <c r="C320" s="65">
        <v>208.554</v>
      </c>
      <c r="D320" s="65">
        <v>0.35</v>
      </c>
      <c r="E320" s="65">
        <v>0.221955</v>
      </c>
      <c r="F320" s="65">
        <v>26.6862</v>
      </c>
      <c r="G320" s="66">
        <v>1.18787E-05</v>
      </c>
      <c r="H320" s="65">
        <v>8.24674</v>
      </c>
      <c r="I320" s="65">
        <v>0</v>
      </c>
    </row>
    <row r="321" spans="1:9" ht="15.75">
      <c r="A321" s="65" t="s">
        <v>9</v>
      </c>
      <c r="B321" s="65" t="s">
        <v>82</v>
      </c>
      <c r="C321" s="65">
        <v>208.904</v>
      </c>
      <c r="D321" s="65">
        <v>0.35</v>
      </c>
      <c r="E321" s="65">
        <v>0.221955</v>
      </c>
      <c r="F321" s="65">
        <v>26.4909</v>
      </c>
      <c r="G321" s="66">
        <v>1.1886E-05</v>
      </c>
      <c r="H321" s="65">
        <v>7.56065</v>
      </c>
      <c r="I321" s="65">
        <v>0</v>
      </c>
    </row>
    <row r="322" spans="1:9" ht="15.75">
      <c r="A322" s="65" t="s">
        <v>134</v>
      </c>
      <c r="B322" s="65" t="s">
        <v>84</v>
      </c>
      <c r="C322" s="65">
        <v>210.616</v>
      </c>
      <c r="D322" s="65">
        <v>1.7125</v>
      </c>
      <c r="E322" s="65">
        <v>0</v>
      </c>
      <c r="F322" s="65">
        <v>16.6813</v>
      </c>
      <c r="G322" s="66">
        <v>9.6486E-06</v>
      </c>
      <c r="H322" s="65">
        <v>7.64205</v>
      </c>
      <c r="I322" s="65">
        <v>0</v>
      </c>
    </row>
    <row r="323" spans="1:9" ht="15.75">
      <c r="A323" s="65" t="s">
        <v>134</v>
      </c>
      <c r="B323" s="65" t="s">
        <v>84</v>
      </c>
      <c r="C323" s="65">
        <v>212.329</v>
      </c>
      <c r="D323" s="65">
        <v>1.7125</v>
      </c>
      <c r="E323" s="65">
        <v>0</v>
      </c>
      <c r="F323" s="65">
        <v>9.40962</v>
      </c>
      <c r="G323" s="66">
        <v>7.41121E-06</v>
      </c>
      <c r="H323" s="65">
        <v>8.50555</v>
      </c>
      <c r="I323" s="65">
        <v>0</v>
      </c>
    </row>
    <row r="324" spans="1:9" ht="15.75">
      <c r="A324" s="65" t="s">
        <v>134</v>
      </c>
      <c r="B324" s="65" t="s">
        <v>84</v>
      </c>
      <c r="C324" s="65">
        <v>214.041</v>
      </c>
      <c r="D324" s="65">
        <v>1.7125</v>
      </c>
      <c r="E324" s="65">
        <v>0</v>
      </c>
      <c r="F324" s="65">
        <v>4.67593</v>
      </c>
      <c r="G324" s="66">
        <v>5.17382E-06</v>
      </c>
      <c r="H324" s="65">
        <v>10.1512</v>
      </c>
      <c r="I324" s="65">
        <v>0</v>
      </c>
    </row>
    <row r="325" spans="1:9" ht="15.75">
      <c r="A325" s="65" t="s">
        <v>134</v>
      </c>
      <c r="B325" s="65" t="s">
        <v>84</v>
      </c>
      <c r="C325" s="65">
        <v>215.754</v>
      </c>
      <c r="D325" s="65">
        <v>1.7125</v>
      </c>
      <c r="E325" s="65">
        <v>0</v>
      </c>
      <c r="F325" s="65">
        <v>2.48021</v>
      </c>
      <c r="G325" s="66">
        <v>2.93643E-06</v>
      </c>
      <c r="H325" s="65">
        <v>12.5789</v>
      </c>
      <c r="I325" s="65">
        <v>0</v>
      </c>
    </row>
    <row r="326" spans="1:9" ht="15.75">
      <c r="A326" s="65" t="s">
        <v>81</v>
      </c>
      <c r="B326" s="65" t="s">
        <v>82</v>
      </c>
      <c r="C326" s="65">
        <v>216.004</v>
      </c>
      <c r="D326" s="65">
        <v>0.25</v>
      </c>
      <c r="E326" s="65">
        <v>-0.125784</v>
      </c>
      <c r="F326" s="65">
        <v>2.44821</v>
      </c>
      <c r="G326" s="66">
        <v>2.65438E-06</v>
      </c>
      <c r="H326" s="65">
        <v>12.5986</v>
      </c>
      <c r="I326" s="65">
        <v>0</v>
      </c>
    </row>
    <row r="327" spans="1:9" ht="15.75">
      <c r="A327" s="65" t="s">
        <v>136</v>
      </c>
      <c r="B327" s="65" t="s">
        <v>77</v>
      </c>
      <c r="C327" s="65">
        <v>216.004</v>
      </c>
      <c r="D327" s="65">
        <v>0</v>
      </c>
      <c r="E327" s="65">
        <v>0</v>
      </c>
      <c r="F327" s="65">
        <v>2.44821</v>
      </c>
      <c r="G327" s="66">
        <v>2.65438E-06</v>
      </c>
      <c r="H327" s="65">
        <v>12.5986</v>
      </c>
      <c r="I327" s="65">
        <v>0</v>
      </c>
    </row>
    <row r="328" spans="1:9" ht="15.75">
      <c r="A328" s="65" t="s">
        <v>132</v>
      </c>
      <c r="B328" s="65" t="s">
        <v>77</v>
      </c>
      <c r="C328" s="65">
        <v>216.004</v>
      </c>
      <c r="D328" s="65">
        <v>0</v>
      </c>
      <c r="E328" s="65">
        <v>0</v>
      </c>
      <c r="F328" s="65">
        <v>2.44821</v>
      </c>
      <c r="G328" s="66">
        <v>2.65438E-06</v>
      </c>
      <c r="H328" s="65">
        <v>12.5986</v>
      </c>
      <c r="I328" s="65">
        <v>0</v>
      </c>
    </row>
    <row r="329" spans="1:9" ht="15.75">
      <c r="A329" s="65" t="s">
        <v>122</v>
      </c>
      <c r="B329" s="65" t="s">
        <v>77</v>
      </c>
      <c r="C329" s="65">
        <v>216.004</v>
      </c>
      <c r="D329" s="65">
        <v>0</v>
      </c>
      <c r="E329" s="65">
        <v>0</v>
      </c>
      <c r="F329" s="65">
        <v>2.44821</v>
      </c>
      <c r="G329" s="66">
        <v>2.65438E-06</v>
      </c>
      <c r="H329" s="65">
        <v>12.5986</v>
      </c>
      <c r="I329" s="65">
        <v>0</v>
      </c>
    </row>
    <row r="330" spans="1:9" ht="15.75">
      <c r="A330" s="65" t="s">
        <v>123</v>
      </c>
      <c r="B330" s="65" t="s">
        <v>77</v>
      </c>
      <c r="C330" s="65">
        <v>216.004</v>
      </c>
      <c r="D330" s="65">
        <v>0</v>
      </c>
      <c r="E330" s="65">
        <v>0</v>
      </c>
      <c r="F330" s="65">
        <v>2.44821</v>
      </c>
      <c r="G330" s="66">
        <v>2.65438E-06</v>
      </c>
      <c r="H330" s="65">
        <v>12.5986</v>
      </c>
      <c r="I330" s="65">
        <v>0</v>
      </c>
    </row>
    <row r="331" spans="1:9" ht="15.75">
      <c r="A331" s="65" t="s">
        <v>81</v>
      </c>
      <c r="B331" s="65" t="s">
        <v>82</v>
      </c>
      <c r="C331" s="65">
        <v>216.254</v>
      </c>
      <c r="D331" s="65">
        <v>0.25</v>
      </c>
      <c r="E331" s="65">
        <v>-0.125784</v>
      </c>
      <c r="F331" s="65">
        <v>2.62443</v>
      </c>
      <c r="G331" s="66">
        <v>2.45601E-06</v>
      </c>
      <c r="H331" s="65">
        <v>11.8496</v>
      </c>
      <c r="I331" s="65">
        <v>0</v>
      </c>
    </row>
    <row r="332" spans="1:9" ht="15.75">
      <c r="A332" s="65" t="s">
        <v>124</v>
      </c>
      <c r="B332" s="65" t="s">
        <v>84</v>
      </c>
      <c r="C332" s="65">
        <v>217.254</v>
      </c>
      <c r="D332" s="65">
        <v>1</v>
      </c>
      <c r="E332" s="65">
        <v>0</v>
      </c>
      <c r="F332" s="65">
        <v>4.27171</v>
      </c>
      <c r="G332" s="66">
        <v>1.82077E-06</v>
      </c>
      <c r="H332" s="65">
        <v>7.90994</v>
      </c>
      <c r="I332" s="65">
        <v>0</v>
      </c>
    </row>
    <row r="333" spans="1:9" ht="15.75">
      <c r="A333" s="65" t="s">
        <v>125</v>
      </c>
      <c r="B333" s="65" t="s">
        <v>100</v>
      </c>
      <c r="C333" s="65">
        <v>218.004</v>
      </c>
      <c r="D333" s="65">
        <v>0.75</v>
      </c>
      <c r="E333" s="65">
        <v>0</v>
      </c>
      <c r="F333" s="65">
        <v>6.11804</v>
      </c>
      <c r="G333" s="66">
        <v>0.0367873</v>
      </c>
      <c r="H333" s="65">
        <v>5.61185</v>
      </c>
      <c r="I333" s="65">
        <v>0</v>
      </c>
    </row>
    <row r="334" spans="1:9" ht="15.75">
      <c r="A334" s="65" t="s">
        <v>126</v>
      </c>
      <c r="B334" s="65" t="s">
        <v>100</v>
      </c>
      <c r="C334" s="65">
        <v>218.754</v>
      </c>
      <c r="D334" s="65">
        <v>0.75</v>
      </c>
      <c r="E334" s="65">
        <v>0</v>
      </c>
      <c r="F334" s="65">
        <v>8.37793</v>
      </c>
      <c r="G334" s="65">
        <v>0.146791</v>
      </c>
      <c r="H334" s="65">
        <v>3.87658</v>
      </c>
      <c r="I334" s="65">
        <v>0</v>
      </c>
    </row>
    <row r="335" spans="1:9" ht="15.75">
      <c r="A335" s="65" t="s">
        <v>127</v>
      </c>
      <c r="B335" s="65" t="s">
        <v>84</v>
      </c>
      <c r="C335" s="65">
        <v>219.754</v>
      </c>
      <c r="D335" s="65">
        <v>1</v>
      </c>
      <c r="E335" s="65">
        <v>0</v>
      </c>
      <c r="F335" s="65">
        <v>12.0647</v>
      </c>
      <c r="G335" s="65">
        <v>0.34188</v>
      </c>
      <c r="H335" s="65">
        <v>2.4384</v>
      </c>
      <c r="I335" s="65">
        <v>0</v>
      </c>
    </row>
    <row r="336" spans="1:9" ht="15.75">
      <c r="A336" s="65" t="s">
        <v>128</v>
      </c>
      <c r="B336" s="65" t="s">
        <v>82</v>
      </c>
      <c r="C336" s="65">
        <v>220.004</v>
      </c>
      <c r="D336" s="65">
        <v>0.25</v>
      </c>
      <c r="E336" s="65">
        <v>0.171873</v>
      </c>
      <c r="F336" s="65">
        <v>12.5816</v>
      </c>
      <c r="G336" s="65">
        <v>0.382985</v>
      </c>
      <c r="H336" s="65">
        <v>2.33515</v>
      </c>
      <c r="I336" s="65">
        <v>0</v>
      </c>
    </row>
    <row r="337" spans="1:9" ht="15.75">
      <c r="A337" s="65" t="s">
        <v>128</v>
      </c>
      <c r="B337" s="65" t="s">
        <v>82</v>
      </c>
      <c r="C337" s="65">
        <v>220.254</v>
      </c>
      <c r="D337" s="65">
        <v>0.25</v>
      </c>
      <c r="E337" s="65">
        <v>0.171873</v>
      </c>
      <c r="F337" s="65">
        <v>12.0426</v>
      </c>
      <c r="G337" s="65">
        <v>0.407693</v>
      </c>
      <c r="H337" s="65">
        <v>2.48991</v>
      </c>
      <c r="I337" s="65">
        <v>0</v>
      </c>
    </row>
    <row r="338" spans="1:9" ht="15.75">
      <c r="A338" s="65" t="s">
        <v>124</v>
      </c>
      <c r="B338" s="65" t="s">
        <v>84</v>
      </c>
      <c r="C338" s="65">
        <v>221.254</v>
      </c>
      <c r="D338" s="65">
        <v>1</v>
      </c>
      <c r="E338" s="65">
        <v>0</v>
      </c>
      <c r="F338" s="65">
        <v>8.28752</v>
      </c>
      <c r="G338" s="65">
        <v>0.472074</v>
      </c>
      <c r="H338" s="65">
        <v>4.18123</v>
      </c>
      <c r="I338" s="65">
        <v>0</v>
      </c>
    </row>
    <row r="339" spans="1:9" ht="15.75">
      <c r="A339" s="65" t="s">
        <v>125</v>
      </c>
      <c r="B339" s="65" t="s">
        <v>100</v>
      </c>
      <c r="C339" s="65">
        <v>222.004</v>
      </c>
      <c r="D339" s="65">
        <v>0.75</v>
      </c>
      <c r="E339" s="65">
        <v>0</v>
      </c>
      <c r="F339" s="65">
        <v>5.99753</v>
      </c>
      <c r="G339" s="65">
        <v>0.554795</v>
      </c>
      <c r="H339" s="65">
        <v>6.15283</v>
      </c>
      <c r="I339" s="65">
        <v>0</v>
      </c>
    </row>
    <row r="340" spans="1:9" ht="15.75">
      <c r="A340" s="65" t="s">
        <v>126</v>
      </c>
      <c r="B340" s="65" t="s">
        <v>100</v>
      </c>
      <c r="C340" s="65">
        <v>222.754</v>
      </c>
      <c r="D340" s="65">
        <v>0.75</v>
      </c>
      <c r="E340" s="65">
        <v>0</v>
      </c>
      <c r="F340" s="65">
        <v>4.14107</v>
      </c>
      <c r="G340" s="65">
        <v>0.705744</v>
      </c>
      <c r="H340" s="65">
        <v>8.72709</v>
      </c>
      <c r="I340" s="65">
        <v>0</v>
      </c>
    </row>
    <row r="341" spans="1:9" ht="15.75">
      <c r="A341" s="65" t="s">
        <v>127</v>
      </c>
      <c r="B341" s="65" t="s">
        <v>84</v>
      </c>
      <c r="C341" s="65">
        <v>223.754</v>
      </c>
      <c r="D341" s="65">
        <v>1</v>
      </c>
      <c r="E341" s="65">
        <v>0</v>
      </c>
      <c r="F341" s="65">
        <v>2.50978</v>
      </c>
      <c r="G341" s="65">
        <v>0.951923</v>
      </c>
      <c r="H341" s="65">
        <v>13.0969</v>
      </c>
      <c r="I341" s="65">
        <v>0</v>
      </c>
    </row>
    <row r="342" spans="1:9" ht="15.75">
      <c r="A342" s="65" t="s">
        <v>129</v>
      </c>
      <c r="B342" s="65" t="s">
        <v>82</v>
      </c>
      <c r="C342" s="65">
        <v>224.004</v>
      </c>
      <c r="D342" s="65">
        <v>0.25</v>
      </c>
      <c r="E342" s="65">
        <v>-0.182261</v>
      </c>
      <c r="F342" s="65">
        <v>2.37293</v>
      </c>
      <c r="G342" s="65">
        <v>1.03571</v>
      </c>
      <c r="H342" s="65">
        <v>13.7316</v>
      </c>
      <c r="I342" s="65">
        <v>0</v>
      </c>
    </row>
    <row r="343" spans="1:9" ht="15.75">
      <c r="A343" s="65" t="s">
        <v>123</v>
      </c>
      <c r="B343" s="65" t="s">
        <v>77</v>
      </c>
      <c r="C343" s="65">
        <v>224.004</v>
      </c>
      <c r="D343" s="65">
        <v>0</v>
      </c>
      <c r="E343" s="65">
        <v>0</v>
      </c>
      <c r="F343" s="65">
        <v>2.37293</v>
      </c>
      <c r="G343" s="65">
        <v>1.03571</v>
      </c>
      <c r="H343" s="65">
        <v>13.7316</v>
      </c>
      <c r="I343" s="65">
        <v>0</v>
      </c>
    </row>
    <row r="344" spans="1:9" ht="15.75">
      <c r="A344" s="65" t="s">
        <v>65</v>
      </c>
      <c r="B344" s="65" t="s">
        <v>77</v>
      </c>
      <c r="C344" s="65">
        <v>224.004</v>
      </c>
      <c r="D344" s="65">
        <v>0</v>
      </c>
      <c r="E344" s="65">
        <v>0</v>
      </c>
      <c r="F344" s="65">
        <v>2.37293</v>
      </c>
      <c r="G344" s="65">
        <v>1.03571</v>
      </c>
      <c r="H344" s="65">
        <v>13.7316</v>
      </c>
      <c r="I344" s="65">
        <v>0</v>
      </c>
    </row>
    <row r="345" spans="1:9" ht="15.75">
      <c r="A345" s="65" t="s">
        <v>129</v>
      </c>
      <c r="B345" s="65" t="s">
        <v>82</v>
      </c>
      <c r="C345" s="65">
        <v>224.254</v>
      </c>
      <c r="D345" s="65">
        <v>0.25</v>
      </c>
      <c r="E345" s="65">
        <v>-0.182261</v>
      </c>
      <c r="F345" s="65">
        <v>2.50911</v>
      </c>
      <c r="G345" s="65">
        <v>1.16686</v>
      </c>
      <c r="H345" s="65">
        <v>13.1428</v>
      </c>
      <c r="I345" s="65">
        <v>0</v>
      </c>
    </row>
    <row r="346" spans="1:9" ht="15.75">
      <c r="A346" s="65" t="s">
        <v>124</v>
      </c>
      <c r="B346" s="65" t="s">
        <v>84</v>
      </c>
      <c r="C346" s="65">
        <v>225.254</v>
      </c>
      <c r="D346" s="65">
        <v>1</v>
      </c>
      <c r="E346" s="65">
        <v>0</v>
      </c>
      <c r="F346" s="65">
        <v>4.13706</v>
      </c>
      <c r="G346" s="65">
        <v>1.79345</v>
      </c>
      <c r="H346" s="65">
        <v>8.9118</v>
      </c>
      <c r="I346" s="65">
        <v>0</v>
      </c>
    </row>
    <row r="347" spans="1:9" ht="15.75">
      <c r="A347" s="65" t="s">
        <v>125</v>
      </c>
      <c r="B347" s="65" t="s">
        <v>100</v>
      </c>
      <c r="C347" s="65">
        <v>226.004</v>
      </c>
      <c r="D347" s="65">
        <v>0.75</v>
      </c>
      <c r="E347" s="65">
        <v>0</v>
      </c>
      <c r="F347" s="65">
        <v>5.99042</v>
      </c>
      <c r="G347" s="65">
        <v>2.29079</v>
      </c>
      <c r="H347" s="65">
        <v>6.39773</v>
      </c>
      <c r="I347" s="65">
        <v>0</v>
      </c>
    </row>
    <row r="348" spans="1:9" ht="15.75">
      <c r="A348" s="65" t="s">
        <v>126</v>
      </c>
      <c r="B348" s="65" t="s">
        <v>100</v>
      </c>
      <c r="C348" s="65">
        <v>226.754</v>
      </c>
      <c r="D348" s="65">
        <v>0.75</v>
      </c>
      <c r="E348" s="65">
        <v>0</v>
      </c>
      <c r="F348" s="65">
        <v>8.27697</v>
      </c>
      <c r="G348" s="65">
        <v>2.83964</v>
      </c>
      <c r="H348" s="65">
        <v>4.44869</v>
      </c>
      <c r="I348" s="65">
        <v>0</v>
      </c>
    </row>
    <row r="349" spans="1:9" ht="15.75">
      <c r="A349" s="65" t="s">
        <v>127</v>
      </c>
      <c r="B349" s="65" t="s">
        <v>84</v>
      </c>
      <c r="C349" s="65">
        <v>227.754</v>
      </c>
      <c r="D349" s="65">
        <v>1</v>
      </c>
      <c r="E349" s="65">
        <v>0</v>
      </c>
      <c r="F349" s="65">
        <v>12.0268</v>
      </c>
      <c r="G349" s="65">
        <v>3.60348</v>
      </c>
      <c r="H349" s="65">
        <v>2.72891</v>
      </c>
      <c r="I349" s="65">
        <v>0</v>
      </c>
    </row>
    <row r="350" spans="1:9" ht="15.75">
      <c r="A350" s="65" t="s">
        <v>128</v>
      </c>
      <c r="B350" s="65" t="s">
        <v>82</v>
      </c>
      <c r="C350" s="65">
        <v>228.004</v>
      </c>
      <c r="D350" s="65">
        <v>0.25</v>
      </c>
      <c r="E350" s="65">
        <v>0.171873</v>
      </c>
      <c r="F350" s="65">
        <v>12.5652</v>
      </c>
      <c r="G350" s="65">
        <v>3.71593</v>
      </c>
      <c r="H350" s="65">
        <v>2.56652</v>
      </c>
      <c r="I350" s="65">
        <v>0</v>
      </c>
    </row>
    <row r="351" spans="1:9" ht="15.75">
      <c r="A351" s="65" t="s">
        <v>128</v>
      </c>
      <c r="B351" s="65" t="s">
        <v>82</v>
      </c>
      <c r="C351" s="65">
        <v>228.254</v>
      </c>
      <c r="D351" s="65">
        <v>0.25</v>
      </c>
      <c r="E351" s="65">
        <v>0.171873</v>
      </c>
      <c r="F351" s="65">
        <v>12.049</v>
      </c>
      <c r="G351" s="65">
        <v>3.66929</v>
      </c>
      <c r="H351" s="65">
        <v>2.6774</v>
      </c>
      <c r="I351" s="65">
        <v>0</v>
      </c>
    </row>
    <row r="352" spans="1:9" ht="15.75">
      <c r="A352" s="65" t="s">
        <v>124</v>
      </c>
      <c r="B352" s="65" t="s">
        <v>84</v>
      </c>
      <c r="C352" s="65">
        <v>229.254</v>
      </c>
      <c r="D352" s="65">
        <v>1</v>
      </c>
      <c r="E352" s="65">
        <v>0</v>
      </c>
      <c r="F352" s="65">
        <v>8.36738</v>
      </c>
      <c r="G352" s="65">
        <v>3.16492</v>
      </c>
      <c r="H352" s="65">
        <v>4.14405</v>
      </c>
      <c r="I352" s="65">
        <v>0</v>
      </c>
    </row>
    <row r="353" spans="1:9" ht="15.75">
      <c r="A353" s="65" t="s">
        <v>125</v>
      </c>
      <c r="B353" s="65" t="s">
        <v>100</v>
      </c>
      <c r="C353" s="65">
        <v>230.004</v>
      </c>
      <c r="D353" s="65">
        <v>0.75</v>
      </c>
      <c r="E353" s="65">
        <v>0</v>
      </c>
      <c r="F353" s="65">
        <v>6.11093</v>
      </c>
      <c r="G353" s="65">
        <v>2.8088</v>
      </c>
      <c r="H353" s="65">
        <v>5.85675</v>
      </c>
      <c r="I353" s="65">
        <v>0</v>
      </c>
    </row>
    <row r="354" spans="1:9" ht="15.75">
      <c r="A354" s="65" t="s">
        <v>126</v>
      </c>
      <c r="B354" s="65" t="s">
        <v>100</v>
      </c>
      <c r="C354" s="65">
        <v>230.754</v>
      </c>
      <c r="D354" s="65">
        <v>0.75</v>
      </c>
      <c r="E354" s="65">
        <v>0</v>
      </c>
      <c r="F354" s="65">
        <v>4.2677</v>
      </c>
      <c r="G354" s="65">
        <v>2.4992</v>
      </c>
      <c r="H354" s="65">
        <v>8.09465</v>
      </c>
      <c r="I354" s="65">
        <v>0</v>
      </c>
    </row>
    <row r="355" spans="1:9" ht="15.75">
      <c r="A355" s="65" t="s">
        <v>127</v>
      </c>
      <c r="B355" s="65" t="s">
        <v>84</v>
      </c>
      <c r="C355" s="65">
        <v>231.754</v>
      </c>
      <c r="D355" s="65">
        <v>1</v>
      </c>
      <c r="E355" s="65">
        <v>0</v>
      </c>
      <c r="F355" s="65">
        <v>2.62376</v>
      </c>
      <c r="G355" s="65">
        <v>2.11879</v>
      </c>
      <c r="H355" s="65">
        <v>11.8955</v>
      </c>
      <c r="I355" s="65">
        <v>0</v>
      </c>
    </row>
    <row r="356" spans="1:9" ht="15.75">
      <c r="A356" s="65" t="s">
        <v>129</v>
      </c>
      <c r="B356" s="65" t="s">
        <v>82</v>
      </c>
      <c r="C356" s="65">
        <v>232.004</v>
      </c>
      <c r="D356" s="65">
        <v>0.25</v>
      </c>
      <c r="E356" s="65">
        <v>-0.182261</v>
      </c>
      <c r="F356" s="65">
        <v>2.48365</v>
      </c>
      <c r="G356" s="65">
        <v>2.07141</v>
      </c>
      <c r="H356" s="65">
        <v>12.4252</v>
      </c>
      <c r="I356" s="65">
        <v>0</v>
      </c>
    </row>
    <row r="357" spans="1:9" ht="15.75">
      <c r="A357" s="65" t="s">
        <v>65</v>
      </c>
      <c r="B357" s="65" t="s">
        <v>77</v>
      </c>
      <c r="C357" s="65">
        <v>232.004</v>
      </c>
      <c r="D357" s="65">
        <v>0</v>
      </c>
      <c r="E357" s="65">
        <v>0</v>
      </c>
      <c r="F357" s="65">
        <v>2.48365</v>
      </c>
      <c r="G357" s="65">
        <v>2.07141</v>
      </c>
      <c r="H357" s="65">
        <v>12.4252</v>
      </c>
      <c r="I357" s="65">
        <v>0</v>
      </c>
    </row>
    <row r="358" spans="1:9" ht="15.75">
      <c r="A358" s="65" t="s">
        <v>65</v>
      </c>
      <c r="B358" s="65" t="s">
        <v>77</v>
      </c>
      <c r="C358" s="65">
        <v>232.004</v>
      </c>
      <c r="D358" s="65">
        <v>0</v>
      </c>
      <c r="E358" s="65">
        <v>0</v>
      </c>
      <c r="F358" s="65">
        <v>2.48365</v>
      </c>
      <c r="G358" s="65">
        <v>2.07141</v>
      </c>
      <c r="H358" s="65">
        <v>12.4252</v>
      </c>
      <c r="I358" s="65">
        <v>0</v>
      </c>
    </row>
    <row r="359" spans="1:9" ht="15.75">
      <c r="A359" s="65" t="s">
        <v>129</v>
      </c>
      <c r="B359" s="65" t="s">
        <v>82</v>
      </c>
      <c r="C359" s="65">
        <v>232.254</v>
      </c>
      <c r="D359" s="65">
        <v>0.25</v>
      </c>
      <c r="E359" s="65">
        <v>-0.182261</v>
      </c>
      <c r="F359" s="65">
        <v>2.62443</v>
      </c>
      <c r="G359" s="65">
        <v>2.11879</v>
      </c>
      <c r="H359" s="65">
        <v>11.8496</v>
      </c>
      <c r="I359" s="65">
        <v>0</v>
      </c>
    </row>
    <row r="360" spans="1:9" ht="15.75">
      <c r="A360" s="65" t="s">
        <v>124</v>
      </c>
      <c r="B360" s="65" t="s">
        <v>84</v>
      </c>
      <c r="C360" s="65">
        <v>233.254</v>
      </c>
      <c r="D360" s="65">
        <v>1</v>
      </c>
      <c r="E360" s="65">
        <v>0</v>
      </c>
      <c r="F360" s="65">
        <v>4.27171</v>
      </c>
      <c r="G360" s="65">
        <v>2.4992</v>
      </c>
      <c r="H360" s="65">
        <v>7.90994</v>
      </c>
      <c r="I360" s="65">
        <v>0</v>
      </c>
    </row>
    <row r="361" spans="1:9" ht="15.75">
      <c r="A361" s="65" t="s">
        <v>125</v>
      </c>
      <c r="B361" s="65" t="s">
        <v>100</v>
      </c>
      <c r="C361" s="65">
        <v>234.004</v>
      </c>
      <c r="D361" s="65">
        <v>0.75</v>
      </c>
      <c r="E361" s="65">
        <v>0</v>
      </c>
      <c r="F361" s="65">
        <v>6.11804</v>
      </c>
      <c r="G361" s="65">
        <v>2.8088</v>
      </c>
      <c r="H361" s="65">
        <v>5.61185</v>
      </c>
      <c r="I361" s="65">
        <v>0</v>
      </c>
    </row>
    <row r="362" spans="1:9" ht="15.75">
      <c r="A362" s="65" t="s">
        <v>126</v>
      </c>
      <c r="B362" s="65" t="s">
        <v>100</v>
      </c>
      <c r="C362" s="65">
        <v>234.754</v>
      </c>
      <c r="D362" s="65">
        <v>0.75</v>
      </c>
      <c r="E362" s="65">
        <v>0</v>
      </c>
      <c r="F362" s="65">
        <v>8.37793</v>
      </c>
      <c r="G362" s="65">
        <v>3.16493</v>
      </c>
      <c r="H362" s="65">
        <v>3.87658</v>
      </c>
      <c r="I362" s="65">
        <v>0</v>
      </c>
    </row>
    <row r="363" spans="1:9" ht="15.75">
      <c r="A363" s="65" t="s">
        <v>127</v>
      </c>
      <c r="B363" s="65" t="s">
        <v>84</v>
      </c>
      <c r="C363" s="65">
        <v>235.754</v>
      </c>
      <c r="D363" s="65">
        <v>1</v>
      </c>
      <c r="E363" s="65">
        <v>0</v>
      </c>
      <c r="F363" s="65">
        <v>12.0647</v>
      </c>
      <c r="G363" s="65">
        <v>3.6693</v>
      </c>
      <c r="H363" s="65">
        <v>2.4384</v>
      </c>
      <c r="I363" s="65">
        <v>0</v>
      </c>
    </row>
    <row r="364" spans="1:9" ht="15.75">
      <c r="A364" s="65" t="s">
        <v>128</v>
      </c>
      <c r="B364" s="65" t="s">
        <v>82</v>
      </c>
      <c r="C364" s="65">
        <v>236.004</v>
      </c>
      <c r="D364" s="65">
        <v>0.25</v>
      </c>
      <c r="E364" s="65">
        <v>0.171873</v>
      </c>
      <c r="F364" s="65">
        <v>12.5816</v>
      </c>
      <c r="G364" s="65">
        <v>3.71594</v>
      </c>
      <c r="H364" s="65">
        <v>2.33515</v>
      </c>
      <c r="I364" s="65">
        <v>0</v>
      </c>
    </row>
    <row r="365" spans="1:9" ht="15.75">
      <c r="A365" s="65" t="s">
        <v>128</v>
      </c>
      <c r="B365" s="65" t="s">
        <v>82</v>
      </c>
      <c r="C365" s="65">
        <v>236.254</v>
      </c>
      <c r="D365" s="65">
        <v>0.25</v>
      </c>
      <c r="E365" s="65">
        <v>0.171873</v>
      </c>
      <c r="F365" s="65">
        <v>12.0426</v>
      </c>
      <c r="G365" s="65">
        <v>3.60348</v>
      </c>
      <c r="H365" s="65">
        <v>2.48991</v>
      </c>
      <c r="I365" s="65">
        <v>0</v>
      </c>
    </row>
    <row r="366" spans="1:9" ht="15.75">
      <c r="A366" s="65" t="s">
        <v>124</v>
      </c>
      <c r="B366" s="65" t="s">
        <v>84</v>
      </c>
      <c r="C366" s="65">
        <v>237.254</v>
      </c>
      <c r="D366" s="65">
        <v>1</v>
      </c>
      <c r="E366" s="65">
        <v>0</v>
      </c>
      <c r="F366" s="65">
        <v>8.28752</v>
      </c>
      <c r="G366" s="65">
        <v>2.83964</v>
      </c>
      <c r="H366" s="65">
        <v>4.18123</v>
      </c>
      <c r="I366" s="65">
        <v>0</v>
      </c>
    </row>
    <row r="367" spans="1:9" ht="15.75">
      <c r="A367" s="65" t="s">
        <v>125</v>
      </c>
      <c r="B367" s="65" t="s">
        <v>100</v>
      </c>
      <c r="C367" s="65">
        <v>238.004</v>
      </c>
      <c r="D367" s="65">
        <v>0.75</v>
      </c>
      <c r="E367" s="65">
        <v>0</v>
      </c>
      <c r="F367" s="65">
        <v>5.99753</v>
      </c>
      <c r="G367" s="65">
        <v>2.29079</v>
      </c>
      <c r="H367" s="65">
        <v>6.15283</v>
      </c>
      <c r="I367" s="65">
        <v>0</v>
      </c>
    </row>
    <row r="368" spans="1:9" ht="15.75">
      <c r="A368" s="65" t="s">
        <v>126</v>
      </c>
      <c r="B368" s="65" t="s">
        <v>100</v>
      </c>
      <c r="C368" s="65">
        <v>238.754</v>
      </c>
      <c r="D368" s="65">
        <v>0.75</v>
      </c>
      <c r="E368" s="65">
        <v>0</v>
      </c>
      <c r="F368" s="65">
        <v>4.14107</v>
      </c>
      <c r="G368" s="65">
        <v>1.79346</v>
      </c>
      <c r="H368" s="65">
        <v>8.72709</v>
      </c>
      <c r="I368" s="65">
        <v>0</v>
      </c>
    </row>
    <row r="369" spans="1:9" ht="15.75">
      <c r="A369" s="65" t="s">
        <v>127</v>
      </c>
      <c r="B369" s="65" t="s">
        <v>84</v>
      </c>
      <c r="C369" s="65">
        <v>239.754</v>
      </c>
      <c r="D369" s="65">
        <v>1</v>
      </c>
      <c r="E369" s="65">
        <v>0</v>
      </c>
      <c r="F369" s="65">
        <v>2.50978</v>
      </c>
      <c r="G369" s="65">
        <v>1.16686</v>
      </c>
      <c r="H369" s="65">
        <v>13.0969</v>
      </c>
      <c r="I369" s="65">
        <v>0</v>
      </c>
    </row>
    <row r="370" spans="1:9" ht="15.75">
      <c r="A370" s="65" t="s">
        <v>129</v>
      </c>
      <c r="B370" s="65" t="s">
        <v>82</v>
      </c>
      <c r="C370" s="65">
        <v>240.004</v>
      </c>
      <c r="D370" s="65">
        <v>0.25</v>
      </c>
      <c r="E370" s="65">
        <v>-0.182261</v>
      </c>
      <c r="F370" s="65">
        <v>2.37293</v>
      </c>
      <c r="G370" s="65">
        <v>1.03571</v>
      </c>
      <c r="H370" s="65">
        <v>13.7316</v>
      </c>
      <c r="I370" s="65">
        <v>0</v>
      </c>
    </row>
    <row r="371" spans="1:9" ht="15.75">
      <c r="A371" s="65" t="s">
        <v>65</v>
      </c>
      <c r="B371" s="65" t="s">
        <v>77</v>
      </c>
      <c r="C371" s="65">
        <v>240.004</v>
      </c>
      <c r="D371" s="65">
        <v>0</v>
      </c>
      <c r="E371" s="65">
        <v>0</v>
      </c>
      <c r="F371" s="65">
        <v>2.37293</v>
      </c>
      <c r="G371" s="65">
        <v>1.03571</v>
      </c>
      <c r="H371" s="65">
        <v>13.7316</v>
      </c>
      <c r="I371" s="65">
        <v>0</v>
      </c>
    </row>
    <row r="372" spans="1:9" ht="15.75">
      <c r="A372" s="65" t="s">
        <v>130</v>
      </c>
      <c r="B372" s="65" t="s">
        <v>77</v>
      </c>
      <c r="C372" s="65">
        <v>240.004</v>
      </c>
      <c r="D372" s="65">
        <v>0</v>
      </c>
      <c r="E372" s="65">
        <v>0</v>
      </c>
      <c r="F372" s="65">
        <v>2.37293</v>
      </c>
      <c r="G372" s="65">
        <v>1.03571</v>
      </c>
      <c r="H372" s="65">
        <v>13.7316</v>
      </c>
      <c r="I372" s="65">
        <v>0</v>
      </c>
    </row>
    <row r="373" spans="1:9" ht="15.75">
      <c r="A373" s="65" t="s">
        <v>129</v>
      </c>
      <c r="B373" s="65" t="s">
        <v>82</v>
      </c>
      <c r="C373" s="65">
        <v>240.254</v>
      </c>
      <c r="D373" s="65">
        <v>0.25</v>
      </c>
      <c r="E373" s="65">
        <v>-0.182261</v>
      </c>
      <c r="F373" s="65">
        <v>2.50911</v>
      </c>
      <c r="G373" s="65">
        <v>0.951928</v>
      </c>
      <c r="H373" s="65">
        <v>13.1428</v>
      </c>
      <c r="I373" s="65">
        <v>0</v>
      </c>
    </row>
    <row r="374" spans="1:9" ht="15.75">
      <c r="A374" s="65" t="s">
        <v>124</v>
      </c>
      <c r="B374" s="65" t="s">
        <v>84</v>
      </c>
      <c r="C374" s="65">
        <v>241.254</v>
      </c>
      <c r="D374" s="65">
        <v>1</v>
      </c>
      <c r="E374" s="65">
        <v>0</v>
      </c>
      <c r="F374" s="65">
        <v>4.13706</v>
      </c>
      <c r="G374" s="65">
        <v>0.70575</v>
      </c>
      <c r="H374" s="65">
        <v>8.9118</v>
      </c>
      <c r="I374" s="65">
        <v>0</v>
      </c>
    </row>
    <row r="375" spans="1:9" ht="15.75">
      <c r="A375" s="65" t="s">
        <v>125</v>
      </c>
      <c r="B375" s="65" t="s">
        <v>100</v>
      </c>
      <c r="C375" s="65">
        <v>242.004</v>
      </c>
      <c r="D375" s="65">
        <v>0.75</v>
      </c>
      <c r="E375" s="65">
        <v>0</v>
      </c>
      <c r="F375" s="65">
        <v>5.99042</v>
      </c>
      <c r="G375" s="65">
        <v>0.554801</v>
      </c>
      <c r="H375" s="65">
        <v>6.39773</v>
      </c>
      <c r="I375" s="65">
        <v>0</v>
      </c>
    </row>
    <row r="376" spans="1:9" ht="15.75">
      <c r="A376" s="65" t="s">
        <v>126</v>
      </c>
      <c r="B376" s="65" t="s">
        <v>100</v>
      </c>
      <c r="C376" s="65">
        <v>242.754</v>
      </c>
      <c r="D376" s="65">
        <v>0.75</v>
      </c>
      <c r="E376" s="65">
        <v>0</v>
      </c>
      <c r="F376" s="65">
        <v>8.27697</v>
      </c>
      <c r="G376" s="65">
        <v>0.472081</v>
      </c>
      <c r="H376" s="65">
        <v>4.44869</v>
      </c>
      <c r="I376" s="65">
        <v>0</v>
      </c>
    </row>
    <row r="377" spans="1:9" ht="15.75">
      <c r="A377" s="65" t="s">
        <v>127</v>
      </c>
      <c r="B377" s="65" t="s">
        <v>84</v>
      </c>
      <c r="C377" s="65">
        <v>243.754</v>
      </c>
      <c r="D377" s="65">
        <v>1</v>
      </c>
      <c r="E377" s="65">
        <v>0</v>
      </c>
      <c r="F377" s="65">
        <v>12.0268</v>
      </c>
      <c r="G377" s="65">
        <v>0.407701</v>
      </c>
      <c r="H377" s="65">
        <v>2.72891</v>
      </c>
      <c r="I377" s="65">
        <v>0</v>
      </c>
    </row>
    <row r="378" spans="1:9" ht="15.75">
      <c r="A378" s="65" t="s">
        <v>128</v>
      </c>
      <c r="B378" s="65" t="s">
        <v>82</v>
      </c>
      <c r="C378" s="65">
        <v>244.004</v>
      </c>
      <c r="D378" s="65">
        <v>0.25</v>
      </c>
      <c r="E378" s="65">
        <v>0.171873</v>
      </c>
      <c r="F378" s="65">
        <v>12.5652</v>
      </c>
      <c r="G378" s="65">
        <v>0.382993</v>
      </c>
      <c r="H378" s="65">
        <v>2.56652</v>
      </c>
      <c r="I378" s="65">
        <v>0</v>
      </c>
    </row>
    <row r="379" spans="1:9" ht="15.75">
      <c r="A379" s="65" t="s">
        <v>128</v>
      </c>
      <c r="B379" s="65" t="s">
        <v>82</v>
      </c>
      <c r="C379" s="65">
        <v>244.254</v>
      </c>
      <c r="D379" s="65">
        <v>0.25</v>
      </c>
      <c r="E379" s="65">
        <v>0.171873</v>
      </c>
      <c r="F379" s="65">
        <v>12.049</v>
      </c>
      <c r="G379" s="65">
        <v>0.341887</v>
      </c>
      <c r="H379" s="65">
        <v>2.6774</v>
      </c>
      <c r="I379" s="65">
        <v>0</v>
      </c>
    </row>
    <row r="380" spans="1:9" ht="15.75">
      <c r="A380" s="65" t="s">
        <v>124</v>
      </c>
      <c r="B380" s="65" t="s">
        <v>84</v>
      </c>
      <c r="C380" s="65">
        <v>245.254</v>
      </c>
      <c r="D380" s="65">
        <v>1</v>
      </c>
      <c r="E380" s="65">
        <v>0</v>
      </c>
      <c r="F380" s="65">
        <v>8.36738</v>
      </c>
      <c r="G380" s="65">
        <v>0.146796</v>
      </c>
      <c r="H380" s="65">
        <v>4.14405</v>
      </c>
      <c r="I380" s="65">
        <v>0</v>
      </c>
    </row>
    <row r="381" spans="1:9" ht="15.75">
      <c r="A381" s="65" t="s">
        <v>125</v>
      </c>
      <c r="B381" s="65" t="s">
        <v>100</v>
      </c>
      <c r="C381" s="65">
        <v>246.004</v>
      </c>
      <c r="D381" s="65">
        <v>0.75</v>
      </c>
      <c r="E381" s="65">
        <v>0</v>
      </c>
      <c r="F381" s="65">
        <v>6.11093</v>
      </c>
      <c r="G381" s="66">
        <v>0.0367912</v>
      </c>
      <c r="H381" s="65">
        <v>5.85675</v>
      </c>
      <c r="I381" s="65">
        <v>0</v>
      </c>
    </row>
    <row r="382" spans="1:9" ht="15.75">
      <c r="A382" s="65" t="s">
        <v>126</v>
      </c>
      <c r="B382" s="65" t="s">
        <v>100</v>
      </c>
      <c r="C382" s="65">
        <v>246.754</v>
      </c>
      <c r="D382" s="65">
        <v>0.75</v>
      </c>
      <c r="E382" s="65">
        <v>0</v>
      </c>
      <c r="F382" s="65">
        <v>4.2677</v>
      </c>
      <c r="G382" s="66">
        <v>4.24229E-06</v>
      </c>
      <c r="H382" s="65">
        <v>8.09465</v>
      </c>
      <c r="I382" s="65">
        <v>0</v>
      </c>
    </row>
    <row r="383" spans="1:9" ht="15.75">
      <c r="A383" s="65" t="s">
        <v>127</v>
      </c>
      <c r="B383" s="65" t="s">
        <v>84</v>
      </c>
      <c r="C383" s="65">
        <v>247.754</v>
      </c>
      <c r="D383" s="65">
        <v>1</v>
      </c>
      <c r="E383" s="65">
        <v>0</v>
      </c>
      <c r="F383" s="65">
        <v>2.62376</v>
      </c>
      <c r="G383" s="66">
        <v>2.93452E-06</v>
      </c>
      <c r="H383" s="65">
        <v>11.8955</v>
      </c>
      <c r="I383" s="65">
        <v>0</v>
      </c>
    </row>
    <row r="384" spans="1:9" ht="15.75">
      <c r="A384" s="65" t="s">
        <v>81</v>
      </c>
      <c r="B384" s="65" t="s">
        <v>82</v>
      </c>
      <c r="C384" s="65">
        <v>248.004</v>
      </c>
      <c r="D384" s="65">
        <v>0.25</v>
      </c>
      <c r="E384" s="65">
        <v>-0.125784</v>
      </c>
      <c r="F384" s="65">
        <v>2.44822</v>
      </c>
      <c r="G384" s="66">
        <v>2.65212E-06</v>
      </c>
      <c r="H384" s="65">
        <v>12.5989</v>
      </c>
      <c r="I384" s="65">
        <v>0</v>
      </c>
    </row>
    <row r="385" spans="1:9" ht="15.75">
      <c r="A385" s="65" t="s">
        <v>130</v>
      </c>
      <c r="B385" s="65" t="s">
        <v>77</v>
      </c>
      <c r="C385" s="65">
        <v>248.004</v>
      </c>
      <c r="D385" s="65">
        <v>0</v>
      </c>
      <c r="E385" s="65">
        <v>0</v>
      </c>
      <c r="F385" s="65">
        <v>2.44822</v>
      </c>
      <c r="G385" s="66">
        <v>2.65212E-06</v>
      </c>
      <c r="H385" s="65">
        <v>12.5989</v>
      </c>
      <c r="I385" s="65">
        <v>0</v>
      </c>
    </row>
    <row r="386" spans="1:9" ht="15.75">
      <c r="A386" s="65" t="s">
        <v>122</v>
      </c>
      <c r="B386" s="65" t="s">
        <v>77</v>
      </c>
      <c r="C386" s="65">
        <v>248.004</v>
      </c>
      <c r="D386" s="65">
        <v>0</v>
      </c>
      <c r="E386" s="65">
        <v>0</v>
      </c>
      <c r="F386" s="65">
        <v>2.44822</v>
      </c>
      <c r="G386" s="66">
        <v>2.65212E-06</v>
      </c>
      <c r="H386" s="65">
        <v>12.5989</v>
      </c>
      <c r="I386" s="65">
        <v>0</v>
      </c>
    </row>
    <row r="387" spans="1:9" ht="15.75">
      <c r="A387" s="65" t="s">
        <v>131</v>
      </c>
      <c r="B387" s="65" t="s">
        <v>77</v>
      </c>
      <c r="C387" s="65">
        <v>248.004</v>
      </c>
      <c r="D387" s="65">
        <v>0</v>
      </c>
      <c r="E387" s="65">
        <v>0</v>
      </c>
      <c r="F387" s="65">
        <v>2.44822</v>
      </c>
      <c r="G387" s="66">
        <v>2.65212E-06</v>
      </c>
      <c r="H387" s="65">
        <v>12.5989</v>
      </c>
      <c r="I387" s="65">
        <v>0</v>
      </c>
    </row>
    <row r="388" spans="1:9" ht="15.75">
      <c r="A388" s="65" t="s">
        <v>76</v>
      </c>
      <c r="B388" s="65" t="s">
        <v>77</v>
      </c>
      <c r="C388" s="65">
        <v>248.004</v>
      </c>
      <c r="D388" s="65">
        <v>0</v>
      </c>
      <c r="E388" s="65">
        <v>0</v>
      </c>
      <c r="F388" s="65">
        <v>2.44822</v>
      </c>
      <c r="G388" s="66">
        <v>2.65212E-06</v>
      </c>
      <c r="H388" s="65">
        <v>12.5989</v>
      </c>
      <c r="I388" s="65">
        <v>0</v>
      </c>
    </row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11"/>
  <sheetViews>
    <sheetView view="pageBreakPreview" zoomScaleSheetLayoutView="100" workbookViewId="0" topLeftCell="A1">
      <selection activeCell="A35" sqref="A35"/>
    </sheetView>
  </sheetViews>
  <sheetFormatPr defaultColWidth="9.140625" defaultRowHeight="12.75"/>
  <cols>
    <col min="1" max="1" width="15.28125" style="24" customWidth="1"/>
    <col min="2" max="4" width="10.7109375" style="25" customWidth="1"/>
    <col min="5" max="6" width="8.7109375" style="25" customWidth="1"/>
    <col min="7" max="8" width="10.7109375" style="25" customWidth="1"/>
    <col min="9" max="10" width="8.7109375" style="26" customWidth="1"/>
    <col min="11" max="11" width="18.140625" style="24" customWidth="1"/>
    <col min="12" max="12" width="8.8515625" style="0" hidden="1" customWidth="1"/>
  </cols>
  <sheetData>
    <row r="1" spans="1:11" ht="26.25" customHeight="1">
      <c r="A1" s="1" t="s">
        <v>16</v>
      </c>
      <c r="B1" s="2"/>
      <c r="C1" s="2"/>
      <c r="D1" s="2"/>
      <c r="E1" s="3"/>
      <c r="F1" s="3"/>
      <c r="G1" s="3"/>
      <c r="H1" s="3"/>
      <c r="I1" s="4"/>
      <c r="J1" s="4"/>
      <c r="K1" s="5"/>
    </row>
    <row r="2" spans="1:11" ht="20.25" customHeight="1">
      <c r="A2" s="112" t="s">
        <v>191</v>
      </c>
      <c r="B2" s="113"/>
      <c r="C2" s="113"/>
      <c r="D2" s="113"/>
      <c r="E2" s="114"/>
      <c r="F2" s="114"/>
      <c r="G2" s="114"/>
      <c r="H2" s="114"/>
      <c r="I2" s="115"/>
      <c r="J2" s="115"/>
      <c r="K2" s="116"/>
    </row>
    <row r="3" spans="1:12" ht="21" customHeight="1">
      <c r="A3" s="6" t="s">
        <v>54</v>
      </c>
      <c r="B3" s="6" t="s">
        <v>55</v>
      </c>
      <c r="C3" s="6" t="s">
        <v>61</v>
      </c>
      <c r="D3" s="6" t="s">
        <v>62</v>
      </c>
      <c r="E3" s="6" t="s">
        <v>56</v>
      </c>
      <c r="F3" s="6" t="s">
        <v>57</v>
      </c>
      <c r="G3" s="6" t="s">
        <v>60</v>
      </c>
      <c r="H3" s="6" t="s">
        <v>62</v>
      </c>
      <c r="I3" s="6" t="s">
        <v>58</v>
      </c>
      <c r="J3" s="6" t="s">
        <v>59</v>
      </c>
      <c r="K3" s="6" t="s">
        <v>2</v>
      </c>
      <c r="L3" s="7"/>
    </row>
    <row r="4" spans="1:12" ht="12.75" customHeight="1">
      <c r="A4" s="8"/>
      <c r="B4" s="9"/>
      <c r="C4" s="9"/>
      <c r="D4" s="9"/>
      <c r="E4" s="8"/>
      <c r="F4" s="8"/>
      <c r="G4" s="8"/>
      <c r="H4" s="8"/>
      <c r="I4" s="8"/>
      <c r="J4" s="8"/>
      <c r="K4" s="8"/>
      <c r="L4" s="7"/>
    </row>
    <row r="5" spans="1:11" s="13" customFormat="1" ht="12" customHeight="1">
      <c r="A5" s="10"/>
      <c r="B5" s="11">
        <v>0</v>
      </c>
      <c r="C5" s="11">
        <v>95</v>
      </c>
      <c r="D5" s="11">
        <v>0</v>
      </c>
      <c r="E5" s="11">
        <f>C5+D5</f>
        <v>95</v>
      </c>
      <c r="F5" s="11">
        <f>-C5+D5</f>
        <v>-95</v>
      </c>
      <c r="G5" s="11">
        <v>95</v>
      </c>
      <c r="H5" s="11">
        <v>0</v>
      </c>
      <c r="I5" s="12">
        <f>G5+H5</f>
        <v>95</v>
      </c>
      <c r="J5" s="12">
        <f>-G5+H5</f>
        <v>-95</v>
      </c>
      <c r="K5" s="10" t="s">
        <v>4</v>
      </c>
    </row>
    <row r="6" spans="1:11" ht="12" customHeight="1">
      <c r="A6" s="10">
        <v>25</v>
      </c>
      <c r="B6" s="11">
        <f aca="true" t="shared" si="0" ref="B6:B42">(A6/100+B5)</f>
        <v>0.25</v>
      </c>
      <c r="C6" s="11">
        <v>95</v>
      </c>
      <c r="D6" s="11">
        <v>0</v>
      </c>
      <c r="E6" s="11">
        <f aca="true" t="shared" si="1" ref="E6:E75">C6+D6</f>
        <v>95</v>
      </c>
      <c r="F6" s="11">
        <f aca="true" t="shared" si="2" ref="F6:F75">-C6+D6</f>
        <v>-95</v>
      </c>
      <c r="G6" s="11">
        <v>95</v>
      </c>
      <c r="H6" s="11">
        <v>0</v>
      </c>
      <c r="I6" s="12">
        <f aca="true" t="shared" si="3" ref="I6:I75">G6+H6</f>
        <v>95</v>
      </c>
      <c r="J6" s="12">
        <f aca="true" t="shared" si="4" ref="J6:J75">-G6+H6</f>
        <v>-95</v>
      </c>
      <c r="K6" s="10" t="s">
        <v>31</v>
      </c>
    </row>
    <row r="7" spans="1:11" ht="12" customHeight="1">
      <c r="A7" s="14">
        <f>'Kicks @ 1GeV'!C12*100-A6-A9-A11</f>
        <v>69.3</v>
      </c>
      <c r="B7" s="15">
        <f t="shared" si="0"/>
        <v>0.943</v>
      </c>
      <c r="C7" s="15">
        <v>95</v>
      </c>
      <c r="D7" s="15">
        <v>0</v>
      </c>
      <c r="E7" s="15">
        <f t="shared" si="1"/>
        <v>95</v>
      </c>
      <c r="F7" s="15">
        <f t="shared" si="2"/>
        <v>-95</v>
      </c>
      <c r="G7" s="15">
        <v>95</v>
      </c>
      <c r="H7" s="15">
        <v>0</v>
      </c>
      <c r="I7" s="16">
        <f t="shared" si="3"/>
        <v>95</v>
      </c>
      <c r="J7" s="16">
        <f t="shared" si="4"/>
        <v>-95</v>
      </c>
      <c r="K7" s="14"/>
    </row>
    <row r="8" spans="1:11" ht="12" customHeight="1">
      <c r="A8" s="14">
        <v>0</v>
      </c>
      <c r="B8" s="15">
        <f t="shared" si="0"/>
        <v>0.943</v>
      </c>
      <c r="C8" s="15">
        <v>90</v>
      </c>
      <c r="D8" s="15">
        <v>0</v>
      </c>
      <c r="E8" s="15">
        <f t="shared" si="1"/>
        <v>90</v>
      </c>
      <c r="F8" s="15">
        <f t="shared" si="2"/>
        <v>-90</v>
      </c>
      <c r="G8" s="15">
        <v>90</v>
      </c>
      <c r="H8" s="15">
        <v>0</v>
      </c>
      <c r="I8" s="16">
        <f>G8+H8</f>
        <v>90</v>
      </c>
      <c r="J8" s="16">
        <f>-G8+H8</f>
        <v>-90</v>
      </c>
      <c r="K8" s="14" t="s">
        <v>49</v>
      </c>
    </row>
    <row r="9" spans="1:11" ht="12" customHeight="1">
      <c r="A9" s="14">
        <v>25.4</v>
      </c>
      <c r="B9" s="15">
        <f t="shared" si="0"/>
        <v>1.197</v>
      </c>
      <c r="C9" s="15">
        <v>90</v>
      </c>
      <c r="D9" s="15">
        <v>0</v>
      </c>
      <c r="E9" s="15">
        <f t="shared" si="1"/>
        <v>90</v>
      </c>
      <c r="F9" s="15">
        <f t="shared" si="2"/>
        <v>-90</v>
      </c>
      <c r="G9" s="15">
        <v>90</v>
      </c>
      <c r="H9" s="15">
        <v>0</v>
      </c>
      <c r="I9" s="16">
        <f t="shared" si="3"/>
        <v>90</v>
      </c>
      <c r="J9" s="16">
        <f t="shared" si="4"/>
        <v>-90</v>
      </c>
      <c r="K9" s="14" t="s">
        <v>69</v>
      </c>
    </row>
    <row r="10" spans="1:11" ht="12" customHeight="1">
      <c r="A10" s="27">
        <v>0</v>
      </c>
      <c r="B10" s="28">
        <f t="shared" si="0"/>
        <v>1.197</v>
      </c>
      <c r="C10" s="28">
        <v>80</v>
      </c>
      <c r="D10" s="28">
        <v>0</v>
      </c>
      <c r="E10" s="28">
        <f>C10+D10</f>
        <v>80</v>
      </c>
      <c r="F10" s="28">
        <f>-C10+D10</f>
        <v>-80</v>
      </c>
      <c r="G10" s="28">
        <v>80</v>
      </c>
      <c r="H10" s="28">
        <v>0</v>
      </c>
      <c r="I10" s="29">
        <f aca="true" t="shared" si="5" ref="I10:I15">G10+H10</f>
        <v>80</v>
      </c>
      <c r="J10" s="29">
        <f aca="true" t="shared" si="6" ref="J10:J15">-G10+H10</f>
        <v>-80</v>
      </c>
      <c r="K10" s="27" t="s">
        <v>49</v>
      </c>
    </row>
    <row r="11" spans="1:11" s="20" customFormat="1" ht="12" customHeight="1">
      <c r="A11" s="27">
        <v>45.3</v>
      </c>
      <c r="B11" s="28">
        <f t="shared" si="0"/>
        <v>1.65</v>
      </c>
      <c r="C11" s="28">
        <v>80</v>
      </c>
      <c r="D11" s="28">
        <v>0</v>
      </c>
      <c r="E11" s="28">
        <f t="shared" si="1"/>
        <v>80</v>
      </c>
      <c r="F11" s="28">
        <f t="shared" si="2"/>
        <v>-80</v>
      </c>
      <c r="G11" s="28">
        <v>80</v>
      </c>
      <c r="H11" s="28">
        <v>0</v>
      </c>
      <c r="I11" s="29">
        <f t="shared" si="5"/>
        <v>80</v>
      </c>
      <c r="J11" s="29">
        <f t="shared" si="6"/>
        <v>-80</v>
      </c>
      <c r="K11" s="27" t="s">
        <v>32</v>
      </c>
    </row>
    <row r="12" spans="1:11" s="22" customFormat="1" ht="12" customHeight="1">
      <c r="A12" s="27">
        <v>45.3</v>
      </c>
      <c r="B12" s="28">
        <f t="shared" si="0"/>
        <v>2.1029999999999998</v>
      </c>
      <c r="C12" s="28">
        <v>80</v>
      </c>
      <c r="D12" s="28">
        <v>0</v>
      </c>
      <c r="E12" s="28">
        <f t="shared" si="1"/>
        <v>80</v>
      </c>
      <c r="F12" s="28">
        <f t="shared" si="2"/>
        <v>-80</v>
      </c>
      <c r="G12" s="28">
        <v>80</v>
      </c>
      <c r="H12" s="28">
        <v>0</v>
      </c>
      <c r="I12" s="29">
        <f t="shared" si="5"/>
        <v>80</v>
      </c>
      <c r="J12" s="29">
        <f t="shared" si="6"/>
        <v>-80</v>
      </c>
      <c r="K12" s="27" t="s">
        <v>33</v>
      </c>
    </row>
    <row r="13" spans="1:11" s="22" customFormat="1" ht="12" customHeight="1">
      <c r="A13" s="27">
        <v>0</v>
      </c>
      <c r="B13" s="28">
        <f t="shared" si="0"/>
        <v>2.1029999999999998</v>
      </c>
      <c r="C13" s="28">
        <v>90</v>
      </c>
      <c r="D13" s="28">
        <v>0</v>
      </c>
      <c r="E13" s="28">
        <f>C13+D13</f>
        <v>90</v>
      </c>
      <c r="F13" s="28">
        <f>-C13+D13</f>
        <v>-90</v>
      </c>
      <c r="G13" s="28">
        <v>90</v>
      </c>
      <c r="H13" s="28">
        <v>0</v>
      </c>
      <c r="I13" s="29">
        <f t="shared" si="5"/>
        <v>90</v>
      </c>
      <c r="J13" s="29">
        <f t="shared" si="6"/>
        <v>-90</v>
      </c>
      <c r="K13" s="27" t="s">
        <v>49</v>
      </c>
    </row>
    <row r="14" spans="1:11" ht="12" customHeight="1">
      <c r="A14" s="14">
        <v>25.4</v>
      </c>
      <c r="B14" s="15">
        <f t="shared" si="0"/>
        <v>2.3569999999999998</v>
      </c>
      <c r="C14" s="15">
        <v>90</v>
      </c>
      <c r="D14" s="9">
        <v>0</v>
      </c>
      <c r="E14" s="9">
        <f>C14+D14</f>
        <v>90</v>
      </c>
      <c r="F14" s="9">
        <f>-C14+D14</f>
        <v>-90</v>
      </c>
      <c r="G14" s="15">
        <v>90</v>
      </c>
      <c r="H14" s="15">
        <v>0</v>
      </c>
      <c r="I14" s="16">
        <f t="shared" si="5"/>
        <v>90</v>
      </c>
      <c r="J14" s="16">
        <f t="shared" si="6"/>
        <v>-90</v>
      </c>
      <c r="K14" s="14" t="s">
        <v>69</v>
      </c>
    </row>
    <row r="15" spans="1:11" ht="12" customHeight="1">
      <c r="A15" s="27">
        <v>0</v>
      </c>
      <c r="B15" s="28">
        <f t="shared" si="0"/>
        <v>2.3569999999999998</v>
      </c>
      <c r="C15" s="28">
        <v>80</v>
      </c>
      <c r="D15" s="28">
        <v>0</v>
      </c>
      <c r="E15" s="28">
        <f>C15+D15</f>
        <v>80</v>
      </c>
      <c r="F15" s="28">
        <f>-C15+D15</f>
        <v>-80</v>
      </c>
      <c r="G15" s="28">
        <v>80</v>
      </c>
      <c r="H15" s="28">
        <v>0</v>
      </c>
      <c r="I15" s="29">
        <f t="shared" si="5"/>
        <v>80</v>
      </c>
      <c r="J15" s="29">
        <f t="shared" si="6"/>
        <v>-80</v>
      </c>
      <c r="K15" s="27" t="s">
        <v>49</v>
      </c>
    </row>
    <row r="16" spans="1:11" s="13" customFormat="1" ht="11.25" customHeight="1">
      <c r="A16" s="27">
        <v>45.3</v>
      </c>
      <c r="B16" s="28">
        <f t="shared" si="0"/>
        <v>2.8099999999999996</v>
      </c>
      <c r="C16" s="28">
        <v>80</v>
      </c>
      <c r="D16" s="28">
        <v>0</v>
      </c>
      <c r="E16" s="28">
        <f t="shared" si="1"/>
        <v>80</v>
      </c>
      <c r="F16" s="28">
        <f t="shared" si="2"/>
        <v>-80</v>
      </c>
      <c r="G16" s="28">
        <v>80</v>
      </c>
      <c r="H16" s="28">
        <v>0</v>
      </c>
      <c r="I16" s="29">
        <f t="shared" si="3"/>
        <v>80</v>
      </c>
      <c r="J16" s="29">
        <f t="shared" si="4"/>
        <v>-80</v>
      </c>
      <c r="K16" s="27" t="s">
        <v>34</v>
      </c>
    </row>
    <row r="17" spans="1:11" ht="12" customHeight="1">
      <c r="A17" s="27">
        <v>45.3</v>
      </c>
      <c r="B17" s="28">
        <f t="shared" si="0"/>
        <v>3.2629999999999995</v>
      </c>
      <c r="C17" s="28">
        <v>80</v>
      </c>
      <c r="D17" s="28">
        <v>0</v>
      </c>
      <c r="E17" s="28">
        <f t="shared" si="1"/>
        <v>80</v>
      </c>
      <c r="F17" s="28">
        <f t="shared" si="2"/>
        <v>-80</v>
      </c>
      <c r="G17" s="28">
        <v>80</v>
      </c>
      <c r="H17" s="28">
        <v>0</v>
      </c>
      <c r="I17" s="29">
        <f t="shared" si="3"/>
        <v>80</v>
      </c>
      <c r="J17" s="29">
        <f t="shared" si="4"/>
        <v>-80</v>
      </c>
      <c r="K17" s="27" t="s">
        <v>35</v>
      </c>
    </row>
    <row r="18" spans="1:11" ht="12" customHeight="1">
      <c r="A18" s="27">
        <v>0</v>
      </c>
      <c r="B18" s="28">
        <f t="shared" si="0"/>
        <v>3.2629999999999995</v>
      </c>
      <c r="C18" s="28">
        <v>90</v>
      </c>
      <c r="D18" s="28">
        <v>0</v>
      </c>
      <c r="E18" s="28">
        <f>C18+D18</f>
        <v>90</v>
      </c>
      <c r="F18" s="28">
        <f>-C18+D18</f>
        <v>-90</v>
      </c>
      <c r="G18" s="28">
        <v>90</v>
      </c>
      <c r="H18" s="28">
        <v>0</v>
      </c>
      <c r="I18" s="29">
        <f>G18+H18</f>
        <v>90</v>
      </c>
      <c r="J18" s="29">
        <f>-G18+H18</f>
        <v>-90</v>
      </c>
      <c r="K18" s="27" t="s">
        <v>49</v>
      </c>
    </row>
    <row r="19" spans="1:11" ht="12" customHeight="1">
      <c r="A19" s="14">
        <v>25.4</v>
      </c>
      <c r="B19" s="31">
        <f t="shared" si="0"/>
        <v>3.5169999999999995</v>
      </c>
      <c r="C19" s="15">
        <v>90</v>
      </c>
      <c r="D19" s="15">
        <v>0</v>
      </c>
      <c r="E19" s="15">
        <f t="shared" si="1"/>
        <v>90</v>
      </c>
      <c r="F19" s="15">
        <f t="shared" si="2"/>
        <v>-90</v>
      </c>
      <c r="G19" s="15">
        <v>90</v>
      </c>
      <c r="H19" s="15">
        <v>0</v>
      </c>
      <c r="I19" s="16">
        <f t="shared" si="3"/>
        <v>90</v>
      </c>
      <c r="J19" s="16">
        <f t="shared" si="4"/>
        <v>-90</v>
      </c>
      <c r="K19" s="14" t="s">
        <v>69</v>
      </c>
    </row>
    <row r="20" spans="1:11" ht="12" customHeight="1">
      <c r="A20" s="14">
        <f>'Kicks @ 1GeV'!D6*100-A22-A21-A19-A17</f>
        <v>33.08999999999999</v>
      </c>
      <c r="B20" s="15">
        <f t="shared" si="0"/>
        <v>3.847899999999999</v>
      </c>
      <c r="C20" s="15">
        <v>90</v>
      </c>
      <c r="D20" s="15">
        <v>0</v>
      </c>
      <c r="E20" s="15">
        <f t="shared" si="1"/>
        <v>90</v>
      </c>
      <c r="F20" s="15">
        <f t="shared" si="2"/>
        <v>-90</v>
      </c>
      <c r="G20" s="15">
        <v>90</v>
      </c>
      <c r="H20" s="15">
        <v>0</v>
      </c>
      <c r="I20" s="16">
        <f t="shared" si="3"/>
        <v>90</v>
      </c>
      <c r="J20" s="16">
        <f t="shared" si="4"/>
        <v>-90</v>
      </c>
      <c r="K20" s="30" t="s">
        <v>71</v>
      </c>
    </row>
    <row r="21" spans="1:11" ht="12" customHeight="1">
      <c r="A21" s="14">
        <v>25.4</v>
      </c>
      <c r="B21" s="15">
        <f t="shared" si="0"/>
        <v>4.101899999999999</v>
      </c>
      <c r="C21" s="15">
        <v>90</v>
      </c>
      <c r="D21" s="15">
        <v>0</v>
      </c>
      <c r="E21" s="15">
        <v>90</v>
      </c>
      <c r="F21" s="15">
        <v>-90</v>
      </c>
      <c r="G21" s="15">
        <v>90</v>
      </c>
      <c r="H21" s="15">
        <v>0</v>
      </c>
      <c r="I21" s="16">
        <v>90</v>
      </c>
      <c r="J21" s="16">
        <v>-90</v>
      </c>
      <c r="K21" s="14" t="s">
        <v>69</v>
      </c>
    </row>
    <row r="22" spans="1:11" s="23" customFormat="1" ht="12.75">
      <c r="A22" s="27">
        <f>(101.6-'Kicks @ 1GeV'!D7*100)/2</f>
        <v>23.81</v>
      </c>
      <c r="B22" s="28">
        <f t="shared" si="0"/>
        <v>4.339999999999999</v>
      </c>
      <c r="C22" s="28">
        <v>90</v>
      </c>
      <c r="D22" s="28">
        <v>0</v>
      </c>
      <c r="E22" s="28">
        <f t="shared" si="1"/>
        <v>90</v>
      </c>
      <c r="F22" s="28">
        <f t="shared" si="2"/>
        <v>-90</v>
      </c>
      <c r="G22" s="28">
        <v>90</v>
      </c>
      <c r="H22" s="28">
        <v>0</v>
      </c>
      <c r="I22" s="29">
        <f t="shared" si="3"/>
        <v>90</v>
      </c>
      <c r="J22" s="29">
        <f t="shared" si="4"/>
        <v>-90</v>
      </c>
      <c r="K22" s="27" t="s">
        <v>36</v>
      </c>
    </row>
    <row r="23" spans="1:11" s="22" customFormat="1" ht="12.75">
      <c r="A23" s="27">
        <f>A22</f>
        <v>23.81</v>
      </c>
      <c r="B23" s="28">
        <f t="shared" si="0"/>
        <v>4.578099999999999</v>
      </c>
      <c r="C23" s="28">
        <v>90</v>
      </c>
      <c r="D23" s="28">
        <v>0</v>
      </c>
      <c r="E23" s="28">
        <f t="shared" si="1"/>
        <v>90</v>
      </c>
      <c r="F23" s="28">
        <f t="shared" si="2"/>
        <v>-90</v>
      </c>
      <c r="G23" s="28">
        <v>90</v>
      </c>
      <c r="H23" s="28">
        <v>0</v>
      </c>
      <c r="I23" s="29">
        <f t="shared" si="3"/>
        <v>90</v>
      </c>
      <c r="J23" s="29">
        <f t="shared" si="4"/>
        <v>-90</v>
      </c>
      <c r="K23" s="27" t="s">
        <v>37</v>
      </c>
    </row>
    <row r="24" spans="1:11" ht="12" customHeight="1">
      <c r="A24" s="14">
        <f>'Kicks @ 1GeV'!D7*100-'Pipe(both)'!A23-'Pipe(both)'!A25</f>
        <v>6.359999999999999</v>
      </c>
      <c r="B24" s="15">
        <f t="shared" si="0"/>
        <v>4.641699999999999</v>
      </c>
      <c r="C24" s="15">
        <v>90</v>
      </c>
      <c r="D24" s="15">
        <v>0</v>
      </c>
      <c r="E24" s="15">
        <f t="shared" si="1"/>
        <v>90</v>
      </c>
      <c r="F24" s="15">
        <f t="shared" si="2"/>
        <v>-90</v>
      </c>
      <c r="G24" s="15">
        <v>90</v>
      </c>
      <c r="H24" s="15">
        <v>0</v>
      </c>
      <c r="I24" s="16">
        <f t="shared" si="3"/>
        <v>90</v>
      </c>
      <c r="J24" s="16">
        <f t="shared" si="4"/>
        <v>-90</v>
      </c>
      <c r="K24" s="14"/>
    </row>
    <row r="25" spans="1:11" s="13" customFormat="1" ht="12" customHeight="1">
      <c r="A25" s="27">
        <f>A22</f>
        <v>23.81</v>
      </c>
      <c r="B25" s="28">
        <f t="shared" si="0"/>
        <v>4.8797999999999995</v>
      </c>
      <c r="C25" s="28">
        <v>90</v>
      </c>
      <c r="D25" s="28">
        <v>0</v>
      </c>
      <c r="E25" s="28">
        <f t="shared" si="1"/>
        <v>90</v>
      </c>
      <c r="F25" s="28">
        <f t="shared" si="2"/>
        <v>-90</v>
      </c>
      <c r="G25" s="28">
        <v>90</v>
      </c>
      <c r="H25" s="28">
        <v>0</v>
      </c>
      <c r="I25" s="29">
        <f t="shared" si="3"/>
        <v>90</v>
      </c>
      <c r="J25" s="29">
        <f t="shared" si="4"/>
        <v>-90</v>
      </c>
      <c r="K25" s="27" t="s">
        <v>38</v>
      </c>
    </row>
    <row r="26" spans="1:11" ht="12" customHeight="1">
      <c r="A26" s="27">
        <f>A22</f>
        <v>23.81</v>
      </c>
      <c r="B26" s="28">
        <f t="shared" si="0"/>
        <v>5.1179</v>
      </c>
      <c r="C26" s="28">
        <v>90</v>
      </c>
      <c r="D26" s="28">
        <v>0</v>
      </c>
      <c r="E26" s="28">
        <f t="shared" si="1"/>
        <v>90</v>
      </c>
      <c r="F26" s="28">
        <f t="shared" si="2"/>
        <v>-90</v>
      </c>
      <c r="G26" s="28">
        <v>90</v>
      </c>
      <c r="H26" s="28">
        <v>0</v>
      </c>
      <c r="I26" s="29">
        <f t="shared" si="3"/>
        <v>90</v>
      </c>
      <c r="J26" s="29">
        <f t="shared" si="4"/>
        <v>-90</v>
      </c>
      <c r="K26" s="27" t="s">
        <v>39</v>
      </c>
    </row>
    <row r="27" spans="1:11" ht="12" customHeight="1">
      <c r="A27" s="30">
        <v>25.4</v>
      </c>
      <c r="B27" s="31">
        <f t="shared" si="0"/>
        <v>5.3719</v>
      </c>
      <c r="C27" s="31">
        <v>90</v>
      </c>
      <c r="D27" s="31">
        <v>0</v>
      </c>
      <c r="E27" s="31">
        <v>90</v>
      </c>
      <c r="F27" s="15">
        <f t="shared" si="2"/>
        <v>-90</v>
      </c>
      <c r="G27" s="15">
        <v>90</v>
      </c>
      <c r="H27" s="15">
        <v>0</v>
      </c>
      <c r="I27" s="16">
        <f>G27+H27</f>
        <v>90</v>
      </c>
      <c r="J27" s="16">
        <f>-G27+H27</f>
        <v>-90</v>
      </c>
      <c r="K27" s="30" t="s">
        <v>69</v>
      </c>
    </row>
    <row r="28" spans="1:11" ht="12" customHeight="1">
      <c r="A28" s="14">
        <v>0</v>
      </c>
      <c r="B28" s="31">
        <f>(A28/100+B27)</f>
        <v>5.3719</v>
      </c>
      <c r="C28" s="15">
        <v>149.2</v>
      </c>
      <c r="D28" s="15">
        <v>0</v>
      </c>
      <c r="E28" s="15">
        <f t="shared" si="1"/>
        <v>149.2</v>
      </c>
      <c r="F28" s="15">
        <f t="shared" si="2"/>
        <v>-149.2</v>
      </c>
      <c r="G28" s="15">
        <v>149.2</v>
      </c>
      <c r="H28" s="15">
        <v>0</v>
      </c>
      <c r="I28" s="16">
        <f t="shared" si="3"/>
        <v>149.2</v>
      </c>
      <c r="J28" s="16">
        <f t="shared" si="4"/>
        <v>-149.2</v>
      </c>
      <c r="K28" s="14" t="s">
        <v>49</v>
      </c>
    </row>
    <row r="29" spans="1:11" ht="12" customHeight="1">
      <c r="A29" s="14">
        <f>'Kicks @ 1GeV'!C31*100-'Pipe(both)'!A26-A27-A28-A30</f>
        <v>172.79</v>
      </c>
      <c r="B29" s="15">
        <f>(A29/100+B28)</f>
        <v>7.0998</v>
      </c>
      <c r="C29" s="15">
        <v>149.2</v>
      </c>
      <c r="D29" s="15">
        <v>0</v>
      </c>
      <c r="E29" s="15">
        <f t="shared" si="1"/>
        <v>149.2</v>
      </c>
      <c r="F29" s="15">
        <f t="shared" si="2"/>
        <v>-149.2</v>
      </c>
      <c r="G29" s="15">
        <v>149.2</v>
      </c>
      <c r="H29" s="15">
        <v>0</v>
      </c>
      <c r="I29" s="16">
        <f t="shared" si="3"/>
        <v>149.2</v>
      </c>
      <c r="J29" s="16">
        <f t="shared" si="4"/>
        <v>-149.2</v>
      </c>
      <c r="K29" s="14"/>
    </row>
    <row r="30" spans="1:11" s="23" customFormat="1" ht="12" customHeight="1">
      <c r="A30" s="10">
        <v>35</v>
      </c>
      <c r="B30" s="11">
        <f t="shared" si="0"/>
        <v>7.4498</v>
      </c>
      <c r="C30" s="11">
        <v>149.2</v>
      </c>
      <c r="D30" s="11">
        <v>0</v>
      </c>
      <c r="E30" s="11">
        <f t="shared" si="1"/>
        <v>149.2</v>
      </c>
      <c r="F30" s="11">
        <f t="shared" si="2"/>
        <v>-149.2</v>
      </c>
      <c r="G30" s="11">
        <v>149.2</v>
      </c>
      <c r="H30" s="11">
        <v>0</v>
      </c>
      <c r="I30" s="12">
        <f t="shared" si="3"/>
        <v>149.2</v>
      </c>
      <c r="J30" s="12">
        <f t="shared" si="4"/>
        <v>-149.2</v>
      </c>
      <c r="K30" s="10" t="s">
        <v>5</v>
      </c>
    </row>
    <row r="31" spans="1:11" s="22" customFormat="1" ht="12" customHeight="1">
      <c r="A31" s="10">
        <v>35</v>
      </c>
      <c r="B31" s="11">
        <f t="shared" si="0"/>
        <v>7.799799999999999</v>
      </c>
      <c r="C31" s="11">
        <v>149.2</v>
      </c>
      <c r="D31" s="11">
        <v>0</v>
      </c>
      <c r="E31" s="11">
        <f t="shared" si="1"/>
        <v>149.2</v>
      </c>
      <c r="F31" s="11">
        <f t="shared" si="2"/>
        <v>-149.2</v>
      </c>
      <c r="G31" s="11">
        <v>149.2</v>
      </c>
      <c r="H31" s="11">
        <v>0</v>
      </c>
      <c r="I31" s="12">
        <f t="shared" si="3"/>
        <v>149.2</v>
      </c>
      <c r="J31" s="12">
        <f t="shared" si="4"/>
        <v>-149.2</v>
      </c>
      <c r="K31" s="10" t="s">
        <v>17</v>
      </c>
    </row>
    <row r="32" spans="1:11" s="22" customFormat="1" ht="12" customHeight="1">
      <c r="A32" s="30">
        <v>40</v>
      </c>
      <c r="B32" s="31">
        <f t="shared" si="0"/>
        <v>8.1998</v>
      </c>
      <c r="C32" s="31">
        <v>149.2</v>
      </c>
      <c r="D32" s="31">
        <v>0</v>
      </c>
      <c r="E32" s="31">
        <f t="shared" si="1"/>
        <v>149.2</v>
      </c>
      <c r="F32" s="31">
        <f t="shared" si="2"/>
        <v>-149.2</v>
      </c>
      <c r="G32" s="31">
        <v>149.2</v>
      </c>
      <c r="H32" s="31">
        <v>0</v>
      </c>
      <c r="I32" s="16">
        <f t="shared" si="3"/>
        <v>149.2</v>
      </c>
      <c r="J32" s="16">
        <f t="shared" si="4"/>
        <v>-149.2</v>
      </c>
      <c r="K32" s="30"/>
    </row>
    <row r="33" spans="1:11" s="22" customFormat="1" ht="12" customHeight="1">
      <c r="A33" s="10">
        <v>27.5</v>
      </c>
      <c r="B33" s="11">
        <f t="shared" si="0"/>
        <v>8.4748</v>
      </c>
      <c r="C33" s="11">
        <v>149.2</v>
      </c>
      <c r="D33" s="11">
        <v>0</v>
      </c>
      <c r="E33" s="11">
        <f t="shared" si="1"/>
        <v>149.2</v>
      </c>
      <c r="F33" s="11">
        <f t="shared" si="2"/>
        <v>-149.2</v>
      </c>
      <c r="G33" s="11">
        <v>149.2</v>
      </c>
      <c r="H33" s="11">
        <v>0</v>
      </c>
      <c r="I33" s="12">
        <f t="shared" si="3"/>
        <v>149.2</v>
      </c>
      <c r="J33" s="12">
        <f t="shared" si="4"/>
        <v>-149.2</v>
      </c>
      <c r="K33" s="10" t="s">
        <v>25</v>
      </c>
    </row>
    <row r="34" spans="1:11" s="22" customFormat="1" ht="12" customHeight="1">
      <c r="A34" s="10">
        <v>27.5</v>
      </c>
      <c r="B34" s="11">
        <f t="shared" si="0"/>
        <v>8.7498</v>
      </c>
      <c r="C34" s="11">
        <v>149.2</v>
      </c>
      <c r="D34" s="11">
        <v>0</v>
      </c>
      <c r="E34" s="11">
        <f t="shared" si="1"/>
        <v>149.2</v>
      </c>
      <c r="F34" s="11">
        <f t="shared" si="2"/>
        <v>-149.2</v>
      </c>
      <c r="G34" s="11">
        <v>149.2</v>
      </c>
      <c r="H34" s="11">
        <v>0</v>
      </c>
      <c r="I34" s="12">
        <f t="shared" si="3"/>
        <v>149.2</v>
      </c>
      <c r="J34" s="12">
        <f t="shared" si="4"/>
        <v>-149.2</v>
      </c>
      <c r="K34" s="10" t="s">
        <v>26</v>
      </c>
    </row>
    <row r="35" spans="1:11" s="22" customFormat="1" ht="12.75" customHeight="1">
      <c r="A35" s="21">
        <v>200.6</v>
      </c>
      <c r="B35" s="15">
        <f t="shared" si="0"/>
        <v>10.7558</v>
      </c>
      <c r="C35" s="15">
        <v>149.2</v>
      </c>
      <c r="D35" s="15">
        <v>0</v>
      </c>
      <c r="E35" s="15">
        <f t="shared" si="1"/>
        <v>149.2</v>
      </c>
      <c r="F35" s="15">
        <f t="shared" si="2"/>
        <v>-149.2</v>
      </c>
      <c r="G35" s="15">
        <v>149.2</v>
      </c>
      <c r="H35" s="15">
        <v>0</v>
      </c>
      <c r="I35" s="16">
        <f t="shared" si="3"/>
        <v>149.2</v>
      </c>
      <c r="J35" s="16">
        <f t="shared" si="4"/>
        <v>-149.2</v>
      </c>
      <c r="K35" s="30" t="s">
        <v>71</v>
      </c>
    </row>
    <row r="36" spans="1:11" ht="12" customHeight="1">
      <c r="A36" s="21">
        <v>0</v>
      </c>
      <c r="B36" s="15">
        <f t="shared" si="0"/>
        <v>10.7558</v>
      </c>
      <c r="C36" s="15">
        <v>106.77</v>
      </c>
      <c r="D36" s="15">
        <v>10</v>
      </c>
      <c r="E36" s="15">
        <f t="shared" si="1"/>
        <v>116.77</v>
      </c>
      <c r="F36" s="15">
        <f t="shared" si="2"/>
        <v>-96.77</v>
      </c>
      <c r="G36" s="15">
        <v>106.77</v>
      </c>
      <c r="H36" s="15">
        <v>-23</v>
      </c>
      <c r="I36" s="16">
        <f t="shared" si="3"/>
        <v>83.77</v>
      </c>
      <c r="J36" s="16">
        <f t="shared" si="4"/>
        <v>-129.76999999999998</v>
      </c>
      <c r="K36" s="14" t="s">
        <v>49</v>
      </c>
    </row>
    <row r="37" spans="1:11" ht="12" customHeight="1">
      <c r="A37" s="21">
        <v>38.1</v>
      </c>
      <c r="B37" s="15">
        <f t="shared" si="0"/>
        <v>11.136800000000001</v>
      </c>
      <c r="C37" s="15">
        <v>106.77</v>
      </c>
      <c r="D37" s="15">
        <v>10</v>
      </c>
      <c r="E37" s="15">
        <f t="shared" si="1"/>
        <v>116.77</v>
      </c>
      <c r="F37" s="15">
        <f t="shared" si="2"/>
        <v>-96.77</v>
      </c>
      <c r="G37" s="15">
        <v>106.77</v>
      </c>
      <c r="H37" s="15">
        <v>-23</v>
      </c>
      <c r="I37" s="16">
        <f t="shared" si="3"/>
        <v>83.77</v>
      </c>
      <c r="J37" s="16">
        <f t="shared" si="4"/>
        <v>-129.76999999999998</v>
      </c>
      <c r="K37" s="14"/>
    </row>
    <row r="38" spans="1:11" ht="12" customHeight="1">
      <c r="A38" s="21">
        <v>0</v>
      </c>
      <c r="B38" s="15">
        <f t="shared" si="0"/>
        <v>11.136800000000001</v>
      </c>
      <c r="C38" s="15">
        <v>110.9</v>
      </c>
      <c r="D38" s="15">
        <v>10</v>
      </c>
      <c r="E38" s="15">
        <f t="shared" si="1"/>
        <v>120.9</v>
      </c>
      <c r="F38" s="15">
        <f t="shared" si="2"/>
        <v>-100.9</v>
      </c>
      <c r="G38" s="15">
        <v>114.3</v>
      </c>
      <c r="H38" s="15">
        <v>-23</v>
      </c>
      <c r="I38" s="16">
        <f t="shared" si="3"/>
        <v>91.3</v>
      </c>
      <c r="J38" s="16">
        <f t="shared" si="4"/>
        <v>-137.3</v>
      </c>
      <c r="K38" s="14" t="s">
        <v>49</v>
      </c>
    </row>
    <row r="39" spans="1:11" ht="12" customHeight="1">
      <c r="A39" s="21">
        <v>13.05</v>
      </c>
      <c r="B39" s="15">
        <f t="shared" si="0"/>
        <v>11.2673</v>
      </c>
      <c r="C39" s="15">
        <v>110.9</v>
      </c>
      <c r="D39" s="15">
        <v>10</v>
      </c>
      <c r="E39" s="15">
        <f t="shared" si="1"/>
        <v>120.9</v>
      </c>
      <c r="F39" s="15">
        <f t="shared" si="2"/>
        <v>-100.9</v>
      </c>
      <c r="G39" s="15">
        <v>114.3</v>
      </c>
      <c r="H39" s="15">
        <v>-23</v>
      </c>
      <c r="I39" s="16">
        <f t="shared" si="3"/>
        <v>91.3</v>
      </c>
      <c r="J39" s="16">
        <f t="shared" si="4"/>
        <v>-137.3</v>
      </c>
      <c r="K39" s="14"/>
    </row>
    <row r="40" spans="1:11" ht="12" customHeight="1">
      <c r="A40" s="17">
        <v>43.75</v>
      </c>
      <c r="B40" s="18">
        <f t="shared" si="0"/>
        <v>11.7048</v>
      </c>
      <c r="C40" s="18">
        <v>110.9</v>
      </c>
      <c r="D40" s="18">
        <v>10</v>
      </c>
      <c r="E40" s="18">
        <f t="shared" si="1"/>
        <v>120.9</v>
      </c>
      <c r="F40" s="18">
        <f t="shared" si="2"/>
        <v>-100.9</v>
      </c>
      <c r="G40" s="18">
        <v>114.3</v>
      </c>
      <c r="H40" s="18">
        <v>-23</v>
      </c>
      <c r="I40" s="19">
        <f t="shared" si="3"/>
        <v>91.3</v>
      </c>
      <c r="J40" s="19">
        <f t="shared" si="4"/>
        <v>-137.3</v>
      </c>
      <c r="K40" s="17" t="s">
        <v>18</v>
      </c>
    </row>
    <row r="41" spans="1:11" ht="12" customHeight="1">
      <c r="A41" s="17">
        <v>43.75</v>
      </c>
      <c r="B41" s="18">
        <f t="shared" si="0"/>
        <v>12.1423</v>
      </c>
      <c r="C41" s="18">
        <v>110.9</v>
      </c>
      <c r="D41" s="18">
        <v>10</v>
      </c>
      <c r="E41" s="18">
        <f t="shared" si="1"/>
        <v>120.9</v>
      </c>
      <c r="F41" s="18">
        <f t="shared" si="2"/>
        <v>-100.9</v>
      </c>
      <c r="G41" s="18">
        <v>114.3</v>
      </c>
      <c r="H41" s="18">
        <v>-23</v>
      </c>
      <c r="I41" s="19">
        <f t="shared" si="3"/>
        <v>91.3</v>
      </c>
      <c r="J41" s="19">
        <f t="shared" si="4"/>
        <v>-137.3</v>
      </c>
      <c r="K41" s="17" t="s">
        <v>48</v>
      </c>
    </row>
    <row r="42" spans="1:11" s="13" customFormat="1" ht="12" customHeight="1">
      <c r="A42" s="14">
        <v>13.65</v>
      </c>
      <c r="B42" s="15">
        <f t="shared" si="0"/>
        <v>12.2788</v>
      </c>
      <c r="C42" s="15">
        <v>110.9</v>
      </c>
      <c r="D42" s="15">
        <v>10</v>
      </c>
      <c r="E42" s="15">
        <f t="shared" si="1"/>
        <v>120.9</v>
      </c>
      <c r="F42" s="15">
        <f t="shared" si="2"/>
        <v>-100.9</v>
      </c>
      <c r="G42" s="15">
        <v>114.3</v>
      </c>
      <c r="H42" s="15">
        <v>-23</v>
      </c>
      <c r="I42" s="16">
        <f t="shared" si="3"/>
        <v>91.3</v>
      </c>
      <c r="J42" s="16">
        <f t="shared" si="4"/>
        <v>-137.3</v>
      </c>
      <c r="K42" s="14"/>
    </row>
    <row r="43" spans="1:11" s="13" customFormat="1" ht="12" customHeight="1">
      <c r="A43" s="14">
        <v>0</v>
      </c>
      <c r="B43" s="15">
        <f aca="true" t="shared" si="7" ref="B43:B75">(A43/100+B42)</f>
        <v>12.2788</v>
      </c>
      <c r="C43" s="15">
        <v>107.3</v>
      </c>
      <c r="D43" s="15">
        <v>10</v>
      </c>
      <c r="E43" s="15">
        <f t="shared" si="1"/>
        <v>117.3</v>
      </c>
      <c r="F43" s="15">
        <f t="shared" si="2"/>
        <v>-97.3</v>
      </c>
      <c r="G43" s="15">
        <v>107.3</v>
      </c>
      <c r="H43" s="15">
        <v>-23</v>
      </c>
      <c r="I43" s="16">
        <f t="shared" si="3"/>
        <v>84.3</v>
      </c>
      <c r="J43" s="16">
        <f t="shared" si="4"/>
        <v>-130.3</v>
      </c>
      <c r="K43" s="14" t="s">
        <v>49</v>
      </c>
    </row>
    <row r="44" spans="1:11" s="13" customFormat="1" ht="12" customHeight="1">
      <c r="A44" s="14">
        <v>67.5</v>
      </c>
      <c r="B44" s="15">
        <f t="shared" si="7"/>
        <v>12.953800000000001</v>
      </c>
      <c r="C44" s="15">
        <v>107.3</v>
      </c>
      <c r="D44" s="15">
        <v>38.3</v>
      </c>
      <c r="E44" s="15">
        <f t="shared" si="1"/>
        <v>145.6</v>
      </c>
      <c r="F44" s="15">
        <f t="shared" si="2"/>
        <v>-69</v>
      </c>
      <c r="G44" s="15">
        <v>107.3</v>
      </c>
      <c r="H44" s="15">
        <v>-23</v>
      </c>
      <c r="I44" s="16">
        <f t="shared" si="3"/>
        <v>84.3</v>
      </c>
      <c r="J44" s="16">
        <f t="shared" si="4"/>
        <v>-130.3</v>
      </c>
      <c r="K44" s="14"/>
    </row>
    <row r="45" spans="1:11" s="13" customFormat="1" ht="12" customHeight="1">
      <c r="A45" s="14">
        <v>0</v>
      </c>
      <c r="B45" s="15">
        <f t="shared" si="7"/>
        <v>12.953800000000001</v>
      </c>
      <c r="C45" s="15">
        <v>123.8</v>
      </c>
      <c r="D45" s="15">
        <v>85</v>
      </c>
      <c r="E45" s="15">
        <f t="shared" si="1"/>
        <v>208.8</v>
      </c>
      <c r="F45" s="15">
        <f t="shared" si="2"/>
        <v>-38.8</v>
      </c>
      <c r="G45" s="15">
        <v>123.8</v>
      </c>
      <c r="H45" s="15">
        <v>-23</v>
      </c>
      <c r="I45" s="16">
        <f t="shared" si="3"/>
        <v>100.8</v>
      </c>
      <c r="J45" s="16">
        <f t="shared" si="4"/>
        <v>-146.8</v>
      </c>
      <c r="K45" s="14" t="s">
        <v>49</v>
      </c>
    </row>
    <row r="46" spans="1:11" s="13" customFormat="1" ht="12" customHeight="1">
      <c r="A46" s="14">
        <v>37.3</v>
      </c>
      <c r="B46" s="15">
        <f t="shared" si="7"/>
        <v>13.3268</v>
      </c>
      <c r="C46" s="15">
        <v>123.8</v>
      </c>
      <c r="D46" s="15">
        <v>85</v>
      </c>
      <c r="E46" s="15">
        <f t="shared" si="1"/>
        <v>208.8</v>
      </c>
      <c r="F46" s="15">
        <f t="shared" si="2"/>
        <v>-38.8</v>
      </c>
      <c r="G46" s="15">
        <v>123.8</v>
      </c>
      <c r="H46" s="15">
        <v>-23</v>
      </c>
      <c r="I46" s="16">
        <f t="shared" si="3"/>
        <v>100.8</v>
      </c>
      <c r="J46" s="16">
        <f t="shared" si="4"/>
        <v>-146.8</v>
      </c>
      <c r="K46" s="14"/>
    </row>
    <row r="47" spans="1:11" ht="12" customHeight="1">
      <c r="A47" s="14">
        <v>0</v>
      </c>
      <c r="B47" s="15">
        <f t="shared" si="7"/>
        <v>13.3268</v>
      </c>
      <c r="C47" s="15">
        <v>105.8</v>
      </c>
      <c r="D47" s="15">
        <v>85</v>
      </c>
      <c r="E47" s="15">
        <f t="shared" si="1"/>
        <v>190.8</v>
      </c>
      <c r="F47" s="15">
        <f t="shared" si="2"/>
        <v>-20.799999999999997</v>
      </c>
      <c r="G47" s="15">
        <v>104.75</v>
      </c>
      <c r="H47" s="15">
        <v>-23</v>
      </c>
      <c r="I47" s="16">
        <f t="shared" si="3"/>
        <v>81.75</v>
      </c>
      <c r="J47" s="16">
        <f t="shared" si="4"/>
        <v>-127.75</v>
      </c>
      <c r="K47" s="14" t="s">
        <v>49</v>
      </c>
    </row>
    <row r="48" spans="1:11" ht="12" customHeight="1">
      <c r="A48" s="14">
        <v>14.9</v>
      </c>
      <c r="B48" s="15">
        <f t="shared" si="7"/>
        <v>13.4758</v>
      </c>
      <c r="C48" s="15">
        <v>105.8</v>
      </c>
      <c r="D48" s="15">
        <v>85</v>
      </c>
      <c r="E48" s="15">
        <f t="shared" si="1"/>
        <v>190.8</v>
      </c>
      <c r="F48" s="15">
        <f t="shared" si="2"/>
        <v>-20.799999999999997</v>
      </c>
      <c r="G48" s="15">
        <v>104.75</v>
      </c>
      <c r="H48" s="15">
        <v>-23</v>
      </c>
      <c r="I48" s="16">
        <f t="shared" si="3"/>
        <v>81.75</v>
      </c>
      <c r="J48" s="16">
        <f t="shared" si="4"/>
        <v>-127.75</v>
      </c>
      <c r="K48" s="14"/>
    </row>
    <row r="49" spans="1:11" ht="12" customHeight="1">
      <c r="A49" s="17">
        <v>61</v>
      </c>
      <c r="B49" s="18">
        <f t="shared" si="7"/>
        <v>14.085799999999999</v>
      </c>
      <c r="C49" s="18">
        <v>105.8</v>
      </c>
      <c r="D49" s="18">
        <v>85</v>
      </c>
      <c r="E49" s="18">
        <f t="shared" si="1"/>
        <v>190.8</v>
      </c>
      <c r="F49" s="18">
        <f t="shared" si="2"/>
        <v>-20.799999999999997</v>
      </c>
      <c r="G49" s="18">
        <v>104.75</v>
      </c>
      <c r="H49" s="18">
        <v>-23</v>
      </c>
      <c r="I49" s="19">
        <f t="shared" si="3"/>
        <v>81.75</v>
      </c>
      <c r="J49" s="19">
        <f t="shared" si="4"/>
        <v>-127.75</v>
      </c>
      <c r="K49" s="17" t="s">
        <v>19</v>
      </c>
    </row>
    <row r="50" spans="1:11" ht="12" customHeight="1">
      <c r="A50" s="17">
        <v>61</v>
      </c>
      <c r="B50" s="18">
        <f t="shared" si="7"/>
        <v>14.695799999999998</v>
      </c>
      <c r="C50" s="18">
        <v>105.8</v>
      </c>
      <c r="D50" s="18">
        <v>85</v>
      </c>
      <c r="E50" s="18">
        <f t="shared" si="1"/>
        <v>190.8</v>
      </c>
      <c r="F50" s="18">
        <f t="shared" si="2"/>
        <v>-20.799999999999997</v>
      </c>
      <c r="G50" s="18">
        <v>104.75</v>
      </c>
      <c r="H50" s="18">
        <v>-23</v>
      </c>
      <c r="I50" s="19">
        <f t="shared" si="3"/>
        <v>81.75</v>
      </c>
      <c r="J50" s="19">
        <f t="shared" si="4"/>
        <v>-127.75</v>
      </c>
      <c r="K50" s="17" t="s">
        <v>20</v>
      </c>
    </row>
    <row r="51" spans="1:11" ht="12" customHeight="1">
      <c r="A51" s="30">
        <v>33.9</v>
      </c>
      <c r="B51" s="31">
        <f t="shared" si="7"/>
        <v>15.034799999999999</v>
      </c>
      <c r="C51" s="31">
        <v>105.8</v>
      </c>
      <c r="D51" s="31">
        <v>85</v>
      </c>
      <c r="E51" s="31">
        <f t="shared" si="1"/>
        <v>190.8</v>
      </c>
      <c r="F51" s="31">
        <f t="shared" si="2"/>
        <v>-20.799999999999997</v>
      </c>
      <c r="G51" s="31">
        <v>104.75</v>
      </c>
      <c r="H51" s="15">
        <v>-23</v>
      </c>
      <c r="I51" s="32">
        <f t="shared" si="3"/>
        <v>81.75</v>
      </c>
      <c r="J51" s="32">
        <f t="shared" si="4"/>
        <v>-127.75</v>
      </c>
      <c r="K51" s="30"/>
    </row>
    <row r="52" spans="1:11" s="23" customFormat="1" ht="12" customHeight="1">
      <c r="A52" s="21">
        <v>0</v>
      </c>
      <c r="B52" s="9">
        <f t="shared" si="7"/>
        <v>15.034799999999999</v>
      </c>
      <c r="C52" s="31">
        <v>125.4</v>
      </c>
      <c r="D52" s="9">
        <v>95</v>
      </c>
      <c r="E52" s="31">
        <f t="shared" si="1"/>
        <v>220.4</v>
      </c>
      <c r="F52" s="31">
        <f t="shared" si="2"/>
        <v>-30.400000000000006</v>
      </c>
      <c r="G52" s="31">
        <v>125.4</v>
      </c>
      <c r="H52" s="15">
        <v>-23</v>
      </c>
      <c r="I52" s="32">
        <f t="shared" si="3"/>
        <v>102.4</v>
      </c>
      <c r="J52" s="32">
        <f t="shared" si="4"/>
        <v>-148.4</v>
      </c>
      <c r="K52" s="21" t="s">
        <v>49</v>
      </c>
    </row>
    <row r="53" spans="1:11" s="22" customFormat="1" ht="12" customHeight="1">
      <c r="A53" s="14">
        <v>11.45</v>
      </c>
      <c r="B53" s="15">
        <f t="shared" si="7"/>
        <v>15.149299999999998</v>
      </c>
      <c r="C53" s="31">
        <v>125.4</v>
      </c>
      <c r="D53" s="15">
        <v>95</v>
      </c>
      <c r="E53" s="31">
        <f t="shared" si="1"/>
        <v>220.4</v>
      </c>
      <c r="F53" s="31">
        <f t="shared" si="2"/>
        <v>-30.400000000000006</v>
      </c>
      <c r="G53" s="31">
        <v>125.4</v>
      </c>
      <c r="H53" s="15">
        <v>-23</v>
      </c>
      <c r="I53" s="32">
        <f t="shared" si="3"/>
        <v>102.4</v>
      </c>
      <c r="J53" s="32">
        <f t="shared" si="4"/>
        <v>-148.4</v>
      </c>
      <c r="K53" s="14"/>
    </row>
    <row r="54" spans="1:11" ht="12" customHeight="1">
      <c r="A54" s="17">
        <v>75.05</v>
      </c>
      <c r="B54" s="18">
        <f t="shared" si="7"/>
        <v>15.899799999999999</v>
      </c>
      <c r="C54" s="18">
        <v>125.4</v>
      </c>
      <c r="D54" s="18">
        <v>95</v>
      </c>
      <c r="E54" s="18">
        <f t="shared" si="1"/>
        <v>220.4</v>
      </c>
      <c r="F54" s="18">
        <f t="shared" si="2"/>
        <v>-30.400000000000006</v>
      </c>
      <c r="G54" s="18">
        <v>125.4</v>
      </c>
      <c r="H54" s="18">
        <v>-23</v>
      </c>
      <c r="I54" s="19">
        <f t="shared" si="3"/>
        <v>102.4</v>
      </c>
      <c r="J54" s="19">
        <f t="shared" si="4"/>
        <v>-148.4</v>
      </c>
      <c r="K54" s="17" t="s">
        <v>21</v>
      </c>
    </row>
    <row r="55" spans="1:11" ht="12" customHeight="1">
      <c r="A55" s="17">
        <v>75.05</v>
      </c>
      <c r="B55" s="18">
        <f t="shared" si="7"/>
        <v>16.650299999999998</v>
      </c>
      <c r="C55" s="18">
        <v>125.4</v>
      </c>
      <c r="D55" s="18">
        <v>95</v>
      </c>
      <c r="E55" s="18">
        <f t="shared" si="1"/>
        <v>220.4</v>
      </c>
      <c r="F55" s="18">
        <f t="shared" si="2"/>
        <v>-30.400000000000006</v>
      </c>
      <c r="G55" s="18">
        <v>125.4</v>
      </c>
      <c r="H55" s="18">
        <v>-23</v>
      </c>
      <c r="I55" s="19">
        <f t="shared" si="3"/>
        <v>102.4</v>
      </c>
      <c r="J55" s="19">
        <f t="shared" si="4"/>
        <v>-148.4</v>
      </c>
      <c r="K55" s="17" t="s">
        <v>22</v>
      </c>
    </row>
    <row r="56" spans="1:11" s="13" customFormat="1" ht="12" customHeight="1">
      <c r="A56" s="30">
        <v>17.95</v>
      </c>
      <c r="B56" s="31">
        <f t="shared" si="7"/>
        <v>16.8298</v>
      </c>
      <c r="C56" s="31">
        <v>125.4</v>
      </c>
      <c r="D56" s="31">
        <v>95</v>
      </c>
      <c r="E56" s="31">
        <f t="shared" si="1"/>
        <v>220.4</v>
      </c>
      <c r="F56" s="31">
        <f t="shared" si="2"/>
        <v>-30.400000000000006</v>
      </c>
      <c r="G56" s="31">
        <v>125.4</v>
      </c>
      <c r="H56" s="15">
        <v>-23</v>
      </c>
      <c r="I56" s="32">
        <f t="shared" si="3"/>
        <v>102.4</v>
      </c>
      <c r="J56" s="32">
        <f t="shared" si="4"/>
        <v>-148.4</v>
      </c>
      <c r="K56" s="30"/>
    </row>
    <row r="57" spans="1:11" s="13" customFormat="1" ht="12" customHeight="1">
      <c r="A57" s="30">
        <v>0</v>
      </c>
      <c r="B57" s="31">
        <f t="shared" si="7"/>
        <v>16.8298</v>
      </c>
      <c r="C57" s="31">
        <v>186.55</v>
      </c>
      <c r="D57" s="31">
        <v>105</v>
      </c>
      <c r="E57" s="31">
        <f t="shared" si="1"/>
        <v>291.55</v>
      </c>
      <c r="F57" s="31">
        <f t="shared" si="2"/>
        <v>-81.55000000000001</v>
      </c>
      <c r="G57" s="31">
        <v>125.4</v>
      </c>
      <c r="H57" s="15">
        <v>-23</v>
      </c>
      <c r="I57" s="32">
        <f t="shared" si="3"/>
        <v>102.4</v>
      </c>
      <c r="J57" s="32">
        <f t="shared" si="4"/>
        <v>-148.4</v>
      </c>
      <c r="K57" s="30" t="s">
        <v>49</v>
      </c>
    </row>
    <row r="58" spans="1:11" s="13" customFormat="1" ht="12" customHeight="1">
      <c r="A58" s="30">
        <v>48.5</v>
      </c>
      <c r="B58" s="31">
        <f t="shared" si="7"/>
        <v>17.314799999999998</v>
      </c>
      <c r="C58" s="31">
        <v>186.55</v>
      </c>
      <c r="D58" s="31">
        <v>105</v>
      </c>
      <c r="E58" s="31">
        <f t="shared" si="1"/>
        <v>291.55</v>
      </c>
      <c r="F58" s="31">
        <f t="shared" si="2"/>
        <v>-81.55000000000001</v>
      </c>
      <c r="G58" s="31">
        <v>186.55</v>
      </c>
      <c r="H58" s="15">
        <v>-23</v>
      </c>
      <c r="I58" s="32">
        <f t="shared" si="3"/>
        <v>163.55</v>
      </c>
      <c r="J58" s="32">
        <f t="shared" si="4"/>
        <v>-209.55</v>
      </c>
      <c r="K58" s="30"/>
    </row>
    <row r="59" spans="1:11" ht="12" customHeight="1">
      <c r="A59" s="30">
        <v>0</v>
      </c>
      <c r="B59" s="31">
        <f t="shared" si="7"/>
        <v>17.314799999999998</v>
      </c>
      <c r="C59" s="31">
        <v>186.55</v>
      </c>
      <c r="D59" s="31">
        <v>105</v>
      </c>
      <c r="E59" s="31">
        <f t="shared" si="1"/>
        <v>291.55</v>
      </c>
      <c r="F59" s="31">
        <f t="shared" si="2"/>
        <v>-81.55000000000001</v>
      </c>
      <c r="G59" s="31">
        <v>108.6</v>
      </c>
      <c r="H59" s="15">
        <v>-23</v>
      </c>
      <c r="I59" s="32">
        <f t="shared" si="3"/>
        <v>85.6</v>
      </c>
      <c r="J59" s="32">
        <f t="shared" si="4"/>
        <v>-131.6</v>
      </c>
      <c r="K59" s="30" t="s">
        <v>49</v>
      </c>
    </row>
    <row r="60" spans="1:11" ht="12" customHeight="1">
      <c r="A60" s="30">
        <v>16.3</v>
      </c>
      <c r="B60" s="31">
        <f t="shared" si="7"/>
        <v>17.4778</v>
      </c>
      <c r="C60" s="31">
        <v>186.55</v>
      </c>
      <c r="D60" s="31">
        <v>105</v>
      </c>
      <c r="E60" s="31">
        <f t="shared" si="1"/>
        <v>291.55</v>
      </c>
      <c r="F60" s="31">
        <f t="shared" si="2"/>
        <v>-81.55000000000001</v>
      </c>
      <c r="G60" s="31">
        <v>108.6</v>
      </c>
      <c r="H60" s="15">
        <v>-23</v>
      </c>
      <c r="I60" s="32">
        <f t="shared" si="3"/>
        <v>85.6</v>
      </c>
      <c r="J60" s="32">
        <f t="shared" si="4"/>
        <v>-131.6</v>
      </c>
      <c r="K60" s="30"/>
    </row>
    <row r="61" spans="1:11" ht="12" customHeight="1">
      <c r="A61" s="17">
        <v>45.1</v>
      </c>
      <c r="B61" s="18">
        <f t="shared" si="7"/>
        <v>17.9288</v>
      </c>
      <c r="C61" s="18">
        <v>186.55</v>
      </c>
      <c r="D61" s="18">
        <v>105</v>
      </c>
      <c r="E61" s="18">
        <f t="shared" si="1"/>
        <v>291.55</v>
      </c>
      <c r="F61" s="18">
        <f t="shared" si="2"/>
        <v>-81.55000000000001</v>
      </c>
      <c r="G61" s="18">
        <v>108.6</v>
      </c>
      <c r="H61" s="18">
        <v>-23</v>
      </c>
      <c r="I61" s="19">
        <f t="shared" si="3"/>
        <v>85.6</v>
      </c>
      <c r="J61" s="19">
        <f t="shared" si="4"/>
        <v>-131.6</v>
      </c>
      <c r="K61" s="17" t="s">
        <v>23</v>
      </c>
    </row>
    <row r="62" spans="1:11" s="23" customFormat="1" ht="12.75">
      <c r="A62" s="17">
        <v>45.1</v>
      </c>
      <c r="B62" s="18">
        <f t="shared" si="7"/>
        <v>18.3798</v>
      </c>
      <c r="C62" s="18">
        <v>186.55</v>
      </c>
      <c r="D62" s="18">
        <v>105</v>
      </c>
      <c r="E62" s="18">
        <f t="shared" si="1"/>
        <v>291.55</v>
      </c>
      <c r="F62" s="18">
        <f t="shared" si="2"/>
        <v>-81.55000000000001</v>
      </c>
      <c r="G62" s="18">
        <v>108.6</v>
      </c>
      <c r="H62" s="18">
        <v>-23</v>
      </c>
      <c r="I62" s="19">
        <f t="shared" si="3"/>
        <v>85.6</v>
      </c>
      <c r="J62" s="19">
        <f t="shared" si="4"/>
        <v>-131.6</v>
      </c>
      <c r="K62" s="17" t="s">
        <v>24</v>
      </c>
    </row>
    <row r="63" spans="1:11" s="22" customFormat="1" ht="12.75">
      <c r="A63" s="30">
        <v>13.6</v>
      </c>
      <c r="B63" s="31">
        <f t="shared" si="7"/>
        <v>18.5158</v>
      </c>
      <c r="C63" s="31">
        <v>186.55</v>
      </c>
      <c r="D63" s="31">
        <v>105</v>
      </c>
      <c r="E63" s="31">
        <f t="shared" si="1"/>
        <v>291.55</v>
      </c>
      <c r="F63" s="31">
        <f t="shared" si="2"/>
        <v>-81.55000000000001</v>
      </c>
      <c r="G63" s="31">
        <v>108.6</v>
      </c>
      <c r="H63" s="15">
        <v>-23</v>
      </c>
      <c r="I63" s="32">
        <f t="shared" si="3"/>
        <v>85.6</v>
      </c>
      <c r="J63" s="32">
        <f t="shared" si="4"/>
        <v>-131.6</v>
      </c>
      <c r="K63" s="30"/>
    </row>
    <row r="64" spans="1:11" s="22" customFormat="1" ht="12.75">
      <c r="A64" s="30">
        <v>0</v>
      </c>
      <c r="B64" s="31">
        <f t="shared" si="7"/>
        <v>18.5158</v>
      </c>
      <c r="C64" s="31">
        <v>98.4</v>
      </c>
      <c r="D64" s="31">
        <v>0</v>
      </c>
      <c r="E64" s="31">
        <f t="shared" si="1"/>
        <v>98.4</v>
      </c>
      <c r="F64" s="31">
        <f t="shared" si="2"/>
        <v>-98.4</v>
      </c>
      <c r="G64" s="31">
        <v>109.5</v>
      </c>
      <c r="H64" s="15">
        <v>-23</v>
      </c>
      <c r="I64" s="32">
        <f t="shared" si="3"/>
        <v>86.5</v>
      </c>
      <c r="J64" s="32">
        <f t="shared" si="4"/>
        <v>-132.5</v>
      </c>
      <c r="K64" s="30" t="s">
        <v>49</v>
      </c>
    </row>
    <row r="65" spans="1:11" s="22" customFormat="1" ht="12.75">
      <c r="A65" s="30">
        <v>171.8</v>
      </c>
      <c r="B65" s="31">
        <f t="shared" si="7"/>
        <v>20.2338</v>
      </c>
      <c r="C65" s="31">
        <v>98.4</v>
      </c>
      <c r="D65" s="31">
        <v>0</v>
      </c>
      <c r="E65" s="31">
        <f t="shared" si="1"/>
        <v>98.4</v>
      </c>
      <c r="F65" s="31">
        <f t="shared" si="2"/>
        <v>-98.4</v>
      </c>
      <c r="G65" s="31">
        <v>109.5</v>
      </c>
      <c r="H65" s="15">
        <v>-23</v>
      </c>
      <c r="I65" s="32">
        <f t="shared" si="3"/>
        <v>86.5</v>
      </c>
      <c r="J65" s="32">
        <f t="shared" si="4"/>
        <v>-132.5</v>
      </c>
      <c r="K65" s="30"/>
    </row>
    <row r="66" spans="1:11" ht="12" customHeight="1">
      <c r="A66" s="30">
        <v>0</v>
      </c>
      <c r="B66" s="31">
        <f t="shared" si="7"/>
        <v>20.2338</v>
      </c>
      <c r="C66" s="31">
        <v>149.2</v>
      </c>
      <c r="D66" s="31">
        <v>0</v>
      </c>
      <c r="E66" s="31">
        <f t="shared" si="1"/>
        <v>149.2</v>
      </c>
      <c r="F66" s="31">
        <f t="shared" si="2"/>
        <v>-149.2</v>
      </c>
      <c r="G66" s="31">
        <v>149.2</v>
      </c>
      <c r="H66" s="31">
        <v>0</v>
      </c>
      <c r="I66" s="32">
        <f t="shared" si="3"/>
        <v>149.2</v>
      </c>
      <c r="J66" s="32">
        <f t="shared" si="4"/>
        <v>-149.2</v>
      </c>
      <c r="K66" s="30" t="s">
        <v>49</v>
      </c>
    </row>
    <row r="67" spans="1:11" ht="12" customHeight="1">
      <c r="A67" s="30">
        <v>101.6</v>
      </c>
      <c r="B67" s="31">
        <f t="shared" si="7"/>
        <v>21.2498</v>
      </c>
      <c r="C67" s="31">
        <v>149.2</v>
      </c>
      <c r="D67" s="31">
        <v>0</v>
      </c>
      <c r="E67" s="31">
        <f t="shared" si="1"/>
        <v>149.2</v>
      </c>
      <c r="F67" s="31">
        <f t="shared" si="2"/>
        <v>-149.2</v>
      </c>
      <c r="G67" s="31">
        <v>149.2</v>
      </c>
      <c r="H67" s="31">
        <v>0</v>
      </c>
      <c r="I67" s="32">
        <f t="shared" si="3"/>
        <v>149.2</v>
      </c>
      <c r="J67" s="32">
        <f t="shared" si="4"/>
        <v>-149.2</v>
      </c>
      <c r="K67" s="30" t="s">
        <v>71</v>
      </c>
    </row>
    <row r="68" spans="1:11" ht="12" customHeight="1">
      <c r="A68" s="10">
        <v>27.5</v>
      </c>
      <c r="B68" s="11">
        <f t="shared" si="7"/>
        <v>21.5248</v>
      </c>
      <c r="C68" s="11">
        <v>149.2</v>
      </c>
      <c r="D68" s="11">
        <v>0</v>
      </c>
      <c r="E68" s="11">
        <f t="shared" si="1"/>
        <v>149.2</v>
      </c>
      <c r="F68" s="11">
        <f t="shared" si="2"/>
        <v>-149.2</v>
      </c>
      <c r="G68" s="11">
        <v>149.2</v>
      </c>
      <c r="H68" s="11">
        <v>0</v>
      </c>
      <c r="I68" s="12">
        <f t="shared" si="3"/>
        <v>149.2</v>
      </c>
      <c r="J68" s="12">
        <f t="shared" si="4"/>
        <v>-149.2</v>
      </c>
      <c r="K68" s="10" t="s">
        <v>27</v>
      </c>
    </row>
    <row r="69" spans="1:11" ht="12" customHeight="1">
      <c r="A69" s="10">
        <v>27.5</v>
      </c>
      <c r="B69" s="11">
        <f t="shared" si="7"/>
        <v>21.799799999999998</v>
      </c>
      <c r="C69" s="11">
        <v>149.2</v>
      </c>
      <c r="D69" s="11">
        <v>0</v>
      </c>
      <c r="E69" s="11">
        <f t="shared" si="1"/>
        <v>149.2</v>
      </c>
      <c r="F69" s="11">
        <f t="shared" si="2"/>
        <v>-149.2</v>
      </c>
      <c r="G69" s="11">
        <v>149.2</v>
      </c>
      <c r="H69" s="11">
        <v>0</v>
      </c>
      <c r="I69" s="12">
        <f t="shared" si="3"/>
        <v>149.2</v>
      </c>
      <c r="J69" s="12">
        <f t="shared" si="4"/>
        <v>-149.2</v>
      </c>
      <c r="K69" s="10" t="s">
        <v>28</v>
      </c>
    </row>
    <row r="70" spans="1:11" s="13" customFormat="1" ht="12" customHeight="1">
      <c r="A70" s="30">
        <v>40</v>
      </c>
      <c r="B70" s="31">
        <f t="shared" si="7"/>
        <v>22.199799999999996</v>
      </c>
      <c r="C70" s="31">
        <v>149.2</v>
      </c>
      <c r="D70" s="31">
        <v>0</v>
      </c>
      <c r="E70" s="31">
        <f t="shared" si="1"/>
        <v>149.2</v>
      </c>
      <c r="F70" s="31">
        <f t="shared" si="2"/>
        <v>-149.2</v>
      </c>
      <c r="G70" s="31">
        <v>149.2</v>
      </c>
      <c r="H70" s="31">
        <v>0</v>
      </c>
      <c r="I70" s="16">
        <f t="shared" si="3"/>
        <v>149.2</v>
      </c>
      <c r="J70" s="16">
        <f t="shared" si="4"/>
        <v>-149.2</v>
      </c>
      <c r="K70" s="30"/>
    </row>
    <row r="71" spans="1:11" ht="12" customHeight="1">
      <c r="A71" s="10">
        <v>35</v>
      </c>
      <c r="B71" s="11">
        <f t="shared" si="7"/>
        <v>22.549799999999998</v>
      </c>
      <c r="C71" s="11">
        <v>149.2</v>
      </c>
      <c r="D71" s="11">
        <v>0</v>
      </c>
      <c r="E71" s="11">
        <f t="shared" si="1"/>
        <v>149.2</v>
      </c>
      <c r="F71" s="11">
        <f t="shared" si="2"/>
        <v>-149.2</v>
      </c>
      <c r="G71" s="11">
        <v>149.2</v>
      </c>
      <c r="H71" s="11">
        <v>0</v>
      </c>
      <c r="I71" s="12">
        <f t="shared" si="3"/>
        <v>149.2</v>
      </c>
      <c r="J71" s="12">
        <f t="shared" si="4"/>
        <v>-149.2</v>
      </c>
      <c r="K71" s="10" t="s">
        <v>29</v>
      </c>
    </row>
    <row r="72" spans="1:11" ht="12" customHeight="1">
      <c r="A72" s="10">
        <v>35</v>
      </c>
      <c r="B72" s="11">
        <f t="shared" si="7"/>
        <v>22.8998</v>
      </c>
      <c r="C72" s="11">
        <v>149.2</v>
      </c>
      <c r="D72" s="11">
        <v>0</v>
      </c>
      <c r="E72" s="11">
        <f t="shared" si="1"/>
        <v>149.2</v>
      </c>
      <c r="F72" s="11">
        <f t="shared" si="2"/>
        <v>-149.2</v>
      </c>
      <c r="G72" s="11">
        <v>149.2</v>
      </c>
      <c r="H72" s="11">
        <v>0</v>
      </c>
      <c r="I72" s="12">
        <f t="shared" si="3"/>
        <v>149.2</v>
      </c>
      <c r="J72" s="12">
        <f t="shared" si="4"/>
        <v>-149.2</v>
      </c>
      <c r="K72" s="10" t="s">
        <v>30</v>
      </c>
    </row>
    <row r="73" spans="1:11" ht="12" customHeight="1">
      <c r="A73" s="30">
        <f>A29</f>
        <v>172.79</v>
      </c>
      <c r="B73" s="31">
        <f t="shared" si="7"/>
        <v>24.627699999999997</v>
      </c>
      <c r="C73" s="15">
        <v>149.2</v>
      </c>
      <c r="D73" s="31">
        <v>0</v>
      </c>
      <c r="E73" s="15">
        <f t="shared" si="1"/>
        <v>149.2</v>
      </c>
      <c r="F73" s="15">
        <f t="shared" si="2"/>
        <v>-149.2</v>
      </c>
      <c r="G73" s="15">
        <v>149.2</v>
      </c>
      <c r="H73" s="15">
        <v>0</v>
      </c>
      <c r="I73" s="16">
        <f t="shared" si="3"/>
        <v>149.2</v>
      </c>
      <c r="J73" s="16">
        <f t="shared" si="4"/>
        <v>-149.2</v>
      </c>
      <c r="K73" s="30" t="s">
        <v>49</v>
      </c>
    </row>
    <row r="74" spans="1:11" ht="12" customHeight="1">
      <c r="A74" s="30">
        <f>A28</f>
        <v>0</v>
      </c>
      <c r="B74" s="31">
        <f t="shared" si="7"/>
        <v>24.627699999999997</v>
      </c>
      <c r="C74" s="15">
        <v>90</v>
      </c>
      <c r="D74" s="31">
        <v>0</v>
      </c>
      <c r="E74" s="15">
        <f>C74+D74</f>
        <v>90</v>
      </c>
      <c r="F74" s="15">
        <f>-C74+D74</f>
        <v>-90</v>
      </c>
      <c r="G74" s="15">
        <v>90</v>
      </c>
      <c r="H74" s="15">
        <v>0</v>
      </c>
      <c r="I74" s="16">
        <f>G74+H74</f>
        <v>90</v>
      </c>
      <c r="J74" s="16">
        <f>-G74+H74</f>
        <v>-90</v>
      </c>
      <c r="K74" s="30" t="s">
        <v>49</v>
      </c>
    </row>
    <row r="75" spans="1:11" ht="12" customHeight="1">
      <c r="A75" s="30">
        <f>A27</f>
        <v>25.4</v>
      </c>
      <c r="B75" s="31">
        <f t="shared" si="7"/>
        <v>24.8817</v>
      </c>
      <c r="C75" s="15">
        <v>90</v>
      </c>
      <c r="D75" s="31">
        <v>0</v>
      </c>
      <c r="E75" s="15">
        <f t="shared" si="1"/>
        <v>90</v>
      </c>
      <c r="F75" s="15">
        <f t="shared" si="2"/>
        <v>-90</v>
      </c>
      <c r="G75" s="15">
        <v>90</v>
      </c>
      <c r="H75" s="15">
        <v>0</v>
      </c>
      <c r="I75" s="16">
        <f t="shared" si="3"/>
        <v>90</v>
      </c>
      <c r="J75" s="16">
        <f t="shared" si="4"/>
        <v>-90</v>
      </c>
      <c r="K75" s="30" t="s">
        <v>69</v>
      </c>
    </row>
    <row r="76" spans="1:11" ht="13.5" customHeight="1">
      <c r="A76" s="27">
        <f>A22</f>
        <v>23.81</v>
      </c>
      <c r="B76" s="28">
        <f aca="true" t="shared" si="8" ref="B76:B95">(A76/100+B75)</f>
        <v>25.119799999999998</v>
      </c>
      <c r="C76" s="28">
        <v>90</v>
      </c>
      <c r="D76" s="28">
        <v>0</v>
      </c>
      <c r="E76" s="28">
        <f aca="true" t="shared" si="9" ref="E76:E96">C76+D76</f>
        <v>90</v>
      </c>
      <c r="F76" s="28">
        <f aca="true" t="shared" si="10" ref="F76:F96">-C76+D76</f>
        <v>-90</v>
      </c>
      <c r="G76" s="28">
        <v>90</v>
      </c>
      <c r="H76" s="28">
        <v>0</v>
      </c>
      <c r="I76" s="29">
        <f aca="true" t="shared" si="11" ref="I76:I96">G76+H76</f>
        <v>90</v>
      </c>
      <c r="J76" s="29">
        <f aca="true" t="shared" si="12" ref="J76:J96">-G76+H76</f>
        <v>-90</v>
      </c>
      <c r="K76" s="27" t="s">
        <v>40</v>
      </c>
    </row>
    <row r="77" spans="1:11" s="23" customFormat="1" ht="12" customHeight="1">
      <c r="A77" s="27">
        <f>A76</f>
        <v>23.81</v>
      </c>
      <c r="B77" s="28">
        <f t="shared" si="8"/>
        <v>25.357899999999997</v>
      </c>
      <c r="C77" s="28">
        <v>90</v>
      </c>
      <c r="D77" s="28">
        <v>0</v>
      </c>
      <c r="E77" s="28">
        <f t="shared" si="9"/>
        <v>90</v>
      </c>
      <c r="F77" s="28">
        <f t="shared" si="10"/>
        <v>-90</v>
      </c>
      <c r="G77" s="28">
        <v>90</v>
      </c>
      <c r="H77" s="28">
        <v>0</v>
      </c>
      <c r="I77" s="29">
        <f t="shared" si="11"/>
        <v>90</v>
      </c>
      <c r="J77" s="29">
        <f t="shared" si="12"/>
        <v>-90</v>
      </c>
      <c r="K77" s="27" t="s">
        <v>41</v>
      </c>
    </row>
    <row r="78" spans="1:11" ht="12" customHeight="1">
      <c r="A78" s="30">
        <f>A24</f>
        <v>6.359999999999999</v>
      </c>
      <c r="B78" s="31">
        <f t="shared" si="8"/>
        <v>25.421499999999998</v>
      </c>
      <c r="C78" s="31">
        <v>90</v>
      </c>
      <c r="D78" s="31">
        <v>0</v>
      </c>
      <c r="E78" s="31">
        <f t="shared" si="9"/>
        <v>90</v>
      </c>
      <c r="F78" s="31">
        <f t="shared" si="10"/>
        <v>-90</v>
      </c>
      <c r="G78" s="31">
        <v>90</v>
      </c>
      <c r="H78" s="31">
        <v>0</v>
      </c>
      <c r="I78" s="32">
        <f t="shared" si="11"/>
        <v>90</v>
      </c>
      <c r="J78" s="32">
        <f t="shared" si="12"/>
        <v>-90</v>
      </c>
      <c r="K78" s="30"/>
    </row>
    <row r="79" spans="1:11" ht="12" customHeight="1">
      <c r="A79" s="27">
        <f>A76</f>
        <v>23.81</v>
      </c>
      <c r="B79" s="28">
        <f t="shared" si="8"/>
        <v>25.659599999999998</v>
      </c>
      <c r="C79" s="28">
        <v>90</v>
      </c>
      <c r="D79" s="28">
        <v>0</v>
      </c>
      <c r="E79" s="28">
        <f t="shared" si="9"/>
        <v>90</v>
      </c>
      <c r="F79" s="28">
        <f t="shared" si="10"/>
        <v>-90</v>
      </c>
      <c r="G79" s="28">
        <v>90</v>
      </c>
      <c r="H79" s="28">
        <v>0</v>
      </c>
      <c r="I79" s="29">
        <f t="shared" si="11"/>
        <v>90</v>
      </c>
      <c r="J79" s="29">
        <f t="shared" si="12"/>
        <v>-90</v>
      </c>
      <c r="K79" s="27" t="s">
        <v>43</v>
      </c>
    </row>
    <row r="80" spans="1:11" s="13" customFormat="1" ht="12" customHeight="1">
      <c r="A80" s="27">
        <f>A76</f>
        <v>23.81</v>
      </c>
      <c r="B80" s="28">
        <f t="shared" si="8"/>
        <v>25.897699999999997</v>
      </c>
      <c r="C80" s="28">
        <v>90</v>
      </c>
      <c r="D80" s="28">
        <v>0</v>
      </c>
      <c r="E80" s="28">
        <f t="shared" si="9"/>
        <v>90</v>
      </c>
      <c r="F80" s="28">
        <f t="shared" si="10"/>
        <v>-90</v>
      </c>
      <c r="G80" s="28">
        <v>90</v>
      </c>
      <c r="H80" s="28">
        <v>0</v>
      </c>
      <c r="I80" s="29">
        <f t="shared" si="11"/>
        <v>90</v>
      </c>
      <c r="J80" s="29">
        <f t="shared" si="12"/>
        <v>-90</v>
      </c>
      <c r="K80" s="27" t="s">
        <v>42</v>
      </c>
    </row>
    <row r="81" spans="1:11" ht="12" customHeight="1">
      <c r="A81" s="30">
        <f>A21</f>
        <v>25.4</v>
      </c>
      <c r="B81" s="31">
        <f t="shared" si="8"/>
        <v>26.151699999999998</v>
      </c>
      <c r="C81" s="31">
        <v>90</v>
      </c>
      <c r="D81" s="31">
        <v>0</v>
      </c>
      <c r="E81" s="31">
        <f t="shared" si="9"/>
        <v>90</v>
      </c>
      <c r="F81" s="31">
        <f t="shared" si="10"/>
        <v>-90</v>
      </c>
      <c r="G81" s="31">
        <v>90</v>
      </c>
      <c r="H81" s="31">
        <v>0</v>
      </c>
      <c r="I81" s="32">
        <f t="shared" si="11"/>
        <v>90</v>
      </c>
      <c r="J81" s="32">
        <f t="shared" si="12"/>
        <v>-90</v>
      </c>
      <c r="K81" s="30" t="s">
        <v>69</v>
      </c>
    </row>
    <row r="82" spans="1:11" ht="12" customHeight="1">
      <c r="A82" s="30">
        <f>A20</f>
        <v>33.08999999999999</v>
      </c>
      <c r="B82" s="31">
        <f t="shared" si="8"/>
        <v>26.482599999999998</v>
      </c>
      <c r="C82" s="31">
        <v>90</v>
      </c>
      <c r="D82" s="31">
        <v>0</v>
      </c>
      <c r="E82" s="31">
        <f>C82+D82</f>
        <v>90</v>
      </c>
      <c r="F82" s="31">
        <f>-C82+D82</f>
        <v>-90</v>
      </c>
      <c r="G82" s="31">
        <v>90</v>
      </c>
      <c r="H82" s="31">
        <v>0</v>
      </c>
      <c r="I82" s="32">
        <f>G82+H82</f>
        <v>90</v>
      </c>
      <c r="J82" s="32">
        <f>-G82+H82</f>
        <v>-90</v>
      </c>
      <c r="K82" s="30" t="s">
        <v>71</v>
      </c>
    </row>
    <row r="83" spans="1:11" ht="12" customHeight="1">
      <c r="A83" s="30">
        <f>A19</f>
        <v>25.4</v>
      </c>
      <c r="B83" s="31">
        <f>(A83/100+B82)</f>
        <v>26.7366</v>
      </c>
      <c r="C83" s="31">
        <v>90</v>
      </c>
      <c r="D83" s="31">
        <v>0</v>
      </c>
      <c r="E83" s="31">
        <f t="shared" si="9"/>
        <v>90</v>
      </c>
      <c r="F83" s="31">
        <f t="shared" si="10"/>
        <v>-90</v>
      </c>
      <c r="G83" s="31">
        <v>90</v>
      </c>
      <c r="H83" s="31">
        <v>0</v>
      </c>
      <c r="I83" s="32">
        <f t="shared" si="11"/>
        <v>90</v>
      </c>
      <c r="J83" s="32">
        <f t="shared" si="12"/>
        <v>-90</v>
      </c>
      <c r="K83" s="30" t="s">
        <v>69</v>
      </c>
    </row>
    <row r="84" spans="1:11" ht="12" customHeight="1">
      <c r="A84" s="27">
        <v>0</v>
      </c>
      <c r="B84" s="28">
        <f>(A84/100+B83)</f>
        <v>26.7366</v>
      </c>
      <c r="C84" s="28">
        <v>80</v>
      </c>
      <c r="D84" s="28">
        <v>0</v>
      </c>
      <c r="E84" s="28">
        <f>C84+D84</f>
        <v>80</v>
      </c>
      <c r="F84" s="28">
        <f>-C84+D84</f>
        <v>-80</v>
      </c>
      <c r="G84" s="28">
        <v>80</v>
      </c>
      <c r="H84" s="28">
        <v>0</v>
      </c>
      <c r="I84" s="29">
        <f>G84+H84</f>
        <v>80</v>
      </c>
      <c r="J84" s="29">
        <f>-G84+H84</f>
        <v>-80</v>
      </c>
      <c r="K84" s="27" t="s">
        <v>49</v>
      </c>
    </row>
    <row r="85" spans="1:11" ht="12" customHeight="1">
      <c r="A85" s="27">
        <v>45.3</v>
      </c>
      <c r="B85" s="28">
        <f>(A85/100+B84)</f>
        <v>27.1896</v>
      </c>
      <c r="C85" s="28">
        <v>80</v>
      </c>
      <c r="D85" s="28">
        <v>0</v>
      </c>
      <c r="E85" s="28">
        <f t="shared" si="9"/>
        <v>80</v>
      </c>
      <c r="F85" s="28">
        <f t="shared" si="10"/>
        <v>-80</v>
      </c>
      <c r="G85" s="28">
        <v>80</v>
      </c>
      <c r="H85" s="28">
        <v>0</v>
      </c>
      <c r="I85" s="29">
        <f t="shared" si="11"/>
        <v>80</v>
      </c>
      <c r="J85" s="29">
        <f t="shared" si="12"/>
        <v>-80</v>
      </c>
      <c r="K85" s="27" t="s">
        <v>44</v>
      </c>
    </row>
    <row r="86" spans="1:11" s="23" customFormat="1" ht="12" customHeight="1">
      <c r="A86" s="27">
        <v>45.3</v>
      </c>
      <c r="B86" s="28">
        <f>(A86/100+B85)</f>
        <v>27.642599999999998</v>
      </c>
      <c r="C86" s="28">
        <v>80</v>
      </c>
      <c r="D86" s="28">
        <v>0</v>
      </c>
      <c r="E86" s="28">
        <f t="shared" si="9"/>
        <v>80</v>
      </c>
      <c r="F86" s="28">
        <f t="shared" si="10"/>
        <v>-80</v>
      </c>
      <c r="G86" s="28">
        <v>80</v>
      </c>
      <c r="H86" s="28">
        <v>0</v>
      </c>
      <c r="I86" s="29">
        <f t="shared" si="11"/>
        <v>80</v>
      </c>
      <c r="J86" s="29">
        <f t="shared" si="12"/>
        <v>-80</v>
      </c>
      <c r="K86" s="27" t="s">
        <v>45</v>
      </c>
    </row>
    <row r="87" spans="1:11" s="23" customFormat="1" ht="12" customHeight="1">
      <c r="A87" s="27">
        <v>0</v>
      </c>
      <c r="B87" s="28">
        <f t="shared" si="8"/>
        <v>27.642599999999998</v>
      </c>
      <c r="C87" s="28">
        <v>90</v>
      </c>
      <c r="D87" s="28">
        <v>0</v>
      </c>
      <c r="E87" s="28">
        <f>C87+D87</f>
        <v>90</v>
      </c>
      <c r="F87" s="28">
        <f>-C87+D87</f>
        <v>-90</v>
      </c>
      <c r="G87" s="28">
        <v>90</v>
      </c>
      <c r="H87" s="28">
        <v>0</v>
      </c>
      <c r="I87" s="29">
        <f>G87+H87</f>
        <v>90</v>
      </c>
      <c r="J87" s="29">
        <f>-G87+H87</f>
        <v>-90</v>
      </c>
      <c r="K87" s="27"/>
    </row>
    <row r="88" spans="1:11" s="22" customFormat="1" ht="12" customHeight="1">
      <c r="A88" s="30">
        <v>25.4</v>
      </c>
      <c r="B88" s="31">
        <f t="shared" si="8"/>
        <v>27.8966</v>
      </c>
      <c r="C88" s="31">
        <v>90</v>
      </c>
      <c r="D88" s="31">
        <v>0</v>
      </c>
      <c r="E88" s="31">
        <f t="shared" si="9"/>
        <v>90</v>
      </c>
      <c r="F88" s="31">
        <f t="shared" si="10"/>
        <v>-90</v>
      </c>
      <c r="G88" s="31">
        <v>90</v>
      </c>
      <c r="H88" s="31">
        <v>0</v>
      </c>
      <c r="I88" s="32">
        <f t="shared" si="11"/>
        <v>90</v>
      </c>
      <c r="J88" s="32">
        <f t="shared" si="12"/>
        <v>-90</v>
      </c>
      <c r="K88" s="30" t="s">
        <v>69</v>
      </c>
    </row>
    <row r="89" spans="1:11" s="22" customFormat="1" ht="12" customHeight="1">
      <c r="A89" s="30">
        <v>0</v>
      </c>
      <c r="B89" s="31">
        <f t="shared" si="8"/>
        <v>27.8966</v>
      </c>
      <c r="C89" s="31">
        <v>80</v>
      </c>
      <c r="D89" s="31">
        <v>0</v>
      </c>
      <c r="E89" s="31">
        <f>C89+D89</f>
        <v>80</v>
      </c>
      <c r="F89" s="31">
        <f>-C89+D89</f>
        <v>-80</v>
      </c>
      <c r="G89" s="31">
        <v>80</v>
      </c>
      <c r="H89" s="31">
        <v>0</v>
      </c>
      <c r="I89" s="32">
        <f>G89+H89</f>
        <v>80</v>
      </c>
      <c r="J89" s="32">
        <f>-G89+H89</f>
        <v>-80</v>
      </c>
      <c r="K89" s="30" t="s">
        <v>49</v>
      </c>
    </row>
    <row r="90" spans="1:11" s="22" customFormat="1" ht="12" customHeight="1">
      <c r="A90" s="27">
        <v>45.3</v>
      </c>
      <c r="B90" s="28">
        <f t="shared" si="8"/>
        <v>28.3496</v>
      </c>
      <c r="C90" s="28">
        <v>80</v>
      </c>
      <c r="D90" s="28">
        <v>0</v>
      </c>
      <c r="E90" s="28">
        <f t="shared" si="9"/>
        <v>80</v>
      </c>
      <c r="F90" s="28">
        <f t="shared" si="10"/>
        <v>-80</v>
      </c>
      <c r="G90" s="28">
        <v>80</v>
      </c>
      <c r="H90" s="28">
        <v>0</v>
      </c>
      <c r="I90" s="29">
        <f t="shared" si="11"/>
        <v>80</v>
      </c>
      <c r="J90" s="29">
        <f t="shared" si="12"/>
        <v>-80</v>
      </c>
      <c r="K90" s="27" t="s">
        <v>47</v>
      </c>
    </row>
    <row r="91" spans="1:11" s="22" customFormat="1" ht="12" customHeight="1">
      <c r="A91" s="27">
        <v>45.3</v>
      </c>
      <c r="B91" s="28">
        <f t="shared" si="8"/>
        <v>28.802599999999998</v>
      </c>
      <c r="C91" s="28">
        <v>80</v>
      </c>
      <c r="D91" s="28">
        <v>0</v>
      </c>
      <c r="E91" s="28">
        <f t="shared" si="9"/>
        <v>80</v>
      </c>
      <c r="F91" s="28">
        <f t="shared" si="10"/>
        <v>-80</v>
      </c>
      <c r="G91" s="28">
        <v>80</v>
      </c>
      <c r="H91" s="28">
        <v>0</v>
      </c>
      <c r="I91" s="29">
        <f t="shared" si="11"/>
        <v>80</v>
      </c>
      <c r="J91" s="29">
        <f t="shared" si="12"/>
        <v>-80</v>
      </c>
      <c r="K91" s="27" t="s">
        <v>46</v>
      </c>
    </row>
    <row r="92" spans="1:11" s="22" customFormat="1" ht="12" customHeight="1">
      <c r="A92" s="27">
        <v>0</v>
      </c>
      <c r="B92" s="28">
        <f t="shared" si="8"/>
        <v>28.802599999999998</v>
      </c>
      <c r="C92" s="28">
        <v>90</v>
      </c>
      <c r="D92" s="28">
        <v>0</v>
      </c>
      <c r="E92" s="28">
        <f>C92+D92</f>
        <v>90</v>
      </c>
      <c r="F92" s="28">
        <f>-C92+D92</f>
        <v>-90</v>
      </c>
      <c r="G92" s="28">
        <v>90</v>
      </c>
      <c r="H92" s="28">
        <v>0</v>
      </c>
      <c r="I92" s="29">
        <f>G92+H92</f>
        <v>90</v>
      </c>
      <c r="J92" s="29">
        <f>-G92+H92</f>
        <v>-90</v>
      </c>
      <c r="K92" s="27" t="s">
        <v>49</v>
      </c>
    </row>
    <row r="93" spans="1:11" ht="12" customHeight="1">
      <c r="A93" s="30">
        <f>A9</f>
        <v>25.4</v>
      </c>
      <c r="B93" s="31">
        <f t="shared" si="8"/>
        <v>29.0566</v>
      </c>
      <c r="C93" s="31">
        <v>90</v>
      </c>
      <c r="D93" s="31">
        <v>0</v>
      </c>
      <c r="E93" s="31">
        <f t="shared" si="9"/>
        <v>90</v>
      </c>
      <c r="F93" s="31">
        <f t="shared" si="10"/>
        <v>-90</v>
      </c>
      <c r="G93" s="31">
        <v>90</v>
      </c>
      <c r="H93" s="31">
        <v>0</v>
      </c>
      <c r="I93" s="32">
        <f t="shared" si="11"/>
        <v>90</v>
      </c>
      <c r="J93" s="32">
        <f t="shared" si="12"/>
        <v>-90</v>
      </c>
      <c r="K93" s="30" t="s">
        <v>69</v>
      </c>
    </row>
    <row r="94" spans="1:11" ht="12" customHeight="1">
      <c r="A94" s="30">
        <v>0</v>
      </c>
      <c r="B94" s="31">
        <f t="shared" si="8"/>
        <v>29.0566</v>
      </c>
      <c r="C94" s="31">
        <v>95</v>
      </c>
      <c r="D94" s="31">
        <v>0</v>
      </c>
      <c r="E94" s="31">
        <f>C94+D94</f>
        <v>95</v>
      </c>
      <c r="F94" s="31">
        <f>-C94+D94</f>
        <v>-95</v>
      </c>
      <c r="G94" s="31">
        <v>95</v>
      </c>
      <c r="H94" s="31">
        <v>0</v>
      </c>
      <c r="I94" s="32">
        <f>G94+H94</f>
        <v>95</v>
      </c>
      <c r="J94" s="32">
        <f>-G94+H94</f>
        <v>-95</v>
      </c>
      <c r="K94" s="30" t="s">
        <v>49</v>
      </c>
    </row>
    <row r="95" spans="1:11" ht="12" customHeight="1">
      <c r="A95" s="30">
        <f>A7</f>
        <v>69.3</v>
      </c>
      <c r="B95" s="31">
        <f t="shared" si="8"/>
        <v>29.7496</v>
      </c>
      <c r="C95" s="31">
        <v>95</v>
      </c>
      <c r="D95" s="31">
        <v>0</v>
      </c>
      <c r="E95" s="31">
        <f>C95+D95</f>
        <v>95</v>
      </c>
      <c r="F95" s="31">
        <f>-C95+D95</f>
        <v>-95</v>
      </c>
      <c r="G95" s="31">
        <v>95</v>
      </c>
      <c r="H95" s="31">
        <v>0</v>
      </c>
      <c r="I95" s="32">
        <f>G95+H95</f>
        <v>95</v>
      </c>
      <c r="J95" s="32">
        <f>-G95+H95</f>
        <v>-95</v>
      </c>
      <c r="K95" s="30"/>
    </row>
    <row r="96" spans="1:11" ht="12" customHeight="1">
      <c r="A96" s="10">
        <v>25</v>
      </c>
      <c r="B96" s="11">
        <f>(A96/100+B95)</f>
        <v>29.9996</v>
      </c>
      <c r="C96" s="11">
        <v>95</v>
      </c>
      <c r="D96" s="11">
        <v>0</v>
      </c>
      <c r="E96" s="11">
        <f t="shared" si="9"/>
        <v>95</v>
      </c>
      <c r="F96" s="11">
        <f t="shared" si="10"/>
        <v>-95</v>
      </c>
      <c r="G96" s="11">
        <v>95</v>
      </c>
      <c r="H96" s="11">
        <v>0</v>
      </c>
      <c r="I96" s="12">
        <f t="shared" si="11"/>
        <v>95</v>
      </c>
      <c r="J96" s="12">
        <f t="shared" si="12"/>
        <v>-95</v>
      </c>
      <c r="K96" s="10" t="s">
        <v>70</v>
      </c>
    </row>
    <row r="97" spans="1:11" s="13" customFormat="1" ht="12" customHeight="1">
      <c r="A97" s="33"/>
      <c r="B97" s="31">
        <f>(A97+B96)</f>
        <v>29.9996</v>
      </c>
      <c r="C97" s="34"/>
      <c r="D97" s="34"/>
      <c r="E97" s="34"/>
      <c r="F97" s="34"/>
      <c r="G97" s="34"/>
      <c r="H97" s="34"/>
      <c r="I97" s="32"/>
      <c r="J97" s="32"/>
      <c r="K97" s="30" t="s">
        <v>3</v>
      </c>
    </row>
    <row r="98" spans="1:11" ht="12" customHeight="1">
      <c r="A98" s="36"/>
      <c r="B98" s="37"/>
      <c r="C98" s="37"/>
      <c r="D98" s="37"/>
      <c r="E98" s="37"/>
      <c r="F98" s="37"/>
      <c r="G98" s="37"/>
      <c r="H98" s="37"/>
      <c r="I98" s="35"/>
      <c r="J98" s="35"/>
      <c r="K98" s="36"/>
    </row>
    <row r="99" spans="1:11" ht="12" customHeight="1">
      <c r="A99" s="38"/>
      <c r="B99" s="39"/>
      <c r="C99" s="39"/>
      <c r="D99" s="39"/>
      <c r="E99" s="39"/>
      <c r="F99" s="39"/>
      <c r="G99" s="39"/>
      <c r="H99" s="39"/>
      <c r="I99" s="40"/>
      <c r="J99" s="40"/>
      <c r="K99" s="38"/>
    </row>
    <row r="100" spans="1:11" ht="12" customHeight="1">
      <c r="A100" s="38"/>
      <c r="B100" s="39"/>
      <c r="C100" s="39"/>
      <c r="D100" s="39"/>
      <c r="E100" s="39"/>
      <c r="F100" s="39"/>
      <c r="G100" s="39"/>
      <c r="H100" s="39"/>
      <c r="I100" s="40"/>
      <c r="J100" s="40"/>
      <c r="K100" s="38"/>
    </row>
    <row r="101" spans="1:11" s="23" customFormat="1" ht="12" customHeight="1">
      <c r="A101" s="38"/>
      <c r="B101" s="39"/>
      <c r="C101" s="39"/>
      <c r="D101" s="39"/>
      <c r="E101" s="39"/>
      <c r="F101" s="39"/>
      <c r="G101" s="39"/>
      <c r="H101" s="39"/>
      <c r="I101" s="40"/>
      <c r="J101" s="40"/>
      <c r="K101" s="38"/>
    </row>
    <row r="102" spans="1:11" s="22" customFormat="1" ht="12" customHeight="1">
      <c r="A102" s="38"/>
      <c r="B102" s="39"/>
      <c r="C102" s="39"/>
      <c r="D102" s="39"/>
      <c r="E102" s="39"/>
      <c r="F102" s="39"/>
      <c r="G102" s="39"/>
      <c r="H102" s="39"/>
      <c r="I102" s="40"/>
      <c r="J102" s="40"/>
      <c r="K102" s="38"/>
    </row>
    <row r="103" spans="1:11" ht="12" customHeight="1">
      <c r="A103" s="38"/>
      <c r="B103" s="39"/>
      <c r="C103" s="39"/>
      <c r="D103" s="39"/>
      <c r="E103" s="39"/>
      <c r="F103" s="39"/>
      <c r="G103" s="39"/>
      <c r="H103" s="39"/>
      <c r="I103" s="40"/>
      <c r="J103" s="40"/>
      <c r="K103" s="38"/>
    </row>
    <row r="104" spans="1:11" ht="12" customHeight="1">
      <c r="A104" s="38"/>
      <c r="B104" s="39"/>
      <c r="C104" s="39"/>
      <c r="D104" s="39"/>
      <c r="E104" s="39"/>
      <c r="F104" s="39"/>
      <c r="G104" s="39"/>
      <c r="H104" s="39"/>
      <c r="I104" s="40"/>
      <c r="J104" s="40"/>
      <c r="K104" s="38"/>
    </row>
    <row r="105" spans="1:11" s="13" customFormat="1" ht="12" customHeight="1">
      <c r="A105" s="38"/>
      <c r="B105" s="39"/>
      <c r="C105" s="39"/>
      <c r="D105" s="39"/>
      <c r="E105" s="39"/>
      <c r="F105" s="39"/>
      <c r="G105" s="39"/>
      <c r="H105" s="39"/>
      <c r="I105" s="40"/>
      <c r="J105" s="40"/>
      <c r="K105" s="38"/>
    </row>
    <row r="106" spans="1:11" s="13" customFormat="1" ht="12" customHeight="1">
      <c r="A106" s="24"/>
      <c r="B106" s="25"/>
      <c r="C106" s="25"/>
      <c r="D106" s="25"/>
      <c r="E106" s="25"/>
      <c r="F106" s="25"/>
      <c r="G106" s="25"/>
      <c r="H106" s="25"/>
      <c r="I106" s="26"/>
      <c r="J106" s="26"/>
      <c r="K106" s="24"/>
    </row>
    <row r="111" spans="1:11" s="22" customFormat="1" ht="15" customHeight="1">
      <c r="A111" s="24"/>
      <c r="B111" s="25"/>
      <c r="C111" s="25"/>
      <c r="D111" s="25"/>
      <c r="E111" s="25"/>
      <c r="F111" s="25"/>
      <c r="G111" s="25"/>
      <c r="H111" s="25"/>
      <c r="I111" s="26"/>
      <c r="J111" s="26"/>
      <c r="K111" s="24"/>
    </row>
  </sheetData>
  <printOptions gridLines="1"/>
  <pageMargins left="0.75" right="0.74" top="0.58" bottom="1.75" header="0.75" footer="1.25"/>
  <pageSetup cellComments="atEnd" horizontalDpi="600" verticalDpi="600" orientation="landscape" r:id="rId1"/>
  <headerFooter alignWithMargins="0">
    <oddFooter xml:space="preserve">&amp;L&amp;F&amp;CPrepared by Lou Russo &amp;D&amp;RPage &amp;P of &amp;N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Gateway Client</dc:creator>
  <cp:keywords/>
  <dc:description/>
  <cp:lastModifiedBy>Nuria Catalan-Lasheras</cp:lastModifiedBy>
  <cp:lastPrinted>2001-09-25T19:19:46Z</cp:lastPrinted>
  <dcterms:created xsi:type="dcterms:W3CDTF">1999-08-04T18:48:28Z</dcterms:created>
  <dcterms:modified xsi:type="dcterms:W3CDTF">2001-09-27T17:43:38Z</dcterms:modified>
  <cp:category/>
  <cp:version/>
  <cp:contentType/>
  <cp:contentStatus/>
</cp:coreProperties>
</file>