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14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flow">'[1]sys-flow'!$C$19</definedName>
    <definedName name="K_t_branch">'[1]sys-flow'!$C$16</definedName>
    <definedName name="K_t_thru">'[1]sys-flow'!$C$15</definedName>
    <definedName name="kelbow">'[1]sys-flow'!$C$11</definedName>
    <definedName name="Kexpansion">'[1]sys-flow'!$C$14</definedName>
    <definedName name="Kvalve_a">'[1]sys-flow'!$C$12</definedName>
    <definedName name="kvalve_b">'[1]sys-flow'!$C$13</definedName>
    <definedName name="row">'[1]sys-flow'!$C$18</definedName>
    <definedName name="Row_1">'[2]flow'!$D$16</definedName>
    <definedName name="visc">'[1]sys-flow'!$C$21</definedName>
  </definedNames>
  <calcPr fullCalcOnLoad="1"/>
</workbook>
</file>

<file path=xl/sharedStrings.xml><?xml version="1.0" encoding="utf-8"?>
<sst xmlns="http://schemas.openxmlformats.org/spreadsheetml/2006/main" count="503" uniqueCount="221">
  <si>
    <t>m</t>
  </si>
  <si>
    <t>C</t>
  </si>
  <si>
    <t>K</t>
  </si>
  <si>
    <t>ft</t>
  </si>
  <si>
    <t>psi</t>
  </si>
  <si>
    <t>length of pipe</t>
  </si>
  <si>
    <t>ID</t>
  </si>
  <si>
    <t>m^3/sec</t>
  </si>
  <si>
    <t>friction factor</t>
  </si>
  <si>
    <t>renolds number=4Q/pi*v*D</t>
  </si>
  <si>
    <t>v-kinematic viscosity</t>
  </si>
  <si>
    <t>m^2/sec</t>
  </si>
  <si>
    <t>unitless</t>
  </si>
  <si>
    <t>gh=f(L/D)(V^2/2)</t>
  </si>
  <si>
    <t>linear flow velocity</t>
  </si>
  <si>
    <t>m/sec</t>
  </si>
  <si>
    <t>m^2/sec^2</t>
  </si>
  <si>
    <t>turbulent flow</t>
  </si>
  <si>
    <t>Pressure loss horizontal run</t>
  </si>
  <si>
    <t>fluid density</t>
  </si>
  <si>
    <t>KG/M^3</t>
  </si>
  <si>
    <t>N/m^s</t>
  </si>
  <si>
    <t>PSI</t>
  </si>
  <si>
    <t>due to friction</t>
  </si>
  <si>
    <t>N/M^2</t>
  </si>
  <si>
    <t xml:space="preserve">Flow </t>
  </si>
  <si>
    <t>N*sec/m^2</t>
  </si>
  <si>
    <t>viscosity/density</t>
  </si>
  <si>
    <t>turbulent</t>
  </si>
  <si>
    <t>watts</t>
  </si>
  <si>
    <t>cfm</t>
  </si>
  <si>
    <t>Q=KAdT/L</t>
  </si>
  <si>
    <t>density</t>
  </si>
  <si>
    <t>laminar flow</t>
  </si>
  <si>
    <t>wall</t>
  </si>
  <si>
    <t>lpm</t>
  </si>
  <si>
    <t>Row -coolant density</t>
  </si>
  <si>
    <t>viscosity-coolant</t>
  </si>
  <si>
    <t>h</t>
  </si>
  <si>
    <t>Heat capacity</t>
  </si>
  <si>
    <t>J/kg.K</t>
  </si>
  <si>
    <t>Thermal Conductivity</t>
  </si>
  <si>
    <t>w/m.K</t>
  </si>
  <si>
    <t>pr</t>
  </si>
  <si>
    <t>laminar</t>
  </si>
  <si>
    <t>in h20</t>
  </si>
  <si>
    <t>feet h20</t>
  </si>
  <si>
    <t>Nu</t>
  </si>
  <si>
    <t>watts / M^2.K heat transfer coefficent</t>
  </si>
  <si>
    <t>Q=hAdT</t>
  </si>
  <si>
    <t>Kelvin</t>
  </si>
  <si>
    <t>Celsius</t>
  </si>
  <si>
    <t>inner foam wall</t>
  </si>
  <si>
    <t>outer foam wall</t>
  </si>
  <si>
    <t>heat of vaporization</t>
  </si>
  <si>
    <t>w/m^2.K</t>
  </si>
  <si>
    <t>ambient air</t>
  </si>
  <si>
    <t>inner diameter</t>
  </si>
  <si>
    <t>meters</t>
  </si>
  <si>
    <t>outer diameter</t>
  </si>
  <si>
    <t>length of pipes</t>
  </si>
  <si>
    <t>meters surface area</t>
  </si>
  <si>
    <t xml:space="preserve"> w/m.K from ambient to foam</t>
  </si>
  <si>
    <t xml:space="preserve">w/m.k </t>
  </si>
  <si>
    <t>from pipe to the gas</t>
  </si>
  <si>
    <t>into foam</t>
  </si>
  <si>
    <t>thru foam</t>
  </si>
  <si>
    <t>into gas</t>
  </si>
  <si>
    <t>units</t>
  </si>
  <si>
    <t>OD of liquid supply pipe</t>
  </si>
  <si>
    <t>OD of vacuum jacket pipe</t>
  </si>
  <si>
    <t>m^2</t>
  </si>
  <si>
    <t>Room temperature</t>
  </si>
  <si>
    <t>coolant temperature</t>
  </si>
  <si>
    <t>surface of OD vacuum pipe temperature</t>
  </si>
  <si>
    <t>heat transfer coef. OD of pipe to air</t>
  </si>
  <si>
    <t>W/m^2/K</t>
  </si>
  <si>
    <t>K - conductivity of stainless steel</t>
  </si>
  <si>
    <t>W/M/K</t>
  </si>
  <si>
    <t xml:space="preserve">e- emissivity of stainless steel (OD of the coolant pipe) without mylar </t>
  </si>
  <si>
    <t>arb.</t>
  </si>
  <si>
    <t>e- emissivity of stainless steel (id of the  vacuum jacket)</t>
  </si>
  <si>
    <t>e- emissivity of stainless steel (OD of the  vacuum jacket)</t>
  </si>
  <si>
    <t>stefan boltzman constant</t>
  </si>
  <si>
    <t>w/m/k/K^4</t>
  </si>
  <si>
    <t>vacuum pressure</t>
  </si>
  <si>
    <t xml:space="preserve">accommodation coeficent for air </t>
  </si>
  <si>
    <t>accom. Factor Fa</t>
  </si>
  <si>
    <t>G-gas conduction parameter=g+1/g-1*(gR/8piMT)^.5</t>
  </si>
  <si>
    <t>Calculate the cooling on the vacuum jacket due to radiation and "conduction" from the liquid pipe</t>
  </si>
  <si>
    <t>radiation</t>
  </si>
  <si>
    <t>Watt</t>
  </si>
  <si>
    <t>conduction</t>
  </si>
  <si>
    <t>Q=G*p*A1*(dT)</t>
  </si>
  <si>
    <t>total lost</t>
  </si>
  <si>
    <t>Calculate the heating due to convection and radiation of the outer pipe</t>
  </si>
  <si>
    <t>convection</t>
  </si>
  <si>
    <t>Q=h*A*(dT)</t>
  </si>
  <si>
    <t xml:space="preserve">Q=e*A*s*(T^4-T^4) </t>
  </si>
  <si>
    <t>Total</t>
  </si>
  <si>
    <t>J/Kg</t>
  </si>
  <si>
    <t>inches</t>
  </si>
  <si>
    <t>M^3/sec</t>
  </si>
  <si>
    <t>c.feet/minute</t>
  </si>
  <si>
    <t>Gas temp at inlet to tranfer line at edge of straw tubes Flow rate is divided by 7</t>
  </si>
  <si>
    <t>Heat load due to silicon strips</t>
  </si>
  <si>
    <t>FOOTNOTES</t>
  </si>
  <si>
    <t>Calculating the heat transfer coeff from the pipe into the transfer gas</t>
  </si>
  <si>
    <t>Turbulent flow</t>
  </si>
  <si>
    <t>BINGO</t>
  </si>
  <si>
    <t>h=4k/D</t>
  </si>
  <si>
    <t>length of transfer line</t>
  </si>
  <si>
    <t>surface area of OD vacuum jacket pipe</t>
  </si>
  <si>
    <t>Surface area of OD transport/inner pipe</t>
  </si>
  <si>
    <t>watt lost</t>
  </si>
  <si>
    <t>Fe-pg 386</t>
  </si>
  <si>
    <t>Q=Fe*A*s*(T^4-T^4)</t>
  </si>
  <si>
    <t>g, specific heat ratio cp/cv</t>
  </si>
  <si>
    <t>cp</t>
  </si>
  <si>
    <t>J/KG.K @200K</t>
  </si>
  <si>
    <t xml:space="preserve">J/KG.K </t>
  </si>
  <si>
    <t>cv=3/2R</t>
  </si>
  <si>
    <t>J/mol.K /kg/mol</t>
  </si>
  <si>
    <t xml:space="preserve">R=Ru/M </t>
  </si>
  <si>
    <t>M/sec.K</t>
  </si>
  <si>
    <t>Pa</t>
  </si>
  <si>
    <t>meter</t>
  </si>
  <si>
    <t xml:space="preserve">gas mean free path l=u/p *(piRT/2gc).5 </t>
  </si>
  <si>
    <t>free molecular conduction occurs</t>
  </si>
  <si>
    <t>torr</t>
  </si>
  <si>
    <t>watt disappated</t>
  </si>
  <si>
    <t xml:space="preserve">watt disappated </t>
  </si>
  <si>
    <t>dollars/liter cost</t>
  </si>
  <si>
    <t>dollars/sec</t>
  </si>
  <si>
    <t>dollars/year</t>
  </si>
  <si>
    <t>deg C</t>
  </si>
  <si>
    <t>outgassing rates for kynar - assume material is moisture</t>
  </si>
  <si>
    <t xml:space="preserve">surface area </t>
  </si>
  <si>
    <t>cm^2</t>
  </si>
  <si>
    <t>time 7 lines</t>
  </si>
  <si>
    <t>outgassing rate</t>
  </si>
  <si>
    <t>g/cm^2.sec</t>
  </si>
  <si>
    <t>g/sec</t>
  </si>
  <si>
    <t>g/mole</t>
  </si>
  <si>
    <t>l/mol</t>
  </si>
  <si>
    <t>liters/sec</t>
  </si>
  <si>
    <t>convection into the gas</t>
  </si>
  <si>
    <t>Surface of ID coolant line</t>
  </si>
  <si>
    <t>watts into the OD surface</t>
  </si>
  <si>
    <t>watts radiated into the vacuum</t>
  </si>
  <si>
    <t>watts into the ID surface</t>
  </si>
  <si>
    <t>watts radiated off inner surface</t>
  </si>
  <si>
    <t>watts conducted thru vacuum</t>
  </si>
  <si>
    <t>Total normal Q;s no radiation</t>
  </si>
  <si>
    <t>surface of ID transfer line</t>
  </si>
  <si>
    <t>total without radiation</t>
  </si>
  <si>
    <t>Throat Velocity</t>
  </si>
  <si>
    <t>4*Q/PI*Dt^2</t>
  </si>
  <si>
    <t>B ratio  - Dt/Dnom</t>
  </si>
  <si>
    <t>table 7.31 page 530 , fluid mechanics</t>
  </si>
  <si>
    <t>pressure drop</t>
  </si>
  <si>
    <t>M</t>
  </si>
  <si>
    <t xml:space="preserve">M </t>
  </si>
  <si>
    <t>lpsec</t>
  </si>
  <si>
    <t>scfh</t>
  </si>
  <si>
    <t>liters/min</t>
  </si>
  <si>
    <t>liters per hour</t>
  </si>
  <si>
    <t>Kg/M^3</t>
  </si>
  <si>
    <t>Density of nitrogen gas at</t>
  </si>
  <si>
    <t>Head Pressure into dewar</t>
  </si>
  <si>
    <t>controls flow rate</t>
  </si>
  <si>
    <t>flow rate</t>
  </si>
  <si>
    <t>Liquid flow rate…..</t>
  </si>
  <si>
    <t>calculates heat load into the pipe</t>
  </si>
  <si>
    <t>pressure drop from dewar to the 7 way split</t>
  </si>
  <si>
    <t>Liquid Nitrogen @80K</t>
  </si>
  <si>
    <t xml:space="preserve">Kg/sec </t>
  </si>
  <si>
    <t>mass flow rate</t>
  </si>
  <si>
    <t>TOTAL SYSTEM HEAT LOAD</t>
  </si>
  <si>
    <t>nu-low R turbulent</t>
  </si>
  <si>
    <t>Split each of the 7 lines 4 ways, one for each quadrant</t>
  </si>
  <si>
    <t>split is foam insulated</t>
  </si>
  <si>
    <t>liquid temp</t>
  </si>
  <si>
    <t>inner surface area</t>
  </si>
  <si>
    <t>outer wall surface area</t>
  </si>
  <si>
    <t>foam conduction</t>
  </si>
  <si>
    <t>h guess</t>
  </si>
  <si>
    <t>Calculating the heat transfer coeff from the pipe into the transfer gas -4by transfer line - foam jacketed</t>
  </si>
  <si>
    <t>watts to vaporize all the liquid ??</t>
  </si>
  <si>
    <t>heat capacity of gas</t>
  </si>
  <si>
    <t>delta T</t>
  </si>
  <si>
    <t>watts required to warmup the gas from 85K to 263 K  (178 dT)</t>
  </si>
  <si>
    <t>Total heat capacity of Nitrogen</t>
  </si>
  <si>
    <t>electrical</t>
  </si>
  <si>
    <t>Thermal heat load on the chamber</t>
  </si>
  <si>
    <t xml:space="preserve">inner chamber temperature </t>
  </si>
  <si>
    <t>surface of flat shell</t>
  </si>
  <si>
    <t>surface of round shell</t>
  </si>
  <si>
    <t>inside surface of chamber</t>
  </si>
  <si>
    <t>outside surface of chamber</t>
  </si>
  <si>
    <t>Fit for the gas density of nitrogen</t>
  </si>
  <si>
    <t>Temp</t>
  </si>
  <si>
    <t>kg/m^3</t>
  </si>
  <si>
    <t>kg/m^3 density of nitroge gas inside the chamber</t>
  </si>
  <si>
    <t>m^3/sec gas flow rate</t>
  </si>
  <si>
    <t>DOUBLE CHECKING TO SEE IF THE GAS TERMS SHOULD BE USED INSTEAD OF LIQUID</t>
  </si>
  <si>
    <t>gas Nitrogen @100K</t>
  </si>
  <si>
    <t>MANIFOLD PRESSURE DROPS BASED ON WARM NITROGEN GAS FLOW</t>
  </si>
  <si>
    <t>manifold diameter</t>
  </si>
  <si>
    <t>flow rate thru 1 orifice</t>
  </si>
  <si>
    <t>orifice diameter</t>
  </si>
  <si>
    <t>temp of gas inside manifold</t>
  </si>
  <si>
    <t>watts inside the chambers</t>
  </si>
  <si>
    <t>J/kg.K average heat capacity of the nitrogen gas</t>
  </si>
  <si>
    <t>minus100c=2113 watts=.679 lpm liquid =274 lpm gas</t>
  </si>
  <si>
    <t>temp drop in the manifold (gas</t>
  </si>
  <si>
    <t>Kelvin gas temp inside manifold</t>
  </si>
  <si>
    <t>minus10c=1539 watts=.349lpm = 215 lpm gas = 9.5 psi .007 inch hole at manifold</t>
  </si>
  <si>
    <t>minus20C=1602 watts=.379 lpm liquid = 225 lpm gas = 12 psi .007 inch manifold hole</t>
  </si>
  <si>
    <t>h inside of chamber guess</t>
  </si>
  <si>
    <t>h outside of chamber guess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</si>
</sst>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"/>
    <numFmt numFmtId="167" formatCode="#,##0.0000000"/>
    <numFmt numFmtId="168" formatCode="#,##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10"/>
      <color indexed="57"/>
      <name val="Arial"/>
      <family val="2"/>
    </font>
    <font>
      <sz val="10"/>
      <color indexed="5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1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1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gas</a:t>
            </a:r>
          </a:p>
        </c:rich>
      </c:tx>
      <c:layout>
        <c:manualLayout>
          <c:xMode val="factor"/>
          <c:yMode val="factor"/>
          <c:x val="-0.239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4"/>
          <c:w val="0.72325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'[1]vac_vac_liquid'!$R$184</c:f>
              <c:strCache>
                <c:ptCount val="1"/>
                <c:pt idx="0">
                  <c:v>kg/m^3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367.57x
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-1.0154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'[1]vac_vac_liquid'!$Q$185:$Q$190</c:f>
              <c:numCache>
                <c:ptCount val="6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</c:numCache>
            </c:numRef>
          </c:xVal>
          <c:yVal>
            <c:numRef>
              <c:f>'[1]vac_vac_liquid'!$R$185:$R$190</c:f>
              <c:numCache>
                <c:ptCount val="6"/>
                <c:pt idx="0">
                  <c:v>3.4388</c:v>
                </c:pt>
                <c:pt idx="1">
                  <c:v>2.2594</c:v>
                </c:pt>
                <c:pt idx="2">
                  <c:v>1.6883</c:v>
                </c:pt>
                <c:pt idx="3">
                  <c:v>1.3488</c:v>
                </c:pt>
                <c:pt idx="4">
                  <c:v>1.1233</c:v>
                </c:pt>
                <c:pt idx="5">
                  <c:v>0.9625</c:v>
                </c:pt>
              </c:numCache>
            </c:numRef>
          </c:yVal>
          <c:smooth val="0"/>
        </c:ser>
        <c:axId val="11773846"/>
        <c:axId val="38855751"/>
      </c:scatterChart>
      <c:val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crossBetween val="midCat"/>
        <c:dispUnits/>
      </c:valAx>
      <c:valAx>
        <c:axId val="38855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Kg/m^3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169</xdr:row>
      <xdr:rowOff>142875</xdr:rowOff>
    </xdr:from>
    <xdr:to>
      <xdr:col>29</xdr:col>
      <xdr:colOff>533400</xdr:colOff>
      <xdr:row>190</xdr:row>
      <xdr:rowOff>104775</xdr:rowOff>
    </xdr:to>
    <xdr:graphicFrame>
      <xdr:nvGraphicFramePr>
        <xdr:cNvPr id="1" name="Chart 1"/>
        <xdr:cNvGraphicFramePr/>
      </xdr:nvGraphicFramePr>
      <xdr:xfrm>
        <a:off x="17068800" y="27508200"/>
        <a:ext cx="5867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dserver\cease$\Btev-silicon_strip\silicon-strip-flow-therm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dserver\cease$\Btev-pixel\charles-pixel-testbe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-flow"/>
      <sheetName val="thermal"/>
      <sheetName val="foam_jacket_lines"/>
      <sheetName val="Sheet3"/>
      <sheetName val="manifold"/>
      <sheetName val="vac_vac_liquid"/>
      <sheetName val="vac_vac"/>
      <sheetName val="vac_foam"/>
      <sheetName val="composite_2"/>
      <sheetName val="composite"/>
      <sheetName val="elect-test"/>
    </sheetNames>
    <sheetDataSet>
      <sheetData sheetId="0">
        <row r="11">
          <cell r="C11">
            <v>0.3</v>
          </cell>
        </row>
        <row r="12">
          <cell r="C12">
            <v>0.6731480479359998</v>
          </cell>
        </row>
        <row r="13">
          <cell r="C13">
            <v>0.5294692834329601</v>
          </cell>
        </row>
        <row r="14">
          <cell r="C14">
            <v>1</v>
          </cell>
        </row>
        <row r="15">
          <cell r="C15">
            <v>0.45</v>
          </cell>
        </row>
        <row r="16">
          <cell r="C16">
            <v>1.4</v>
          </cell>
        </row>
        <row r="18">
          <cell r="C18">
            <v>1000</v>
          </cell>
        </row>
        <row r="19">
          <cell r="C19">
            <v>0.08</v>
          </cell>
        </row>
        <row r="21">
          <cell r="C21">
            <v>1.2E-06</v>
          </cell>
        </row>
      </sheetData>
      <sheetData sheetId="5">
        <row r="184">
          <cell r="R184" t="str">
            <v>kg/m^3</v>
          </cell>
        </row>
        <row r="185">
          <cell r="Q185">
            <v>100</v>
          </cell>
          <cell r="R185">
            <v>3.4388</v>
          </cell>
        </row>
        <row r="186">
          <cell r="Q186">
            <v>150</v>
          </cell>
          <cell r="R186">
            <v>2.2594</v>
          </cell>
        </row>
        <row r="187">
          <cell r="Q187">
            <v>200</v>
          </cell>
          <cell r="R187">
            <v>1.6883</v>
          </cell>
        </row>
        <row r="188">
          <cell r="Q188">
            <v>250</v>
          </cell>
          <cell r="R188">
            <v>1.3488</v>
          </cell>
        </row>
        <row r="189">
          <cell r="Q189">
            <v>300</v>
          </cell>
          <cell r="R189">
            <v>1.1233</v>
          </cell>
        </row>
        <row r="190">
          <cell r="Q190">
            <v>350</v>
          </cell>
          <cell r="R190">
            <v>0.9625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yo-wattage-temps"/>
      <sheetName val="flow"/>
      <sheetName val="heat losses"/>
      <sheetName val="wattage-temps"/>
      <sheetName val="pump_cap"/>
    </sheetNames>
    <sheetDataSet>
      <sheetData sheetId="1">
        <row r="16">
          <cell r="D16">
            <v>1085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3"/>
  <sheetViews>
    <sheetView tabSelected="1" workbookViewId="0" topLeftCell="A1">
      <selection activeCell="A1" sqref="A1:AC16384"/>
    </sheetView>
  </sheetViews>
  <sheetFormatPr defaultColWidth="9.140625" defaultRowHeight="12.75"/>
  <cols>
    <col min="5" max="5" width="48.00390625" style="0" customWidth="1"/>
    <col min="6" max="6" width="16.57421875" style="0" customWidth="1"/>
    <col min="7" max="7" width="15.7109375" style="0" customWidth="1"/>
    <col min="8" max="8" width="12.421875" style="0" bestFit="1" customWidth="1"/>
    <col min="9" max="9" width="20.57421875" style="0" customWidth="1"/>
    <col min="10" max="10" width="12.421875" style="0" bestFit="1" customWidth="1"/>
  </cols>
  <sheetData>
    <row r="1" spans="4:11" ht="12.75">
      <c r="D1" s="1"/>
      <c r="E1" s="1"/>
      <c r="F1" s="1"/>
      <c r="G1" s="1"/>
      <c r="H1" s="2"/>
      <c r="I1" s="1"/>
      <c r="J1" s="1"/>
      <c r="K1" s="1"/>
    </row>
    <row r="2" spans="4:11" ht="12.75">
      <c r="D2" s="1"/>
      <c r="E2" s="1"/>
      <c r="F2" s="1"/>
      <c r="G2" s="1"/>
      <c r="H2" s="2"/>
      <c r="I2" s="1"/>
      <c r="J2" s="1"/>
      <c r="K2" s="1"/>
    </row>
    <row r="3" spans="3:11" ht="12.75">
      <c r="C3" t="s">
        <v>173</v>
      </c>
      <c r="E3" s="3"/>
      <c r="H3" s="1"/>
      <c r="I3" s="2"/>
      <c r="J3" s="1"/>
      <c r="K3" s="4"/>
    </row>
    <row r="4" spans="5:11" ht="12.75">
      <c r="E4" s="3"/>
      <c r="G4" s="2" t="s">
        <v>68</v>
      </c>
      <c r="H4" s="1"/>
      <c r="I4" s="2"/>
      <c r="J4" s="1"/>
      <c r="K4" s="4"/>
    </row>
    <row r="5" spans="5:11" ht="12.75">
      <c r="E5" s="3" t="s">
        <v>111</v>
      </c>
      <c r="F5" s="1">
        <v>40</v>
      </c>
      <c r="G5" s="1" t="s">
        <v>58</v>
      </c>
      <c r="H5" s="1"/>
      <c r="I5" s="2"/>
      <c r="J5" s="1"/>
      <c r="K5" s="4"/>
    </row>
    <row r="6" spans="5:9" ht="12.75">
      <c r="E6" s="3" t="s">
        <v>69</v>
      </c>
      <c r="F6" s="1">
        <f>F219</f>
        <v>0.005</v>
      </c>
      <c r="G6" s="2" t="s">
        <v>0</v>
      </c>
      <c r="H6">
        <f>F6*100/2.54</f>
        <v>0.19685039370078738</v>
      </c>
      <c r="I6" s="2" t="s">
        <v>101</v>
      </c>
    </row>
    <row r="7" spans="5:9" ht="12.75">
      <c r="E7" s="3" t="s">
        <v>70</v>
      </c>
      <c r="F7" s="1">
        <v>0.075</v>
      </c>
      <c r="G7" s="2" t="s">
        <v>0</v>
      </c>
      <c r="H7">
        <f>F7*100/2.54</f>
        <v>2.952755905511811</v>
      </c>
      <c r="I7" s="2" t="s">
        <v>101</v>
      </c>
    </row>
    <row r="8" spans="5:11" ht="12.75">
      <c r="E8" s="3" t="s">
        <v>112</v>
      </c>
      <c r="F8" s="1">
        <f>PI()*F7*(F5)</f>
        <v>9.42477796076938</v>
      </c>
      <c r="G8" s="2" t="s">
        <v>71</v>
      </c>
      <c r="I8" s="2"/>
      <c r="J8" s="1"/>
      <c r="K8" s="4"/>
    </row>
    <row r="9" spans="5:11" ht="12.75">
      <c r="E9" s="3" t="s">
        <v>113</v>
      </c>
      <c r="F9" s="1">
        <f>PI()*F6*(F5)</f>
        <v>0.6283185307179586</v>
      </c>
      <c r="G9" s="2" t="s">
        <v>71</v>
      </c>
      <c r="I9" s="2"/>
      <c r="J9" s="1"/>
      <c r="K9" s="4"/>
    </row>
    <row r="10" spans="5:11" ht="12.75">
      <c r="E10" s="3" t="s">
        <v>72</v>
      </c>
      <c r="F10" s="1">
        <v>293</v>
      </c>
      <c r="G10" s="2" t="s">
        <v>2</v>
      </c>
      <c r="I10" s="2"/>
      <c r="J10" s="1"/>
      <c r="K10" s="4"/>
    </row>
    <row r="11" spans="5:11" ht="12.75">
      <c r="E11" s="3" t="s">
        <v>74</v>
      </c>
      <c r="F11" s="5">
        <v>292.0455794852885</v>
      </c>
      <c r="G11" s="2" t="s">
        <v>2</v>
      </c>
      <c r="H11">
        <f>F11-273</f>
        <v>19.0455794852885</v>
      </c>
      <c r="I11" s="2" t="s">
        <v>135</v>
      </c>
      <c r="J11" s="1"/>
      <c r="K11" s="4"/>
    </row>
    <row r="12" spans="5:11" ht="12.75">
      <c r="E12" s="3" t="s">
        <v>147</v>
      </c>
      <c r="F12" s="5">
        <v>80.06728100196149</v>
      </c>
      <c r="G12" s="2" t="s">
        <v>2</v>
      </c>
      <c r="I12" s="2"/>
      <c r="J12" s="1"/>
      <c r="K12" s="4"/>
    </row>
    <row r="13" spans="5:11" ht="12.75">
      <c r="E13" s="3" t="s">
        <v>73</v>
      </c>
      <c r="F13" s="1">
        <v>80</v>
      </c>
      <c r="G13" s="2" t="s">
        <v>2</v>
      </c>
      <c r="I13" s="2"/>
      <c r="J13" s="1"/>
      <c r="K13" s="4"/>
    </row>
    <row r="14" spans="5:11" ht="12.75">
      <c r="E14" s="3" t="s">
        <v>75</v>
      </c>
      <c r="F14" s="1">
        <v>5</v>
      </c>
      <c r="G14" s="2" t="s">
        <v>76</v>
      </c>
      <c r="I14" s="2"/>
      <c r="J14" s="1"/>
      <c r="K14" s="4"/>
    </row>
    <row r="15" spans="5:11" ht="12.75">
      <c r="E15" s="3" t="s">
        <v>77</v>
      </c>
      <c r="F15" s="1">
        <v>14</v>
      </c>
      <c r="G15" s="2" t="s">
        <v>78</v>
      </c>
      <c r="I15" s="2"/>
      <c r="J15" s="1"/>
      <c r="K15" s="4"/>
    </row>
    <row r="16" spans="5:11" ht="12.75">
      <c r="E16" s="3" t="s">
        <v>79</v>
      </c>
      <c r="F16" s="1">
        <v>0.15</v>
      </c>
      <c r="G16" s="2" t="s">
        <v>80</v>
      </c>
      <c r="K16" s="4"/>
    </row>
    <row r="17" spans="5:11" ht="12.75">
      <c r="E17" s="3" t="s">
        <v>81</v>
      </c>
      <c r="F17" s="1">
        <v>0.15</v>
      </c>
      <c r="G17" s="2" t="s">
        <v>80</v>
      </c>
      <c r="I17" s="2"/>
      <c r="J17" s="1"/>
      <c r="K17" s="4"/>
    </row>
    <row r="18" spans="5:11" ht="12.75">
      <c r="E18" s="3" t="s">
        <v>82</v>
      </c>
      <c r="F18" s="1">
        <f>0.15+0.5</f>
        <v>0.65</v>
      </c>
      <c r="G18" s="2" t="s">
        <v>80</v>
      </c>
      <c r="I18" s="2"/>
      <c r="J18" s="1"/>
      <c r="K18" s="4"/>
    </row>
    <row r="19" spans="5:11" ht="12.75">
      <c r="E19" s="6" t="s">
        <v>115</v>
      </c>
      <c r="F19" s="1">
        <f>1/(1/F16+F9/F8*(1/F17-1))</f>
        <v>0.14195583596214512</v>
      </c>
      <c r="G19" s="2"/>
      <c r="I19" s="2"/>
      <c r="J19" s="1"/>
      <c r="K19" s="4"/>
    </row>
    <row r="20" spans="5:11" ht="12.75">
      <c r="E20" s="3" t="s">
        <v>83</v>
      </c>
      <c r="F20" s="7">
        <v>5.67E-08</v>
      </c>
      <c r="G20" s="2" t="s">
        <v>84</v>
      </c>
      <c r="I20" s="2"/>
      <c r="J20" s="1"/>
      <c r="K20" s="4"/>
    </row>
    <row r="21" spans="5:11" ht="12.75">
      <c r="E21" s="3" t="s">
        <v>85</v>
      </c>
      <c r="F21" s="1">
        <v>0.1</v>
      </c>
      <c r="G21" s="2" t="s">
        <v>125</v>
      </c>
      <c r="H21">
        <f>F21/133</f>
        <v>0.0007518796992481203</v>
      </c>
      <c r="I21" s="2" t="s">
        <v>129</v>
      </c>
      <c r="J21" s="1">
        <f>F21/6895</f>
        <v>1.4503263234227703E-05</v>
      </c>
      <c r="K21" s="4" t="s">
        <v>4</v>
      </c>
    </row>
    <row r="22" spans="5:11" ht="12.75">
      <c r="E22" s="3" t="s">
        <v>86</v>
      </c>
      <c r="F22" s="1">
        <v>0.9</v>
      </c>
      <c r="G22" s="2"/>
      <c r="I22" s="2"/>
      <c r="J22" s="1"/>
      <c r="K22" s="4"/>
    </row>
    <row r="23" spans="5:11" ht="12.75">
      <c r="E23" s="3" t="s">
        <v>87</v>
      </c>
      <c r="F23" s="1">
        <f>1/(1/F22+(F9/F8)^2*(1/F22-1))</f>
        <v>0.8996001776988005</v>
      </c>
      <c r="G23" s="2"/>
      <c r="I23" s="2"/>
      <c r="J23" s="1"/>
      <c r="K23" s="4"/>
    </row>
    <row r="24" spans="5:11" ht="12.75">
      <c r="E24" s="3" t="s">
        <v>127</v>
      </c>
      <c r="F24" s="1">
        <f>(0.000013/F21)*(PI()*F26*F11/(2*1))^0.5</f>
        <v>0.06690541261135105</v>
      </c>
      <c r="G24" s="2" t="s">
        <v>126</v>
      </c>
      <c r="H24">
        <f>F24*100/2.54</f>
        <v>2.6340713626516163</v>
      </c>
      <c r="I24" s="2" t="s">
        <v>101</v>
      </c>
      <c r="J24" t="s">
        <v>128</v>
      </c>
      <c r="K24" s="4"/>
    </row>
    <row r="25" spans="5:11" ht="12.75">
      <c r="E25" s="8" t="s">
        <v>118</v>
      </c>
      <c r="F25" s="9">
        <v>1006</v>
      </c>
      <c r="G25" s="2" t="s">
        <v>119</v>
      </c>
      <c r="I25" s="2"/>
      <c r="J25" s="1"/>
      <c r="K25" s="4"/>
    </row>
    <row r="26" spans="5:11" ht="12.75">
      <c r="E26" s="8" t="s">
        <v>123</v>
      </c>
      <c r="F26" s="9">
        <f>8.31434/(0.8*0.014+0.2*0.016)</f>
        <v>577.3847222222222</v>
      </c>
      <c r="G26" s="2" t="s">
        <v>122</v>
      </c>
      <c r="I26" s="2"/>
      <c r="J26" s="1"/>
      <c r="K26" s="4"/>
    </row>
    <row r="27" spans="5:11" ht="12.75">
      <c r="E27" s="3" t="s">
        <v>121</v>
      </c>
      <c r="F27" s="1">
        <f>1.5*F26</f>
        <v>866.0770833333333</v>
      </c>
      <c r="G27" s="2" t="s">
        <v>120</v>
      </c>
      <c r="I27" s="2"/>
      <c r="J27" s="1"/>
      <c r="K27" s="4"/>
    </row>
    <row r="28" spans="5:11" ht="12.75">
      <c r="E28" s="3" t="s">
        <v>117</v>
      </c>
      <c r="F28" s="1">
        <f>F25/F27</f>
        <v>1.161559426244296</v>
      </c>
      <c r="G28" s="2"/>
      <c r="I28" s="2"/>
      <c r="J28" s="1"/>
      <c r="K28" s="4"/>
    </row>
    <row r="29" spans="5:11" ht="12.75">
      <c r="E29" s="3" t="s">
        <v>88</v>
      </c>
      <c r="F29" s="1">
        <f>(F28+1)/(F28-1)*(1*F26/(8*PI()*F11))^0.5*F23</f>
        <v>3.3757618893597017</v>
      </c>
      <c r="G29" s="2" t="s">
        <v>124</v>
      </c>
      <c r="I29" s="2"/>
      <c r="J29" s="1"/>
      <c r="K29" s="4"/>
    </row>
    <row r="30" spans="5:11" ht="12.75">
      <c r="E30" s="3"/>
      <c r="F30" s="1"/>
      <c r="G30" s="1"/>
      <c r="I30" s="2"/>
      <c r="J30" s="1"/>
      <c r="K30" s="4"/>
    </row>
    <row r="31" spans="5:11" ht="12.75">
      <c r="E31" s="3" t="s">
        <v>89</v>
      </c>
      <c r="F31" s="1"/>
      <c r="G31" s="1"/>
      <c r="I31" s="2"/>
      <c r="J31" s="1"/>
      <c r="K31" s="4"/>
    </row>
    <row r="32" spans="5:11" ht="12.75">
      <c r="E32" s="3" t="s">
        <v>90</v>
      </c>
      <c r="F32" s="1"/>
      <c r="G32" s="1"/>
      <c r="I32" s="2"/>
      <c r="J32" s="1"/>
      <c r="K32" s="4"/>
    </row>
    <row r="33" spans="5:13" ht="12.75">
      <c r="E33" s="3" t="s">
        <v>116</v>
      </c>
      <c r="F33" s="10">
        <f>F19*F9*F20*(F11^4-F13^4)</f>
        <v>36.5819172039976</v>
      </c>
      <c r="G33" s="1" t="s">
        <v>151</v>
      </c>
      <c r="I33" s="2" t="s">
        <v>91</v>
      </c>
      <c r="J33" s="1"/>
      <c r="K33" s="4"/>
      <c r="M33" s="11"/>
    </row>
    <row r="34" spans="5:13" ht="12.75">
      <c r="E34" s="3" t="s">
        <v>92</v>
      </c>
      <c r="F34" s="1"/>
      <c r="G34" s="1"/>
      <c r="I34" s="2"/>
      <c r="J34" s="1"/>
      <c r="K34" s="4"/>
      <c r="M34" s="11"/>
    </row>
    <row r="35" spans="5:13" ht="12.75">
      <c r="E35" s="3" t="s">
        <v>93</v>
      </c>
      <c r="F35" s="12">
        <f>F29*F21*F9*(F11-F13)</f>
        <v>44.9760071617959</v>
      </c>
      <c r="G35" s="1" t="s">
        <v>152</v>
      </c>
      <c r="I35" s="2" t="s">
        <v>91</v>
      </c>
      <c r="J35" s="1"/>
      <c r="K35" s="4"/>
      <c r="M35" s="11"/>
    </row>
    <row r="36" spans="5:13" ht="12.75">
      <c r="E36" s="3"/>
      <c r="F36" s="1"/>
      <c r="G36" s="1"/>
      <c r="I36" s="2"/>
      <c r="J36" s="1"/>
      <c r="K36" s="4"/>
      <c r="M36" s="11"/>
    </row>
    <row r="37" spans="5:13" ht="12.75">
      <c r="E37" s="3" t="s">
        <v>94</v>
      </c>
      <c r="F37" s="10">
        <f>F35+F33</f>
        <v>81.5579243657935</v>
      </c>
      <c r="G37" s="1"/>
      <c r="I37" s="2" t="s">
        <v>91</v>
      </c>
      <c r="J37" s="1"/>
      <c r="K37" s="4"/>
      <c r="M37" s="11"/>
    </row>
    <row r="38" spans="5:13" ht="12.75">
      <c r="E38" s="3"/>
      <c r="F38" s="1"/>
      <c r="G38" s="1"/>
      <c r="I38" s="2"/>
      <c r="J38" s="1"/>
      <c r="K38" s="4"/>
      <c r="M38" s="11"/>
    </row>
    <row r="39" spans="5:13" ht="12.75">
      <c r="E39" s="3" t="s">
        <v>95</v>
      </c>
      <c r="F39" s="1"/>
      <c r="G39" s="1"/>
      <c r="I39" s="2"/>
      <c r="J39" s="1"/>
      <c r="K39" s="4"/>
      <c r="M39" s="11"/>
    </row>
    <row r="40" spans="5:13" ht="12.75">
      <c r="E40" s="3" t="s">
        <v>96</v>
      </c>
      <c r="F40" s="1"/>
      <c r="G40" s="1"/>
      <c r="I40" s="2"/>
      <c r="J40" s="1"/>
      <c r="K40" s="4"/>
      <c r="M40" s="11"/>
    </row>
    <row r="41" spans="5:13" ht="12.75">
      <c r="E41" s="3" t="s">
        <v>97</v>
      </c>
      <c r="F41" s="12">
        <f>F14*F8*(F10-F11)</f>
        <v>44.97600716179559</v>
      </c>
      <c r="G41" s="1" t="s">
        <v>148</v>
      </c>
      <c r="I41" s="2" t="s">
        <v>91</v>
      </c>
      <c r="J41" s="1"/>
      <c r="K41" s="4"/>
      <c r="M41" s="11"/>
    </row>
    <row r="42" spans="5:11" ht="12.75">
      <c r="E42" s="3" t="s">
        <v>90</v>
      </c>
      <c r="F42" s="1"/>
      <c r="G42" s="1"/>
      <c r="I42" s="1"/>
      <c r="J42" s="1"/>
      <c r="K42" s="4"/>
    </row>
    <row r="43" spans="5:11" ht="12.75">
      <c r="E43" s="3" t="s">
        <v>98</v>
      </c>
      <c r="F43" s="10">
        <f>F18*F8*F20*(F10^4-F11^4)</f>
        <v>33.19308174310753</v>
      </c>
      <c r="G43" s="1" t="s">
        <v>149</v>
      </c>
      <c r="I43" s="1"/>
      <c r="J43" s="1"/>
      <c r="K43" s="4"/>
    </row>
    <row r="44" spans="5:11" ht="12.75">
      <c r="E44" s="3" t="s">
        <v>146</v>
      </c>
      <c r="F44" s="1"/>
      <c r="G44" s="1"/>
      <c r="I44" s="1"/>
      <c r="J44" s="1"/>
      <c r="K44" s="4"/>
    </row>
    <row r="45" spans="5:11" ht="12.75">
      <c r="E45" s="3" t="s">
        <v>97</v>
      </c>
      <c r="F45" s="12">
        <f>F237*F9*(F12-F13)</f>
        <v>44.97600726429315</v>
      </c>
      <c r="G45" s="1" t="s">
        <v>150</v>
      </c>
      <c r="I45" s="1"/>
      <c r="J45" s="1"/>
      <c r="K45" s="4"/>
    </row>
    <row r="46" spans="5:13" ht="12.75">
      <c r="E46" s="3" t="s">
        <v>99</v>
      </c>
      <c r="F46" s="10">
        <f>F41+F43+F45</f>
        <v>123.14509616919628</v>
      </c>
      <c r="G46" s="1"/>
      <c r="I46" s="2" t="s">
        <v>91</v>
      </c>
      <c r="J46" s="1"/>
      <c r="K46" s="4"/>
      <c r="M46" s="11"/>
    </row>
    <row r="47" spans="5:11" ht="12.75">
      <c r="E47" s="3"/>
      <c r="G47" s="1"/>
      <c r="H47" s="1"/>
      <c r="I47" s="1"/>
      <c r="J47" s="1"/>
      <c r="K47" s="4"/>
    </row>
    <row r="48" spans="5:7" ht="12.75">
      <c r="E48" s="8" t="s">
        <v>153</v>
      </c>
      <c r="F48" s="13">
        <f>F45</f>
        <v>44.97600726429315</v>
      </c>
      <c r="G48" t="s">
        <v>29</v>
      </c>
    </row>
    <row r="50" ht="12.75">
      <c r="F50" s="14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spans="4:6" ht="12.75">
      <c r="D57" t="s">
        <v>104</v>
      </c>
      <c r="F57" s="15"/>
    </row>
    <row r="58" spans="5:10" ht="12.75">
      <c r="E58" s="3"/>
      <c r="G58" s="2" t="s">
        <v>68</v>
      </c>
      <c r="H58" s="1"/>
      <c r="I58" s="2"/>
      <c r="J58" s="1"/>
    </row>
    <row r="59" spans="5:10" ht="12.75">
      <c r="E59" s="3" t="s">
        <v>111</v>
      </c>
      <c r="F59" s="1">
        <v>3</v>
      </c>
      <c r="G59" s="1" t="s">
        <v>58</v>
      </c>
      <c r="H59" s="1"/>
      <c r="I59" s="2"/>
      <c r="J59" s="1"/>
    </row>
    <row r="60" spans="5:9" ht="12.75">
      <c r="E60" s="3" t="s">
        <v>69</v>
      </c>
      <c r="F60" s="1">
        <f>F255</f>
        <v>0.005</v>
      </c>
      <c r="G60" s="2" t="s">
        <v>0</v>
      </c>
      <c r="H60">
        <f>F60*100/2.54</f>
        <v>0.19685039370078738</v>
      </c>
      <c r="I60" s="2" t="s">
        <v>101</v>
      </c>
    </row>
    <row r="61" spans="5:9" ht="12.75">
      <c r="E61" s="3" t="s">
        <v>70</v>
      </c>
      <c r="F61" s="1">
        <v>0.012</v>
      </c>
      <c r="G61" s="2" t="s">
        <v>0</v>
      </c>
      <c r="H61">
        <f>F61*100/2.54</f>
        <v>0.47244094488188976</v>
      </c>
      <c r="I61" s="2" t="s">
        <v>101</v>
      </c>
    </row>
    <row r="62" spans="5:10" ht="12.75">
      <c r="E62" s="3" t="s">
        <v>112</v>
      </c>
      <c r="F62" s="1">
        <f>PI()*F61*(F59)</f>
        <v>0.11309733552923255</v>
      </c>
      <c r="G62" s="2" t="s">
        <v>71</v>
      </c>
      <c r="I62" s="2"/>
      <c r="J62" s="1"/>
    </row>
    <row r="63" spans="5:10" ht="12.75">
      <c r="E63" s="3" t="s">
        <v>113</v>
      </c>
      <c r="F63" s="1">
        <f>PI()*F60*(F59)</f>
        <v>0.0471238898038469</v>
      </c>
      <c r="G63" s="2" t="s">
        <v>71</v>
      </c>
      <c r="I63" s="2"/>
      <c r="J63" s="1"/>
    </row>
    <row r="64" spans="5:10" ht="12.75">
      <c r="E64" s="3" t="s">
        <v>72</v>
      </c>
      <c r="F64" s="1">
        <v>293</v>
      </c>
      <c r="G64" s="2" t="s">
        <v>2</v>
      </c>
      <c r="I64" s="2"/>
      <c r="J64" s="1"/>
    </row>
    <row r="65" spans="5:10" ht="12.75">
      <c r="E65" s="3" t="s">
        <v>74</v>
      </c>
      <c r="F65" s="5">
        <v>287.2196049063415</v>
      </c>
      <c r="G65" s="2" t="s">
        <v>2</v>
      </c>
      <c r="H65">
        <f>F65-273</f>
        <v>14.219604906341488</v>
      </c>
      <c r="I65" s="2" t="s">
        <v>135</v>
      </c>
      <c r="J65" s="1"/>
    </row>
    <row r="66" spans="5:10" ht="12.75">
      <c r="E66" s="3" t="s">
        <v>154</v>
      </c>
      <c r="F66" s="5">
        <v>80.63660738916944</v>
      </c>
      <c r="G66" s="2" t="s">
        <v>2</v>
      </c>
      <c r="I66" s="2"/>
      <c r="J66" s="1"/>
    </row>
    <row r="67" spans="5:10" ht="12.75">
      <c r="E67" s="3" t="s">
        <v>73</v>
      </c>
      <c r="F67" s="1">
        <f>F53+F13</f>
        <v>80</v>
      </c>
      <c r="G67" s="2" t="s">
        <v>2</v>
      </c>
      <c r="I67" s="2"/>
      <c r="J67" s="1"/>
    </row>
    <row r="68" spans="5:10" ht="12.75">
      <c r="E68" s="3" t="s">
        <v>75</v>
      </c>
      <c r="F68" s="1">
        <v>5</v>
      </c>
      <c r="G68" s="2" t="s">
        <v>76</v>
      </c>
      <c r="I68" s="2"/>
      <c r="J68" s="1"/>
    </row>
    <row r="69" spans="5:10" ht="12.75">
      <c r="E69" s="3" t="s">
        <v>77</v>
      </c>
      <c r="F69" s="1">
        <v>14</v>
      </c>
      <c r="G69" s="2" t="s">
        <v>78</v>
      </c>
      <c r="I69" s="2"/>
      <c r="J69" s="1"/>
    </row>
    <row r="70" spans="5:7" ht="12.75">
      <c r="E70" s="3" t="s">
        <v>79</v>
      </c>
      <c r="F70" s="1">
        <v>0.15</v>
      </c>
      <c r="G70" s="2" t="s">
        <v>80</v>
      </c>
    </row>
    <row r="71" spans="5:10" ht="12.75">
      <c r="E71" s="3" t="s">
        <v>81</v>
      </c>
      <c r="F71" s="1">
        <v>0.15</v>
      </c>
      <c r="G71" s="2" t="s">
        <v>80</v>
      </c>
      <c r="I71" s="2"/>
      <c r="J71" s="1"/>
    </row>
    <row r="72" spans="5:10" ht="12.75">
      <c r="E72" s="3" t="s">
        <v>82</v>
      </c>
      <c r="F72" s="1">
        <f>0.15+0.5</f>
        <v>0.65</v>
      </c>
      <c r="G72" s="2" t="s">
        <v>80</v>
      </c>
      <c r="I72" s="2"/>
      <c r="J72" s="1"/>
    </row>
    <row r="73" spans="5:10" ht="12.75">
      <c r="E73" s="6" t="s">
        <v>115</v>
      </c>
      <c r="F73" s="1">
        <f>1/(1/F70+F63/F62*(1/F71-1))</f>
        <v>0.11076923076923076</v>
      </c>
      <c r="G73" s="2"/>
      <c r="I73" s="2"/>
      <c r="J73" s="1"/>
    </row>
    <row r="74" spans="5:10" ht="12.75">
      <c r="E74" s="3" t="s">
        <v>83</v>
      </c>
      <c r="F74" s="7">
        <v>5.67E-08</v>
      </c>
      <c r="G74" s="2" t="s">
        <v>84</v>
      </c>
      <c r="I74" s="2"/>
      <c r="J74" s="1"/>
    </row>
    <row r="75" spans="5:10" ht="12.75">
      <c r="E75" s="3" t="s">
        <v>85</v>
      </c>
      <c r="F75" s="1">
        <v>0.1</v>
      </c>
      <c r="G75" s="2" t="s">
        <v>125</v>
      </c>
      <c r="H75">
        <f>F75/133</f>
        <v>0.0007518796992481203</v>
      </c>
      <c r="I75" s="2" t="s">
        <v>129</v>
      </c>
      <c r="J75" s="1">
        <f>F75/6895</f>
        <v>1.4503263234227703E-05</v>
      </c>
    </row>
    <row r="76" spans="5:10" ht="12.75">
      <c r="E76" s="3" t="s">
        <v>86</v>
      </c>
      <c r="F76" s="1">
        <v>0.9</v>
      </c>
      <c r="G76" s="2"/>
      <c r="I76" s="2"/>
      <c r="J76" s="1"/>
    </row>
    <row r="77" spans="5:10" ht="12.75">
      <c r="E77" s="3" t="s">
        <v>87</v>
      </c>
      <c r="F77" s="1">
        <f>1/(1/F76+(F63/F62)^2*(1/F76-1))</f>
        <v>0.8846416382252559</v>
      </c>
      <c r="G77" s="2"/>
      <c r="I77" s="2"/>
      <c r="J77" s="1"/>
    </row>
    <row r="78" spans="5:10" ht="12.75">
      <c r="E78" s="3" t="s">
        <v>127</v>
      </c>
      <c r="F78" s="1">
        <f>(0.000013/F75)*(PI()*F80*F65/(2*1))^0.5</f>
        <v>0.06635031287427881</v>
      </c>
      <c r="G78" s="2" t="s">
        <v>126</v>
      </c>
      <c r="H78">
        <f>F78*100/2.54</f>
        <v>2.6122170422944415</v>
      </c>
      <c r="I78" s="2" t="s">
        <v>101</v>
      </c>
      <c r="J78" t="s">
        <v>128</v>
      </c>
    </row>
    <row r="79" spans="5:10" ht="12.75">
      <c r="E79" s="8" t="s">
        <v>118</v>
      </c>
      <c r="F79" s="9">
        <v>1006</v>
      </c>
      <c r="G79" s="2" t="s">
        <v>119</v>
      </c>
      <c r="I79" s="2"/>
      <c r="J79" s="1"/>
    </row>
    <row r="80" spans="5:10" ht="12.75">
      <c r="E80" s="8" t="s">
        <v>123</v>
      </c>
      <c r="F80" s="9">
        <f>8.31434/(0.8*0.014+0.2*0.016)</f>
        <v>577.3847222222222</v>
      </c>
      <c r="G80" s="2" t="s">
        <v>122</v>
      </c>
      <c r="I80" s="2"/>
      <c r="J80" s="1"/>
    </row>
    <row r="81" spans="5:10" ht="12.75">
      <c r="E81" s="3" t="s">
        <v>121</v>
      </c>
      <c r="F81" s="1">
        <f>1.5*F80</f>
        <v>866.0770833333333</v>
      </c>
      <c r="G81" s="2" t="s">
        <v>120</v>
      </c>
      <c r="I81" s="2"/>
      <c r="J81" s="1"/>
    </row>
    <row r="82" spans="5:10" ht="12.75">
      <c r="E82" s="3" t="s">
        <v>117</v>
      </c>
      <c r="F82" s="1">
        <f>F79/F81</f>
        <v>1.161559426244296</v>
      </c>
      <c r="G82" s="2"/>
      <c r="I82" s="2"/>
      <c r="J82" s="1"/>
    </row>
    <row r="83" spans="5:10" ht="12.75">
      <c r="E83" s="3" t="s">
        <v>88</v>
      </c>
      <c r="F83" s="1">
        <f>(F82+1)/(F82-1)*(1*F80/(8*PI()*F65))^0.5*F77</f>
        <v>3.3474024407706797</v>
      </c>
      <c r="G83" s="2" t="s">
        <v>124</v>
      </c>
      <c r="I83" s="2"/>
      <c r="J83" s="1"/>
    </row>
    <row r="84" spans="5:10" ht="12.75">
      <c r="E84" s="3"/>
      <c r="F84" s="1"/>
      <c r="G84" s="1"/>
      <c r="I84" s="2"/>
      <c r="J84" s="1"/>
    </row>
    <row r="85" spans="5:10" ht="12.75">
      <c r="E85" s="3" t="s">
        <v>89</v>
      </c>
      <c r="F85" s="1"/>
      <c r="G85" s="1"/>
      <c r="I85" s="2"/>
      <c r="J85" s="1"/>
    </row>
    <row r="86" spans="5:10" ht="12.75">
      <c r="E86" s="3" t="s">
        <v>90</v>
      </c>
      <c r="F86" s="1"/>
      <c r="G86" s="1"/>
      <c r="I86" s="2"/>
      <c r="J86" s="1"/>
    </row>
    <row r="87" spans="5:10" ht="12.75">
      <c r="E87" s="3" t="s">
        <v>116</v>
      </c>
      <c r="F87" s="10">
        <f>F73*F63*F74*(F65^4-F67^4)</f>
        <v>2.0020635582276314</v>
      </c>
      <c r="G87" s="1" t="s">
        <v>114</v>
      </c>
      <c r="I87" s="2" t="s">
        <v>91</v>
      </c>
      <c r="J87" s="1"/>
    </row>
    <row r="88" spans="5:10" ht="12.75">
      <c r="E88" s="3" t="s">
        <v>92</v>
      </c>
      <c r="F88" s="1"/>
      <c r="G88" s="1"/>
      <c r="I88" s="2"/>
      <c r="J88" s="1"/>
    </row>
    <row r="89" spans="5:10" ht="12.75">
      <c r="E89" s="3" t="s">
        <v>93</v>
      </c>
      <c r="F89" s="16">
        <f>F83*F75*F63*(F65-F67)</f>
        <v>3.268736416995141</v>
      </c>
      <c r="G89" s="1" t="s">
        <v>114</v>
      </c>
      <c r="I89" s="2" t="s">
        <v>91</v>
      </c>
      <c r="J89" s="1"/>
    </row>
    <row r="90" spans="5:10" ht="12.75">
      <c r="E90" s="3"/>
      <c r="F90" s="1"/>
      <c r="G90" s="1"/>
      <c r="I90" s="2"/>
      <c r="J90" s="1"/>
    </row>
    <row r="91" spans="5:10" ht="12.75">
      <c r="E91" s="3" t="s">
        <v>94</v>
      </c>
      <c r="F91" s="17">
        <f>F87+F89</f>
        <v>5.270799975222772</v>
      </c>
      <c r="G91" s="1"/>
      <c r="I91" s="2" t="s">
        <v>91</v>
      </c>
      <c r="J91" s="1"/>
    </row>
    <row r="92" spans="5:10" ht="12.75">
      <c r="E92" s="3"/>
      <c r="F92" s="1"/>
      <c r="G92" s="1"/>
      <c r="I92" s="2"/>
      <c r="J92" s="1"/>
    </row>
    <row r="93" spans="5:10" ht="12.75">
      <c r="E93" s="3" t="s">
        <v>95</v>
      </c>
      <c r="F93" s="1"/>
      <c r="G93" s="1"/>
      <c r="I93" s="2"/>
      <c r="J93" s="1"/>
    </row>
    <row r="94" spans="5:10" ht="12.75">
      <c r="E94" s="3" t="s">
        <v>96</v>
      </c>
      <c r="F94" s="1"/>
      <c r="G94" s="1"/>
      <c r="I94" s="2"/>
      <c r="J94" s="1"/>
    </row>
    <row r="95" spans="5:10" ht="12.75">
      <c r="E95" s="3" t="s">
        <v>97</v>
      </c>
      <c r="F95" s="16">
        <f>F68*F62*(F64-F65)</f>
        <v>3.2687364169951323</v>
      </c>
      <c r="G95" s="1" t="s">
        <v>130</v>
      </c>
      <c r="I95" s="2" t="s">
        <v>91</v>
      </c>
      <c r="J95" s="1"/>
    </row>
    <row r="96" spans="5:10" ht="12.75">
      <c r="E96" s="3" t="s">
        <v>90</v>
      </c>
      <c r="F96" s="1"/>
      <c r="G96" s="1"/>
      <c r="I96" s="1"/>
      <c r="J96" s="1"/>
    </row>
    <row r="97" spans="5:10" ht="12.75">
      <c r="E97" s="3" t="s">
        <v>98</v>
      </c>
      <c r="F97" s="10">
        <f>F72*F62*F74*(F64^4-F65^4)</f>
        <v>2.353404695412971</v>
      </c>
      <c r="G97" s="1" t="s">
        <v>131</v>
      </c>
      <c r="I97" s="1"/>
      <c r="J97" s="1"/>
    </row>
    <row r="98" spans="5:10" ht="12.75">
      <c r="E98" s="3" t="s">
        <v>97</v>
      </c>
      <c r="F98" s="16">
        <f>F273*F63*(F66-F67)</f>
        <v>3.26873641699514</v>
      </c>
      <c r="G98" s="1"/>
      <c r="I98" s="1"/>
      <c r="J98" s="1"/>
    </row>
    <row r="99" spans="5:10" ht="12.75">
      <c r="E99" s="3" t="s">
        <v>99</v>
      </c>
      <c r="F99" s="10">
        <f>F95+F97</f>
        <v>5.622141112408103</v>
      </c>
      <c r="G99" s="1"/>
      <c r="I99" s="2" t="s">
        <v>91</v>
      </c>
      <c r="J99" s="1"/>
    </row>
    <row r="100" spans="5:10" ht="12.75">
      <c r="E100" s="3"/>
      <c r="G100" s="1"/>
      <c r="H100" s="1"/>
      <c r="I100" s="1"/>
      <c r="J100" s="1"/>
    </row>
    <row r="101" spans="5:6" ht="12.75">
      <c r="E101" s="8" t="s">
        <v>155</v>
      </c>
      <c r="F101">
        <f>F98</f>
        <v>3.26873641699514</v>
      </c>
    </row>
    <row r="103" ht="12.75">
      <c r="C103" t="s">
        <v>180</v>
      </c>
    </row>
    <row r="105" ht="12.75">
      <c r="D105" t="s">
        <v>181</v>
      </c>
    </row>
    <row r="106" spans="5:7" ht="12.75">
      <c r="E106" t="s">
        <v>182</v>
      </c>
      <c r="F106">
        <v>80</v>
      </c>
      <c r="G106" t="s">
        <v>2</v>
      </c>
    </row>
    <row r="107" spans="5:9" ht="12.75">
      <c r="E107" t="s">
        <v>52</v>
      </c>
      <c r="F107" s="18">
        <v>84.17013219557245</v>
      </c>
      <c r="G107" t="s">
        <v>2</v>
      </c>
      <c r="H107">
        <f>F107-273</f>
        <v>-188.82986780442755</v>
      </c>
      <c r="I107" t="s">
        <v>1</v>
      </c>
    </row>
    <row r="108" spans="5:9" ht="12.75">
      <c r="E108" t="s">
        <v>53</v>
      </c>
      <c r="F108" s="18">
        <v>283.9124479194085</v>
      </c>
      <c r="G108" t="s">
        <v>2</v>
      </c>
      <c r="H108">
        <f>F108-273</f>
        <v>10.912447919408521</v>
      </c>
      <c r="I108" t="s">
        <v>1</v>
      </c>
    </row>
    <row r="109" spans="5:7" ht="12.75">
      <c r="E109" t="s">
        <v>56</v>
      </c>
      <c r="F109">
        <v>293</v>
      </c>
      <c r="G109" t="s">
        <v>2</v>
      </c>
    </row>
    <row r="112" spans="5:9" ht="12.75">
      <c r="E112" t="s">
        <v>57</v>
      </c>
      <c r="F112">
        <f>F293</f>
        <v>0.003</v>
      </c>
      <c r="G112" t="s">
        <v>58</v>
      </c>
      <c r="H112">
        <f>F112*100/2.54</f>
        <v>0.11811023622047244</v>
      </c>
      <c r="I112" t="s">
        <v>101</v>
      </c>
    </row>
    <row r="113" spans="5:9" ht="12.75">
      <c r="E113" t="s">
        <v>59</v>
      </c>
      <c r="F113">
        <v>0.05</v>
      </c>
      <c r="G113" t="s">
        <v>58</v>
      </c>
      <c r="H113">
        <f>F113*100/2.54</f>
        <v>1.968503937007874</v>
      </c>
      <c r="I113" t="s">
        <v>101</v>
      </c>
    </row>
    <row r="114" spans="5:9" ht="12.75">
      <c r="E114" t="s">
        <v>34</v>
      </c>
      <c r="F114">
        <f>(F113-F112)/2</f>
        <v>0.0235</v>
      </c>
      <c r="G114" t="s">
        <v>58</v>
      </c>
      <c r="H114">
        <f>F114*100/2.54</f>
        <v>0.9251968503937008</v>
      </c>
      <c r="I114" t="s">
        <v>101</v>
      </c>
    </row>
    <row r="116" spans="5:7" ht="12.75">
      <c r="E116" t="s">
        <v>183</v>
      </c>
      <c r="F116">
        <f>F112*PI()*F119</f>
        <v>0.047123889803846894</v>
      </c>
      <c r="G116" t="s">
        <v>61</v>
      </c>
    </row>
    <row r="117" spans="5:7" ht="12.75">
      <c r="E117" t="s">
        <v>184</v>
      </c>
      <c r="F117">
        <f>F113*PI()*F119</f>
        <v>0.7853981633974483</v>
      </c>
      <c r="G117" t="s">
        <v>61</v>
      </c>
    </row>
    <row r="119" spans="5:7" ht="12.75">
      <c r="E119" t="s">
        <v>60</v>
      </c>
      <c r="F119">
        <v>5</v>
      </c>
      <c r="G119" t="s">
        <v>58</v>
      </c>
    </row>
    <row r="121" spans="5:7" ht="12.75">
      <c r="E121" t="s">
        <v>38</v>
      </c>
      <c r="F121">
        <v>5</v>
      </c>
      <c r="G121" t="s">
        <v>62</v>
      </c>
    </row>
    <row r="122" spans="5:8" ht="12.75">
      <c r="E122" t="s">
        <v>2</v>
      </c>
      <c r="F122">
        <v>0.016</v>
      </c>
      <c r="G122" t="s">
        <v>55</v>
      </c>
      <c r="H122" t="s">
        <v>185</v>
      </c>
    </row>
    <row r="123" spans="5:8" ht="12.75">
      <c r="E123" t="s">
        <v>186</v>
      </c>
      <c r="F123" s="19">
        <f>F311</f>
        <v>181.59999999999997</v>
      </c>
      <c r="G123" t="s">
        <v>63</v>
      </c>
      <c r="H123" t="s">
        <v>64</v>
      </c>
    </row>
    <row r="126" spans="6:8" ht="12.75">
      <c r="F126" s="20">
        <f>F121*F117*(F109-F108)</f>
        <v>35.68673356937604</v>
      </c>
      <c r="G126" t="s">
        <v>29</v>
      </c>
      <c r="H126" t="s">
        <v>65</v>
      </c>
    </row>
    <row r="127" spans="6:8" ht="12.75">
      <c r="F127" s="20">
        <f>2*PI()*F119*F122*(F108-F107)/LN((F113/2)/(F112/2))</f>
        <v>35.68673356937602</v>
      </c>
      <c r="H127" t="s">
        <v>66</v>
      </c>
    </row>
    <row r="128" spans="6:8" ht="12.75">
      <c r="F128" s="20">
        <f>F123*F116*(F107-F106)</f>
        <v>35.68673356937604</v>
      </c>
      <c r="H128" t="s">
        <v>67</v>
      </c>
    </row>
    <row r="131" ht="12.75">
      <c r="D131" t="s">
        <v>105</v>
      </c>
    </row>
    <row r="132" spans="6:13" ht="12.75">
      <c r="F132">
        <v>40</v>
      </c>
      <c r="G132" t="s">
        <v>29</v>
      </c>
      <c r="H132" t="s">
        <v>193</v>
      </c>
      <c r="M132" s="21"/>
    </row>
    <row r="133" ht="12.75">
      <c r="M133" s="21"/>
    </row>
    <row r="134" spans="4:13" ht="12.75">
      <c r="D134" t="s">
        <v>194</v>
      </c>
      <c r="M134" s="21"/>
    </row>
    <row r="135" spans="5:13" ht="12.75">
      <c r="E135" t="s">
        <v>195</v>
      </c>
      <c r="F135">
        <v>263</v>
      </c>
      <c r="G135" t="s">
        <v>2</v>
      </c>
      <c r="H135">
        <f>F135-273</f>
        <v>-10</v>
      </c>
      <c r="I135" t="s">
        <v>1</v>
      </c>
      <c r="M135" s="21"/>
    </row>
    <row r="136" spans="5:13" ht="12.75">
      <c r="E136" t="s">
        <v>52</v>
      </c>
      <c r="F136" s="18">
        <v>266.9491398653702</v>
      </c>
      <c r="G136" t="s">
        <v>2</v>
      </c>
      <c r="H136">
        <f>F136-273</f>
        <v>-6.050860134629772</v>
      </c>
      <c r="I136" t="s">
        <v>1</v>
      </c>
      <c r="M136" s="21"/>
    </row>
    <row r="137" spans="5:13" ht="12.75">
      <c r="E137" t="s">
        <v>53</v>
      </c>
      <c r="F137" s="18">
        <v>289.40987284966343</v>
      </c>
      <c r="G137" t="s">
        <v>2</v>
      </c>
      <c r="H137">
        <f>F137-273</f>
        <v>16.40987284966343</v>
      </c>
      <c r="I137" t="s">
        <v>1</v>
      </c>
      <c r="M137" s="21"/>
    </row>
    <row r="138" spans="5:13" ht="12.75">
      <c r="E138" t="s">
        <v>56</v>
      </c>
      <c r="F138">
        <v>293</v>
      </c>
      <c r="G138" t="s">
        <v>2</v>
      </c>
      <c r="M138" s="21"/>
    </row>
    <row r="139" ht="12.75">
      <c r="M139" s="21"/>
    </row>
    <row r="140" ht="12.75">
      <c r="M140" s="21"/>
    </row>
    <row r="141" spans="5:13" ht="12.75">
      <c r="E141" t="s">
        <v>196</v>
      </c>
      <c r="F141">
        <f>PI()*(0.35)^2</f>
        <v>0.3848451000647496</v>
      </c>
      <c r="G141" t="s">
        <v>58</v>
      </c>
      <c r="H141">
        <f>F141*100/2.54</f>
        <v>15.151381892312974</v>
      </c>
      <c r="I141" t="s">
        <v>101</v>
      </c>
      <c r="M141" s="21"/>
    </row>
    <row r="142" spans="5:13" ht="12.75">
      <c r="E142" t="s">
        <v>197</v>
      </c>
      <c r="F142">
        <f>0.35*2*PI()*0.1</f>
        <v>0.21991148575128552</v>
      </c>
      <c r="G142" t="s">
        <v>58</v>
      </c>
      <c r="H142">
        <f>F142*100/2.54</f>
        <v>8.657932509893131</v>
      </c>
      <c r="I142" t="s">
        <v>101</v>
      </c>
      <c r="M142" s="21"/>
    </row>
    <row r="143" spans="5:13" ht="12.75">
      <c r="E143" t="s">
        <v>34</v>
      </c>
      <c r="F143">
        <v>0.013</v>
      </c>
      <c r="G143" t="s">
        <v>58</v>
      </c>
      <c r="H143">
        <f>F143*100/2.54</f>
        <v>0.5118110236220472</v>
      </c>
      <c r="I143" t="s">
        <v>101</v>
      </c>
      <c r="M143" s="21"/>
    </row>
    <row r="144" ht="12.75">
      <c r="M144" s="21"/>
    </row>
    <row r="145" spans="5:13" ht="12.75">
      <c r="E145" t="s">
        <v>183</v>
      </c>
      <c r="F145">
        <f>2*F141+F142</f>
        <v>0.9896016858807847</v>
      </c>
      <c r="G145" t="s">
        <v>61</v>
      </c>
      <c r="M145" s="21"/>
    </row>
    <row r="146" ht="12.75">
      <c r="M146" s="21"/>
    </row>
    <row r="147" ht="12.75">
      <c r="M147" s="21"/>
    </row>
    <row r="148" ht="12.75">
      <c r="M148" s="21"/>
    </row>
    <row r="149" ht="12.75">
      <c r="M149" s="21"/>
    </row>
    <row r="150" spans="5:13" ht="12.75">
      <c r="E150" t="s">
        <v>219</v>
      </c>
      <c r="F150">
        <v>7</v>
      </c>
      <c r="G150" t="s">
        <v>62</v>
      </c>
      <c r="M150" s="21"/>
    </row>
    <row r="151" spans="5:13" ht="12.75">
      <c r="E151" t="s">
        <v>2</v>
      </c>
      <c r="F151">
        <v>0.016</v>
      </c>
      <c r="G151" t="s">
        <v>55</v>
      </c>
      <c r="H151" t="s">
        <v>185</v>
      </c>
      <c r="M151" s="21"/>
    </row>
    <row r="152" spans="5:13" ht="12.75">
      <c r="E152" t="s">
        <v>220</v>
      </c>
      <c r="F152" s="19">
        <v>7</v>
      </c>
      <c r="G152" t="s">
        <v>63</v>
      </c>
      <c r="H152" t="s">
        <v>64</v>
      </c>
      <c r="M152" s="21"/>
    </row>
    <row r="153" ht="12.75">
      <c r="M153" s="21"/>
    </row>
    <row r="154" ht="12.75">
      <c r="M154" s="21"/>
    </row>
    <row r="155" spans="5:13" ht="12.75">
      <c r="E155" t="s">
        <v>49</v>
      </c>
      <c r="F155" s="20">
        <f>F150*F145*1.1*(F138-F137)</f>
        <v>27.356528279845747</v>
      </c>
      <c r="G155" t="s">
        <v>29</v>
      </c>
      <c r="H155" t="s">
        <v>199</v>
      </c>
      <c r="M155" s="21"/>
    </row>
    <row r="156" spans="5:13" ht="12.75">
      <c r="E156" t="s">
        <v>31</v>
      </c>
      <c r="F156" s="20">
        <f>F151*F145*(F137-F136)/F143</f>
        <v>27.35652827984579</v>
      </c>
      <c r="H156" t="s">
        <v>66</v>
      </c>
      <c r="M156" s="21"/>
    </row>
    <row r="157" spans="5:13" ht="12.75">
      <c r="E157" t="s">
        <v>49</v>
      </c>
      <c r="F157" s="20">
        <f>F152*F145*(F136-F135)</f>
        <v>27.356528279845747</v>
      </c>
      <c r="H157" t="s">
        <v>198</v>
      </c>
      <c r="M157" s="21"/>
    </row>
    <row r="158" ht="12.75">
      <c r="M158" s="21"/>
    </row>
    <row r="159" ht="12.75">
      <c r="M159" s="21"/>
    </row>
    <row r="160" ht="12.75">
      <c r="M160" s="21"/>
    </row>
    <row r="161" ht="12.75">
      <c r="M161" s="21"/>
    </row>
    <row r="162" ht="12.75">
      <c r="M162" s="21"/>
    </row>
    <row r="163" ht="12.75">
      <c r="M163" s="21"/>
    </row>
    <row r="164" ht="12.75">
      <c r="M164" s="21"/>
    </row>
    <row r="165" ht="12.75">
      <c r="M165" s="21"/>
    </row>
    <row r="167" spans="5:7" ht="12.75">
      <c r="E167" t="s">
        <v>178</v>
      </c>
      <c r="F167">
        <f>F48+7*F101+7*4*F128+7*F132+7*F157</f>
        <v>1538.5814000847085</v>
      </c>
      <c r="G167" t="s">
        <v>29</v>
      </c>
    </row>
    <row r="168" ht="12.75">
      <c r="E168" t="s">
        <v>109</v>
      </c>
    </row>
    <row r="174" spans="4:6" ht="12.75">
      <c r="D174" t="s">
        <v>169</v>
      </c>
      <c r="F174" s="22"/>
    </row>
    <row r="175" spans="4:9" ht="12.75">
      <c r="D175" t="s">
        <v>170</v>
      </c>
      <c r="F175">
        <f>H175*6895</f>
        <v>151690</v>
      </c>
      <c r="G175" t="s">
        <v>24</v>
      </c>
      <c r="H175" s="23">
        <v>22</v>
      </c>
      <c r="I175" t="s">
        <v>4</v>
      </c>
    </row>
    <row r="176" spans="5:8" ht="12.75">
      <c r="E176" t="s">
        <v>171</v>
      </c>
      <c r="F176" s="24">
        <v>5.8293596046910044E-06</v>
      </c>
      <c r="G176" t="s">
        <v>102</v>
      </c>
      <c r="H176" t="s">
        <v>172</v>
      </c>
    </row>
    <row r="177" spans="6:7" ht="12.75">
      <c r="F177">
        <f>F176*1000</f>
        <v>0.005829359604691005</v>
      </c>
      <c r="G177" t="s">
        <v>163</v>
      </c>
    </row>
    <row r="178" spans="6:7" ht="12.75">
      <c r="F178">
        <f>F177*60</f>
        <v>0.3497615762814603</v>
      </c>
      <c r="G178" t="s">
        <v>35</v>
      </c>
    </row>
    <row r="179" spans="6:7" ht="12.75">
      <c r="F179">
        <f>F176*60*100^3/2.54^3/12^3</f>
        <v>0.012351713498362279</v>
      </c>
      <c r="G179" t="s">
        <v>103</v>
      </c>
    </row>
    <row r="181" spans="6:17" ht="12.75">
      <c r="F181">
        <v>795.1</v>
      </c>
      <c r="G181" t="s">
        <v>20</v>
      </c>
      <c r="H181" t="s">
        <v>19</v>
      </c>
      <c r="Q181" t="s">
        <v>200</v>
      </c>
    </row>
    <row r="182" spans="6:8" ht="12.75">
      <c r="F182" s="15">
        <f>F181*F176</f>
        <v>0.004634923821689818</v>
      </c>
      <c r="G182" t="s">
        <v>176</v>
      </c>
      <c r="H182" t="s">
        <v>177</v>
      </c>
    </row>
    <row r="183" spans="5:18" ht="12.75">
      <c r="E183" s="1"/>
      <c r="F183" s="1"/>
      <c r="G183" s="1"/>
      <c r="H183" s="1"/>
      <c r="Q183" t="s">
        <v>201</v>
      </c>
      <c r="R183" t="s">
        <v>32</v>
      </c>
    </row>
    <row r="184" spans="5:18" ht="12.75">
      <c r="E184" s="1"/>
      <c r="F184" s="1"/>
      <c r="G184" s="1"/>
      <c r="H184" s="1"/>
      <c r="Q184" t="s">
        <v>2</v>
      </c>
      <c r="R184" t="s">
        <v>202</v>
      </c>
    </row>
    <row r="185" spans="5:18" ht="12.75">
      <c r="E185" s="1"/>
      <c r="F185" s="1">
        <v>0.02</v>
      </c>
      <c r="G185" s="1" t="s">
        <v>132</v>
      </c>
      <c r="H185" s="1"/>
      <c r="Q185">
        <v>100</v>
      </c>
      <c r="R185">
        <v>3.4388</v>
      </c>
    </row>
    <row r="186" spans="5:18" ht="12.75">
      <c r="E186" s="1"/>
      <c r="F186" s="1">
        <f>F185*F177</f>
        <v>0.0001165871920938201</v>
      </c>
      <c r="G186" s="1" t="s">
        <v>133</v>
      </c>
      <c r="H186" s="1"/>
      <c r="Q186">
        <v>150</v>
      </c>
      <c r="R186">
        <v>2.2594</v>
      </c>
    </row>
    <row r="187" spans="5:18" ht="12.75">
      <c r="E187" s="1"/>
      <c r="F187" s="1">
        <f>F186*3600*24*365</f>
        <v>3676.693689870711</v>
      </c>
      <c r="G187" s="1" t="s">
        <v>134</v>
      </c>
      <c r="H187" s="2"/>
      <c r="Q187">
        <v>200</v>
      </c>
      <c r="R187">
        <v>1.6883</v>
      </c>
    </row>
    <row r="188" spans="5:18" ht="12.75">
      <c r="E188" s="1"/>
      <c r="F188" s="1"/>
      <c r="G188" s="1"/>
      <c r="H188" s="2"/>
      <c r="Q188">
        <v>250</v>
      </c>
      <c r="R188">
        <v>1.3488</v>
      </c>
    </row>
    <row r="189" spans="5:18" ht="12.75">
      <c r="E189" t="s">
        <v>54</v>
      </c>
      <c r="F189" s="14">
        <v>188000</v>
      </c>
      <c r="G189" t="s">
        <v>100</v>
      </c>
      <c r="H189" s="2"/>
      <c r="Q189">
        <v>300</v>
      </c>
      <c r="R189">
        <v>1.1233</v>
      </c>
    </row>
    <row r="190" spans="6:18" ht="12.75">
      <c r="F190" s="14">
        <f>F182*F189</f>
        <v>871.3656784776857</v>
      </c>
      <c r="G190" t="s">
        <v>188</v>
      </c>
      <c r="H190" s="2"/>
      <c r="Q190">
        <v>350</v>
      </c>
      <c r="R190">
        <v>0.9625</v>
      </c>
    </row>
    <row r="191" spans="5:8" ht="12.75">
      <c r="E191" t="s">
        <v>189</v>
      </c>
      <c r="F191">
        <f>1.043*1000</f>
        <v>1043</v>
      </c>
      <c r="G191" t="s">
        <v>213</v>
      </c>
      <c r="H191" s="2"/>
    </row>
    <row r="192" spans="6:13" ht="12.75">
      <c r="F192" s="14">
        <f>F191*F195*F193</f>
        <v>667.2157215045249</v>
      </c>
      <c r="G192" t="s">
        <v>191</v>
      </c>
      <c r="H192" s="2"/>
      <c r="M192" t="s">
        <v>211</v>
      </c>
    </row>
    <row r="193" spans="6:14" ht="12.75">
      <c r="F193" s="25">
        <f>F135-85</f>
        <v>178</v>
      </c>
      <c r="G193" t="s">
        <v>190</v>
      </c>
      <c r="H193" s="2"/>
      <c r="M193">
        <f>F157*7+F132*7</f>
        <v>471.49569795892023</v>
      </c>
      <c r="N193" t="s">
        <v>212</v>
      </c>
    </row>
    <row r="194" spans="6:14" ht="12.75">
      <c r="F194" s="25">
        <f>R200</f>
        <v>1.28967606646266</v>
      </c>
      <c r="G194" t="s">
        <v>203</v>
      </c>
      <c r="H194" s="2"/>
      <c r="M194">
        <f>M193/(F191*F195)</f>
        <v>125.78575643787289</v>
      </c>
      <c r="N194" t="s">
        <v>215</v>
      </c>
    </row>
    <row r="195" spans="6:14" ht="12.75">
      <c r="F195" s="25">
        <f>F182/F194</f>
        <v>0.003593866663279676</v>
      </c>
      <c r="G195" t="s">
        <v>204</v>
      </c>
      <c r="H195" s="2"/>
      <c r="M195">
        <f>F135-M194</f>
        <v>137.2142435621271</v>
      </c>
      <c r="N195" t="s">
        <v>216</v>
      </c>
    </row>
    <row r="196" spans="6:8" ht="12.75">
      <c r="F196">
        <f>F195*1000</f>
        <v>3.593866663279676</v>
      </c>
      <c r="G196" t="s">
        <v>163</v>
      </c>
      <c r="H196" s="2"/>
    </row>
    <row r="197" spans="6:8" ht="12.75">
      <c r="F197">
        <f>F196*60</f>
        <v>215.63199979678055</v>
      </c>
      <c r="G197" t="s">
        <v>35</v>
      </c>
      <c r="H197" s="2"/>
    </row>
    <row r="198" spans="6:8" ht="12.75">
      <c r="F198">
        <f>F195*60*100^3/2.54^3/12^3</f>
        <v>7.614972207311401</v>
      </c>
      <c r="G198" t="s">
        <v>103</v>
      </c>
      <c r="H198" s="2"/>
    </row>
    <row r="199" spans="6:8" ht="12.75">
      <c r="F199" s="25"/>
      <c r="H199" s="2"/>
    </row>
    <row r="200" spans="5:18" ht="12.75">
      <c r="E200" t="s">
        <v>192</v>
      </c>
      <c r="F200" s="14">
        <f>F190+F192</f>
        <v>1538.5813999822108</v>
      </c>
      <c r="G200" t="s">
        <v>29</v>
      </c>
      <c r="H200" s="2"/>
      <c r="Q200">
        <f>F135</f>
        <v>263</v>
      </c>
      <c r="R200">
        <f>367.57*Q200^(-1.0154)+0.007</f>
        <v>1.28967606646266</v>
      </c>
    </row>
    <row r="201" spans="6:9" ht="12.75">
      <c r="F201" s="14"/>
      <c r="H201" s="2"/>
      <c r="I201" t="s">
        <v>217</v>
      </c>
    </row>
    <row r="202" spans="1:29" ht="12.75">
      <c r="A202" s="26"/>
      <c r="B202" s="26"/>
      <c r="C202" s="26"/>
      <c r="D202" s="26"/>
      <c r="E202" s="26"/>
      <c r="F202" s="27"/>
      <c r="G202" s="26"/>
      <c r="H202" s="28"/>
      <c r="I202" s="26" t="s">
        <v>218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ht="12.75">
      <c r="A203" s="26"/>
      <c r="B203" s="26"/>
      <c r="C203" s="26"/>
      <c r="D203" s="26"/>
      <c r="E203" s="26"/>
      <c r="F203" s="27"/>
      <c r="G203" s="26"/>
      <c r="H203" s="28"/>
      <c r="I203" s="26" t="s">
        <v>214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5:8" ht="12.75">
      <c r="E204" s="1"/>
      <c r="F204" s="1"/>
      <c r="G204" s="1"/>
      <c r="H204" s="2"/>
    </row>
    <row r="205" ht="12.75">
      <c r="C205" t="s">
        <v>106</v>
      </c>
    </row>
    <row r="206" ht="12.75">
      <c r="D206" t="s">
        <v>107</v>
      </c>
    </row>
    <row r="207" ht="12.75">
      <c r="D207" t="s">
        <v>174</v>
      </c>
    </row>
    <row r="208" ht="12.75">
      <c r="F208" t="s">
        <v>175</v>
      </c>
    </row>
    <row r="209" spans="5:8" ht="12.75">
      <c r="E209" t="s">
        <v>36</v>
      </c>
      <c r="F209">
        <v>795.1</v>
      </c>
      <c r="G209" t="s">
        <v>20</v>
      </c>
      <c r="H209" t="s">
        <v>19</v>
      </c>
    </row>
    <row r="210" ht="12.75">
      <c r="F210" s="29"/>
    </row>
    <row r="211" spans="5:7" ht="12.75">
      <c r="E211" t="s">
        <v>37</v>
      </c>
      <c r="F211" s="15">
        <v>0.000141</v>
      </c>
      <c r="G211" t="s">
        <v>26</v>
      </c>
    </row>
    <row r="212" spans="5:8" ht="12.75">
      <c r="E212" t="s">
        <v>10</v>
      </c>
      <c r="F212" s="15">
        <f>F211/F209</f>
        <v>1.7733618412778268E-07</v>
      </c>
      <c r="G212" t="s">
        <v>11</v>
      </c>
      <c r="H212" t="s">
        <v>27</v>
      </c>
    </row>
    <row r="214" spans="5:7" ht="12.75">
      <c r="E214" t="s">
        <v>39</v>
      </c>
      <c r="F214">
        <v>2063</v>
      </c>
      <c r="G214" t="s">
        <v>40</v>
      </c>
    </row>
    <row r="215" spans="5:7" ht="12.75">
      <c r="E215" t="s">
        <v>41</v>
      </c>
      <c r="F215" s="30">
        <v>0.1362</v>
      </c>
      <c r="G215" t="s">
        <v>42</v>
      </c>
    </row>
    <row r="216" spans="5:6" ht="12.75">
      <c r="E216" t="s">
        <v>43</v>
      </c>
      <c r="F216" s="15">
        <f>F214*F211/F215</f>
        <v>2.135704845814978</v>
      </c>
    </row>
    <row r="217" ht="12.75">
      <c r="E217" s="26"/>
    </row>
    <row r="218" spans="5:8" ht="12.75">
      <c r="E218" s="1"/>
      <c r="F218" s="1"/>
      <c r="G218" s="31"/>
      <c r="H218" s="1"/>
    </row>
    <row r="219" spans="5:9" ht="12.75">
      <c r="E219" t="s">
        <v>6</v>
      </c>
      <c r="F219">
        <v>0.005</v>
      </c>
      <c r="G219" t="s">
        <v>0</v>
      </c>
      <c r="H219">
        <f>F219*100/2.54</f>
        <v>0.19685039370078738</v>
      </c>
      <c r="I219" t="s">
        <v>101</v>
      </c>
    </row>
    <row r="220" spans="5:7" ht="12.75">
      <c r="E220" t="s">
        <v>25</v>
      </c>
      <c r="F220">
        <f>F176</f>
        <v>5.8293596046910044E-06</v>
      </c>
      <c r="G220" t="s">
        <v>7</v>
      </c>
    </row>
    <row r="222" spans="5:7" ht="12.75">
      <c r="E222" t="s">
        <v>14</v>
      </c>
      <c r="F222">
        <f>F220/(PI()*(F219/2)^2)</f>
        <v>0.2968868467669729</v>
      </c>
      <c r="G222" t="s">
        <v>15</v>
      </c>
    </row>
    <row r="224" spans="5:8" ht="12.75">
      <c r="E224" t="s">
        <v>9</v>
      </c>
      <c r="F224" s="15">
        <f>4*F220/(PI()*F212*F219)</f>
        <v>8370.735172497167</v>
      </c>
      <c r="G224" t="s">
        <v>12</v>
      </c>
      <c r="H224" t="s">
        <v>28</v>
      </c>
    </row>
    <row r="226" ht="12.75">
      <c r="F226" s="32"/>
    </row>
    <row r="227" spans="5:7" ht="12.75">
      <c r="E227" t="s">
        <v>8</v>
      </c>
      <c r="F227" s="32">
        <v>0.03</v>
      </c>
      <c r="G227" t="s">
        <v>8</v>
      </c>
    </row>
    <row r="228" spans="5:7" ht="12.75">
      <c r="E228" t="s">
        <v>13</v>
      </c>
      <c r="F228" s="33">
        <f>F227*F229/F219*F222^2/2</f>
        <v>10.577015973988326</v>
      </c>
      <c r="G228" t="s">
        <v>16</v>
      </c>
    </row>
    <row r="229" spans="5:9" ht="12.75">
      <c r="E229" t="s">
        <v>5</v>
      </c>
      <c r="F229" s="33">
        <f>F5</f>
        <v>40</v>
      </c>
      <c r="G229" t="s">
        <v>0</v>
      </c>
      <c r="H229">
        <f>F229*100/2.54/12</f>
        <v>131.23359580052494</v>
      </c>
      <c r="I229" t="s">
        <v>3</v>
      </c>
    </row>
    <row r="231" spans="5:13" ht="12.75">
      <c r="E231" s="34" t="s">
        <v>18</v>
      </c>
      <c r="F231" s="35">
        <f>F209*F228</f>
        <v>8409.785400918117</v>
      </c>
      <c r="G231" s="35" t="s">
        <v>21</v>
      </c>
      <c r="H231" s="35">
        <f>F231/6895</f>
        <v>1.219693314128806</v>
      </c>
      <c r="I231" s="36" t="s">
        <v>22</v>
      </c>
      <c r="J231">
        <f>H231*27.68</f>
        <v>33.76111093508535</v>
      </c>
      <c r="K231" t="s">
        <v>45</v>
      </c>
      <c r="L231">
        <f>J231/12</f>
        <v>2.8134259112571125</v>
      </c>
      <c r="M231" t="s">
        <v>46</v>
      </c>
    </row>
    <row r="232" ht="12.75">
      <c r="E232" t="s">
        <v>23</v>
      </c>
    </row>
    <row r="235" spans="5:10" ht="12.75">
      <c r="E235" t="s">
        <v>47</v>
      </c>
      <c r="F235" s="19">
        <f>(F227/8)*(F224-1000)*F216/(1+12.7*(F227/8)^0.5*(F216^0.666-1))</f>
        <v>39.057233343432955</v>
      </c>
      <c r="G235" t="s">
        <v>17</v>
      </c>
      <c r="I235" s="15">
        <f>(F227/8)*(F224-1000)*F216/(1+12.7*(F227/8)^0.5*(F216^0.666-1))</f>
        <v>39.057233343432955</v>
      </c>
      <c r="J235" t="s">
        <v>108</v>
      </c>
    </row>
    <row r="236" ht="12.75">
      <c r="F236" s="19"/>
    </row>
    <row r="237" spans="5:7" ht="12.75">
      <c r="E237" t="s">
        <v>38</v>
      </c>
      <c r="F237" s="19">
        <f>F235*F215/F219</f>
        <v>1063.9190362751137</v>
      </c>
      <c r="G237" t="s">
        <v>48</v>
      </c>
    </row>
    <row r="242" ht="12.75">
      <c r="D242" t="s">
        <v>107</v>
      </c>
    </row>
    <row r="244" ht="12.75">
      <c r="F244" t="s">
        <v>175</v>
      </c>
    </row>
    <row r="245" spans="5:8" ht="12.75">
      <c r="E245" t="s">
        <v>36</v>
      </c>
      <c r="F245">
        <v>795.1</v>
      </c>
      <c r="G245" t="s">
        <v>20</v>
      </c>
      <c r="H245" t="s">
        <v>19</v>
      </c>
    </row>
    <row r="246" ht="12.75">
      <c r="F246" s="29"/>
    </row>
    <row r="247" spans="5:7" ht="12.75">
      <c r="E247" t="s">
        <v>37</v>
      </c>
      <c r="F247" s="15">
        <v>0.000141</v>
      </c>
      <c r="G247" t="s">
        <v>26</v>
      </c>
    </row>
    <row r="248" spans="5:8" ht="12.75">
      <c r="E248" t="s">
        <v>10</v>
      </c>
      <c r="F248">
        <f>F247/F245</f>
        <v>1.7733618412778268E-07</v>
      </c>
      <c r="G248" t="s">
        <v>11</v>
      </c>
      <c r="H248" t="s">
        <v>27</v>
      </c>
    </row>
    <row r="250" spans="5:7" ht="12.75">
      <c r="E250" t="s">
        <v>39</v>
      </c>
      <c r="F250">
        <v>2063</v>
      </c>
      <c r="G250" t="s">
        <v>40</v>
      </c>
    </row>
    <row r="251" spans="5:7" ht="12.75">
      <c r="E251" t="s">
        <v>41</v>
      </c>
      <c r="F251" s="30">
        <v>0.1362</v>
      </c>
      <c r="G251" t="s">
        <v>42</v>
      </c>
    </row>
    <row r="252" spans="5:6" ht="12.75">
      <c r="E252" t="s">
        <v>43</v>
      </c>
      <c r="F252" s="15">
        <f>F250*F247/F251</f>
        <v>2.135704845814978</v>
      </c>
    </row>
    <row r="253" ht="12.75">
      <c r="E253" s="26"/>
    </row>
    <row r="254" spans="5:8" ht="12.75">
      <c r="E254" s="1"/>
      <c r="F254" s="1"/>
      <c r="G254" s="31"/>
      <c r="H254" s="1"/>
    </row>
    <row r="255" spans="5:9" ht="12.75">
      <c r="E255" t="s">
        <v>6</v>
      </c>
      <c r="F255">
        <v>0.005</v>
      </c>
      <c r="G255" t="s">
        <v>0</v>
      </c>
      <c r="H255">
        <f>F255*100/2.54</f>
        <v>0.19685039370078738</v>
      </c>
      <c r="I255" t="s">
        <v>101</v>
      </c>
    </row>
    <row r="256" spans="5:7" ht="12.75">
      <c r="E256" t="s">
        <v>25</v>
      </c>
      <c r="F256">
        <f>F176/7</f>
        <v>8.327656578130007E-07</v>
      </c>
      <c r="G256" t="s">
        <v>7</v>
      </c>
    </row>
    <row r="258" spans="5:7" ht="12.75">
      <c r="E258" t="s">
        <v>14</v>
      </c>
      <c r="F258">
        <f>F256/(PI()*(F255/2)^2)</f>
        <v>0.042412406680996134</v>
      </c>
      <c r="G258" t="s">
        <v>15</v>
      </c>
    </row>
    <row r="260" spans="5:8" ht="12.75">
      <c r="E260" t="s">
        <v>9</v>
      </c>
      <c r="F260" s="15">
        <f>4*F256/(PI()*F248*F255)</f>
        <v>1195.8193103567382</v>
      </c>
      <c r="G260" t="s">
        <v>12</v>
      </c>
      <c r="H260" t="s">
        <v>44</v>
      </c>
    </row>
    <row r="262" ht="12.75">
      <c r="F262" s="32"/>
    </row>
    <row r="263" spans="5:7" ht="12.75">
      <c r="E263" t="s">
        <v>8</v>
      </c>
      <c r="F263" s="32">
        <f>64/F260</f>
        <v>0.05351979136455611</v>
      </c>
      <c r="G263" t="s">
        <v>8</v>
      </c>
    </row>
    <row r="264" spans="5:7" ht="12.75">
      <c r="E264" t="s">
        <v>13</v>
      </c>
      <c r="F264" s="33">
        <f>F263*F265/F255*F258^2/2</f>
        <v>0.028881616744256766</v>
      </c>
      <c r="G264" t="s">
        <v>16</v>
      </c>
    </row>
    <row r="265" spans="5:9" ht="12.75">
      <c r="E265" t="s">
        <v>5</v>
      </c>
      <c r="F265" s="33">
        <f>F59</f>
        <v>3</v>
      </c>
      <c r="G265" t="s">
        <v>0</v>
      </c>
      <c r="H265">
        <f>F265*100/2.54/12</f>
        <v>9.84251968503937</v>
      </c>
      <c r="I265" t="s">
        <v>3</v>
      </c>
    </row>
    <row r="267" spans="5:13" ht="12.75">
      <c r="E267" s="34" t="s">
        <v>18</v>
      </c>
      <c r="F267" s="35">
        <f>F245*F264</f>
        <v>22.963773473358554</v>
      </c>
      <c r="G267" s="35" t="s">
        <v>21</v>
      </c>
      <c r="H267" s="35">
        <f>F267/6895</f>
        <v>0.003330496515352945</v>
      </c>
      <c r="I267" s="36" t="s">
        <v>22</v>
      </c>
      <c r="J267">
        <f>H267*27.68</f>
        <v>0.09218814354496951</v>
      </c>
      <c r="K267" t="s">
        <v>45</v>
      </c>
      <c r="L267">
        <f>J267/12</f>
        <v>0.0076823452954141265</v>
      </c>
      <c r="M267" t="s">
        <v>46</v>
      </c>
    </row>
    <row r="268" ht="12.75">
      <c r="E268" t="s">
        <v>23</v>
      </c>
    </row>
    <row r="271" spans="5:11" ht="12.75">
      <c r="E271" t="s">
        <v>47</v>
      </c>
      <c r="F271" s="19">
        <f>4</f>
        <v>4</v>
      </c>
      <c r="G271" t="s">
        <v>44</v>
      </c>
      <c r="J271">
        <f>(F263/8)*(F260-1000)*F252/(1+12.7*(F263/8)^0.5*(F252^0.666-1))</f>
        <v>1.6623379141327166</v>
      </c>
      <c r="K271" t="s">
        <v>179</v>
      </c>
    </row>
    <row r="272" ht="12.75">
      <c r="F272" s="19"/>
    </row>
    <row r="273" spans="5:7" ht="12.75">
      <c r="E273" t="s">
        <v>38</v>
      </c>
      <c r="F273" s="19">
        <f>F271*F251/F255</f>
        <v>108.96</v>
      </c>
      <c r="G273" t="s">
        <v>48</v>
      </c>
    </row>
    <row r="274" spans="5:7" ht="12.75">
      <c r="E274" t="s">
        <v>110</v>
      </c>
      <c r="F274">
        <f>4*F251/F255</f>
        <v>108.96</v>
      </c>
      <c r="G274" t="s">
        <v>33</v>
      </c>
    </row>
    <row r="280" ht="12.75">
      <c r="D280" t="s">
        <v>187</v>
      </c>
    </row>
    <row r="282" ht="12.75">
      <c r="F282" t="s">
        <v>175</v>
      </c>
    </row>
    <row r="283" spans="5:8" ht="12.75">
      <c r="E283" t="s">
        <v>36</v>
      </c>
      <c r="F283">
        <v>795.1</v>
      </c>
      <c r="G283" t="s">
        <v>20</v>
      </c>
      <c r="H283" t="s">
        <v>19</v>
      </c>
    </row>
    <row r="284" ht="12.75">
      <c r="F284" s="29"/>
    </row>
    <row r="285" spans="5:7" ht="12.75">
      <c r="E285" t="s">
        <v>37</v>
      </c>
      <c r="F285" s="15">
        <v>0.000141</v>
      </c>
      <c r="G285" t="s">
        <v>26</v>
      </c>
    </row>
    <row r="286" spans="5:8" ht="12.75">
      <c r="E286" t="s">
        <v>10</v>
      </c>
      <c r="F286">
        <f>F285/F283</f>
        <v>1.7733618412778268E-07</v>
      </c>
      <c r="G286" t="s">
        <v>11</v>
      </c>
      <c r="H286" t="s">
        <v>27</v>
      </c>
    </row>
    <row r="288" spans="5:7" ht="12.75">
      <c r="E288" t="s">
        <v>39</v>
      </c>
      <c r="F288">
        <v>2063</v>
      </c>
      <c r="G288" t="s">
        <v>40</v>
      </c>
    </row>
    <row r="289" spans="5:7" ht="12.75">
      <c r="E289" t="s">
        <v>41</v>
      </c>
      <c r="F289" s="30">
        <v>0.1362</v>
      </c>
      <c r="G289" t="s">
        <v>42</v>
      </c>
    </row>
    <row r="290" spans="5:6" ht="12.75">
      <c r="E290" t="s">
        <v>43</v>
      </c>
      <c r="F290" s="15">
        <f>F288*F285/F289</f>
        <v>2.135704845814978</v>
      </c>
    </row>
    <row r="291" ht="12.75">
      <c r="E291" s="26"/>
    </row>
    <row r="292" spans="5:8" ht="12.75">
      <c r="E292" s="1"/>
      <c r="F292" s="1"/>
      <c r="G292" s="31"/>
      <c r="H292" s="1"/>
    </row>
    <row r="293" spans="5:9" ht="12.75">
      <c r="E293" t="s">
        <v>6</v>
      </c>
      <c r="F293">
        <f>0.003</f>
        <v>0.003</v>
      </c>
      <c r="G293" t="s">
        <v>0</v>
      </c>
      <c r="H293">
        <f>F293*100/2.54</f>
        <v>0.11811023622047244</v>
      </c>
      <c r="I293" t="s">
        <v>101</v>
      </c>
    </row>
    <row r="294" spans="5:7" ht="12.75">
      <c r="E294" t="s">
        <v>25</v>
      </c>
      <c r="F294">
        <f>(F176/7)/4</f>
        <v>2.0819141445325017E-07</v>
      </c>
      <c r="G294" t="s">
        <v>7</v>
      </c>
    </row>
    <row r="296" spans="5:7" ht="12.75">
      <c r="E296" t="s">
        <v>14</v>
      </c>
      <c r="F296">
        <f>F294/(PI()*(F293/2)^2)</f>
        <v>0.029453060195136202</v>
      </c>
      <c r="G296" t="s">
        <v>15</v>
      </c>
    </row>
    <row r="298" spans="5:8" ht="12.75">
      <c r="E298" t="s">
        <v>9</v>
      </c>
      <c r="F298" s="15">
        <f>4*F294/(PI()*F286*F293)</f>
        <v>498.2580459819743</v>
      </c>
      <c r="G298" t="s">
        <v>12</v>
      </c>
      <c r="H298" t="s">
        <v>44</v>
      </c>
    </row>
    <row r="300" ht="12.75">
      <c r="F300" s="32"/>
    </row>
    <row r="301" spans="5:7" ht="12.75">
      <c r="E301" t="s">
        <v>8</v>
      </c>
      <c r="F301" s="32">
        <f>64/F298</f>
        <v>0.12844749927493465</v>
      </c>
      <c r="G301" t="s">
        <v>8</v>
      </c>
    </row>
    <row r="302" spans="5:7" ht="12.75">
      <c r="E302" t="s">
        <v>13</v>
      </c>
      <c r="F302" s="33">
        <f>F301*F303/F293*F296^2/2</f>
        <v>0.09285499210473494</v>
      </c>
      <c r="G302" t="s">
        <v>16</v>
      </c>
    </row>
    <row r="303" spans="5:9" ht="12.75">
      <c r="E303" t="s">
        <v>5</v>
      </c>
      <c r="F303" s="33">
        <f>F119</f>
        <v>5</v>
      </c>
      <c r="G303" t="s">
        <v>0</v>
      </c>
      <c r="H303">
        <f>F303*100/2.54/12</f>
        <v>16.404199475065617</v>
      </c>
      <c r="I303" t="s">
        <v>3</v>
      </c>
    </row>
    <row r="305" spans="5:13" ht="12.75">
      <c r="E305" s="34" t="s">
        <v>18</v>
      </c>
      <c r="F305" s="35">
        <f>F283*F302</f>
        <v>73.82900422247475</v>
      </c>
      <c r="G305" s="35" t="s">
        <v>21</v>
      </c>
      <c r="H305" s="35">
        <f>F305/6895</f>
        <v>0.010707614825594597</v>
      </c>
      <c r="I305" s="36" t="s">
        <v>22</v>
      </c>
      <c r="J305">
        <f>H305*27.68</f>
        <v>0.2963867783724584</v>
      </c>
      <c r="K305" t="s">
        <v>45</v>
      </c>
      <c r="L305">
        <f>J305/12</f>
        <v>0.024698898197704867</v>
      </c>
      <c r="M305" t="s">
        <v>46</v>
      </c>
    </row>
    <row r="306" ht="12.75">
      <c r="E306" t="s">
        <v>23</v>
      </c>
    </row>
    <row r="309" spans="5:11" ht="12.75">
      <c r="E309" t="s">
        <v>47</v>
      </c>
      <c r="F309" s="19">
        <f>4</f>
        <v>4</v>
      </c>
      <c r="G309" t="s">
        <v>44</v>
      </c>
      <c r="J309">
        <f>(F301/8)*(F298-1000)*F290/(1+12.7*(F301/8)^0.5*(F290^0.666-1))</f>
        <v>-8.359273983531462</v>
      </c>
      <c r="K309" t="s">
        <v>179</v>
      </c>
    </row>
    <row r="310" ht="12.75">
      <c r="F310" s="19"/>
    </row>
    <row r="311" spans="5:7" ht="12.75">
      <c r="E311" t="s">
        <v>38</v>
      </c>
      <c r="F311" s="19">
        <f>F309*F289/F293</f>
        <v>181.59999999999997</v>
      </c>
      <c r="G311" t="s">
        <v>48</v>
      </c>
    </row>
    <row r="312" spans="5:7" ht="12.75">
      <c r="E312" t="s">
        <v>110</v>
      </c>
      <c r="F312">
        <f>4*F289/F293</f>
        <v>181.59999999999997</v>
      </c>
      <c r="G312" t="s">
        <v>33</v>
      </c>
    </row>
    <row r="315" ht="12.75">
      <c r="D315" t="s">
        <v>187</v>
      </c>
    </row>
    <row r="316" ht="12.75">
      <c r="E316" t="s">
        <v>205</v>
      </c>
    </row>
    <row r="317" ht="12.75">
      <c r="F317" t="s">
        <v>206</v>
      </c>
    </row>
    <row r="318" spans="5:8" ht="12.75">
      <c r="E318" t="s">
        <v>36</v>
      </c>
      <c r="F318">
        <f>367.57*100^(-1.0154)+0.007</f>
        <v>3.431049687987424</v>
      </c>
      <c r="G318" t="s">
        <v>20</v>
      </c>
      <c r="H318" t="s">
        <v>19</v>
      </c>
    </row>
    <row r="319" ht="12.75">
      <c r="F319" s="29"/>
    </row>
    <row r="320" spans="5:7" ht="12.75">
      <c r="E320" t="s">
        <v>37</v>
      </c>
      <c r="F320" s="15">
        <v>6.88E-06</v>
      </c>
      <c r="G320" t="s">
        <v>26</v>
      </c>
    </row>
    <row r="321" spans="5:8" ht="12.75">
      <c r="E321" t="s">
        <v>10</v>
      </c>
      <c r="F321">
        <f>F320/F318</f>
        <v>2.005217244182684E-06</v>
      </c>
      <c r="G321" t="s">
        <v>11</v>
      </c>
      <c r="H321" t="s">
        <v>27</v>
      </c>
    </row>
    <row r="323" spans="5:7" ht="12.75">
      <c r="E323" t="s">
        <v>39</v>
      </c>
      <c r="F323">
        <v>1070</v>
      </c>
      <c r="G323" t="s">
        <v>40</v>
      </c>
    </row>
    <row r="324" spans="5:7" ht="12.75">
      <c r="E324" t="s">
        <v>41</v>
      </c>
      <c r="F324" s="15">
        <v>0.00958</v>
      </c>
      <c r="G324" t="s">
        <v>42</v>
      </c>
    </row>
    <row r="325" spans="5:6" ht="12.75">
      <c r="E325" t="s">
        <v>43</v>
      </c>
      <c r="F325" s="15">
        <f>F323*F320/F324</f>
        <v>0.7684342379958247</v>
      </c>
    </row>
    <row r="326" ht="12.75">
      <c r="E326" s="26"/>
    </row>
    <row r="327" spans="5:8" ht="12.75">
      <c r="E327" s="1"/>
      <c r="F327" s="1"/>
      <c r="G327" s="31"/>
      <c r="H327" s="1"/>
    </row>
    <row r="328" spans="5:9" ht="12.75">
      <c r="E328" t="s">
        <v>6</v>
      </c>
      <c r="F328">
        <f>0.003</f>
        <v>0.003</v>
      </c>
      <c r="G328" t="s">
        <v>0</v>
      </c>
      <c r="H328">
        <f>F328*100/2.54</f>
        <v>0.11811023622047244</v>
      </c>
      <c r="I328" t="s">
        <v>101</v>
      </c>
    </row>
    <row r="329" spans="5:7" ht="12.75">
      <c r="E329" t="s">
        <v>25</v>
      </c>
      <c r="F329">
        <f>(F195/7)/4</f>
        <v>0.000128352380831417</v>
      </c>
      <c r="G329" t="s">
        <v>7</v>
      </c>
    </row>
    <row r="331" spans="5:7" ht="12.75">
      <c r="E331" t="s">
        <v>14</v>
      </c>
      <c r="F331">
        <f>F329/(PI()*(F328/2)^2)</f>
        <v>18.15814743727418</v>
      </c>
      <c r="G331" t="s">
        <v>15</v>
      </c>
    </row>
    <row r="333" spans="5:8" ht="12.75">
      <c r="E333" t="s">
        <v>9</v>
      </c>
      <c r="F333" s="15">
        <f>4*F329/(PI()*F321*F328)</f>
        <v>27166.35440367262</v>
      </c>
      <c r="G333" t="s">
        <v>12</v>
      </c>
      <c r="H333" t="s">
        <v>28</v>
      </c>
    </row>
    <row r="335" ht="12.75">
      <c r="F335" s="32"/>
    </row>
    <row r="336" spans="5:7" ht="12.75">
      <c r="E336" t="s">
        <v>8</v>
      </c>
      <c r="F336" s="32">
        <v>0.025</v>
      </c>
      <c r="G336" t="s">
        <v>8</v>
      </c>
    </row>
    <row r="337" spans="5:7" ht="12.75">
      <c r="E337" t="s">
        <v>13</v>
      </c>
      <c r="F337" s="33">
        <f>F336*F338/F328*F331^2/2</f>
        <v>6869.1316323705605</v>
      </c>
      <c r="G337" t="s">
        <v>16</v>
      </c>
    </row>
    <row r="338" spans="5:9" ht="12.75">
      <c r="E338" t="s">
        <v>5</v>
      </c>
      <c r="F338" s="33">
        <f>F303</f>
        <v>5</v>
      </c>
      <c r="G338" t="s">
        <v>0</v>
      </c>
      <c r="H338">
        <f>F338*100/2.54/12</f>
        <v>16.404199475065617</v>
      </c>
      <c r="I338" t="s">
        <v>3</v>
      </c>
    </row>
    <row r="340" spans="5:13" ht="12.75">
      <c r="E340" s="34" t="s">
        <v>18</v>
      </c>
      <c r="F340" s="35">
        <f>F318*F337</f>
        <v>23568.331943989557</v>
      </c>
      <c r="G340" s="35" t="s">
        <v>21</v>
      </c>
      <c r="H340" s="35">
        <f>F340/6895</f>
        <v>3.41817722175338</v>
      </c>
      <c r="I340" s="36" t="s">
        <v>22</v>
      </c>
      <c r="J340">
        <f>H340*27.68</f>
        <v>94.61514549813356</v>
      </c>
      <c r="K340" t="s">
        <v>45</v>
      </c>
      <c r="L340">
        <f>J340/12</f>
        <v>7.884595458177796</v>
      </c>
      <c r="M340" t="s">
        <v>46</v>
      </c>
    </row>
    <row r="341" ht="12.75">
      <c r="E341" t="s">
        <v>23</v>
      </c>
    </row>
    <row r="344" spans="5:11" ht="12.75">
      <c r="E344" t="s">
        <v>47</v>
      </c>
      <c r="F344" s="19">
        <f>4</f>
        <v>4</v>
      </c>
      <c r="G344" t="s">
        <v>44</v>
      </c>
      <c r="J344">
        <f>(F336/8)*(F333-1000)*F325/(1+12.7*(F336/8)^0.5*(F325^0.666-1))</f>
        <v>70.93806555328617</v>
      </c>
      <c r="K344" t="s">
        <v>179</v>
      </c>
    </row>
    <row r="345" ht="12.75">
      <c r="F345" s="19"/>
    </row>
    <row r="346" spans="5:7" ht="12.75">
      <c r="E346" t="s">
        <v>38</v>
      </c>
      <c r="F346" s="19">
        <f>J344*F324/F328</f>
        <v>226.52888933349382</v>
      </c>
      <c r="G346" t="s">
        <v>48</v>
      </c>
    </row>
    <row r="347" spans="5:7" ht="12.75">
      <c r="E347" t="s">
        <v>110</v>
      </c>
      <c r="F347">
        <f>4*F324/F328</f>
        <v>12.773333333333333</v>
      </c>
      <c r="G347" t="s">
        <v>33</v>
      </c>
    </row>
    <row r="367" ht="12.75">
      <c r="E367" t="s">
        <v>136</v>
      </c>
    </row>
    <row r="368" spans="5:7" ht="12.75">
      <c r="E368" t="s">
        <v>137</v>
      </c>
      <c r="F368">
        <f>F63+F62</f>
        <v>0.16022122533307945</v>
      </c>
      <c r="G368" t="s">
        <v>71</v>
      </c>
    </row>
    <row r="369" spans="6:7" ht="12.75">
      <c r="F369">
        <f>F368*100^2</f>
        <v>1602.2122533307945</v>
      </c>
      <c r="G369" t="s">
        <v>138</v>
      </c>
    </row>
    <row r="370" spans="6:7" ht="12.75">
      <c r="F370">
        <f>F369*7</f>
        <v>11215.485773315562</v>
      </c>
      <c r="G370" t="s">
        <v>139</v>
      </c>
    </row>
    <row r="372" spans="5:7" ht="12.75">
      <c r="E372" t="s">
        <v>140</v>
      </c>
      <c r="F372">
        <f>0.00000000013</f>
        <v>1.3E-10</v>
      </c>
      <c r="G372" t="s">
        <v>141</v>
      </c>
    </row>
    <row r="373" spans="6:7" ht="12.75">
      <c r="F373">
        <f>F372*F370</f>
        <v>1.458013150531023E-06</v>
      </c>
      <c r="G373" t="s">
        <v>142</v>
      </c>
    </row>
    <row r="374" spans="6:7" ht="12.75">
      <c r="F374">
        <v>18</v>
      </c>
      <c r="G374" t="s">
        <v>143</v>
      </c>
    </row>
    <row r="375" spans="6:7" ht="12.75">
      <c r="F375">
        <v>22.4</v>
      </c>
      <c r="G375" t="s">
        <v>144</v>
      </c>
    </row>
    <row r="376" spans="6:7" ht="12.75">
      <c r="F376">
        <f>F373/F374*F375</f>
        <v>1.814416365105273E-06</v>
      </c>
      <c r="G376" t="s">
        <v>145</v>
      </c>
    </row>
    <row r="385" ht="12.75">
      <c r="D385" t="s">
        <v>207</v>
      </c>
    </row>
    <row r="387" ht="12.75">
      <c r="F387" t="s">
        <v>168</v>
      </c>
    </row>
    <row r="388" spans="6:9" ht="12.75">
      <c r="F388">
        <f>M195</f>
        <v>137.2142435621271</v>
      </c>
      <c r="G388" t="s">
        <v>50</v>
      </c>
      <c r="H388">
        <f>F388-273</f>
        <v>-135.7857564378729</v>
      </c>
      <c r="I388" t="s">
        <v>51</v>
      </c>
    </row>
    <row r="389" spans="6:7" ht="12.75">
      <c r="F389">
        <f>367.57*F388^(-1.0154)+0.007</f>
        <v>2.490275563547173</v>
      </c>
      <c r="G389" t="s">
        <v>167</v>
      </c>
    </row>
    <row r="390" ht="12.75">
      <c r="H390" s="15"/>
    </row>
    <row r="392" spans="5:9" ht="12.75">
      <c r="E392" t="s">
        <v>208</v>
      </c>
      <c r="F392">
        <v>0.006</v>
      </c>
      <c r="G392" t="s">
        <v>161</v>
      </c>
      <c r="H392">
        <f>F392*100/2.54</f>
        <v>0.23622047244094488</v>
      </c>
      <c r="I392" t="s">
        <v>101</v>
      </c>
    </row>
    <row r="393" spans="5:13" ht="12.75">
      <c r="E393" t="s">
        <v>209</v>
      </c>
      <c r="F393" s="15">
        <f>(F195/(7*6*3*8))</f>
        <v>3.565343911983805E-06</v>
      </c>
      <c r="G393" t="s">
        <v>102</v>
      </c>
      <c r="J393" s="15">
        <f>F393*1000</f>
        <v>0.003565343911983805</v>
      </c>
      <c r="K393" t="s">
        <v>163</v>
      </c>
      <c r="L393" s="37">
        <f>J393*60</f>
        <v>0.2139206347190283</v>
      </c>
      <c r="M393" t="s">
        <v>165</v>
      </c>
    </row>
    <row r="394" spans="5:13" ht="12.75">
      <c r="E394" t="s">
        <v>210</v>
      </c>
      <c r="F394">
        <v>0.00018</v>
      </c>
      <c r="G394" t="s">
        <v>162</v>
      </c>
      <c r="H394">
        <f>F394*100/2.54</f>
        <v>0.007086614173228347</v>
      </c>
      <c r="I394" t="s">
        <v>101</v>
      </c>
      <c r="L394" s="37">
        <f>L393*60</f>
        <v>12.835238083141698</v>
      </c>
      <c r="M394" t="s">
        <v>166</v>
      </c>
    </row>
    <row r="395" spans="12:13" ht="12.75">
      <c r="L395" s="32">
        <f>F393*60*100^3/2.54^3/12^3</f>
        <v>0.007554535919951786</v>
      </c>
      <c r="M395" t="s">
        <v>30</v>
      </c>
    </row>
    <row r="396" spans="12:13" ht="12.75">
      <c r="L396" s="32">
        <f>L395*60</f>
        <v>0.4532721551971072</v>
      </c>
      <c r="M396" t="s">
        <v>164</v>
      </c>
    </row>
    <row r="397" ht="12.75">
      <c r="E397" t="s">
        <v>156</v>
      </c>
    </row>
    <row r="398" spans="5:7" ht="12.75">
      <c r="E398" t="s">
        <v>157</v>
      </c>
      <c r="F398">
        <f>4*F393/(PI()*F394^2)</f>
        <v>140.1091623246464</v>
      </c>
      <c r="G398" t="s">
        <v>15</v>
      </c>
    </row>
    <row r="400" spans="5:6" ht="12.75">
      <c r="E400" t="s">
        <v>158</v>
      </c>
      <c r="F400">
        <f>F394/F392</f>
        <v>0.030000000000000002</v>
      </c>
    </row>
    <row r="401" spans="5:7" ht="12.75">
      <c r="E401" t="s">
        <v>2</v>
      </c>
      <c r="F401">
        <v>2.7</v>
      </c>
      <c r="G401" t="s">
        <v>159</v>
      </c>
    </row>
    <row r="403" spans="5:9" ht="12.75">
      <c r="E403" t="s">
        <v>160</v>
      </c>
      <c r="F403" s="15">
        <f>F389*F401*F398^2/2</f>
        <v>65995.48860679513</v>
      </c>
      <c r="G403" s="35" t="s">
        <v>21</v>
      </c>
      <c r="H403" s="35">
        <f>F403/6895</f>
        <v>9.57149943535825</v>
      </c>
      <c r="I403" s="36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cease</dc:creator>
  <cp:keywords/>
  <dc:description/>
  <cp:lastModifiedBy>cease</cp:lastModifiedBy>
  <dcterms:created xsi:type="dcterms:W3CDTF">2003-09-11T16:08:00Z</dcterms:created>
  <dcterms:modified xsi:type="dcterms:W3CDTF">2003-09-11T16:08:31Z</dcterms:modified>
  <cp:category/>
  <cp:version/>
  <cp:contentType/>
  <cp:contentStatus/>
</cp:coreProperties>
</file>