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2120" windowHeight="8580" tabRatio="622" activeTab="0"/>
  </bookViews>
  <sheets>
    <sheet name="Water Quality-Water Quantity" sheetId="1" r:id="rId1"/>
    <sheet name="Grazing Lands" sheetId="2" r:id="rId2"/>
    <sheet name=" Soil Erosion" sheetId="3" r:id="rId3"/>
    <sheet name="Wildlife" sheetId="4" r:id="rId4"/>
    <sheet name="Water Quality-Animal Waste Mgt" sheetId="5" r:id="rId5"/>
    <sheet name="Sheet1" sheetId="6" state="hidden" r:id="rId6"/>
  </sheets>
  <definedNames>
    <definedName name="_xlnm.Print_Area" localSheetId="2">' Soil Erosion'!$A$1:$S$169</definedName>
    <definedName name="_xlnm.Print_Area" localSheetId="1">'Grazing Lands'!$A$1:$S$152</definedName>
    <definedName name="_xlnm.Print_Area" localSheetId="4">'Water Quality-Animal Waste Mgt'!$A$1:$R$87</definedName>
    <definedName name="_xlnm.Print_Area" localSheetId="0">'Water Quality-Water Quantity'!$A$1:$Q$183</definedName>
    <definedName name="_xlnm.Print_Area" localSheetId="3">'Wildlife'!$A$1:$R$120</definedName>
  </definedNames>
  <calcPr fullCalcOnLoad="1"/>
</workbook>
</file>

<file path=xl/comments1.xml><?xml version="1.0" encoding="utf-8"?>
<comments xmlns="http://schemas.openxmlformats.org/spreadsheetml/2006/main">
  <authors>
    <author>Lorenz Sutherland</author>
  </authors>
  <commentList>
    <comment ref="C2" authorId="0">
      <text>
        <r>
          <rPr>
            <b/>
            <sz val="8"/>
            <rFont val="Tahoma"/>
            <family val="0"/>
          </rPr>
          <t>Instructions:</t>
        </r>
        <r>
          <rPr>
            <sz val="8"/>
            <rFont val="Tahoma"/>
            <family val="0"/>
          </rPr>
          <t xml:space="preserve">
Click on the box; enter the Producer/Applicant's name.  In the case of a joint contract agreement, enter the designated group name and its agent.</t>
        </r>
      </text>
    </comment>
    <comment ref="L2" authorId="0">
      <text>
        <r>
          <rPr>
            <b/>
            <sz val="8"/>
            <rFont val="Tahoma"/>
            <family val="0"/>
          </rPr>
          <t>Instructions:</t>
        </r>
        <r>
          <rPr>
            <sz val="8"/>
            <rFont val="Tahoma"/>
            <family val="0"/>
          </rPr>
          <t xml:space="preserve">
Click on the box; type tract number.  Repeat as necessary.</t>
        </r>
      </text>
    </comment>
    <comment ref="L3" authorId="0">
      <text>
        <r>
          <rPr>
            <b/>
            <sz val="8"/>
            <rFont val="Tahoma"/>
            <family val="0"/>
          </rPr>
          <t>Instructions:</t>
        </r>
        <r>
          <rPr>
            <sz val="8"/>
            <rFont val="Tahoma"/>
            <family val="0"/>
          </rPr>
          <t xml:space="preserve">
Click on the box; enter the farm number.  In the case of a cooperative or expanded EQIP contract, enter the subsequent farm numbers of the participants using the blanks to the right.</t>
        </r>
      </text>
    </comment>
    <comment ref="F9" authorId="0">
      <text>
        <r>
          <rPr>
            <b/>
            <sz val="8"/>
            <rFont val="Tahoma"/>
            <family val="0"/>
          </rPr>
          <t>Instructions:</t>
        </r>
        <r>
          <rPr>
            <sz val="8"/>
            <rFont val="Tahoma"/>
            <family val="0"/>
          </rPr>
          <t xml:space="preserve">
Clcik on the green box and enter the acreage that is being offered.</t>
        </r>
      </text>
    </comment>
    <comment ref="C10" authorId="0">
      <text>
        <r>
          <rPr>
            <b/>
            <sz val="8"/>
            <rFont val="Tahoma"/>
            <family val="0"/>
          </rPr>
          <t>Instructions:</t>
        </r>
        <r>
          <rPr>
            <sz val="8"/>
            <rFont val="Tahoma"/>
            <family val="0"/>
          </rPr>
          <t xml:space="preserve">
REQUIRED ENTRY-Click on the box; click on the down arrow and select your name from the list.</t>
        </r>
      </text>
    </comment>
    <comment ref="K9" authorId="0">
      <text>
        <r>
          <rPr>
            <b/>
            <sz val="8"/>
            <rFont val="Tahoma"/>
            <family val="0"/>
          </rPr>
          <t>Instructions:</t>
        </r>
        <r>
          <rPr>
            <sz val="8"/>
            <rFont val="Tahoma"/>
            <family val="0"/>
          </rPr>
          <t xml:space="preserve">
REQUIRED ENTRY-Click on the box; enter the total federal contribution in dollars, no commas.  Includes both cost-share and incentive payments.</t>
        </r>
      </text>
    </comment>
    <comment ref="F80" authorId="0">
      <text>
        <r>
          <rPr>
            <b/>
            <sz val="8"/>
            <rFont val="Tahoma"/>
            <family val="0"/>
          </rPr>
          <t>Instructions:</t>
        </r>
        <r>
          <rPr>
            <sz val="8"/>
            <rFont val="Tahoma"/>
            <family val="0"/>
          </rPr>
          <t xml:space="preserve">
Click on the green box and enter the benchmark (before condition) gross system efficiency for the offered farm fields using FIRS.  This number comes from the FIRS farm summary sheet.</t>
        </r>
      </text>
    </comment>
    <comment ref="F81" authorId="0">
      <text>
        <r>
          <rPr>
            <b/>
            <sz val="8"/>
            <rFont val="Tahoma"/>
            <family val="0"/>
          </rPr>
          <t>Instructions:</t>
        </r>
        <r>
          <rPr>
            <sz val="8"/>
            <rFont val="Tahoma"/>
            <family val="0"/>
          </rPr>
          <t xml:space="preserve">
Click on the green box and enter the planned (after treatment condition) gross system efficiency of the offered farm fields using FIRS.  This number comes from the FIRS farm summary sheet.</t>
        </r>
      </text>
    </comment>
    <comment ref="F92" authorId="0">
      <text>
        <r>
          <rPr>
            <b/>
            <sz val="8"/>
            <rFont val="Tahoma"/>
            <family val="0"/>
          </rPr>
          <t>Instructions:</t>
        </r>
        <r>
          <rPr>
            <sz val="8"/>
            <rFont val="Tahoma"/>
            <family val="0"/>
          </rPr>
          <t xml:space="preserve">
Enter the number of acres of planned nutrient management.  This number can be less than the application's offered acres.</t>
        </r>
      </text>
    </comment>
    <comment ref="F103" authorId="0">
      <text>
        <r>
          <rPr>
            <b/>
            <sz val="8"/>
            <rFont val="Tahoma"/>
            <family val="0"/>
          </rPr>
          <t>Instructions:</t>
        </r>
        <r>
          <rPr>
            <sz val="8"/>
            <rFont val="Tahoma"/>
            <family val="0"/>
          </rPr>
          <t xml:space="preserve">
Click on the box; enter the number of acres planned to be converted to a permanent vegetative cover.</t>
        </r>
      </text>
    </comment>
    <comment ref="F112" authorId="0">
      <text>
        <r>
          <rPr>
            <b/>
            <sz val="8"/>
            <rFont val="Tahoma"/>
            <family val="0"/>
          </rPr>
          <t>Instructions:</t>
        </r>
        <r>
          <rPr>
            <sz val="8"/>
            <rFont val="Tahoma"/>
            <family val="0"/>
          </rPr>
          <t xml:space="preserve">
Click on the box and enter the benchmark value (before treatment condition) for the irrigation-induced erosion index.</t>
        </r>
      </text>
    </comment>
    <comment ref="F114" authorId="0">
      <text>
        <r>
          <rPr>
            <b/>
            <sz val="8"/>
            <rFont val="Tahoma"/>
            <family val="0"/>
          </rPr>
          <t>Instructions:</t>
        </r>
        <r>
          <rPr>
            <sz val="8"/>
            <rFont val="Tahoma"/>
            <family val="0"/>
          </rPr>
          <t xml:space="preserve">
Click on the box and enter the planned (after treatment condition) value for the irrigation-induced erosion index.  NOTE:  If this evaluation is for subsurface drip the planned EIp should equal 0.</t>
        </r>
      </text>
    </comment>
    <comment ref="G24" authorId="0">
      <text>
        <r>
          <rPr>
            <b/>
            <sz val="8"/>
            <rFont val="Tahoma"/>
            <family val="0"/>
          </rPr>
          <t>Instructions:</t>
        </r>
        <r>
          <rPr>
            <sz val="8"/>
            <rFont val="Tahoma"/>
            <family val="0"/>
          </rPr>
          <t xml:space="preserve">
Click on the box and select the name of the drainage district from the pull-down list.  If the drainage district is NOT one of the original 29 select "Not Applicable" from the list.</t>
        </r>
      </text>
    </comment>
    <comment ref="P13" authorId="0">
      <text>
        <r>
          <rPr>
            <b/>
            <sz val="8"/>
            <rFont val="Tahoma"/>
            <family val="0"/>
          </rPr>
          <t xml:space="preserve">Instructions:
</t>
        </r>
        <r>
          <rPr>
            <sz val="8"/>
            <rFont val="Tahoma"/>
            <family val="2"/>
          </rPr>
          <t>Click on the box and pick the correct response from the pull-down list.</t>
        </r>
        <r>
          <rPr>
            <sz val="8"/>
            <rFont val="Tahoma"/>
            <family val="0"/>
          </rPr>
          <t xml:space="preserve">
</t>
        </r>
      </text>
    </comment>
    <comment ref="P14" authorId="0">
      <text>
        <r>
          <rPr>
            <b/>
            <sz val="8"/>
            <rFont val="Tahoma"/>
            <family val="0"/>
          </rPr>
          <t xml:space="preserve">Instructions:
</t>
        </r>
        <r>
          <rPr>
            <sz val="8"/>
            <rFont val="Tahoma"/>
            <family val="2"/>
          </rPr>
          <t>Click on the box and pick the correct response from the pull-down list.</t>
        </r>
        <r>
          <rPr>
            <sz val="8"/>
            <rFont val="Tahoma"/>
            <family val="0"/>
          </rPr>
          <t xml:space="preserve">
</t>
        </r>
      </text>
    </comment>
    <comment ref="G26" authorId="0">
      <text>
        <r>
          <rPr>
            <b/>
            <sz val="8"/>
            <rFont val="Tahoma"/>
            <family val="0"/>
          </rPr>
          <t>Instructions:</t>
        </r>
        <r>
          <rPr>
            <sz val="8"/>
            <rFont val="Tahoma"/>
            <family val="0"/>
          </rPr>
          <t xml:space="preserve">
Click on the green box and enter the name of the taxing drainage district name.  To clear, right click the mouse and select "clear contents".</t>
        </r>
      </text>
    </comment>
    <comment ref="C8" authorId="0">
      <text>
        <r>
          <rPr>
            <b/>
            <sz val="8"/>
            <rFont val="Tahoma"/>
            <family val="0"/>
          </rPr>
          <t>Instruction::</t>
        </r>
        <r>
          <rPr>
            <sz val="8"/>
            <rFont val="Tahoma"/>
            <family val="0"/>
          </rPr>
          <t xml:space="preserve">
Click on the green box.  Then click on the down-arrow and selection your location from the pull-down list.</t>
        </r>
      </text>
    </comment>
    <comment ref="C5" authorId="0">
      <text>
        <r>
          <rPr>
            <b/>
            <sz val="8"/>
            <rFont val="Tahoma"/>
            <family val="0"/>
          </rPr>
          <t>Instructions:</t>
        </r>
        <r>
          <rPr>
            <sz val="8"/>
            <rFont val="Tahoma"/>
            <family val="0"/>
          </rPr>
          <t xml:space="preserve">
Click on the green box.  Then click on the down-arrow and select the kind of entity or joint operation from the pull-down list.</t>
        </r>
      </text>
    </comment>
    <comment ref="N6" authorId="0">
      <text>
        <r>
          <rPr>
            <b/>
            <sz val="8"/>
            <rFont val="Tahoma"/>
            <family val="0"/>
          </rPr>
          <t>Instructions:</t>
        </r>
        <r>
          <rPr>
            <sz val="8"/>
            <rFont val="Tahoma"/>
            <family val="0"/>
          </rPr>
          <t xml:space="preserve">
Click on the green box.  Enter the number of entities in the irrigation lateral group.  Otherwise, enter a 0.</t>
        </r>
      </text>
    </comment>
    <comment ref="Q6" authorId="0">
      <text>
        <r>
          <rPr>
            <b/>
            <sz val="8"/>
            <rFont val="Tahoma"/>
            <family val="0"/>
          </rPr>
          <t>Instructions:</t>
        </r>
        <r>
          <rPr>
            <sz val="8"/>
            <rFont val="Tahoma"/>
            <family val="0"/>
          </rPr>
          <t xml:space="preserve">
Click on the green box.  If this is application represents a lateral group, enter the proportion of shares, expressed as a percent, that is held by the represented entities.  Otherwise, enter 0.</t>
        </r>
      </text>
    </comment>
    <comment ref="O8" authorId="0">
      <text>
        <r>
          <rPr>
            <b/>
            <sz val="8"/>
            <rFont val="Tahoma"/>
            <family val="0"/>
          </rPr>
          <t>Instructions:</t>
        </r>
        <r>
          <rPr>
            <sz val="8"/>
            <rFont val="Tahoma"/>
            <family val="0"/>
          </rPr>
          <t xml:space="preserve">
Click on the green box.  If this a joint agreement other than a drainage district or lateral group enter the number of entities in the group.  Otherwise enter a 0.</t>
        </r>
      </text>
    </comment>
    <comment ref="G159"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G160" authorId="0">
      <text>
        <r>
          <rPr>
            <b/>
            <sz val="8"/>
            <rFont val="Tahoma"/>
            <family val="0"/>
          </rPr>
          <t>Instructions:</t>
        </r>
        <r>
          <rPr>
            <sz val="8"/>
            <rFont val="Tahoma"/>
            <family val="0"/>
          </rPr>
          <t xml:space="preserve">
Click on the green box.  Then enter the number of riparian acres that will be improved.</t>
        </r>
      </text>
    </comment>
    <comment ref="D178" authorId="0">
      <text>
        <r>
          <rPr>
            <b/>
            <sz val="8"/>
            <rFont val="Tahoma"/>
            <family val="0"/>
          </rPr>
          <t>Instructions:</t>
        </r>
        <r>
          <rPr>
            <sz val="8"/>
            <rFont val="Tahoma"/>
            <family val="0"/>
          </rPr>
          <t xml:space="preserve">
Click on the green box.  Then click on the down-arrow and select the reviewing wildlife partner from the pull-down list.</t>
        </r>
      </text>
    </comment>
    <comment ref="G120" authorId="0">
      <text>
        <r>
          <rPr>
            <b/>
            <sz val="8"/>
            <rFont val="Tahoma"/>
            <family val="0"/>
          </rPr>
          <t>Instructions:</t>
        </r>
        <r>
          <rPr>
            <sz val="8"/>
            <rFont val="Tahoma"/>
            <family val="0"/>
          </rPr>
          <t xml:space="preserve">
Click on the box and enter the number of acres.</t>
        </r>
      </text>
    </comment>
    <comment ref="H60"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t>
        </r>
      </text>
    </comment>
    <comment ref="P16" authorId="0">
      <text>
        <r>
          <rPr>
            <b/>
            <sz val="8"/>
            <rFont val="Tahoma"/>
            <family val="0"/>
          </rPr>
          <t xml:space="preserve">Instructions:
</t>
        </r>
        <r>
          <rPr>
            <sz val="8"/>
            <rFont val="Tahoma"/>
            <family val="2"/>
          </rPr>
          <t>Click on the box and pick the correct response from the pull-down list.</t>
        </r>
        <r>
          <rPr>
            <sz val="8"/>
            <rFont val="Tahoma"/>
            <family val="0"/>
          </rPr>
          <t xml:space="preserve">
EXAMPLE:  If an applicant is considering the replacement of an existing concrete lined ditch with another concrete lined ditch, the answer to this question would be "yes."</t>
        </r>
      </text>
    </comment>
  </commentList>
</comments>
</file>

<file path=xl/comments2.xml><?xml version="1.0" encoding="utf-8"?>
<comments xmlns="http://schemas.openxmlformats.org/spreadsheetml/2006/main">
  <authors>
    <author>Lorenz Sutherland</author>
    <author>USDA-MDIOL00000LG3A</author>
  </authors>
  <commentList>
    <comment ref="N2" authorId="0">
      <text>
        <r>
          <rPr>
            <b/>
            <sz val="8"/>
            <rFont val="Tahoma"/>
            <family val="2"/>
          </rPr>
          <t>Instructions:</t>
        </r>
        <r>
          <rPr>
            <sz val="8"/>
            <rFont val="Tahoma"/>
            <family val="0"/>
          </rPr>
          <t xml:space="preserve">
Click on the box; type tract number.  Repeat as necessary.</t>
        </r>
      </text>
    </comment>
    <comment ref="N4"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N7" authorId="0">
      <text>
        <r>
          <rPr>
            <b/>
            <sz val="8"/>
            <rFont val="Tahoma"/>
            <family val="2"/>
          </rPr>
          <t>Instructions:</t>
        </r>
        <r>
          <rPr>
            <sz val="8"/>
            <rFont val="Tahoma"/>
            <family val="0"/>
          </rPr>
          <t xml:space="preserve">
REQUIRED ENTRY-Click on the box; enter the total federal contribution in dollars, no commas.  Includes both cost-share and incentive payments.</t>
        </r>
      </text>
    </comment>
    <comment ref="F51" authorId="0">
      <text>
        <r>
          <rPr>
            <b/>
            <sz val="8"/>
            <rFont val="Tahoma"/>
            <family val="0"/>
          </rPr>
          <t>Instructions:</t>
        </r>
        <r>
          <rPr>
            <sz val="8"/>
            <rFont val="Tahoma"/>
            <family val="0"/>
          </rPr>
          <t xml:space="preserve">
Click on the green box and enter the existing condition range similarity index for the largest 5 fields.  Use the additional cells as needed.</t>
        </r>
      </text>
    </comment>
    <comment ref="I63" authorId="0">
      <text>
        <r>
          <rPr>
            <b/>
            <sz val="8"/>
            <rFont val="Tahoma"/>
            <family val="2"/>
          </rPr>
          <t>Instructions:</t>
        </r>
        <r>
          <rPr>
            <sz val="8"/>
            <rFont val="Tahoma"/>
            <family val="0"/>
          </rPr>
          <t xml:space="preserve">
Click on the green box and enter the potential pasture productivity.  Values are expressed in pounds per acre.  Use the additional cells as needed to account for different site conditions on the offered acres.</t>
        </r>
      </text>
    </comment>
    <comment ref="F63" authorId="0">
      <text>
        <r>
          <rPr>
            <b/>
            <sz val="8"/>
            <rFont val="Tahoma"/>
            <family val="0"/>
          </rPr>
          <t>Instructions:</t>
        </r>
        <r>
          <rPr>
            <sz val="8"/>
            <rFont val="Tahoma"/>
            <family val="0"/>
          </rPr>
          <t xml:space="preserve">
Click on the green box and enter the current pasture productivity.  Values are expressed in pounds per acre.  Use the additional cells as needed to account for different site conditions on the offered acres.</t>
        </r>
      </text>
    </comment>
    <comment ref="K63" authorId="0">
      <text>
        <r>
          <rPr>
            <b/>
            <sz val="8"/>
            <rFont val="Tahoma"/>
            <family val="0"/>
          </rPr>
          <t xml:space="preserve">Instructions:
</t>
        </r>
        <r>
          <rPr>
            <sz val="8"/>
            <rFont val="Tahoma"/>
            <family val="2"/>
          </rPr>
          <t>Click on the green box.  Enter the number of acres with this current and potential productivity.  Use the additional cells as needed.</t>
        </r>
        <r>
          <rPr>
            <sz val="8"/>
            <rFont val="Tahoma"/>
            <family val="0"/>
          </rPr>
          <t xml:space="preserve">
</t>
        </r>
      </text>
    </comment>
    <comment ref="S5" authorId="0">
      <text>
        <r>
          <rPr>
            <b/>
            <sz val="8"/>
            <rFont val="Tahoma"/>
            <family val="0"/>
          </rPr>
          <t>Instructions:</t>
        </r>
        <r>
          <rPr>
            <sz val="8"/>
            <rFont val="Tahoma"/>
            <family val="0"/>
          </rPr>
          <t xml:space="preserve">
If this is a joint/cooperative agreement application, click on the green box and enter the number of entities that will be involved; otherwise enter a zero.</t>
        </r>
      </text>
    </comment>
    <comment ref="I103" authorId="0">
      <text>
        <r>
          <rPr>
            <b/>
            <sz val="8"/>
            <rFont val="Tahoma"/>
            <family val="0"/>
          </rPr>
          <t>Instructions:</t>
        </r>
        <r>
          <rPr>
            <sz val="8"/>
            <rFont val="Tahoma"/>
            <family val="0"/>
          </rPr>
          <t xml:space="preserve">
Click on the green box and enter the percent of the entire grazing unit or ranch that will have the improved grazing system implemented during this contract period.</t>
        </r>
      </text>
    </comment>
    <comment ref="I51" authorId="0">
      <text>
        <r>
          <rPr>
            <b/>
            <sz val="8"/>
            <rFont val="Tahoma"/>
            <family val="0"/>
          </rPr>
          <t>Instructions:</t>
        </r>
        <r>
          <rPr>
            <sz val="8"/>
            <rFont val="Tahoma"/>
            <family val="0"/>
          </rPr>
          <t xml:space="preserve">
Click on the green box and enter the acres with the corresponding Similarity Index.  Use additional boxes as needed.</t>
        </r>
      </text>
    </comment>
    <comment ref="C2" authorId="0">
      <text>
        <r>
          <rPr>
            <b/>
            <sz val="8"/>
            <rFont val="Tahoma"/>
            <family val="0"/>
          </rPr>
          <t xml:space="preserve">Instructions:
</t>
        </r>
        <r>
          <rPr>
            <sz val="8"/>
            <rFont val="Tahoma"/>
            <family val="2"/>
          </rPr>
          <t>Click on the green box and enter the name of the applicant exactly as it appears on the CCC-1200.  In the case of a joint contract agreement, enter the designated group name and its agent.</t>
        </r>
        <r>
          <rPr>
            <sz val="8"/>
            <rFont val="Tahoma"/>
            <family val="0"/>
          </rPr>
          <t xml:space="preserve">
</t>
        </r>
      </text>
    </comment>
    <comment ref="I129"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I130" authorId="0">
      <text>
        <r>
          <rPr>
            <b/>
            <sz val="8"/>
            <rFont val="Tahoma"/>
            <family val="0"/>
          </rPr>
          <t>Instructions:</t>
        </r>
        <r>
          <rPr>
            <sz val="8"/>
            <rFont val="Tahoma"/>
            <family val="0"/>
          </rPr>
          <t xml:space="preserve">
Click on the green box.  Then enter the number of riparian acres that will be improved.</t>
        </r>
      </text>
    </comment>
    <comment ref="N49" authorId="0">
      <text>
        <r>
          <rPr>
            <b/>
            <sz val="8"/>
            <rFont val="Tahoma"/>
            <family val="0"/>
          </rPr>
          <t>Instructions:</t>
        </r>
        <r>
          <rPr>
            <sz val="8"/>
            <rFont val="Tahoma"/>
            <family val="0"/>
          </rPr>
          <t xml:space="preserve">
Click on the green box. Enter the number of rangeland acres to be improved.  This number can be equal to, less than, but not greater than the rangeland acres entered in Part I.</t>
        </r>
      </text>
    </comment>
    <comment ref="C5" authorId="0">
      <text>
        <r>
          <rPr>
            <b/>
            <sz val="8"/>
            <rFont val="Tahoma"/>
            <family val="0"/>
          </rPr>
          <t>Instructions:</t>
        </r>
        <r>
          <rPr>
            <sz val="8"/>
            <rFont val="Tahoma"/>
            <family val="0"/>
          </rPr>
          <t xml:space="preserve">
Click on the green box.  Click on the down-arrow and select type of entity from the pull-down list.</t>
        </r>
      </text>
    </comment>
    <comment ref="C6" authorId="0">
      <text>
        <r>
          <rPr>
            <b/>
            <sz val="8"/>
            <rFont val="Tahoma"/>
            <family val="0"/>
          </rPr>
          <t>Instructions:</t>
        </r>
        <r>
          <rPr>
            <sz val="8"/>
            <rFont val="Tahoma"/>
            <family val="0"/>
          </rPr>
          <t xml:space="preserve">
Click on the green box.  Enter the number of pastureland acres associated with this applications.  If none, enter 0.</t>
        </r>
      </text>
    </comment>
    <comment ref="H6" authorId="0">
      <text>
        <r>
          <rPr>
            <b/>
            <sz val="8"/>
            <rFont val="Tahoma"/>
            <family val="0"/>
          </rPr>
          <t>Instructions:</t>
        </r>
        <r>
          <rPr>
            <sz val="8"/>
            <rFont val="Tahoma"/>
            <family val="0"/>
          </rPr>
          <t xml:space="preserve">
Click on the green box.  Enter the number of rangeland acres associated with this application.  If none, enter 0.</t>
        </r>
      </text>
    </comment>
    <comment ref="C7" authorId="0">
      <text>
        <r>
          <rPr>
            <b/>
            <sz val="8"/>
            <rFont val="Tahoma"/>
            <family val="0"/>
          </rPr>
          <t>Instructions:</t>
        </r>
        <r>
          <rPr>
            <sz val="8"/>
            <rFont val="Tahoma"/>
            <family val="0"/>
          </rPr>
          <t xml:space="preserve">
Click on the green box.  Then click on the down-arrow and select your location from the pull-down list.</t>
        </r>
      </text>
    </comment>
    <comment ref="C8" authorId="0">
      <text>
        <r>
          <rPr>
            <b/>
            <sz val="8"/>
            <rFont val="Tahoma"/>
            <family val="0"/>
          </rPr>
          <t>Instructions:</t>
        </r>
        <r>
          <rPr>
            <sz val="8"/>
            <rFont val="Tahoma"/>
            <family val="0"/>
          </rPr>
          <t xml:space="preserve">
Click on the green box.  Then click on the down-arrow and selct your name from the pull-down list.</t>
        </r>
      </text>
    </comment>
    <comment ref="E147" authorId="0">
      <text>
        <r>
          <rPr>
            <b/>
            <sz val="8"/>
            <rFont val="Tahoma"/>
            <family val="0"/>
          </rPr>
          <t>Instructions:</t>
        </r>
        <r>
          <rPr>
            <sz val="8"/>
            <rFont val="Tahoma"/>
            <family val="0"/>
          </rPr>
          <t xml:space="preserve">
Click on the green box; then click on the down-arrow and select the reviewing wildlife partner organization from the pull-down list.</t>
        </r>
      </text>
    </comment>
    <comment ref="G109" authorId="0">
      <text>
        <r>
          <rPr>
            <b/>
            <sz val="8"/>
            <rFont val="Tahoma"/>
            <family val="0"/>
          </rPr>
          <t>Instructions:</t>
        </r>
        <r>
          <rPr>
            <sz val="8"/>
            <rFont val="Tahoma"/>
            <family val="0"/>
          </rPr>
          <t xml:space="preserve">
Click on the green box.  Then enter the number of acres to be seeded.</t>
        </r>
      </text>
    </comment>
    <comment ref="G114" authorId="0">
      <text>
        <r>
          <rPr>
            <b/>
            <sz val="8"/>
            <rFont val="Tahoma"/>
            <family val="0"/>
          </rPr>
          <t>Instructions:</t>
        </r>
        <r>
          <rPr>
            <sz val="8"/>
            <rFont val="Tahoma"/>
            <family val="0"/>
          </rPr>
          <t xml:space="preserve">
Click on the green box.  Then enter the number of brush management.</t>
        </r>
      </text>
    </comment>
    <comment ref="G117" authorId="0">
      <text>
        <r>
          <rPr>
            <b/>
            <sz val="8"/>
            <rFont val="Tahoma"/>
            <family val="0"/>
          </rPr>
          <t>Instructions:</t>
        </r>
        <r>
          <rPr>
            <sz val="8"/>
            <rFont val="Tahoma"/>
            <family val="0"/>
          </rPr>
          <t xml:space="preserve">
Click on the green box.  Then enter the number of forested acres to be improved.</t>
        </r>
      </text>
    </comment>
    <comment ref="O114" authorId="0">
      <text>
        <r>
          <rPr>
            <b/>
            <sz val="8"/>
            <rFont val="Tahoma"/>
            <family val="0"/>
          </rPr>
          <t>Instructions:</t>
        </r>
        <r>
          <rPr>
            <sz val="8"/>
            <rFont val="Tahoma"/>
            <family val="0"/>
          </rPr>
          <t xml:space="preserve">
Click on the green box.  Then enter the number of acres.</t>
        </r>
      </text>
    </comment>
    <comment ref="M35"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t>
        </r>
      </text>
    </comment>
    <comment ref="R11"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R12"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R13"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R15"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O61" authorId="1">
      <text>
        <r>
          <rPr>
            <b/>
            <sz val="8"/>
            <rFont val="Tahoma"/>
            <family val="2"/>
          </rPr>
          <t>Instructions:</t>
        </r>
        <r>
          <rPr>
            <sz val="8"/>
            <rFont val="Tahoma"/>
            <family val="0"/>
          </rPr>
          <t xml:space="preserve">
Click on the green box. Enter the number of pasture acres to be improved.  This number can be equal to, less than, but not greater than the pasture acres entered in Part I.</t>
        </r>
      </text>
    </comment>
  </commentList>
</comments>
</file>

<file path=xl/comments3.xml><?xml version="1.0" encoding="utf-8"?>
<comments xmlns="http://schemas.openxmlformats.org/spreadsheetml/2006/main">
  <authors>
    <author>Lorenz Sutherland</author>
    <author>USDA-MDIOL00000LG3A</author>
  </authors>
  <commentList>
    <comment ref="F93" authorId="0">
      <text>
        <r>
          <rPr>
            <b/>
            <sz val="8"/>
            <rFont val="Tahoma"/>
            <family val="0"/>
          </rPr>
          <t xml:space="preserve">Instructions:
</t>
        </r>
        <r>
          <rPr>
            <sz val="8"/>
            <rFont val="Tahoma"/>
            <family val="2"/>
          </rPr>
          <t>Click on the green box</t>
        </r>
        <r>
          <rPr>
            <b/>
            <sz val="8"/>
            <rFont val="Tahoma"/>
            <family val="0"/>
          </rPr>
          <t xml:space="preserve"> </t>
        </r>
        <r>
          <rPr>
            <sz val="8"/>
            <rFont val="Tahoma"/>
            <family val="2"/>
          </rPr>
          <t>and if at least one summer annual grass crop is added to the rotation, click on the down arrow and pick "yes" from the choice list.</t>
        </r>
        <r>
          <rPr>
            <sz val="8"/>
            <rFont val="Tahoma"/>
            <family val="0"/>
          </rPr>
          <t xml:space="preserve">
</t>
        </r>
      </text>
    </comment>
    <comment ref="F94" authorId="0">
      <text>
        <r>
          <rPr>
            <b/>
            <sz val="8"/>
            <rFont val="Tahoma"/>
            <family val="0"/>
          </rPr>
          <t>Instructions:</t>
        </r>
        <r>
          <rPr>
            <sz val="8"/>
            <rFont val="Tahoma"/>
            <family val="0"/>
          </rPr>
          <t xml:space="preserve">
Click on the green box and if at least one summer broadleaf type of crop is added to the rotation, click on the down arrow and pick "yes" from the choice list.</t>
        </r>
      </text>
    </comment>
    <comment ref="H93" authorId="0">
      <text>
        <r>
          <rPr>
            <b/>
            <sz val="8"/>
            <rFont val="Tahoma"/>
            <family val="0"/>
          </rPr>
          <t>Instructions:</t>
        </r>
        <r>
          <rPr>
            <sz val="8"/>
            <rFont val="Tahoma"/>
            <family val="0"/>
          </rPr>
          <t xml:space="preserve">
Click on the green box then, click on the down arrow and pick the number of summer annual grass type crops added to the rotation.</t>
        </r>
      </text>
    </comment>
    <comment ref="F96" authorId="0">
      <text>
        <r>
          <rPr>
            <b/>
            <sz val="8"/>
            <rFont val="Tahoma"/>
            <family val="2"/>
          </rPr>
          <t>Instructions:</t>
        </r>
        <r>
          <rPr>
            <sz val="8"/>
            <rFont val="Tahoma"/>
            <family val="0"/>
          </rPr>
          <t xml:space="preserve">
Click on the green box and if at least one winter annual grass type of crop is added to the rotation, click on the down arrow and pick "yes" from the choice list.</t>
        </r>
      </text>
    </comment>
    <comment ref="F97" authorId="0">
      <text>
        <r>
          <rPr>
            <b/>
            <sz val="8"/>
            <rFont val="Tahoma"/>
            <family val="0"/>
          </rPr>
          <t>Instructions:</t>
        </r>
        <r>
          <rPr>
            <sz val="8"/>
            <rFont val="Tahoma"/>
            <family val="0"/>
          </rPr>
          <t xml:space="preserve">
Click on the green box and if at least one winter annual broadleaf type of crop is added to the rotation, click on the down arrow and pick "yes" from the choice list.</t>
        </r>
      </text>
    </comment>
    <comment ref="H94" authorId="0">
      <text>
        <r>
          <rPr>
            <b/>
            <sz val="8"/>
            <rFont val="Tahoma"/>
            <family val="2"/>
          </rPr>
          <t>Instructions:</t>
        </r>
        <r>
          <rPr>
            <sz val="8"/>
            <rFont val="Tahoma"/>
            <family val="0"/>
          </rPr>
          <t xml:space="preserve">
Click on the green box then, click on the down arrow and pick the number of summer annual broadleaf type of crops added to the rotation.</t>
        </r>
      </text>
    </comment>
    <comment ref="N2" authorId="0">
      <text>
        <r>
          <rPr>
            <b/>
            <sz val="8"/>
            <rFont val="Tahoma"/>
            <family val="2"/>
          </rPr>
          <t>Instructions:</t>
        </r>
        <r>
          <rPr>
            <sz val="8"/>
            <rFont val="Tahoma"/>
            <family val="0"/>
          </rPr>
          <t xml:space="preserve">
Click on the box; type tract number.  Repeat as necessary.</t>
        </r>
      </text>
    </comment>
    <comment ref="N3"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Q4" authorId="0">
      <text>
        <r>
          <rPr>
            <b/>
            <sz val="8"/>
            <rFont val="Tahoma"/>
            <family val="2"/>
          </rPr>
          <t>Instructions:</t>
        </r>
        <r>
          <rPr>
            <sz val="8"/>
            <rFont val="Tahoma"/>
            <family val="0"/>
          </rPr>
          <t xml:space="preserve">
REQUIRED ENTRY-Enter the acreage that is being offered.</t>
        </r>
      </text>
    </comment>
    <comment ref="F54" authorId="0">
      <text>
        <r>
          <rPr>
            <b/>
            <sz val="8"/>
            <rFont val="Tahoma"/>
            <family val="0"/>
          </rPr>
          <t>Instructions:</t>
        </r>
        <r>
          <rPr>
            <sz val="8"/>
            <rFont val="Tahoma"/>
            <family val="0"/>
          </rPr>
          <t xml:space="preserve">
Click on the green box and enter the estimated erosion rate of the existing (benchmark) condition.</t>
        </r>
      </text>
    </comment>
    <comment ref="F55" authorId="0">
      <text>
        <r>
          <rPr>
            <b/>
            <sz val="8"/>
            <rFont val="Tahoma"/>
            <family val="2"/>
          </rPr>
          <t>Instructions:</t>
        </r>
        <r>
          <rPr>
            <sz val="8"/>
            <rFont val="Tahoma"/>
            <family val="0"/>
          </rPr>
          <t xml:space="preserve">
Click on the green box and enter the estimated erosion rate of the planned condition.</t>
        </r>
      </text>
    </comment>
    <comment ref="F66" authorId="0">
      <text>
        <r>
          <rPr>
            <b/>
            <sz val="8"/>
            <rFont val="Tahoma"/>
            <family val="2"/>
          </rPr>
          <t>Instructions:</t>
        </r>
        <r>
          <rPr>
            <sz val="8"/>
            <rFont val="Tahoma"/>
            <family val="0"/>
          </rPr>
          <t xml:space="preserve">
Click on the green box and enter the estimated erosion rate of the existing condition.</t>
        </r>
      </text>
    </comment>
    <comment ref="F67" authorId="0">
      <text>
        <r>
          <rPr>
            <b/>
            <sz val="8"/>
            <rFont val="Tahoma"/>
            <family val="2"/>
          </rPr>
          <t>Instructions:</t>
        </r>
        <r>
          <rPr>
            <sz val="8"/>
            <rFont val="Tahoma"/>
            <family val="0"/>
          </rPr>
          <t xml:space="preserve">
Click on the green box and enter the estimated erosion rate of the planned condition.</t>
        </r>
      </text>
    </comment>
    <comment ref="F79" authorId="0">
      <text>
        <r>
          <rPr>
            <b/>
            <sz val="8"/>
            <rFont val="Tahoma"/>
            <family val="0"/>
          </rPr>
          <t>Instructions:</t>
        </r>
        <r>
          <rPr>
            <sz val="8"/>
            <rFont val="Tahoma"/>
            <family val="0"/>
          </rPr>
          <t xml:space="preserve">
Click on the green box and enter the number of acres that are affected by concentrated flow from ephemeral gully and/or classic gully erosion.  This number is usually less than the total acres offered.</t>
        </r>
      </text>
    </comment>
    <comment ref="H96" authorId="0">
      <text>
        <r>
          <rPr>
            <b/>
            <sz val="8"/>
            <rFont val="Tahoma"/>
            <family val="2"/>
          </rPr>
          <t>Instructions:</t>
        </r>
        <r>
          <rPr>
            <sz val="8"/>
            <rFont val="Tahoma"/>
            <family val="0"/>
          </rPr>
          <t xml:space="preserve">
Click on the green box then, click on the down arrow and pick the number of winter annual grass type crops added to the rotation.</t>
        </r>
      </text>
    </comment>
    <comment ref="H97" authorId="0">
      <text>
        <r>
          <rPr>
            <b/>
            <sz val="8"/>
            <rFont val="Tahoma"/>
            <family val="2"/>
          </rPr>
          <t>Instructions:</t>
        </r>
        <r>
          <rPr>
            <sz val="8"/>
            <rFont val="Tahoma"/>
            <family val="0"/>
          </rPr>
          <t xml:space="preserve">
Click on the green box then, click on the down arrow and pick the number of winter annual broadleaf type of crops added to the rotation.</t>
        </r>
      </text>
    </comment>
    <comment ref="R10" authorId="0">
      <text>
        <r>
          <rPr>
            <b/>
            <sz val="8"/>
            <rFont val="Tahoma"/>
            <family val="0"/>
          </rPr>
          <t xml:space="preserve">Instructions:
</t>
        </r>
        <r>
          <rPr>
            <sz val="8"/>
            <rFont val="Tahoma"/>
            <family val="2"/>
          </rPr>
          <t>Click on the box and pick the correct response from the list.</t>
        </r>
        <r>
          <rPr>
            <sz val="8"/>
            <rFont val="Tahoma"/>
            <family val="0"/>
          </rPr>
          <t xml:space="preserve">
</t>
        </r>
      </text>
    </comment>
    <comment ref="R11" authorId="0">
      <text>
        <r>
          <rPr>
            <b/>
            <sz val="8"/>
            <rFont val="Tahoma"/>
            <family val="2"/>
          </rPr>
          <t>Instructions:</t>
        </r>
        <r>
          <rPr>
            <sz val="8"/>
            <rFont val="Tahoma"/>
            <family val="0"/>
          </rPr>
          <t xml:space="preserve">
Click on the box and pick the correct response from the list.</t>
        </r>
      </text>
    </comment>
    <comment ref="R12" authorId="0">
      <text>
        <r>
          <rPr>
            <b/>
            <sz val="8"/>
            <rFont val="Tahoma"/>
            <family val="2"/>
          </rPr>
          <t>Instructions:</t>
        </r>
        <r>
          <rPr>
            <sz val="8"/>
            <rFont val="Tahoma"/>
            <family val="0"/>
          </rPr>
          <t xml:space="preserve">
Click on the box and pick the correct response from the list.</t>
        </r>
      </text>
    </comment>
    <comment ref="C6" authorId="0">
      <text>
        <r>
          <rPr>
            <b/>
            <sz val="8"/>
            <rFont val="Tahoma"/>
            <family val="0"/>
          </rPr>
          <t>Instructions:</t>
        </r>
        <r>
          <rPr>
            <sz val="8"/>
            <rFont val="Tahoma"/>
            <family val="0"/>
          </rPr>
          <t xml:space="preserve">
Click on the green box.  Then click on the down-arrow and make your selection from the pull-down list.</t>
        </r>
      </text>
    </comment>
    <comment ref="C4" authorId="0">
      <text>
        <r>
          <rPr>
            <b/>
            <sz val="8"/>
            <rFont val="Tahoma"/>
            <family val="0"/>
          </rPr>
          <t>Instructions:</t>
        </r>
        <r>
          <rPr>
            <sz val="8"/>
            <rFont val="Tahoma"/>
            <family val="0"/>
          </rPr>
          <t xml:space="preserve">
Click on the green box.  Then click on the down-arrow and selct the kind of entity or joint operation from the pull-down list.</t>
        </r>
      </text>
    </comment>
    <comment ref="C2" authorId="0">
      <text>
        <r>
          <rPr>
            <b/>
            <sz val="8"/>
            <rFont val="Tahoma"/>
            <family val="0"/>
          </rPr>
          <t>Instructions:</t>
        </r>
        <r>
          <rPr>
            <sz val="8"/>
            <rFont val="Tahoma"/>
            <family val="0"/>
          </rPr>
          <t xml:space="preserve">
Click on the green box and enter the name of the applicant exactly as it appears on the CCC-1200.</t>
        </r>
      </text>
    </comment>
    <comment ref="N5" authorId="0">
      <text>
        <r>
          <rPr>
            <b/>
            <sz val="8"/>
            <rFont val="Tahoma"/>
            <family val="0"/>
          </rPr>
          <t>Instructions:</t>
        </r>
        <r>
          <rPr>
            <sz val="8"/>
            <rFont val="Tahoma"/>
            <family val="0"/>
          </rPr>
          <t xml:space="preserve">
Click on the green box and enter the requested financial assistance.</t>
        </r>
      </text>
    </comment>
    <comment ref="C100" authorId="0">
      <text>
        <r>
          <rPr>
            <b/>
            <sz val="8"/>
            <rFont val="Tahoma"/>
            <family val="0"/>
          </rPr>
          <t>Instructions:</t>
        </r>
        <r>
          <rPr>
            <sz val="8"/>
            <rFont val="Tahoma"/>
            <family val="0"/>
          </rPr>
          <t xml:space="preserve">
Click on green box.  Then click on down-arrow and select the planned  crop rotation from the pull-down list.  Then if the planned rotation is a COMPLETELY no-till system, check the box to the right.</t>
        </r>
      </text>
    </comment>
    <comment ref="F104" authorId="0">
      <text>
        <r>
          <rPr>
            <b/>
            <sz val="8"/>
            <rFont val="Tahoma"/>
            <family val="0"/>
          </rPr>
          <t>Instructions:</t>
        </r>
        <r>
          <rPr>
            <sz val="8"/>
            <rFont val="Tahoma"/>
            <family val="0"/>
          </rPr>
          <t xml:space="preserve">
Click on the green box and then enter the number of acres with an improved rotation.</t>
        </r>
      </text>
    </comment>
    <comment ref="F115" authorId="0">
      <text>
        <r>
          <rPr>
            <b/>
            <sz val="8"/>
            <rFont val="Tahoma"/>
            <family val="0"/>
          </rPr>
          <t>Instructions:</t>
        </r>
        <r>
          <rPr>
            <sz val="8"/>
            <rFont val="Tahoma"/>
            <family val="0"/>
          </rPr>
          <t xml:space="preserve">
Click on green box and enter the number of acres of cropland that are to be converted to permanent vegetation cover.</t>
        </r>
      </text>
    </comment>
    <comment ref="C7" authorId="0">
      <text>
        <r>
          <rPr>
            <b/>
            <sz val="8"/>
            <rFont val="Tahoma"/>
            <family val="2"/>
          </rPr>
          <t>Instructions:</t>
        </r>
        <r>
          <rPr>
            <sz val="8"/>
            <rFont val="Tahoma"/>
            <family val="0"/>
          </rPr>
          <t xml:space="preserve">
REQUIRED ENTRY-Click on the box; click on the down arrow and select your name from the list.</t>
        </r>
      </text>
    </comment>
    <comment ref="G147"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G148" authorId="0">
      <text>
        <r>
          <rPr>
            <b/>
            <sz val="8"/>
            <rFont val="Tahoma"/>
            <family val="0"/>
          </rPr>
          <t>Instructions:</t>
        </r>
        <r>
          <rPr>
            <sz val="8"/>
            <rFont val="Tahoma"/>
            <family val="0"/>
          </rPr>
          <t xml:space="preserve">
Click on the green box.  Then enter the number of riparian acres that will be improved.</t>
        </r>
      </text>
    </comment>
    <comment ref="C99" authorId="0">
      <text>
        <r>
          <rPr>
            <b/>
            <sz val="8"/>
            <rFont val="Tahoma"/>
            <family val="0"/>
          </rPr>
          <t>Instructions:</t>
        </r>
        <r>
          <rPr>
            <sz val="8"/>
            <rFont val="Tahoma"/>
            <family val="0"/>
          </rPr>
          <t xml:space="preserve">
Click on the green box.  Then click on the down-arrow and select the existing (benchmark) crop rotation from the pull-down list.</t>
        </r>
      </text>
    </comment>
    <comment ref="D165" authorId="0">
      <text>
        <r>
          <rPr>
            <b/>
            <sz val="8"/>
            <rFont val="Tahoma"/>
            <family val="0"/>
          </rPr>
          <t>Instructions:</t>
        </r>
        <r>
          <rPr>
            <sz val="8"/>
            <rFont val="Tahoma"/>
            <family val="0"/>
          </rPr>
          <t xml:space="preserve">
Click on the green box.  Then click on the down-arrow and select the reviewing wildlife partner organization from the pull-down list.</t>
        </r>
      </text>
    </comment>
    <comment ref="R14" authorId="0">
      <text>
        <r>
          <rPr>
            <b/>
            <sz val="8"/>
            <rFont val="Tahoma"/>
            <family val="2"/>
          </rPr>
          <t>Instructions:</t>
        </r>
        <r>
          <rPr>
            <sz val="8"/>
            <rFont val="Tahoma"/>
            <family val="0"/>
          </rPr>
          <t xml:space="preserve">
Click on the box and pick the correct response from the list.</t>
        </r>
      </text>
    </comment>
    <comment ref="E19" authorId="1">
      <text>
        <r>
          <rPr>
            <b/>
            <sz val="8"/>
            <rFont val="Tahoma"/>
            <family val="2"/>
          </rPr>
          <t>Instructions:</t>
        </r>
        <r>
          <rPr>
            <sz val="8"/>
            <rFont val="Tahoma"/>
            <family val="0"/>
          </rPr>
          <t xml:space="preserve">
Click on the green box and enter the climate "C" factor.  Use the isoline map.
</t>
        </r>
      </text>
    </comment>
    <comment ref="E20" authorId="1">
      <text>
        <r>
          <rPr>
            <b/>
            <sz val="8"/>
            <rFont val="Tahoma"/>
            <family val="2"/>
          </rPr>
          <t>Instructions:</t>
        </r>
        <r>
          <rPr>
            <sz val="8"/>
            <rFont val="Tahoma"/>
            <family val="0"/>
          </rPr>
          <t xml:space="preserve">
Click on the green box and enter the soil erodibility "Ï" factor for the predominate soil on the offered acres..</t>
        </r>
      </text>
    </comment>
    <comment ref="E22" authorId="1">
      <text>
        <r>
          <rPr>
            <b/>
            <sz val="8"/>
            <rFont val="Tahoma"/>
            <family val="2"/>
          </rPr>
          <t>Instructions:</t>
        </r>
        <r>
          <rPr>
            <sz val="8"/>
            <rFont val="Tahoma"/>
            <family val="0"/>
          </rPr>
          <t xml:space="preserve">
Click on the green box and enter the soil loss tolerance "T" value of the predominate soil on the offered acres.
</t>
        </r>
      </text>
    </comment>
    <comment ref="E23" authorId="1">
      <text>
        <r>
          <rPr>
            <b/>
            <sz val="8"/>
            <rFont val="Tahoma"/>
            <family val="2"/>
          </rPr>
          <t>Instructions:</t>
        </r>
        <r>
          <rPr>
            <sz val="8"/>
            <rFont val="Tahoma"/>
            <family val="0"/>
          </rPr>
          <t xml:space="preserve">
Click on the green box and enter the hydrologic group designation (A,B,C,D) of the predominate soil on the offered acres.
</t>
        </r>
      </text>
    </comment>
    <comment ref="Q19" authorId="1">
      <text>
        <r>
          <rPr>
            <b/>
            <sz val="8"/>
            <rFont val="Tahoma"/>
            <family val="2"/>
          </rPr>
          <t>Instructions:</t>
        </r>
        <r>
          <rPr>
            <sz val="8"/>
            <rFont val="Tahoma"/>
            <family val="0"/>
          </rPr>
          <t xml:space="preserve">
Click on the green box and enter the rainfall-runoff erosivity factor "R".  Use the isoline map.</t>
        </r>
      </text>
    </comment>
    <comment ref="Q20" authorId="1">
      <text>
        <r>
          <rPr>
            <b/>
            <sz val="8"/>
            <rFont val="Tahoma"/>
            <family val="2"/>
          </rPr>
          <t>Instructions:</t>
        </r>
        <r>
          <rPr>
            <sz val="8"/>
            <rFont val="Tahoma"/>
            <family val="0"/>
          </rPr>
          <t xml:space="preserve">
Click on the green box and enter the soil erodibility "K" factor for the predominate soil on the offered acres.</t>
        </r>
      </text>
    </comment>
    <comment ref="Q21" authorId="1">
      <text>
        <r>
          <rPr>
            <b/>
            <sz val="8"/>
            <rFont val="Tahoma"/>
            <family val="2"/>
          </rPr>
          <t>Instructions:</t>
        </r>
        <r>
          <rPr>
            <sz val="8"/>
            <rFont val="Tahoma"/>
            <family val="0"/>
          </rPr>
          <t xml:space="preserve">
Click on the green box and enter the slope length/steepness "LS"  factorof the landscape profile chosen in developing the conservation plan.
</t>
        </r>
      </text>
    </comment>
    <comment ref="J45" authorId="1">
      <text>
        <r>
          <rPr>
            <b/>
            <sz val="8"/>
            <rFont val="Tahoma"/>
            <family val="2"/>
          </rPr>
          <t>Instructions:</t>
        </r>
        <r>
          <rPr>
            <sz val="8"/>
            <rFont val="Tahoma"/>
            <family val="0"/>
          </rPr>
          <t xml:space="preserve">
Click on the green box and enter the TOTAL project cost.  This includes both program financial assistance plus participants contribution.</t>
        </r>
      </text>
    </comment>
  </commentList>
</comments>
</file>

<file path=xl/comments4.xml><?xml version="1.0" encoding="utf-8"?>
<comments xmlns="http://schemas.openxmlformats.org/spreadsheetml/2006/main">
  <authors>
    <author>Lorenz Sutherland</author>
    <author>USDA-MDIOL00000LG3A</author>
  </authors>
  <commentList>
    <comment ref="C2" authorId="0">
      <text>
        <r>
          <rPr>
            <b/>
            <sz val="8"/>
            <rFont val="Tahoma"/>
            <family val="2"/>
          </rPr>
          <t>Instructions:</t>
        </r>
        <r>
          <rPr>
            <sz val="8"/>
            <rFont val="Tahoma"/>
            <family val="0"/>
          </rPr>
          <t xml:space="preserve">
Click on the box; enter the Producer/Applicant's name.  In the case of a cooperative contract, enter the designated group name and its agent.</t>
        </r>
      </text>
    </comment>
    <comment ref="C7" authorId="0">
      <text>
        <r>
          <rPr>
            <b/>
            <sz val="8"/>
            <rFont val="Tahoma"/>
            <family val="2"/>
          </rPr>
          <t>Instructions:</t>
        </r>
        <r>
          <rPr>
            <sz val="8"/>
            <rFont val="Tahoma"/>
            <family val="0"/>
          </rPr>
          <t xml:space="preserve">
Click on the green box, click on the down arrow and pick the location from the pull-down list.</t>
        </r>
      </text>
    </comment>
    <comment ref="C8" authorId="0">
      <text>
        <r>
          <rPr>
            <b/>
            <sz val="8"/>
            <rFont val="Tahoma"/>
            <family val="2"/>
          </rPr>
          <t>Instructions:</t>
        </r>
        <r>
          <rPr>
            <sz val="8"/>
            <rFont val="Tahoma"/>
            <family val="0"/>
          </rPr>
          <t xml:space="preserve">
REQUIRED ENTRY-Click on the box; click on the down arrow and select your name from the list.</t>
        </r>
      </text>
    </comment>
    <comment ref="M2" authorId="0">
      <text>
        <r>
          <rPr>
            <b/>
            <sz val="8"/>
            <rFont val="Tahoma"/>
            <family val="2"/>
          </rPr>
          <t>Instructions:</t>
        </r>
        <r>
          <rPr>
            <sz val="8"/>
            <rFont val="Tahoma"/>
            <family val="0"/>
          </rPr>
          <t xml:space="preserve">
Click on the box; type tract number.  Repeat as necessary.</t>
        </r>
      </text>
    </comment>
    <comment ref="M3"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C4" authorId="0">
      <text>
        <r>
          <rPr>
            <b/>
            <sz val="8"/>
            <rFont val="Tahoma"/>
            <family val="0"/>
          </rPr>
          <t>Instructions:</t>
        </r>
        <r>
          <rPr>
            <sz val="8"/>
            <rFont val="Tahoma"/>
            <family val="0"/>
          </rPr>
          <t xml:space="preserve">
Click on the green box.  Then click on the down-arrow key and select the kind of entity or joint operation from the list.</t>
        </r>
      </text>
    </comment>
    <comment ref="E22" authorId="0">
      <text>
        <r>
          <rPr>
            <b/>
            <sz val="8"/>
            <rFont val="Tahoma"/>
            <family val="0"/>
          </rPr>
          <t>Instructions:</t>
        </r>
        <r>
          <rPr>
            <sz val="8"/>
            <rFont val="Tahoma"/>
            <family val="0"/>
          </rPr>
          <t xml:space="preserve">
Click on green box.  Then click on the down-arrow and select the State identified wildlife area from the list.  If the project acres are not located in a State identified wildlife area select "None" from the list.</t>
        </r>
      </text>
    </comment>
    <comment ref="Q6" authorId="0">
      <text>
        <r>
          <rPr>
            <b/>
            <sz val="8"/>
            <rFont val="Tahoma"/>
            <family val="0"/>
          </rPr>
          <t>Instructions:</t>
        </r>
        <r>
          <rPr>
            <sz val="8"/>
            <rFont val="Tahoma"/>
            <family val="0"/>
          </rPr>
          <t xml:space="preserve">
If this is a joint ccoperative agreement between 2 or more participants, click on the green box and enter the number of entities.  Otherwise, enter a 0. THIS IS NOT THE NUMBER of WILDLIFE PARTNERS THAT MAY BE CONTRIBUTING FUNDS.</t>
        </r>
      </text>
    </comment>
    <comment ref="M6" authorId="0">
      <text>
        <r>
          <rPr>
            <b/>
            <sz val="8"/>
            <rFont val="Tahoma"/>
            <family val="0"/>
          </rPr>
          <t>Instructions:</t>
        </r>
        <r>
          <rPr>
            <sz val="8"/>
            <rFont val="Tahoma"/>
            <family val="0"/>
          </rPr>
          <t xml:space="preserve">
Click on the green box.  Enter the requested amount of financial assistance.</t>
        </r>
      </text>
    </comment>
    <comment ref="I54" authorId="0">
      <text>
        <r>
          <rPr>
            <b/>
            <sz val="8"/>
            <rFont val="Tahoma"/>
            <family val="0"/>
          </rPr>
          <t>Instructions:</t>
        </r>
        <r>
          <rPr>
            <sz val="8"/>
            <rFont val="Tahoma"/>
            <family val="0"/>
          </rPr>
          <t xml:space="preserve">
Click on the green box.  Then enter the number of wildlife partners that are either contributing direct financial support or providing in-kind contributions.  DO NOT INCLUDE THE PARTICIPANT(S).</t>
        </r>
      </text>
    </comment>
    <comment ref="E36" authorId="0">
      <text>
        <r>
          <rPr>
            <b/>
            <sz val="8"/>
            <rFont val="Tahoma"/>
            <family val="0"/>
          </rPr>
          <t>Instructions:</t>
        </r>
        <r>
          <rPr>
            <sz val="8"/>
            <rFont val="Tahoma"/>
            <family val="0"/>
          </rPr>
          <t xml:space="preserve">
If "Yes", click on the green box and type the name of the existing project, otherwise, right click the mouse, and select "clear contents."</t>
        </r>
      </text>
    </comment>
    <comment ref="E25" authorId="0">
      <text>
        <r>
          <rPr>
            <b/>
            <sz val="8"/>
            <rFont val="Tahoma"/>
            <family val="0"/>
          </rPr>
          <t>Instructions:</t>
        </r>
        <r>
          <rPr>
            <sz val="8"/>
            <rFont val="Tahoma"/>
            <family val="0"/>
          </rPr>
          <t xml:space="preserve">
If checked, click on the green box and type the name of the locally identified wildlife area, otherwise right click the mouse and select "clear contents."</t>
        </r>
      </text>
    </comment>
    <comment ref="P4" authorId="0">
      <text>
        <r>
          <rPr>
            <b/>
            <sz val="8"/>
            <rFont val="Tahoma"/>
            <family val="0"/>
          </rPr>
          <t>Instructions:</t>
        </r>
        <r>
          <rPr>
            <sz val="8"/>
            <rFont val="Tahoma"/>
            <family val="0"/>
          </rPr>
          <t xml:space="preserve">
Click on the green box and enter the number of acres associated with this application.</t>
        </r>
      </text>
    </comment>
    <comment ref="Q11" authorId="0">
      <text>
        <r>
          <rPr>
            <b/>
            <sz val="8"/>
            <rFont val="Tahoma"/>
            <family val="0"/>
          </rPr>
          <t>Instructions:</t>
        </r>
        <r>
          <rPr>
            <sz val="8"/>
            <rFont val="Tahoma"/>
            <family val="0"/>
          </rPr>
          <t xml:space="preserve">
Click on the green box.  Then click on the down-arrow and select the response from the pull-down list.</t>
        </r>
      </text>
    </comment>
    <comment ref="Q12" authorId="0">
      <text>
        <r>
          <rPr>
            <b/>
            <sz val="8"/>
            <rFont val="Tahoma"/>
            <family val="0"/>
          </rPr>
          <t>Instructions:</t>
        </r>
        <r>
          <rPr>
            <sz val="8"/>
            <rFont val="Tahoma"/>
            <family val="0"/>
          </rPr>
          <t xml:space="preserve">
Click on the green box.  Then click on the down-arrow and select the response from the pull-down list.</t>
        </r>
      </text>
    </comment>
    <comment ref="L86" authorId="0">
      <text>
        <r>
          <rPr>
            <b/>
            <sz val="8"/>
            <rFont val="Tahoma"/>
            <family val="0"/>
          </rPr>
          <t>Instructions:</t>
        </r>
        <r>
          <rPr>
            <sz val="8"/>
            <rFont val="Tahoma"/>
            <family val="0"/>
          </rPr>
          <t xml:space="preserve">
Click on green box.  Then click on down-arrow and select species from list.</t>
        </r>
      </text>
    </comment>
    <comment ref="L87" authorId="0">
      <text>
        <r>
          <rPr>
            <b/>
            <sz val="8"/>
            <rFont val="Tahoma"/>
            <family val="0"/>
          </rPr>
          <t xml:space="preserve">Instructions:
</t>
        </r>
        <r>
          <rPr>
            <sz val="8"/>
            <rFont val="Tahoma"/>
            <family val="2"/>
          </rPr>
          <t>Click on green box.  Then click on down-arrow and select species from list.</t>
        </r>
        <r>
          <rPr>
            <sz val="8"/>
            <rFont val="Tahoma"/>
            <family val="0"/>
          </rPr>
          <t xml:space="preserve">
</t>
        </r>
      </text>
    </comment>
    <comment ref="L88" authorId="0">
      <text>
        <r>
          <rPr>
            <b/>
            <sz val="8"/>
            <rFont val="Tahoma"/>
            <family val="2"/>
          </rPr>
          <t>Instructions:</t>
        </r>
        <r>
          <rPr>
            <sz val="8"/>
            <rFont val="Tahoma"/>
            <family val="0"/>
          </rPr>
          <t xml:space="preserve">
Click on green box.  Then click on down-arrow and select species from list.</t>
        </r>
      </text>
    </comment>
    <comment ref="L89" authorId="0">
      <text>
        <r>
          <rPr>
            <b/>
            <sz val="8"/>
            <rFont val="Tahoma"/>
            <family val="2"/>
          </rPr>
          <t>Instructions:</t>
        </r>
        <r>
          <rPr>
            <sz val="8"/>
            <rFont val="Tahoma"/>
            <family val="0"/>
          </rPr>
          <t xml:space="preserve">
Click on green box.  Then click on down-arrow and select species from list.</t>
        </r>
      </text>
    </comment>
    <comment ref="L90" authorId="0">
      <text>
        <r>
          <rPr>
            <b/>
            <sz val="8"/>
            <rFont val="Tahoma"/>
            <family val="2"/>
          </rPr>
          <t>Instructions:</t>
        </r>
        <r>
          <rPr>
            <sz val="8"/>
            <rFont val="Tahoma"/>
            <family val="0"/>
          </rPr>
          <t xml:space="preserve">
Click on green box.  Then click on down-arrow and select species from list.</t>
        </r>
      </text>
    </comment>
    <comment ref="L91" authorId="0">
      <text>
        <r>
          <rPr>
            <b/>
            <sz val="8"/>
            <rFont val="Tahoma"/>
            <family val="2"/>
          </rPr>
          <t>Instructions:</t>
        </r>
        <r>
          <rPr>
            <sz val="8"/>
            <rFont val="Tahoma"/>
            <family val="0"/>
          </rPr>
          <t xml:space="preserve">
Click on green box.  Then click on down-arrow and select species from list.</t>
        </r>
      </text>
    </comment>
    <comment ref="L92" authorId="0">
      <text>
        <r>
          <rPr>
            <b/>
            <sz val="8"/>
            <rFont val="Tahoma"/>
            <family val="2"/>
          </rPr>
          <t>Instructions:</t>
        </r>
        <r>
          <rPr>
            <sz val="8"/>
            <rFont val="Tahoma"/>
            <family val="0"/>
          </rPr>
          <t xml:space="preserve">
Click on green box.  Then click on down-arrow and select species from list.</t>
        </r>
      </text>
    </comment>
    <comment ref="L93" authorId="0">
      <text>
        <r>
          <rPr>
            <b/>
            <sz val="8"/>
            <rFont val="Tahoma"/>
            <family val="2"/>
          </rPr>
          <t>Instructions:</t>
        </r>
        <r>
          <rPr>
            <sz val="8"/>
            <rFont val="Tahoma"/>
            <family val="0"/>
          </rPr>
          <t xml:space="preserve">
Click on green box.  Then click on down-arrow and select species from list.</t>
        </r>
      </text>
    </comment>
    <comment ref="L94" authorId="0">
      <text>
        <r>
          <rPr>
            <b/>
            <sz val="8"/>
            <rFont val="Tahoma"/>
            <family val="2"/>
          </rPr>
          <t>Instructions:</t>
        </r>
        <r>
          <rPr>
            <sz val="8"/>
            <rFont val="Tahoma"/>
            <family val="0"/>
          </rPr>
          <t xml:space="preserve">
Click on green box.  Then click on down-arrow and select species from list.</t>
        </r>
      </text>
    </comment>
    <comment ref="L95" authorId="0">
      <text>
        <r>
          <rPr>
            <b/>
            <sz val="8"/>
            <rFont val="Tahoma"/>
            <family val="2"/>
          </rPr>
          <t>Instructions:</t>
        </r>
        <r>
          <rPr>
            <sz val="8"/>
            <rFont val="Tahoma"/>
            <family val="0"/>
          </rPr>
          <t xml:space="preserve">
Click on green box.  Then click on down-arrow and select species from list.</t>
        </r>
      </text>
    </comment>
    <comment ref="L96" authorId="0">
      <text>
        <r>
          <rPr>
            <b/>
            <sz val="8"/>
            <rFont val="Tahoma"/>
            <family val="2"/>
          </rPr>
          <t>Instructions:</t>
        </r>
        <r>
          <rPr>
            <sz val="8"/>
            <rFont val="Tahoma"/>
            <family val="0"/>
          </rPr>
          <t xml:space="preserve">
Click on green box.  Then click on down-arrow and select species from list.</t>
        </r>
      </text>
    </comment>
    <comment ref="L97" authorId="0">
      <text>
        <r>
          <rPr>
            <b/>
            <sz val="8"/>
            <rFont val="Tahoma"/>
            <family val="2"/>
          </rPr>
          <t>Instructions:</t>
        </r>
        <r>
          <rPr>
            <sz val="8"/>
            <rFont val="Tahoma"/>
            <family val="0"/>
          </rPr>
          <t xml:space="preserve">
Click on green box.  Then click on down-arrow and select species from list.</t>
        </r>
      </text>
    </comment>
    <comment ref="J46" authorId="0">
      <text>
        <r>
          <rPr>
            <b/>
            <sz val="8"/>
            <rFont val="Tahoma"/>
            <family val="2"/>
          </rPr>
          <t>Instructions:</t>
        </r>
        <r>
          <rPr>
            <sz val="8"/>
            <rFont val="Tahoma"/>
            <family val="0"/>
          </rPr>
          <t xml:space="preserve">
Click on the green box and enter the TOTAL project cost.  This includes both program financial assistance plus participants contribution, PLUS any contributions from wilife partner organizations.
</t>
        </r>
      </text>
    </comment>
    <comment ref="Q15" authorId="0">
      <text>
        <r>
          <rPr>
            <b/>
            <sz val="8"/>
            <rFont val="Tahoma"/>
            <family val="0"/>
          </rPr>
          <t>Instructions:</t>
        </r>
        <r>
          <rPr>
            <sz val="8"/>
            <rFont val="Tahoma"/>
            <family val="0"/>
          </rPr>
          <t xml:space="preserve">
Click on the green box.  Then click on the down-arrow and select the response from the pull-down list.</t>
        </r>
      </text>
    </comment>
    <comment ref="Q13" authorId="0">
      <text>
        <r>
          <rPr>
            <b/>
            <sz val="8"/>
            <rFont val="Tahoma"/>
            <family val="0"/>
          </rPr>
          <t>Instructions:</t>
        </r>
        <r>
          <rPr>
            <sz val="8"/>
            <rFont val="Tahoma"/>
            <family val="0"/>
          </rPr>
          <t xml:space="preserve">
Click on the green box.  Then click on the down-arrow and select the response from the pull-down list.</t>
        </r>
      </text>
    </comment>
    <comment ref="C116" authorId="0">
      <text>
        <r>
          <rPr>
            <b/>
            <sz val="8"/>
            <rFont val="Tahoma"/>
            <family val="0"/>
          </rPr>
          <t>Instructions:</t>
        </r>
        <r>
          <rPr>
            <sz val="8"/>
            <rFont val="Tahoma"/>
            <family val="0"/>
          </rPr>
          <t xml:space="preserve">
Click on the green box.  Then click on the down-arrow and select the reviewing wildlife partner organization from the pull-down list.</t>
        </r>
      </text>
    </comment>
    <comment ref="N54" authorId="1">
      <text>
        <r>
          <rPr>
            <b/>
            <sz val="8"/>
            <rFont val="Tahoma"/>
            <family val="0"/>
          </rPr>
          <t>Instructions:</t>
        </r>
        <r>
          <rPr>
            <sz val="8"/>
            <rFont val="Tahoma"/>
            <family val="0"/>
          </rPr>
          <t xml:space="preserve">
Click on green box.  Enter the number of wildlife partner dollars contributed to the proposed project.</t>
        </r>
      </text>
    </comment>
  </commentList>
</comments>
</file>

<file path=xl/comments5.xml><?xml version="1.0" encoding="utf-8"?>
<comments xmlns="http://schemas.openxmlformats.org/spreadsheetml/2006/main">
  <authors>
    <author>Lorenz Sutherland</author>
  </authors>
  <commentList>
    <comment ref="C6" authorId="0">
      <text>
        <r>
          <rPr>
            <b/>
            <sz val="8"/>
            <rFont val="Tahoma"/>
            <family val="0"/>
          </rPr>
          <t xml:space="preserve">Instructions:
</t>
        </r>
        <r>
          <rPr>
            <sz val="8"/>
            <rFont val="Tahoma"/>
            <family val="2"/>
          </rPr>
          <t>Click on the green box, click on the down arrow and pick the location from the pull-down list.</t>
        </r>
      </text>
    </comment>
    <comment ref="C7" authorId="0">
      <text>
        <r>
          <rPr>
            <b/>
            <sz val="8"/>
            <rFont val="Tahoma"/>
            <family val="0"/>
          </rPr>
          <t>Instructions:</t>
        </r>
        <r>
          <rPr>
            <sz val="8"/>
            <rFont val="Tahoma"/>
            <family val="0"/>
          </rPr>
          <t xml:space="preserve">
REQUIRED ENTRY-Click on green box then click on the down arrow and select you name from the pull-down list.</t>
        </r>
      </text>
    </comment>
    <comment ref="M2" authorId="0">
      <text>
        <r>
          <rPr>
            <b/>
            <sz val="8"/>
            <rFont val="Tahoma"/>
            <family val="0"/>
          </rPr>
          <t>Instructions:</t>
        </r>
        <r>
          <rPr>
            <sz val="8"/>
            <rFont val="Tahoma"/>
            <family val="0"/>
          </rPr>
          <t xml:space="preserve">
Clcik on the green box and enter the tract number.  Repeat as needed.</t>
        </r>
      </text>
    </comment>
    <comment ref="N4" authorId="0">
      <text>
        <r>
          <rPr>
            <b/>
            <sz val="8"/>
            <rFont val="Tahoma"/>
            <family val="0"/>
          </rPr>
          <t>Instructions:</t>
        </r>
        <r>
          <rPr>
            <sz val="8"/>
            <rFont val="Tahoma"/>
            <family val="0"/>
          </rPr>
          <t xml:space="preserve">
Click on the green box and enter the number of animal.  The number is based on a CAFO/AFO equivalence basis (COE).
Beef cattle = 1/COE        COE = #/1            
Veal calves = 1/COE        COE = #/1        
Dairy = 0.75/COE            COE = #/0.75              
Swine = 2.5/COE             COE = #/2.5
Sheep = 10/COE              COE = #/10
Turkey = 55/COE             COE = #/55
Chicken, liguid manure= 30/COE          COE = #/30  
Chicken, non-liguid manure= 82/COE   COE = #/82</t>
        </r>
      </text>
    </comment>
    <comment ref="M3" authorId="0">
      <text>
        <r>
          <rPr>
            <b/>
            <sz val="8"/>
            <rFont val="Tahoma"/>
            <family val="0"/>
          </rPr>
          <t>Instructions:</t>
        </r>
        <r>
          <rPr>
            <sz val="8"/>
            <rFont val="Tahoma"/>
            <family val="0"/>
          </rPr>
          <t xml:space="preserve">
Click on the green box and enter the farm number.  Repeat as needed.</t>
        </r>
      </text>
    </comment>
    <comment ref="Q4" authorId="0">
      <text>
        <r>
          <rPr>
            <b/>
            <sz val="8"/>
            <rFont val="Tahoma"/>
            <family val="0"/>
          </rPr>
          <t>Instructions:</t>
        </r>
        <r>
          <rPr>
            <sz val="8"/>
            <rFont val="Tahoma"/>
            <family val="0"/>
          </rPr>
          <t xml:space="preserve">
Click on the green box, then click on the down-arrow and select the animal type from the list.</t>
        </r>
      </text>
    </comment>
    <comment ref="Q10" authorId="0">
      <text>
        <r>
          <rPr>
            <b/>
            <sz val="8"/>
            <rFont val="Tahoma"/>
            <family val="0"/>
          </rPr>
          <t>Instructions:</t>
        </r>
        <r>
          <rPr>
            <sz val="8"/>
            <rFont val="Tahoma"/>
            <family val="0"/>
          </rPr>
          <t xml:space="preserve">
Click on the green box.  Click on the down-arrow and select response from the list.
</t>
        </r>
        <r>
          <rPr>
            <b/>
            <sz val="8"/>
            <rFont val="Tahoma"/>
            <family val="2"/>
          </rPr>
          <t>NOTE:</t>
        </r>
        <r>
          <rPr>
            <sz val="8"/>
            <rFont val="Tahoma"/>
            <family val="0"/>
          </rPr>
          <t xml:space="preserve">  An existing feedlot that is being moved is </t>
        </r>
        <r>
          <rPr>
            <u val="single"/>
            <sz val="8"/>
            <rFont val="Tahoma"/>
            <family val="2"/>
          </rPr>
          <t>not</t>
        </r>
        <r>
          <rPr>
            <sz val="8"/>
            <rFont val="Tahoma"/>
            <family val="0"/>
          </rPr>
          <t xml:space="preserve"> considered a new feedlot for the purposes of answering this question.</t>
        </r>
      </text>
    </comment>
    <comment ref="H30" authorId="0">
      <text>
        <r>
          <rPr>
            <b/>
            <sz val="8"/>
            <rFont val="Tahoma"/>
            <family val="0"/>
          </rPr>
          <t>Instructions:</t>
        </r>
        <r>
          <rPr>
            <sz val="8"/>
            <rFont val="Tahoma"/>
            <family val="0"/>
          </rPr>
          <t xml:space="preserve">
Click on the green box, then enter the depth to groundwater, expressed in feet.</t>
        </r>
      </text>
    </comment>
    <comment ref="H31" authorId="0">
      <text>
        <r>
          <rPr>
            <b/>
            <sz val="8"/>
            <rFont val="Tahoma"/>
            <family val="0"/>
          </rPr>
          <t>Instructions:</t>
        </r>
        <r>
          <rPr>
            <sz val="8"/>
            <rFont val="Tahoma"/>
            <family val="0"/>
          </rPr>
          <t xml:space="preserve">
Click on the green box and enter the distance to the nearest surface water body, expressed in feet.</t>
        </r>
      </text>
    </comment>
    <comment ref="G73" authorId="0">
      <text>
        <r>
          <rPr>
            <b/>
            <sz val="8"/>
            <rFont val="Tahoma"/>
            <family val="0"/>
          </rPr>
          <t>Instructions:</t>
        </r>
        <r>
          <rPr>
            <sz val="8"/>
            <rFont val="Tahoma"/>
            <family val="0"/>
          </rPr>
          <t xml:space="preserve">
Click on the green box and enter the total number tons of biosolids, solid and or liquid that will be applied to the receiving acres.</t>
        </r>
      </text>
    </comment>
    <comment ref="G74" authorId="0">
      <text>
        <r>
          <rPr>
            <b/>
            <sz val="8"/>
            <rFont val="Tahoma"/>
            <family val="0"/>
          </rPr>
          <t>Instructions:</t>
        </r>
        <r>
          <rPr>
            <sz val="8"/>
            <rFont val="Tahoma"/>
            <family val="0"/>
          </rPr>
          <t xml:space="preserve">
Click on the green box and enter the number of receiving acres.</t>
        </r>
      </text>
    </comment>
    <comment ref="M6" authorId="0">
      <text>
        <r>
          <rPr>
            <b/>
            <sz val="8"/>
            <rFont val="Tahoma"/>
            <family val="0"/>
          </rPr>
          <t>Instructions:</t>
        </r>
        <r>
          <rPr>
            <sz val="8"/>
            <rFont val="Tahoma"/>
            <family val="0"/>
          </rPr>
          <t xml:space="preserve">
Click on the green box and enter the total number of dollars that have been requested by the applicant.</t>
        </r>
      </text>
    </comment>
    <comment ref="C4" authorId="0">
      <text>
        <r>
          <rPr>
            <b/>
            <sz val="8"/>
            <rFont val="Tahoma"/>
            <family val="0"/>
          </rPr>
          <t>Instructions:</t>
        </r>
        <r>
          <rPr>
            <sz val="8"/>
            <rFont val="Tahoma"/>
            <family val="0"/>
          </rPr>
          <t xml:space="preserve">
Click on green box.  Click on down-arrow and select the kind of entity or joint operation from the pull-down list.</t>
        </r>
      </text>
    </comment>
    <comment ref="C2" authorId="0">
      <text>
        <r>
          <rPr>
            <b/>
            <sz val="8"/>
            <rFont val="Tahoma"/>
            <family val="0"/>
          </rPr>
          <t>Instructions:</t>
        </r>
        <r>
          <rPr>
            <sz val="8"/>
            <rFont val="Tahoma"/>
            <family val="0"/>
          </rPr>
          <t xml:space="preserve">
Click on the green box and enter the name of the applicant exactly as it appears on the CCC-1200.</t>
        </r>
      </text>
    </comment>
    <comment ref="L37" authorId="0">
      <text>
        <r>
          <rPr>
            <b/>
            <sz val="8"/>
            <rFont val="Tahoma"/>
            <family val="2"/>
          </rPr>
          <t>Instructions:</t>
        </r>
        <r>
          <rPr>
            <sz val="8"/>
            <rFont val="Tahoma"/>
            <family val="0"/>
          </rPr>
          <t xml:space="preserve">
Click on the green box and enter the TOTAL project cost.  This includes both program financial assistance plus participants contribution.
</t>
        </r>
      </text>
    </comment>
    <comment ref="Q11" authorId="0">
      <text>
        <r>
          <rPr>
            <b/>
            <sz val="8"/>
            <rFont val="Tahoma"/>
            <family val="0"/>
          </rPr>
          <t>Instructions:</t>
        </r>
        <r>
          <rPr>
            <sz val="8"/>
            <rFont val="Tahoma"/>
            <family val="0"/>
          </rPr>
          <t xml:space="preserve">
Click on the green box.  Click on the down-arrow and select response from the list.</t>
        </r>
      </text>
    </comment>
    <comment ref="Q13" authorId="0">
      <text>
        <r>
          <rPr>
            <b/>
            <sz val="8"/>
            <rFont val="Tahoma"/>
            <family val="0"/>
          </rPr>
          <t>Instructions:</t>
        </r>
        <r>
          <rPr>
            <sz val="8"/>
            <rFont val="Tahoma"/>
            <family val="0"/>
          </rPr>
          <t xml:space="preserve">
Click on the green box.  Click on the down-arrow and select response from the list.</t>
        </r>
      </text>
    </comment>
  </commentList>
</comments>
</file>

<file path=xl/sharedStrings.xml><?xml version="1.0" encoding="utf-8"?>
<sst xmlns="http://schemas.openxmlformats.org/spreadsheetml/2006/main" count="1207" uniqueCount="853">
  <si>
    <t>Plant Suitability and Condition-Enhancement of Crop Aftermath (Residues) Quality and Quantity</t>
  </si>
  <si>
    <t>Contract Financial Assistance Request:</t>
  </si>
  <si>
    <t>R. Grigat</t>
  </si>
  <si>
    <t>A.</t>
  </si>
  <si>
    <t>B.</t>
  </si>
  <si>
    <t>C.</t>
  </si>
  <si>
    <t>D.</t>
  </si>
  <si>
    <t>least tern</t>
  </si>
  <si>
    <t>Mexican spotted owl</t>
  </si>
  <si>
    <t>No. of Entities =</t>
  </si>
  <si>
    <t xml:space="preserve">Subtotal: Cropland Conversion Points = </t>
  </si>
  <si>
    <t>A. Improved Forage for Grazing/Browsing Animals</t>
  </si>
  <si>
    <t xml:space="preserve">B. Enhanced Plant Community/Understory </t>
  </si>
  <si>
    <t>(a) Switchback Grazing System (5 points)</t>
  </si>
  <si>
    <t>(b) Rest-Rotation System (10 points)</t>
  </si>
  <si>
    <t>There is no evidence that saline/sodic conditions exist on the offered acres. (0 points)</t>
  </si>
  <si>
    <t>(b) A scheduled rotation is used that will allow each pasture within a grazing cell to be grazed at a different time from year to year.  Each pasture is grazed once during each grazing season. (5 points)</t>
  </si>
  <si>
    <t>Total Points = -3.4901*ln[C3]+28.206; minimum points =0; maximum = 20.</t>
  </si>
  <si>
    <t>Total Points = -6.3898*[lnC3]+29.188; minimum points = 0; maximum points = 15.</t>
  </si>
  <si>
    <r>
      <t xml:space="preserve">Element scores points for those applications with the lowest cost and based on the cost per unit land area treated.  </t>
    </r>
    <r>
      <rPr>
        <b/>
        <sz val="10"/>
        <rFont val="Arial"/>
        <family val="2"/>
      </rPr>
      <t>Points for element cannot be greater than 15 nor less than 0.</t>
    </r>
  </si>
  <si>
    <r>
      <t>Element scores points for those applications with the lowest cost and based on the cost per unit land area treated.</t>
    </r>
    <r>
      <rPr>
        <sz val="10"/>
        <rFont val="Arial"/>
        <family val="2"/>
      </rPr>
      <t xml:space="preserve">  </t>
    </r>
    <r>
      <rPr>
        <b/>
        <sz val="10"/>
        <rFont val="Arial"/>
        <family val="2"/>
      </rPr>
      <t>Points for element can not be greater than 20 nor less than 0.</t>
    </r>
  </si>
  <si>
    <t xml:space="preserve">Does the current grazingland management practice on the tract number(s) listed above include a growing season grazing rotation and a scheduled grazing frequency using more than a single pasture ? </t>
  </si>
  <si>
    <t>Other (8 points), Describe in narrative</t>
  </si>
  <si>
    <t>(a) Grazing frequency is modified to allow each pasture within a grazing cell to be grazed more than one time during grazing season. (9 points)</t>
  </si>
  <si>
    <t>(c) Deferred-Rotation Grazing System (15 points)</t>
  </si>
  <si>
    <t>Minimum Forage Improvement (17 points)</t>
  </si>
  <si>
    <t>Moderate Forage Improvement (19 points)</t>
  </si>
  <si>
    <t>High Forage Improvement  (21 points)</t>
  </si>
  <si>
    <t>Exceptional Forage Improvement (23 points)</t>
  </si>
  <si>
    <t>(e) No Change in Grazing Rotation (0 points)</t>
  </si>
  <si>
    <t>(a) None (0)</t>
  </si>
  <si>
    <t>(b) Photo points (2)</t>
  </si>
  <si>
    <t>(d) Fecal sampling (4)</t>
  </si>
  <si>
    <t xml:space="preserve">Is there a current wildlife resource management system plan in place which was developed in consultation with a SE Colorado wildlife partner ? </t>
  </si>
  <si>
    <t>Identifes the site specific risk of soil degradation from (a) wind and (b) water erosion (sheet and rill).</t>
  </si>
  <si>
    <t>Resource Concern ?</t>
  </si>
  <si>
    <t>Feral (common) rye</t>
  </si>
  <si>
    <r>
      <t xml:space="preserve">Number of total acres of riparian habitat within land unit needing improvement, </t>
    </r>
    <r>
      <rPr>
        <b/>
        <sz val="10"/>
        <color indexed="8"/>
        <rFont val="Arial"/>
        <family val="2"/>
      </rPr>
      <t>including invasive species control</t>
    </r>
    <r>
      <rPr>
        <sz val="10"/>
        <color indexed="8"/>
        <rFont val="Arial"/>
        <family val="0"/>
      </rPr>
      <t xml:space="preserve"> =</t>
    </r>
  </si>
  <si>
    <r>
      <t xml:space="preserve">Offered acres located in one of the 29 SE Colorado drainage districts established by statute </t>
    </r>
    <r>
      <rPr>
        <b/>
        <sz val="10"/>
        <rFont val="Arial"/>
        <family val="2"/>
      </rPr>
      <t>OR</t>
    </r>
    <r>
      <rPr>
        <sz val="10"/>
        <rFont val="Arial"/>
        <family val="2"/>
      </rPr>
      <t xml:space="preserve"> other taxing drainage district. (10 points)</t>
    </r>
  </si>
  <si>
    <t>R. Fontaine</t>
  </si>
  <si>
    <t>B. "B.J." Jones</t>
  </si>
  <si>
    <t>C4</t>
  </si>
  <si>
    <t>Cost-Benefit points =</t>
  </si>
  <si>
    <t xml:space="preserve">Cost-Benefit points = </t>
  </si>
  <si>
    <t>Offered acres located within the area of a Section 319, PL-566 Land Treatment Area or Bureau of Reclamation Water Conservation Project area, or other special project initiative. (12 points)</t>
  </si>
  <si>
    <r>
      <t>B</t>
    </r>
    <r>
      <rPr>
        <sz val="10"/>
        <rFont val="Arial"/>
        <family val="0"/>
      </rPr>
      <t>. Weighted Pasture Productivity Index, PPi =</t>
    </r>
  </si>
  <si>
    <t>Improved acres as a % of total offered range (Part I above), acres =</t>
  </si>
  <si>
    <t>Improved acres as a % of total offered pasture (Part I above), acres =</t>
  </si>
  <si>
    <t>Total Points = N5+N10</t>
  </si>
  <si>
    <r>
      <t>PP</t>
    </r>
    <r>
      <rPr>
        <vertAlign val="subscript"/>
        <sz val="10"/>
        <rFont val="Arial"/>
        <family val="2"/>
      </rPr>
      <t>i</t>
    </r>
  </si>
  <si>
    <t>Productivity Index Score (Table III-4b), Km =</t>
  </si>
  <si>
    <t>C. Melcher</t>
  </si>
  <si>
    <t>W. "Ted" Lonnberg</t>
  </si>
  <si>
    <t>J. "Wade" Sigler</t>
  </si>
  <si>
    <t>L."Pete" Ward, Jr.</t>
  </si>
  <si>
    <t>Practice Longevity and Efficient Program Implementation</t>
  </si>
  <si>
    <t>Existing plan points =</t>
  </si>
  <si>
    <t>Scores points for those applications demonstrating higher level of performance with long-lived, enduring practices with an existing conservation plan.</t>
  </si>
  <si>
    <t>Ground Cover Improvement/Drought Recovery Restoration</t>
  </si>
  <si>
    <t>% of total acres (TA) and points =</t>
  </si>
  <si>
    <t>Is there a current COMPLETE resource management conservation plan in place with an up-to-date range inventory ?</t>
  </si>
  <si>
    <t>Is there a current COMPLETE resource management conservation plan in place ?</t>
  </si>
  <si>
    <t>Rotation is 100% no-till</t>
  </si>
  <si>
    <r>
      <t>Crop Rotation Diversity Factor, CP</t>
    </r>
    <r>
      <rPr>
        <vertAlign val="subscript"/>
        <sz val="10"/>
        <rFont val="Arial"/>
        <family val="2"/>
      </rPr>
      <t>d</t>
    </r>
    <r>
      <rPr>
        <sz val="10"/>
        <rFont val="Arial"/>
        <family val="0"/>
      </rPr>
      <t xml:space="preserve"> (sum of diversity pts.) = </t>
    </r>
  </si>
  <si>
    <r>
      <t>Weighting factor, W</t>
    </r>
    <r>
      <rPr>
        <vertAlign val="subscript"/>
        <sz val="10"/>
        <rFont val="Arial"/>
        <family val="2"/>
      </rPr>
      <t>t</t>
    </r>
    <r>
      <rPr>
        <sz val="10"/>
        <rFont val="Arial"/>
        <family val="0"/>
      </rPr>
      <t xml:space="preserve"> [D4)*D5)] =</t>
    </r>
  </si>
  <si>
    <t xml:space="preserve">Subtotal: Crop Rotation Points [D1)*D6)] = </t>
  </si>
  <si>
    <t xml:space="preserve">Number of acres in D7) expressed as a percent of the total offered acreage (TA)= </t>
  </si>
  <si>
    <t>National/State/Watershed/Local Emphasis Resource Areas and Site Assessment</t>
  </si>
  <si>
    <t>Human disturbance/occupied dwelling(s) and activities less than 660 feet.  (0 points)</t>
  </si>
  <si>
    <r>
      <t xml:space="preserve">Will there be a change in either the number or kind of crops grown in the crop rotation </t>
    </r>
    <r>
      <rPr>
        <b/>
        <sz val="10"/>
        <rFont val="Arial"/>
        <family val="2"/>
      </rPr>
      <t>OR</t>
    </r>
    <r>
      <rPr>
        <sz val="10"/>
        <rFont val="Arial"/>
        <family val="2"/>
      </rPr>
      <t xml:space="preserve"> will there be any land planted to permanent vegetation ?</t>
    </r>
  </si>
  <si>
    <t>Crop rotation carbon storage factor, Cs =</t>
  </si>
  <si>
    <t>Joint/Cooperative Agreement Participation</t>
  </si>
  <si>
    <r>
      <t xml:space="preserve">(a) </t>
    </r>
    <r>
      <rPr>
        <sz val="10"/>
        <rFont val="Arial"/>
        <family val="2"/>
      </rPr>
      <t xml:space="preserve">Does the planned conservation treatment include the adoption of an enduring structural practice which has been previously adopted on the land represented in the application </t>
    </r>
    <r>
      <rPr>
        <b/>
        <sz val="10"/>
        <rFont val="Arial"/>
        <family val="2"/>
      </rPr>
      <t>OR</t>
    </r>
    <r>
      <rPr>
        <sz val="10"/>
        <rFont val="Arial"/>
        <family val="2"/>
      </rPr>
      <t xml:space="preserve">, </t>
    </r>
    <r>
      <rPr>
        <b/>
        <sz val="10"/>
        <rFont val="Arial"/>
        <family val="2"/>
      </rPr>
      <t>(b)</t>
    </r>
    <r>
      <rPr>
        <sz val="10"/>
        <rFont val="Arial"/>
        <family val="2"/>
      </rPr>
      <t xml:space="preserve"> does the applicant have an existing EQIP contract for the same resource issue</t>
    </r>
    <r>
      <rPr>
        <b/>
        <sz val="10"/>
        <rFont val="Arial"/>
        <family val="2"/>
      </rPr>
      <t xml:space="preserve"> OR</t>
    </r>
    <r>
      <rPr>
        <sz val="10"/>
        <rFont val="Arial"/>
        <family val="2"/>
      </rPr>
      <t xml:space="preserve">, </t>
    </r>
    <r>
      <rPr>
        <b/>
        <sz val="10"/>
        <rFont val="Arial"/>
        <family val="2"/>
      </rPr>
      <t>(c)</t>
    </r>
    <r>
      <rPr>
        <sz val="10"/>
        <rFont val="Arial"/>
        <family val="2"/>
      </rPr>
      <t xml:space="preserve"> has the applicant previously declined an approved funded application ?  (If any of a, b, or c is "ÿes", answer "yes" to question)</t>
    </r>
  </si>
  <si>
    <t>J2</t>
  </si>
  <si>
    <t>J3</t>
  </si>
  <si>
    <t>Cost per unit land area, $/acre =</t>
  </si>
  <si>
    <t xml:space="preserve">Total Project Cost (includes funds from ALL sources), dollars = </t>
  </si>
  <si>
    <t>V1</t>
  </si>
  <si>
    <t>V2</t>
  </si>
  <si>
    <t>Total land treated (entered in Part I above), acres =</t>
  </si>
  <si>
    <t>S1</t>
  </si>
  <si>
    <t>S2</t>
  </si>
  <si>
    <t>S3</t>
  </si>
  <si>
    <t>S5</t>
  </si>
  <si>
    <t>S6</t>
  </si>
  <si>
    <t>S7</t>
  </si>
  <si>
    <t>S8</t>
  </si>
  <si>
    <t>S9</t>
  </si>
  <si>
    <t>S10</t>
  </si>
  <si>
    <t>S11</t>
  </si>
  <si>
    <t>Total Points = S10 + S11</t>
  </si>
  <si>
    <t>N1</t>
  </si>
  <si>
    <t>N2</t>
  </si>
  <si>
    <t>N3</t>
  </si>
  <si>
    <t>N4</t>
  </si>
  <si>
    <r>
      <t>Points per unit of erosion reduced, K</t>
    </r>
    <r>
      <rPr>
        <vertAlign val="subscript"/>
        <sz val="10"/>
        <rFont val="Arial"/>
        <family val="2"/>
      </rPr>
      <t>m</t>
    </r>
    <r>
      <rPr>
        <sz val="10"/>
        <rFont val="Arial"/>
        <family val="0"/>
      </rPr>
      <t xml:space="preserve"> =</t>
    </r>
  </si>
  <si>
    <t>Total Points = N3*N4</t>
  </si>
  <si>
    <r>
      <t>Points per unit erosion reduced, K</t>
    </r>
    <r>
      <rPr>
        <vertAlign val="subscript"/>
        <sz val="10"/>
        <rFont val="Arial"/>
        <family val="2"/>
      </rPr>
      <t>m</t>
    </r>
    <r>
      <rPr>
        <sz val="10"/>
        <rFont val="Arial"/>
        <family val="0"/>
      </rPr>
      <t xml:space="preserve"> =</t>
    </r>
  </si>
  <si>
    <t>N6</t>
  </si>
  <si>
    <t>N7</t>
  </si>
  <si>
    <t>N8</t>
  </si>
  <si>
    <t>N9</t>
  </si>
  <si>
    <t>Total Points = N8*N9</t>
  </si>
  <si>
    <t>N10</t>
  </si>
  <si>
    <t>N11</t>
  </si>
  <si>
    <t>N12</t>
  </si>
  <si>
    <t>N13</t>
  </si>
  <si>
    <r>
      <t>Affected acreage factor (from Table IV-3 below), K</t>
    </r>
    <r>
      <rPr>
        <vertAlign val="subscript"/>
        <sz val="10"/>
        <rFont val="Arial"/>
        <family val="2"/>
      </rPr>
      <t>m</t>
    </r>
    <r>
      <rPr>
        <sz val="10"/>
        <rFont val="Arial"/>
        <family val="0"/>
      </rPr>
      <t xml:space="preserve"> =</t>
    </r>
  </si>
  <si>
    <t>Total Points= N12*N13</t>
  </si>
  <si>
    <t>D1</t>
  </si>
  <si>
    <t>D2</t>
  </si>
  <si>
    <t>D3</t>
  </si>
  <si>
    <t>D4</t>
  </si>
  <si>
    <t>D5</t>
  </si>
  <si>
    <t>D6</t>
  </si>
  <si>
    <t>D7</t>
  </si>
  <si>
    <t>D8</t>
  </si>
  <si>
    <t>D9</t>
  </si>
  <si>
    <t>D10</t>
  </si>
  <si>
    <t>D11</t>
  </si>
  <si>
    <t>D4 = 0.5052*ln[TA/317]+1.3618</t>
  </si>
  <si>
    <t>D5 = 2100 if no-till, otherwise D5) = 1120</t>
  </si>
  <si>
    <t>Total Points = D7+D11</t>
  </si>
  <si>
    <t>Q1</t>
  </si>
  <si>
    <t>Q2</t>
  </si>
  <si>
    <t>Q3</t>
  </si>
  <si>
    <t>Difference between before and after, (I1-I2) =</t>
  </si>
  <si>
    <t>Total Points = (D2 + D3) * D3</t>
  </si>
  <si>
    <t>Percent of riparian area improved, W2/W1 =</t>
  </si>
  <si>
    <t>I5</t>
  </si>
  <si>
    <t>A1</t>
  </si>
  <si>
    <t>A2</t>
  </si>
  <si>
    <t>A3</t>
  </si>
  <si>
    <t>A4</t>
  </si>
  <si>
    <t xml:space="preserve">Total Points = A1+A2+A3+A4 </t>
  </si>
  <si>
    <r>
      <t xml:space="preserve">Element considers applicants with wildlife partner leveraged funds and those wishing to participate in cooperative arrangements. </t>
    </r>
    <r>
      <rPr>
        <b/>
        <sz val="10"/>
        <rFont val="Arial"/>
        <family val="2"/>
      </rPr>
      <t>Maximum number of points = 10</t>
    </r>
  </si>
  <si>
    <t>Total Points = J3+J4, not to exceed a maximum of 10 points.</t>
  </si>
  <si>
    <r>
      <t xml:space="preserve">Will the planned conservation treatment include an improvement in </t>
    </r>
    <r>
      <rPr>
        <b/>
        <sz val="10"/>
        <rFont val="Arial"/>
        <family val="2"/>
      </rPr>
      <t>BOTH</t>
    </r>
    <r>
      <rPr>
        <sz val="10"/>
        <rFont val="Arial"/>
        <family val="2"/>
      </rPr>
      <t xml:space="preserve"> the growing season grazing rotation </t>
    </r>
    <r>
      <rPr>
        <b/>
        <sz val="10"/>
        <rFont val="Arial"/>
        <family val="2"/>
      </rPr>
      <t>AND</t>
    </r>
    <r>
      <rPr>
        <sz val="10"/>
        <rFont val="Arial"/>
        <family val="2"/>
      </rPr>
      <t xml:space="preserve"> the scheduled grazing frequency ?</t>
    </r>
  </si>
  <si>
    <t>J4</t>
  </si>
  <si>
    <t>Total points= J1; not to exceed a maximum of 10 points.</t>
  </si>
  <si>
    <t>Total Points = J2+J3; not to exceed a maximum of 20 points.</t>
  </si>
  <si>
    <t>Cost per land united treated, $/acre</t>
  </si>
  <si>
    <t xml:space="preserve">Number of Animal Equivalence (entered from Part I above) = </t>
  </si>
  <si>
    <t xml:space="preserve">2c Points = 100/S1 = </t>
  </si>
  <si>
    <t xml:space="preserve">2d Points = 1000/S2 = </t>
  </si>
  <si>
    <t>Joint Cooperative Agreement (JA):</t>
  </si>
  <si>
    <t xml:space="preserve">No. of Entities (JA): </t>
  </si>
  <si>
    <t>Points (A)=</t>
  </si>
  <si>
    <t>Points (B)=</t>
  </si>
  <si>
    <t>Points(C) =</t>
  </si>
  <si>
    <t>Points(D) =</t>
  </si>
  <si>
    <t>Colorado Mule Deer Area</t>
  </si>
  <si>
    <t>Preble's Meadow Jumping Mouse Area</t>
  </si>
  <si>
    <t>Mountain Plover Area</t>
  </si>
  <si>
    <t>Ducks Unlimited</t>
  </si>
  <si>
    <t>None</t>
  </si>
  <si>
    <t>Number of wildlife partners contributing dollars or in-kind contributions =</t>
  </si>
  <si>
    <t>Identifies the key habitat type that will be maintained, enhanced, or restored.</t>
  </si>
  <si>
    <t>The implemented conservation treatment favors a State species of special concern, State threatened species, Federal candidate species, or a declining species.  (10 points)</t>
  </si>
  <si>
    <t>The implemented conservation treatment favors a State endangered or Federal threatened or endangered species. (7 points)</t>
  </si>
  <si>
    <t xml:space="preserve">Short Grass Prairie (12 points) </t>
  </si>
  <si>
    <t>Sand Sage Prairie (9 points)</t>
  </si>
  <si>
    <t>Cropland (3 points)</t>
  </si>
  <si>
    <t>Limiting Factors for Target Species</t>
  </si>
  <si>
    <t>Cropland Quantity or Quality</t>
  </si>
  <si>
    <t>Pasture/Hayland Quantity or Quality</t>
  </si>
  <si>
    <t>Woody vegetation</t>
  </si>
  <si>
    <t>Interspersion of Vegetation Types</t>
  </si>
  <si>
    <t>Wildlife Drinking Water</t>
  </si>
  <si>
    <t>Rangeland Condition</t>
  </si>
  <si>
    <t>Grazing System</t>
  </si>
  <si>
    <t>Diversity of Natural Plant Communities</t>
  </si>
  <si>
    <t>Forest Ecosystem Condition</t>
  </si>
  <si>
    <t>Forest Size</t>
  </si>
  <si>
    <t>Forest Openings</t>
  </si>
  <si>
    <t>Identifes the limiting factors that will be addressed with the conservation treatment.</t>
  </si>
  <si>
    <t xml:space="preserve">Subtotal: Contributing Partner Participation Points (3 points per entity) = </t>
  </si>
  <si>
    <t>Human disturbance/occupied dwelling(s) and activities greater than 1,320 feet.  (6 points)</t>
  </si>
  <si>
    <t>Human disturbance/occupied dwelling(s) and activities less than 1,320 feet, but greater than 660 feet.  (2 points)</t>
  </si>
  <si>
    <t>If #1 is "no" and #4 is "yes" application is HIGH priority; otherwise application is MEDIUM priority.</t>
  </si>
  <si>
    <t>The proposed project is adjacent to an EXISTING, on-going, active wildlife habitat enhancement, maintenance, or restoration effort. (7 points)</t>
  </si>
  <si>
    <t>Herbaceous Vegetation other than Pasture/Hayland</t>
  </si>
  <si>
    <t>Lesser Prairie Chicken Area</t>
  </si>
  <si>
    <t>The proposed project acres are contiguous. (5 points)</t>
  </si>
  <si>
    <t>lesser prairie chicken</t>
  </si>
  <si>
    <t>greater prairie chicken</t>
  </si>
  <si>
    <t>long-billed curlew</t>
  </si>
  <si>
    <t>greater sandhill crane</t>
  </si>
  <si>
    <t>piping plover</t>
  </si>
  <si>
    <t>mountain plover</t>
  </si>
  <si>
    <t>northern sage grouse</t>
  </si>
  <si>
    <t>burrowing owl</t>
  </si>
  <si>
    <t>upland sandpiper</t>
  </si>
  <si>
    <t>black-tailed prairie dog</t>
  </si>
  <si>
    <t>kit fox</t>
  </si>
  <si>
    <t>mule deer</t>
  </si>
  <si>
    <t>flathead chub</t>
  </si>
  <si>
    <t>speckled chub</t>
  </si>
  <si>
    <t>plains sharp-tailed grouse</t>
  </si>
  <si>
    <t>bald eagle</t>
  </si>
  <si>
    <t>Total Points = % acres*Km</t>
  </si>
  <si>
    <r>
      <t xml:space="preserve">Number of total acres of riparian habitat within this offered land unit needing improvement, including </t>
    </r>
    <r>
      <rPr>
        <b/>
        <sz val="10"/>
        <color indexed="8"/>
        <rFont val="Arial"/>
        <family val="2"/>
      </rPr>
      <t>invasive species control</t>
    </r>
    <r>
      <rPr>
        <sz val="10"/>
        <color indexed="8"/>
        <rFont val="Arial"/>
        <family val="0"/>
      </rPr>
      <t xml:space="preserve"> =</t>
    </r>
  </si>
  <si>
    <r>
      <t>Number of total acres of riparian habitat within land unit needing improvement,</t>
    </r>
    <r>
      <rPr>
        <b/>
        <sz val="10"/>
        <color indexed="8"/>
        <rFont val="Arial"/>
        <family val="2"/>
      </rPr>
      <t xml:space="preserve"> including invasive species control</t>
    </r>
    <r>
      <rPr>
        <sz val="10"/>
        <color indexed="8"/>
        <rFont val="Arial"/>
        <family val="0"/>
      </rPr>
      <t xml:space="preserve"> =</t>
    </r>
  </si>
  <si>
    <t>Site Number</t>
  </si>
  <si>
    <t>A. Rangeland:</t>
  </si>
  <si>
    <t>Acreage of RSi improvement =</t>
  </si>
  <si>
    <t>B. Pasture:</t>
  </si>
  <si>
    <t>Acreage of PPi mprovement =</t>
  </si>
  <si>
    <t>Element identifies and prioritizes the taget species based on the status category.</t>
  </si>
  <si>
    <t>Scores points for those applications demonstrating higher level of performance with long-lived, enduring practices.</t>
  </si>
  <si>
    <t>black footed ferret</t>
  </si>
  <si>
    <t>Total Number of Animals (expressed as CAFO/AFO Equivalence, COE):</t>
  </si>
  <si>
    <t>humpback chub</t>
  </si>
  <si>
    <t>bonytail chub</t>
  </si>
  <si>
    <t>plains minnow</t>
  </si>
  <si>
    <t>suckermouth minnow</t>
  </si>
  <si>
    <t>southwest willow flycatcher</t>
  </si>
  <si>
    <t>southern redbelly dace</t>
  </si>
  <si>
    <t>brassy minnow</t>
  </si>
  <si>
    <t>stonecat</t>
  </si>
  <si>
    <t>plains topminnow</t>
  </si>
  <si>
    <t>northern redbelly dace</t>
  </si>
  <si>
    <t>lake chub</t>
  </si>
  <si>
    <t>pheasant</t>
  </si>
  <si>
    <t>bighorn sheep</t>
  </si>
  <si>
    <t>elk</t>
  </si>
  <si>
    <t>white-tailed deer</t>
  </si>
  <si>
    <t>scaled quail</t>
  </si>
  <si>
    <r>
      <t xml:space="preserve">Element targets the use of manure on lands directly managed by the applicant and the mproved management of biosolids, primarily animal wastes obtained from </t>
    </r>
    <r>
      <rPr>
        <b/>
        <sz val="10"/>
        <color indexed="8"/>
        <rFont val="Arial"/>
        <family val="2"/>
      </rPr>
      <t>ON-SITE</t>
    </r>
    <r>
      <rPr>
        <sz val="10"/>
        <color indexed="8"/>
        <rFont val="Arial"/>
        <family val="0"/>
      </rPr>
      <t xml:space="preserve"> sources.  Points based on amount of available manure, the number of receiving acres and the nutrient recommendation method of the receiving acres.</t>
    </r>
  </si>
  <si>
    <t>Is an on-farm subsurface drainage system needed on at least 10% of the acres?</t>
  </si>
  <si>
    <r>
      <t xml:space="preserve">Subtotal-Riparian Area Improvement </t>
    </r>
    <r>
      <rPr>
        <b/>
        <sz val="11"/>
        <color indexed="8"/>
        <rFont val="Arial"/>
        <family val="2"/>
      </rPr>
      <t>(5 points maximum)</t>
    </r>
    <r>
      <rPr>
        <sz val="11"/>
        <color indexed="8"/>
        <rFont val="Arial"/>
        <family val="2"/>
      </rPr>
      <t>, [W3*5] =</t>
    </r>
  </si>
  <si>
    <r>
      <t>Points awarded for the installation of practices that improve and enhance wildlife habitat as part of the overall operation of the agricultural enterprise.  Element considers the treatment impact on the health of riparian habitats</t>
    </r>
    <r>
      <rPr>
        <b/>
        <sz val="10"/>
        <color indexed="8"/>
        <rFont val="Arial"/>
        <family val="2"/>
      </rPr>
      <t xml:space="preserve"> (Part A)</t>
    </r>
    <r>
      <rPr>
        <sz val="10"/>
        <color indexed="8"/>
        <rFont val="Arial"/>
        <family val="0"/>
      </rPr>
      <t xml:space="preserve">, and the treatment impact on specific species </t>
    </r>
    <r>
      <rPr>
        <b/>
        <sz val="10"/>
        <color indexed="8"/>
        <rFont val="Arial"/>
        <family val="2"/>
      </rPr>
      <t>(Part B)</t>
    </r>
    <r>
      <rPr>
        <sz val="10"/>
        <color indexed="8"/>
        <rFont val="Arial"/>
        <family val="0"/>
      </rPr>
      <t>.  Riparian health improvement is based on the percent of the total riparian area in the land unit.</t>
    </r>
  </si>
  <si>
    <r>
      <t>Points per unit improvement in efficiency, K</t>
    </r>
    <r>
      <rPr>
        <vertAlign val="subscript"/>
        <sz val="10"/>
        <rFont val="Arial"/>
        <family val="2"/>
      </rPr>
      <t>m</t>
    </r>
    <r>
      <rPr>
        <sz val="10"/>
        <rFont val="Arial"/>
        <family val="0"/>
      </rPr>
      <t xml:space="preserve"> =</t>
    </r>
  </si>
  <si>
    <t xml:space="preserve">Improvement in Irrigation System Efficiency = </t>
  </si>
  <si>
    <t>Total Points = S3(as %)*S4</t>
  </si>
  <si>
    <r>
      <t xml:space="preserve">Points are based on the percent of the offered acres of planned nutrient management.  </t>
    </r>
    <r>
      <rPr>
        <b/>
        <i/>
        <sz val="10"/>
        <rFont val="Arial"/>
        <family val="2"/>
      </rPr>
      <t>NOTE:</t>
    </r>
    <r>
      <rPr>
        <i/>
        <sz val="10"/>
        <rFont val="Arial"/>
        <family val="0"/>
      </rPr>
      <t xml:space="preserve"> No points will be scored in Element #5 if the number of points in Element #2 are equal to zero.</t>
    </r>
  </si>
  <si>
    <t>Total Points = W4 + W5</t>
  </si>
  <si>
    <r>
      <t>Points awarded for the installation of practices that improve and enhance wildlife habitat as part of the overall operation of the ranch/livestock enterprise.  Element considers the treatment impact on the health of riparian habitats</t>
    </r>
    <r>
      <rPr>
        <b/>
        <sz val="10"/>
        <color indexed="8"/>
        <rFont val="Arial"/>
        <family val="2"/>
      </rPr>
      <t xml:space="preserve"> (Part A)</t>
    </r>
    <r>
      <rPr>
        <sz val="10"/>
        <color indexed="8"/>
        <rFont val="Arial"/>
        <family val="0"/>
      </rPr>
      <t xml:space="preserve">, and the treatment impact on specific species </t>
    </r>
    <r>
      <rPr>
        <b/>
        <sz val="10"/>
        <color indexed="8"/>
        <rFont val="Arial"/>
        <family val="2"/>
      </rPr>
      <t>(Part B)</t>
    </r>
    <r>
      <rPr>
        <sz val="10"/>
        <color indexed="8"/>
        <rFont val="Arial"/>
        <family val="0"/>
      </rPr>
      <t>.  Riparian health improvement is based on the percent of the total riparian area in the land unit.</t>
    </r>
  </si>
  <si>
    <t>If question "a" is "no" Total Points equals 0, otherwise Total Points equals the sum of Q1 thru Q3</t>
  </si>
  <si>
    <t>Total Points = N2*N3</t>
  </si>
  <si>
    <r>
      <t>Similarity Index Score (Table III-4a), K</t>
    </r>
    <r>
      <rPr>
        <vertAlign val="subscript"/>
        <sz val="10"/>
        <rFont val="Arial"/>
        <family val="2"/>
      </rPr>
      <t>m</t>
    </r>
    <r>
      <rPr>
        <sz val="10"/>
        <rFont val="Arial"/>
        <family val="2"/>
      </rPr>
      <t xml:space="preserve"> =</t>
    </r>
  </si>
  <si>
    <r>
      <t>Targets rangelands</t>
    </r>
    <r>
      <rPr>
        <b/>
        <i/>
        <sz val="10"/>
        <rFont val="Arial"/>
        <family val="2"/>
      </rPr>
      <t xml:space="preserve"> (Part A)</t>
    </r>
    <r>
      <rPr>
        <i/>
        <sz val="10"/>
        <rFont val="Arial"/>
        <family val="0"/>
      </rPr>
      <t xml:space="preserve"> with the lowest similarity index and pastureland </t>
    </r>
    <r>
      <rPr>
        <b/>
        <i/>
        <sz val="10"/>
        <rFont val="Arial"/>
        <family val="2"/>
      </rPr>
      <t>(Part B)</t>
    </r>
    <r>
      <rPr>
        <i/>
        <sz val="10"/>
        <rFont val="Arial"/>
        <family val="0"/>
      </rPr>
      <t xml:space="preserve"> with low productivity.</t>
    </r>
  </si>
  <si>
    <r>
      <t>RS</t>
    </r>
    <r>
      <rPr>
        <vertAlign val="subscript"/>
        <sz val="10"/>
        <rFont val="Arial"/>
        <family val="2"/>
      </rPr>
      <t>i</t>
    </r>
  </si>
  <si>
    <t xml:space="preserve">    0-25 =    20</t>
  </si>
  <si>
    <t xml:space="preserve">  25-50 =    10</t>
  </si>
  <si>
    <t xml:space="preserve">  50-75 =     5</t>
  </si>
  <si>
    <t xml:space="preserve">  75-100 =   0</t>
  </si>
  <si>
    <t>Subtotal: Rangeland Points, (N2/100*N3) =</t>
  </si>
  <si>
    <t>Score</t>
  </si>
  <si>
    <t>wild turkey</t>
  </si>
  <si>
    <t>game birds-geese</t>
  </si>
  <si>
    <t>game birds-mourning dove</t>
  </si>
  <si>
    <t>non-game birds-passerine</t>
  </si>
  <si>
    <t>game birds-duck</t>
  </si>
  <si>
    <t>non-game birds-songbird</t>
  </si>
  <si>
    <t>northern bobwhite quail</t>
  </si>
  <si>
    <t>non-game birds-raptors</t>
  </si>
  <si>
    <t>grassland birds</t>
  </si>
  <si>
    <t>trout</t>
  </si>
  <si>
    <t>Field Number</t>
  </si>
  <si>
    <t>Climate Factor "C" =</t>
  </si>
  <si>
    <t>Soil Erodibility "I" =</t>
  </si>
  <si>
    <t>Soil Loss Tolerance "T" =</t>
  </si>
  <si>
    <t xml:space="preserve">Hydrologic Group (A,B,C,D) = </t>
  </si>
  <si>
    <t>Wind Erosion</t>
  </si>
  <si>
    <t>Wind Erodibility Index (EI), CI / T =</t>
  </si>
  <si>
    <t>Water Erodibility Index (EI), RKLS / T =</t>
  </si>
  <si>
    <t>EI Points =</t>
  </si>
  <si>
    <t>Rainfall-Runoff Erosivity Factor "R" =</t>
  </si>
  <si>
    <t xml:space="preserve">Soil Erodibility Factor "K" = </t>
  </si>
  <si>
    <t>Slope Length/Steepness Factor "LS" =</t>
  </si>
  <si>
    <t>Sheet and Rill Erosion</t>
  </si>
  <si>
    <t>What percent of the grazingland in the operating unit is planned for implementation of the improved grazing system during contract period ?</t>
  </si>
  <si>
    <t>Canon City, CO Field Office</t>
  </si>
  <si>
    <t>B. Gohlke</t>
  </si>
  <si>
    <t>25-50% =   7     &gt;75%  =   20</t>
  </si>
  <si>
    <t>If both #1 or #2 are "no" application is LOW priority; if # 3 is "yes", the application is LOW priority.  Proceed to Question #4.</t>
  </si>
  <si>
    <t>If both #1 and #2 above are "no", application is LOW priority; if #3 is "yes", application is LOW priority.  Proceed to Question #4.</t>
  </si>
  <si>
    <t xml:space="preserve">Has the applicant had a previous cost-share contract that was cancelled (terminated) due to lack of progress or where the installed practices failed due to lack of maintenance ? </t>
  </si>
  <si>
    <t>Has the applicant had a previous cost-share contract that was cancelled (terminated) due to lack of progress or where the installed practices failed due to lack of maintenance ?</t>
  </si>
  <si>
    <t>If both #1 and #2 are "No or #1 is "No" and #2 is "Yes" the application is considered LOW priority.  Proceed to Question #3.</t>
  </si>
  <si>
    <t xml:space="preserve">     1-15% =  1.0    15-30% = 2.5     30-45% = 7.5     &gt;45% = 10</t>
  </si>
  <si>
    <t>Cheyenne Wells, CO Field Office</t>
  </si>
  <si>
    <t>J. Valentine</t>
  </si>
  <si>
    <t>Colorado Springs, CO Field Office</t>
  </si>
  <si>
    <t>R. Castle</t>
  </si>
  <si>
    <t>Eads, CO Field Office</t>
  </si>
  <si>
    <t>B. Fortman</t>
  </si>
  <si>
    <t>Hugo, CO Field Office</t>
  </si>
  <si>
    <t>L. Borrego</t>
  </si>
  <si>
    <t>Lamar, CO  Field Office</t>
  </si>
  <si>
    <t>M. Clark</t>
  </si>
  <si>
    <t>Las Animas, CO Field Office</t>
  </si>
  <si>
    <t>B. Klinkerman</t>
  </si>
  <si>
    <t>Pueblo, CO Field Office</t>
  </si>
  <si>
    <t>D. Miller</t>
  </si>
  <si>
    <t>Rocky Ford, CO Field Office</t>
  </si>
  <si>
    <t>D. Russell</t>
  </si>
  <si>
    <t>M. Williams</t>
  </si>
  <si>
    <t>F. Edens</t>
  </si>
  <si>
    <t>Simla, CO Field Office</t>
  </si>
  <si>
    <t>C. Waugh</t>
  </si>
  <si>
    <t>Springfield, CO Field Office</t>
  </si>
  <si>
    <t>S. Smith</t>
  </si>
  <si>
    <t>Trinidad, CO Field Office</t>
  </si>
  <si>
    <t>J. Nelson</t>
  </si>
  <si>
    <t>Walsenburg, CO Field Office</t>
  </si>
  <si>
    <t>J. Sperry</t>
  </si>
  <si>
    <t>R. Romano</t>
  </si>
  <si>
    <t>M. Watson</t>
  </si>
  <si>
    <t>M. Miller</t>
  </si>
  <si>
    <t>C. Sheley</t>
  </si>
  <si>
    <t>D. Sanchez</t>
  </si>
  <si>
    <t>General Partnership</t>
  </si>
  <si>
    <t>Joint Venture</t>
  </si>
  <si>
    <t>C. Regnier</t>
  </si>
  <si>
    <t>Limited Liability Partnership</t>
  </si>
  <si>
    <t>B. Johnson</t>
  </si>
  <si>
    <t>A. White</t>
  </si>
  <si>
    <t>Limited Partnership Association</t>
  </si>
  <si>
    <t>W. Bland</t>
  </si>
  <si>
    <t>Limited Liability Company</t>
  </si>
  <si>
    <t>S. Hansen</t>
  </si>
  <si>
    <t xml:space="preserve">Limited Partnership  </t>
  </si>
  <si>
    <t>K. Conrad</t>
  </si>
  <si>
    <t>Corporation</t>
  </si>
  <si>
    <t>M. Martin</t>
  </si>
  <si>
    <t>Trust</t>
  </si>
  <si>
    <t>E. Kilpatrick</t>
  </si>
  <si>
    <t>Estate</t>
  </si>
  <si>
    <t>C. Schleining</t>
  </si>
  <si>
    <t>J. Hamilton</t>
  </si>
  <si>
    <t>J. Moffett</t>
  </si>
  <si>
    <t>J. Dukes</t>
  </si>
  <si>
    <t>T. Werner</t>
  </si>
  <si>
    <t>K. Falen</t>
  </si>
  <si>
    <t>M. "Storm" Casper</t>
  </si>
  <si>
    <t>M. Gigante</t>
  </si>
  <si>
    <t>T. Arnhold</t>
  </si>
  <si>
    <t>K. Lutz</t>
  </si>
  <si>
    <t>D. Lane</t>
  </si>
  <si>
    <t>L. Kot</t>
  </si>
  <si>
    <t>L. Pearson</t>
  </si>
  <si>
    <t>B. Kitten</t>
  </si>
  <si>
    <t>C. Pannebaker</t>
  </si>
  <si>
    <t>B. Berlinger</t>
  </si>
  <si>
    <t>wwheat-sorghum-sorghum-fallow</t>
  </si>
  <si>
    <t>wwheat-corn-fallow</t>
  </si>
  <si>
    <t>wwheat-corn-corn-fallow</t>
  </si>
  <si>
    <t>wwheat-corn-sorghum-fallow</t>
  </si>
  <si>
    <t>wwheat-sorghum-corn-fallow</t>
  </si>
  <si>
    <t>continuous wwheat</t>
  </si>
  <si>
    <r>
      <t>Proportion (%) of total irrigation lateral shares that is represented in joint contract agreement, P</t>
    </r>
    <r>
      <rPr>
        <vertAlign val="subscript"/>
        <sz val="10"/>
        <rFont val="Arial"/>
        <family val="2"/>
      </rPr>
      <t>a</t>
    </r>
    <r>
      <rPr>
        <sz val="10"/>
        <rFont val="Arial"/>
        <family val="2"/>
      </rPr>
      <t xml:space="preserve"> =</t>
    </r>
  </si>
  <si>
    <t xml:space="preserve">   &lt;1% =       0     </t>
  </si>
  <si>
    <t>Below describe briefly the conservation treatment that will be implemented that results in the resource impact in Element #4:</t>
  </si>
  <si>
    <t>Application's Total Offered Acreage (TA):</t>
  </si>
  <si>
    <t>The implemented cropland system and facilitating practices favor a State species of special concern, State threatened species, Federal candidate species, or a declining species.  (5 points)</t>
  </si>
  <si>
    <t xml:space="preserve">Subtotal: Lateral Group Joint Agreement Points = </t>
  </si>
  <si>
    <t xml:space="preserve">Subtotal: Other Joint Agreement Points (2 points per entity) = </t>
  </si>
  <si>
    <t>Joint /Cooperative Agreement Participation</t>
  </si>
  <si>
    <t xml:space="preserve">Points for Element III-5 = </t>
  </si>
  <si>
    <t>1-25% =    5      50-75% = 15</t>
  </si>
  <si>
    <t>G. Langer</t>
  </si>
  <si>
    <t xml:space="preserve">Points for Element III-4 =  </t>
  </si>
  <si>
    <t>3.</t>
  </si>
  <si>
    <t>4.</t>
  </si>
  <si>
    <t>The implemented cropland system and facilitating practices favor a State endangered or Federal threatened or endangered species. (4 points)</t>
  </si>
  <si>
    <t>The implemented cropland system and facilitating practices favor a declining native or economically important species.  (3 points)</t>
  </si>
  <si>
    <t>The implemented cropland system and facilitating practices favor species with stable or increasing populations, or are not otherwise listed.  (2 points)</t>
  </si>
  <si>
    <t>Colorado Elk Foundation</t>
  </si>
  <si>
    <t>Pheasants Forever</t>
  </si>
  <si>
    <t>If #1 and #2 above are both "no", application is LOW priority; if #3 is "yes" application is LOW priority; if #1 is "yes" and #2 is "no" application is LOW priority; if #1 and #2 are both "yes", application is MEDIUM.   Proceed to Question #4.</t>
  </si>
  <si>
    <t>Total Project Cost (includes funds from ALL sources), dollars =</t>
  </si>
  <si>
    <t>Total land treated (entered from Part I above), acres =</t>
  </si>
  <si>
    <t>Cost per unit land area treated, $/acre =</t>
  </si>
  <si>
    <t>C1</t>
  </si>
  <si>
    <t>C2</t>
  </si>
  <si>
    <t>C3</t>
  </si>
  <si>
    <r>
      <t xml:space="preserve">Scores points for those applicants willing to participate in cooperative arrangements. NO DATA ENTRY REQUIRED.  </t>
    </r>
    <r>
      <rPr>
        <b/>
        <sz val="10"/>
        <rFont val="Arial"/>
        <family val="2"/>
      </rPr>
      <t xml:space="preserve">Maximum number of points = 10. </t>
    </r>
  </si>
  <si>
    <t>J1</t>
  </si>
  <si>
    <t>M1</t>
  </si>
  <si>
    <t>M2</t>
  </si>
  <si>
    <t>M3</t>
  </si>
  <si>
    <t>M4</t>
  </si>
  <si>
    <t>Total Points = M1+M2+ M3 multiplied by M4/100)</t>
  </si>
  <si>
    <t>G1</t>
  </si>
  <si>
    <t>G1a</t>
  </si>
  <si>
    <t>G2</t>
  </si>
  <si>
    <t>G3</t>
  </si>
  <si>
    <t>G3a</t>
  </si>
  <si>
    <r>
      <t xml:space="preserve">Element recognizes conservation treament needs for improvement in ground cover and grazingland renovation as a result of drought impacts </t>
    </r>
    <r>
      <rPr>
        <b/>
        <i/>
        <sz val="10"/>
        <rFont val="Arial"/>
        <family val="2"/>
      </rPr>
      <t>(Part A)</t>
    </r>
    <r>
      <rPr>
        <i/>
        <sz val="10"/>
        <rFont val="Arial"/>
        <family val="0"/>
      </rPr>
      <t xml:space="preserve">.  Points are awarded also for conservation activities that enhance the plant community and understory including the control of invasive species through pest management </t>
    </r>
    <r>
      <rPr>
        <b/>
        <i/>
        <sz val="10"/>
        <rFont val="Arial"/>
        <family val="2"/>
      </rPr>
      <t>(Part B)</t>
    </r>
    <r>
      <rPr>
        <i/>
        <sz val="10"/>
        <rFont val="Arial"/>
        <family val="0"/>
      </rPr>
      <t>.</t>
    </r>
  </si>
  <si>
    <t xml:space="preserve">Part A-Point Subtotal [G1a*0.675] = </t>
  </si>
  <si>
    <t>G4</t>
  </si>
  <si>
    <t>G4a</t>
  </si>
  <si>
    <t>G5</t>
  </si>
  <si>
    <t>G5a</t>
  </si>
  <si>
    <t>G10</t>
  </si>
  <si>
    <t>Total Points = G2+G10</t>
  </si>
  <si>
    <t xml:space="preserve">Part B-Point Subtotal [(G3a+G4a+G5a)*0.500] = </t>
  </si>
  <si>
    <t>W1</t>
  </si>
  <si>
    <t>W2</t>
  </si>
  <si>
    <t>W3</t>
  </si>
  <si>
    <t>W4</t>
  </si>
  <si>
    <t>W5</t>
  </si>
  <si>
    <t>Total Points = W4+W5</t>
  </si>
  <si>
    <t>Below, list the target species, then describe briefly the conservation treatment that will be implemented that mutually enhances the wildlife habitat and addresses the specific water quality/quantity resource concerns.  Also list the reasons why the cropland management system will benefit wildlife:</t>
  </si>
  <si>
    <t>Species Benefited</t>
  </si>
  <si>
    <t>continuous corn</t>
  </si>
  <si>
    <t>continuous sorghum</t>
  </si>
  <si>
    <t>wwheat-corn-sunflower-fallow</t>
  </si>
  <si>
    <t>wwheat-sorghum-sunflower-fallow</t>
  </si>
  <si>
    <t>canola-sorghum-fallow</t>
  </si>
  <si>
    <t>canola-corn-fallow</t>
  </si>
  <si>
    <t>wwheat-millet-fallow</t>
  </si>
  <si>
    <t>wwheat-corn-millet</t>
  </si>
  <si>
    <t>wwheat-millet-corn</t>
  </si>
  <si>
    <t>wwheat-corn-millet-fallow</t>
  </si>
  <si>
    <t>wwheat-sunflower-fallow</t>
  </si>
  <si>
    <t>wwheat-sunflower-sunflower-fallow</t>
  </si>
  <si>
    <t>wwheat-sunflower-corn-fallow</t>
  </si>
  <si>
    <t>wwheat-sunflower-sorghum-fallow</t>
  </si>
  <si>
    <t>Tamarisk</t>
  </si>
  <si>
    <t>Russian Olive</t>
  </si>
  <si>
    <t>A.B.S. Company East Farm</t>
  </si>
  <si>
    <t>A.B.S. Company No. 1</t>
  </si>
  <si>
    <t>A.B.S. Company No. 2</t>
  </si>
  <si>
    <t>Arbor</t>
  </si>
  <si>
    <t>Consolidated Extension</t>
  </si>
  <si>
    <t>Crowley</t>
  </si>
  <si>
    <t>Deadman</t>
  </si>
  <si>
    <t>Easy May Valley</t>
  </si>
  <si>
    <t>Granada</t>
  </si>
  <si>
    <t>Grand View</t>
  </si>
  <si>
    <t>Hasty</t>
  </si>
  <si>
    <t>Holbrook</t>
  </si>
  <si>
    <t>Holly</t>
  </si>
  <si>
    <t>King Center</t>
  </si>
  <si>
    <t>Kornman</t>
  </si>
  <si>
    <t>Las Animas Consolidated</t>
  </si>
  <si>
    <t>Lubers</t>
  </si>
  <si>
    <t>May Valley</t>
  </si>
  <si>
    <t>McClave</t>
  </si>
  <si>
    <t>Numa</t>
  </si>
  <si>
    <t>Olney Springs</t>
  </si>
  <si>
    <t>Ordway #1</t>
  </si>
  <si>
    <t>Patterson Hollow</t>
  </si>
  <si>
    <t>No species benefited.  (0 points)</t>
  </si>
  <si>
    <t>Pleasant Valley</t>
  </si>
  <si>
    <t>Total dollars from wildlife partners =</t>
  </si>
  <si>
    <t xml:space="preserve">The proposed project acres located in a State identified wildlife area. (10 points)   </t>
  </si>
  <si>
    <t>The proposed project acres located in a Locally recognized, identified wildlife area. (7.5 points)</t>
  </si>
  <si>
    <t>Land base represented receives manure annually for more than 3 years running.  (8 points)</t>
  </si>
  <si>
    <t>Land base represented receives manure annually for 2 or 3 years running.  (5 points)</t>
  </si>
  <si>
    <t>Land base represented in  application receives manure in alternate years.  (2.5 points)</t>
  </si>
  <si>
    <t>Land base represented receives manure less frequently than in alternate years.  (1 point)</t>
  </si>
  <si>
    <t>No manure is applied to land base represented in application.  (0 points)</t>
  </si>
  <si>
    <t>Planned treatment includes greater than two enduring (life span &gt; 1yr) structural practices.  (5 points)</t>
  </si>
  <si>
    <t>Planned treatment includes greater than three enduring (life span &gt; 1 yr) structural practices.  (5 points)</t>
  </si>
  <si>
    <t>Planned treatment includes at least one enduring (life span &gt; 1yr) structural practice, but less than or equal to three.  (2 points)</t>
  </si>
  <si>
    <t>Planned treatment includes at least one enduring (life span &gt; 1yr) structural practice, but less than or equal to two.  (2 points)</t>
  </si>
  <si>
    <t>Planned treatment includes greater than three enduring (life span &gt; 1yr) structural practices.  (5 points)</t>
  </si>
  <si>
    <t>Planned treatment does not include any enduring (life span &gt; 1yr) structural practices.  (0 points)</t>
  </si>
  <si>
    <t>Total Points = P1+P2</t>
  </si>
  <si>
    <t>Practice Longevity</t>
  </si>
  <si>
    <t>Prowers</t>
  </si>
  <si>
    <t>Riverview</t>
  </si>
  <si>
    <t>Valley View</t>
  </si>
  <si>
    <t>Vista Del Rio</t>
  </si>
  <si>
    <t>Wiley of Big Bend</t>
  </si>
  <si>
    <t>Veal Calves</t>
  </si>
  <si>
    <t>Dairy</t>
  </si>
  <si>
    <t>Swine</t>
  </si>
  <si>
    <t>Sheep</t>
  </si>
  <si>
    <t>Turkey</t>
  </si>
  <si>
    <t>Chicken</t>
  </si>
  <si>
    <t>Sagebrush-steppe</t>
  </si>
  <si>
    <t>Riparian</t>
  </si>
  <si>
    <t>Shortgrass prairie</t>
  </si>
  <si>
    <t>Midgrass/sand sage</t>
  </si>
  <si>
    <t>Mountain shrub</t>
  </si>
  <si>
    <t>Cropland</t>
  </si>
  <si>
    <t>Pinyon Juniper</t>
  </si>
  <si>
    <t>Warmwater stream</t>
  </si>
  <si>
    <t>Coldwater stream</t>
  </si>
  <si>
    <t>Wetland</t>
  </si>
  <si>
    <t>Nutrients will be applied non-site specifc based on conventional soil sampling techniques (8 points)</t>
  </si>
  <si>
    <t>Nutrients will be applied according to site specifc, grid based sampling or tissue sampling (12 points)</t>
  </si>
  <si>
    <t>Nutrients will be applied according to perceived crop needs without consideration of current soil tests or other accepted methodologies. (0 points)</t>
  </si>
  <si>
    <t xml:space="preserve">Offered land is converted to permanent vegetative cover to perennial species adapted to the site. </t>
  </si>
  <si>
    <t>Woodland, deciduous.coniferous</t>
  </si>
  <si>
    <t>Other</t>
  </si>
  <si>
    <t>Sage grouse/sharp-tailed grouse</t>
  </si>
  <si>
    <t xml:space="preserve">Sage grouse </t>
  </si>
  <si>
    <t>Prairie chicken</t>
  </si>
  <si>
    <t>Sharp-tailed grouse</t>
  </si>
  <si>
    <t>Cassin's sparrow</t>
  </si>
  <si>
    <t>Columbian sharp-tailed grouse</t>
  </si>
  <si>
    <t>Gunnison's sage grouse</t>
  </si>
  <si>
    <t>Colorado River cutthroat trout</t>
  </si>
  <si>
    <t>Greenback cutthroat trout</t>
  </si>
  <si>
    <t>Rio Grande cutthroat trout</t>
  </si>
  <si>
    <t>Arkansas darter</t>
  </si>
  <si>
    <t>Iowa darter</t>
  </si>
  <si>
    <t>Colorado pikeminnow</t>
  </si>
  <si>
    <t>razorback sucker</t>
  </si>
  <si>
    <t xml:space="preserve">Hydrologic Group Factor, Hf (Runoff potential) = </t>
  </si>
  <si>
    <t>EI = 6.8347ln(EI)-12.837; if EI is less than 8, the EI points is set to 0.01</t>
  </si>
  <si>
    <t>The implemented grazing system and facilitating practices favor a State species of special concern, State threatened species, Federal candidate species, or a declining species.  (5 points)</t>
  </si>
  <si>
    <t>The implemented grazing system and facilitating practices favor a State endangered or Federal threatened or endangered species. (4 points)</t>
  </si>
  <si>
    <t>The implemented grazing system and facilitating practices favor a declining native or economically important species.  (3 points)</t>
  </si>
  <si>
    <t>The implemented grazing system and facilitating practices favor species with stable or increasing populations, or are not otherwise listed.  (2 points)</t>
  </si>
  <si>
    <t>WHEG or WSM</t>
  </si>
  <si>
    <t>Grazing Schedule</t>
  </si>
  <si>
    <t>Application's Total Acreage (TA):</t>
  </si>
  <si>
    <t>Below, describe the project actions associated with the overall operation of the ranching/farming enterprise that will be implemented that enhances the wildlife habitat.  List the habitat type, target species and provide the reasons why the improvements will benefit wildlife:</t>
  </si>
  <si>
    <t>Part I.  Producer/Land Unit Information</t>
  </si>
  <si>
    <t>Part II.  Screening Tool</t>
  </si>
  <si>
    <t>Part III.  Environmental Benefit and Cost-Benefit Assessment Effectiveness</t>
  </si>
  <si>
    <t>Part IV.  Ranking Elements-Primary Resource Impact Summary</t>
  </si>
  <si>
    <t>Part V.  Ranking Elements-Multiple Resource Benefit Impact Summary</t>
  </si>
  <si>
    <t>Part III.  Environmental Benefit Emphasis and Cost-Benefit Effectiveness</t>
  </si>
  <si>
    <t>Part IV.  Ranking Elements-Resource Impact Summary</t>
  </si>
  <si>
    <t xml:space="preserve">If no, has the SE Colorado wildlife partner completed a site assessment, identified the target species, and established a framework for a wildlife resource management system plan to be developed ? </t>
  </si>
  <si>
    <t xml:space="preserve">  50-75 =   5</t>
  </si>
  <si>
    <t xml:space="preserve">  25-50 =  10</t>
  </si>
  <si>
    <t xml:space="preserve">  75-100 = 0</t>
  </si>
  <si>
    <t xml:space="preserve">    0-25 =  20</t>
  </si>
  <si>
    <t>(e) Forage analysis (5)</t>
  </si>
  <si>
    <t>(i) Pasture/Range Seeding (acres):</t>
  </si>
  <si>
    <t>(i) Brush Management (acres):</t>
  </si>
  <si>
    <t xml:space="preserve">(ii) Forest Stand Improvement (acres): </t>
  </si>
  <si>
    <t>(iii) Pest Management (acres):</t>
  </si>
  <si>
    <t xml:space="preserve">Subtotal: Joint/Cooperative Agreement Participation Points (2 points per entity) = </t>
  </si>
  <si>
    <t>If either #1 and #2 above are "yes", application is LOW priority.  Go to Question #3.  NOTE: (a) Feedlots/animal feeding operations that are under a judicial (state or federal) court order (i.e. order signed by a judge) are not eligible; (b) a new feedlot is not eligible.</t>
  </si>
  <si>
    <r>
      <t xml:space="preserve">Is this EQIP application requesting Financial Assistance for an expanding feedlot ?  </t>
    </r>
    <r>
      <rPr>
        <b/>
        <sz val="10"/>
        <color indexed="8"/>
        <rFont val="Arial"/>
        <family val="2"/>
      </rPr>
      <t>NOTE:</t>
    </r>
    <r>
      <rPr>
        <sz val="10"/>
        <color indexed="8"/>
        <rFont val="Arial"/>
        <family val="2"/>
      </rPr>
      <t xml:space="preserve"> An existing feedlot that is being moved is not considered an expanding or new feedlot.  In the case of an expanding feedlot, only that part considered existing is eligible for cost-share.</t>
    </r>
  </si>
  <si>
    <t>Offered acres not located within any of the above, but located within the confines of the groundwater alluvium of the Arkansas hydrologic basin (6 points)</t>
  </si>
  <si>
    <t>No. of LL Entities:</t>
  </si>
  <si>
    <t>Lateral Group Joint Agreement (LL):</t>
  </si>
  <si>
    <t>Other Joint Agreement (OJ):</t>
  </si>
  <si>
    <t>No. of OJ Entities =</t>
  </si>
  <si>
    <t>Proportion of Shares (%):</t>
  </si>
  <si>
    <t>1.</t>
  </si>
  <si>
    <t>2.</t>
  </si>
  <si>
    <t>Number of riparian acres improved =</t>
  </si>
  <si>
    <t xml:space="preserve">Subtotal-Grazing Rotation = </t>
  </si>
  <si>
    <t xml:space="preserve">Subtotal-Grazing Intensity = </t>
  </si>
  <si>
    <t xml:space="preserve">Subtotal-Land Monitoring = </t>
  </si>
  <si>
    <t>Subtotal-Species Benefited =</t>
  </si>
  <si>
    <t>Saline/Sodic conditions of the offered acres have been documented based on a grided georeferenced salinity survey (12 points)</t>
  </si>
  <si>
    <t>Saline/Sodic conditions of the offered acres have been documented based on laboratory tests using stratified random sampling where the strata selection is based on factors such as, but not limited to crop appearance difference, or salt accumulation on the soil surface. (10 points)</t>
  </si>
  <si>
    <r>
      <t xml:space="preserve">A. </t>
    </r>
    <r>
      <rPr>
        <sz val="10"/>
        <rFont val="Arial"/>
        <family val="2"/>
      </rPr>
      <t>Weighted Aggregate Rangeland Similarity Index,RS</t>
    </r>
    <r>
      <rPr>
        <vertAlign val="subscript"/>
        <sz val="10"/>
        <rFont val="Arial"/>
        <family val="2"/>
      </rPr>
      <t>i</t>
    </r>
    <r>
      <rPr>
        <sz val="10"/>
        <rFont val="Arial"/>
        <family val="2"/>
      </rPr>
      <t xml:space="preserve"> =</t>
    </r>
  </si>
  <si>
    <t>Identifes the site specific resource concerns associated with excessive soil salinity.</t>
  </si>
  <si>
    <r>
      <t>Benchmark Irrigation-Induced Erosion Index (Before Treatment Condition), EI</t>
    </r>
    <r>
      <rPr>
        <vertAlign val="subscript"/>
        <sz val="10"/>
        <rFont val="Arial"/>
        <family val="2"/>
      </rPr>
      <t>b</t>
    </r>
    <r>
      <rPr>
        <sz val="10"/>
        <rFont val="Arial"/>
        <family val="0"/>
      </rPr>
      <t xml:space="preserve"> =</t>
    </r>
  </si>
  <si>
    <r>
      <t>Planned Irrigation-Induced Erosion Index (After Treatment Condition), EI</t>
    </r>
    <r>
      <rPr>
        <vertAlign val="subscript"/>
        <sz val="10"/>
        <rFont val="Arial"/>
        <family val="2"/>
      </rPr>
      <t>p</t>
    </r>
    <r>
      <rPr>
        <sz val="10"/>
        <rFont val="Arial"/>
        <family val="0"/>
      </rPr>
      <t xml:space="preserve"> =</t>
    </r>
  </si>
  <si>
    <t>Acres of Polyacrylamide application (acres) =</t>
  </si>
  <si>
    <t xml:space="preserve">Percent of offered acres treated with polyacrylamides = </t>
  </si>
  <si>
    <t>I1</t>
  </si>
  <si>
    <t>I2</t>
  </si>
  <si>
    <t>I3</t>
  </si>
  <si>
    <t>I4</t>
  </si>
  <si>
    <t>Total points =I3*Km + I5/100*Km</t>
  </si>
  <si>
    <t>Soil saved on offered acres based on the reduction in the NRCS irrigation-induced erosion index and use of polyacrylamides as an innovative practice.</t>
  </si>
  <si>
    <t>Check box if irrigation erosion is an idenified resource concern</t>
  </si>
  <si>
    <t>Saline/Sodic conditions of the offered acres have been documented based on laboratory tests where samples were taken in a problem area based on factors such as, but not limited to crop appearance differences, or salt accumulation on the soil surface and compared to a non-affected area. (7 points)</t>
  </si>
  <si>
    <t xml:space="preserve">Points for Element III-4 = </t>
  </si>
  <si>
    <t>Resource tool(s) to be used:</t>
  </si>
  <si>
    <r>
      <t>Note:</t>
    </r>
    <r>
      <rPr>
        <sz val="10"/>
        <rFont val="Arial"/>
        <family val="0"/>
      </rPr>
      <t xml:space="preserve"> If points in IV-2 equals 0, points for this element is 0.</t>
    </r>
  </si>
  <si>
    <t xml:space="preserve">Points for Element IV-4 = </t>
  </si>
  <si>
    <t>Element-5:</t>
  </si>
  <si>
    <t xml:space="preserve">Points for Element IV-5 = </t>
  </si>
  <si>
    <t>Element-6:</t>
  </si>
  <si>
    <t xml:space="preserve">Points for Element IV-6 = </t>
  </si>
  <si>
    <t>Will there be at least one enduring structural practice installed that directly affects the use of irrigation water, such as, but not limited to, concrete ditch lining, underground pipe, and land leveling ?</t>
  </si>
  <si>
    <t>National/State/Watershed/Local Emphasis Resource Areas</t>
  </si>
  <si>
    <r>
      <t>Is this application for a joint/cooperative agreement involving an irrigation</t>
    </r>
    <r>
      <rPr>
        <b/>
        <sz val="10"/>
        <rFont val="Arial"/>
        <family val="2"/>
      </rPr>
      <t xml:space="preserve"> lateral</t>
    </r>
    <r>
      <rPr>
        <sz val="10"/>
        <rFont val="Arial"/>
        <family val="2"/>
      </rPr>
      <t xml:space="preserve"> group ?</t>
    </r>
  </si>
  <si>
    <t>Statutory Drainage District name:</t>
  </si>
  <si>
    <t>Identifes significance of resource areas of special emphasis and concern.</t>
  </si>
  <si>
    <t>The implemented conservation system and facilitating practices favor a declining native or economically important species.  (5 points)</t>
  </si>
  <si>
    <t>The implemented conservation system and facilitating practices favor species with stable or increasing populations, or are not otherwise listed.  (2 points)</t>
  </si>
  <si>
    <t>Application Review</t>
  </si>
  <si>
    <t>Certification that this application has been reviewed by a SE Colorado wildlife partner.</t>
  </si>
  <si>
    <t>REVIEWER COMMENTS:</t>
  </si>
  <si>
    <t>Odor Control [Tree/Shrubs] (8 points)</t>
  </si>
  <si>
    <t>Reduction in sheet and rill eroson on offered acres as documented on CPA-52.</t>
  </si>
  <si>
    <t>Reduction in wind erosion on offered acres as documented on the CPA-52.</t>
  </si>
  <si>
    <t>Reduction in gully or ephemeral erosion. Based on the percent of the offered acres affected by ephemeral and/or classic gullies and runoff potential indicated from Hydrologic Group. Concern documented on CPA-52.</t>
  </si>
  <si>
    <t>Planned treatment does not include any enduring structural practices.  (0 points)</t>
  </si>
  <si>
    <t>P1</t>
  </si>
  <si>
    <t>P2</t>
  </si>
  <si>
    <t>Enduring practice points =</t>
  </si>
  <si>
    <t>Total Points = P1+ P2</t>
  </si>
  <si>
    <t>Below, list the target species, then describe briefly the conservation treatment that will be implemented that enhances the wildlife habitat.  Also list the reasons why this conservation management system will benefit wildlife:</t>
  </si>
  <si>
    <t>The implemented conservation system favors a State species of special concern, State threatened species, Federal candidate species, or a declining species.  (5 points)</t>
  </si>
  <si>
    <t>The implemented conservation system favors a State endangered or Federal threatened or endangered species. (4 points)</t>
  </si>
  <si>
    <t>The implemented conservation system favors a declining native or economically important species.  (3 points)</t>
  </si>
  <si>
    <t>Improved management of biosolids, primarily animal wastes obtained from off-site sources and on-site sources.  Points based on amount of available manure and the number of receiving acres.  Element defines the risk of nutrient enrichment of the shallow water tables.</t>
  </si>
  <si>
    <t>Not Applicable</t>
  </si>
  <si>
    <t>Other Drainage District name:</t>
  </si>
  <si>
    <t>(c) Transects (3)</t>
  </si>
  <si>
    <t>Assessment of Existing (Benchmark) Site Specific Rangeland/Grazingland Condition</t>
  </si>
  <si>
    <t>Will there be a change made to the existing tillage system resulting in increased residue amounts by reducing the number and/or kind of tillage operations ?</t>
  </si>
  <si>
    <t>Will there be at least one enduring structural practice installed such as terraces or stripcropping which results in whole field erosion reduction ?</t>
  </si>
  <si>
    <t>Tract Number(s):</t>
  </si>
  <si>
    <t>Location:</t>
  </si>
  <si>
    <t>Planner:</t>
  </si>
  <si>
    <t>Total Points:</t>
  </si>
  <si>
    <t>CONTRACT OFFER INDEX =</t>
  </si>
  <si>
    <t>Benchmark Erosion Rate (t/ac/yr) =</t>
  </si>
  <si>
    <t>Planned Erosion Rate (t/ac/yr) =</t>
  </si>
  <si>
    <r>
      <t>Element Multiplier, K</t>
    </r>
    <r>
      <rPr>
        <vertAlign val="subscript"/>
        <sz val="10"/>
        <rFont val="Arial"/>
        <family val="2"/>
      </rPr>
      <t>m</t>
    </r>
    <r>
      <rPr>
        <sz val="10"/>
        <rFont val="Arial"/>
        <family val="0"/>
      </rPr>
      <t xml:space="preserve"> =</t>
    </r>
  </si>
  <si>
    <t>Reduction in Soil Erosion by Wind</t>
  </si>
  <si>
    <t>none</t>
  </si>
  <si>
    <t>Reduction in Soil Erosion by Water (Sheet and Rill)</t>
  </si>
  <si>
    <t>Reduction in Soil Erosion by Water from Concentrated Flow (Ephemeral and Gully)</t>
  </si>
  <si>
    <t>Producer/ Group Name:</t>
  </si>
  <si>
    <t>Farm Number(s):</t>
  </si>
  <si>
    <t>Date:</t>
  </si>
  <si>
    <r>
      <t>Planned Efficiency, Ef</t>
    </r>
    <r>
      <rPr>
        <vertAlign val="subscript"/>
        <sz val="10"/>
        <rFont val="Arial"/>
        <family val="2"/>
      </rPr>
      <t>p</t>
    </r>
    <r>
      <rPr>
        <sz val="10"/>
        <rFont val="Arial"/>
        <family val="2"/>
      </rPr>
      <t xml:space="preserve"> (%)</t>
    </r>
    <r>
      <rPr>
        <sz val="10"/>
        <rFont val="Arial"/>
        <family val="0"/>
      </rPr>
      <t xml:space="preserve"> =</t>
    </r>
  </si>
  <si>
    <t>Nutrient Management</t>
  </si>
  <si>
    <t>Nutrient Management Plan (acres) =</t>
  </si>
  <si>
    <t>Land area converted (acres)=</t>
  </si>
  <si>
    <t>Animal Waste Management-CNMP</t>
  </si>
  <si>
    <t>Number of receiving acres =</t>
  </si>
  <si>
    <t>Producer/Group Name:</t>
  </si>
  <si>
    <t>Irrigation System/Irrigation Water Management</t>
  </si>
  <si>
    <t>Establishment of Permanent Vegetative Cover</t>
  </si>
  <si>
    <t>Reduction of Sediment Transport and Irrigation-Induced Erosion</t>
  </si>
  <si>
    <r>
      <t>Benchmark (Current) Efficiency, Ef</t>
    </r>
    <r>
      <rPr>
        <vertAlign val="subscript"/>
        <sz val="10"/>
        <rFont val="Arial"/>
        <family val="2"/>
      </rPr>
      <t xml:space="preserve">b </t>
    </r>
    <r>
      <rPr>
        <sz val="10"/>
        <rFont val="Arial"/>
        <family val="2"/>
      </rPr>
      <t>(%)</t>
    </r>
    <r>
      <rPr>
        <sz val="10"/>
        <rFont val="Arial"/>
        <family val="0"/>
      </rPr>
      <t xml:space="preserve"> =</t>
    </r>
  </si>
  <si>
    <r>
      <t>Weighting Factor, K</t>
    </r>
    <r>
      <rPr>
        <vertAlign val="subscript"/>
        <sz val="10"/>
        <rFont val="Arial"/>
        <family val="2"/>
      </rPr>
      <t>m</t>
    </r>
    <r>
      <rPr>
        <sz val="10"/>
        <rFont val="Arial"/>
        <family val="0"/>
      </rPr>
      <t xml:space="preserve"> =</t>
    </r>
  </si>
  <si>
    <t>Salinity Control</t>
  </si>
  <si>
    <t>Benchmark (current) Erosion Rate (t/ac/yr) =</t>
  </si>
  <si>
    <t>(c) No scheduled grazing rotation and each pasture is grazed once during grazing season. (0 points)</t>
  </si>
  <si>
    <t>Winter Annual</t>
  </si>
  <si>
    <t>Crops added to the rotation</t>
  </si>
  <si>
    <t>Holly, CO Northeast Prowers SCD</t>
  </si>
  <si>
    <t>Woodland Park, CO Teller/Park SCD</t>
  </si>
  <si>
    <t>L. Sutherland</t>
  </si>
  <si>
    <t>wwheat-fallow</t>
  </si>
  <si>
    <t>wwheat-sorghum-fallow</t>
  </si>
  <si>
    <t>Planned Crop Rotation:</t>
  </si>
  <si>
    <t>Summer Annual</t>
  </si>
  <si>
    <t>Current Crop Rotation:</t>
  </si>
  <si>
    <t>Rangeland similarity Index</t>
  </si>
  <si>
    <t xml:space="preserve">#1 = </t>
  </si>
  <si>
    <t xml:space="preserve">#2 = </t>
  </si>
  <si>
    <t xml:space="preserve">#3 = </t>
  </si>
  <si>
    <t xml:space="preserve">#4 = </t>
  </si>
  <si>
    <t xml:space="preserve">#5 = </t>
  </si>
  <si>
    <t>Grazing Management System Planned</t>
  </si>
  <si>
    <t>Acreage with given Range Similarity Index</t>
  </si>
  <si>
    <t>Current Pasture Productivity (lb/ac)</t>
  </si>
  <si>
    <t>Potential Pasture Productivity (lb/ac)</t>
  </si>
  <si>
    <t>Acreage</t>
  </si>
  <si>
    <t>Habitat Type</t>
  </si>
  <si>
    <t>Foothills</t>
  </si>
  <si>
    <t>Bird:</t>
  </si>
  <si>
    <t>Mammal:</t>
  </si>
  <si>
    <t>Fish:</t>
  </si>
  <si>
    <t>Preble's meadow jumping mouse</t>
  </si>
  <si>
    <t>R. Rhoades</t>
  </si>
  <si>
    <t>Joint Contract Agreement:</t>
  </si>
  <si>
    <t>Yes</t>
  </si>
  <si>
    <t>No</t>
  </si>
  <si>
    <t>(d) High Intensity Short Duration Grazing System (1 herd)</t>
  </si>
  <si>
    <t>Improved forage improvement of enhanced plant diversity and vigor by improved management of the grazing system</t>
  </si>
  <si>
    <t>Salida, CO Field Office</t>
  </si>
  <si>
    <t>Silver Cliff, CO Field Office</t>
  </si>
  <si>
    <r>
      <t>Soil Erosion Reduction, ER</t>
    </r>
    <r>
      <rPr>
        <vertAlign val="subscript"/>
        <sz val="10"/>
        <rFont val="Arial"/>
        <family val="2"/>
      </rPr>
      <t>a</t>
    </r>
    <r>
      <rPr>
        <sz val="10"/>
        <rFont val="Arial"/>
        <family val="0"/>
      </rPr>
      <t xml:space="preserve"> (t/ac/yr) =</t>
    </r>
  </si>
  <si>
    <t xml:space="preserve">Points for Element III-1 = </t>
  </si>
  <si>
    <t>Scores points for those applications demonstrating higher level of performance with long-lived practices</t>
  </si>
  <si>
    <t xml:space="preserve">Points for Element III-2 = </t>
  </si>
  <si>
    <t>YES</t>
  </si>
  <si>
    <t>NO</t>
  </si>
  <si>
    <t>Resource tool to be used:</t>
  </si>
  <si>
    <t>RUSLE</t>
  </si>
  <si>
    <t>EXCEL-WEQ</t>
  </si>
  <si>
    <t>Cost-Benefit Effectiveness</t>
  </si>
  <si>
    <t xml:space="preserve">Points for Element III-3 = </t>
  </si>
  <si>
    <t xml:space="preserve">Points for Element IV-1 = </t>
  </si>
  <si>
    <t xml:space="preserve">Points for Element IV-2 = </t>
  </si>
  <si>
    <t>Soil Quality-Carbon Sequestration</t>
  </si>
  <si>
    <t>Below describe briefly the conservation treatment that will be implemented that results in the resource impact in Element #2:</t>
  </si>
  <si>
    <t>Assessment of Site Specific Potential Erodibility-Wind and Water (Sheet and Rill)</t>
  </si>
  <si>
    <t>Number of affected acres =</t>
  </si>
  <si>
    <t xml:space="preserve">Points for Element IV-3 = </t>
  </si>
  <si>
    <t>Field bindweed</t>
  </si>
  <si>
    <t>Jointed Goatgrass</t>
  </si>
  <si>
    <t>Leafy spurge</t>
  </si>
  <si>
    <t>Number of cropland acres converted to permanent vegetation =</t>
  </si>
  <si>
    <t>Canada thistle</t>
  </si>
  <si>
    <t>Offered acres not located within any of the above (0 points)</t>
  </si>
  <si>
    <t xml:space="preserve">Percent of offered acres = </t>
  </si>
  <si>
    <t>New, improved, or enhanced efforts in applying nutrient management. Points allowed ONLY where new, improved, or enhanced performance and implementaion of nutrient management is applied.</t>
  </si>
  <si>
    <t xml:space="preserve">Nutrient Recommendation Method Points = </t>
  </si>
  <si>
    <t>FIRS and TR21</t>
  </si>
  <si>
    <t>Improvement in the relative efficiency for the irrigation on the offered acres</t>
  </si>
  <si>
    <t>Eng Tech Note #23</t>
  </si>
  <si>
    <t>DSn =</t>
  </si>
  <si>
    <t>DSr =</t>
  </si>
  <si>
    <t>Is on-farm surface drainage system renovation needed?</t>
  </si>
  <si>
    <t>Application Total Points:</t>
  </si>
  <si>
    <t>Assessment of Site Specific Potential Risks</t>
  </si>
  <si>
    <t>Is existing facility located within the 100 year floodplain ?</t>
  </si>
  <si>
    <t>a.</t>
  </si>
  <si>
    <t>b.</t>
  </si>
  <si>
    <t xml:space="preserve">2a Points = </t>
  </si>
  <si>
    <r>
      <t>Element scores points for those applications with the lowest cost and based on the cost per unit land area treated.</t>
    </r>
    <r>
      <rPr>
        <sz val="10"/>
        <rFont val="Arial"/>
        <family val="2"/>
      </rPr>
      <t xml:space="preserve">  </t>
    </r>
    <r>
      <rPr>
        <b/>
        <sz val="10"/>
        <rFont val="Arial"/>
        <family val="2"/>
      </rPr>
      <t>Points for element can not be greater than 15 nor be less than 0.</t>
    </r>
  </si>
  <si>
    <t>Total Points = -4.2252*ln[C3]+23.705; minimum points = 0; maximum points = 15.</t>
  </si>
  <si>
    <r>
      <t xml:space="preserve">Element scores points for those applications with the lowest cost and based on the cost per unit land area treated.  </t>
    </r>
    <r>
      <rPr>
        <b/>
        <sz val="10"/>
        <rFont val="Arial"/>
        <family val="2"/>
      </rPr>
      <t>Points for element can not be greater than 15 nor less than 0.</t>
    </r>
  </si>
  <si>
    <t>Total Points = -3.2836*ln[C3]+20.509; minimum points = 0; maximum points = 15.</t>
  </si>
  <si>
    <r>
      <t xml:space="preserve">Element considers the cost-effectiveness and weighing the total cost and environmental benefit of the implemented practices.  Scoring is based on the ratio of total project cost to the number of animals.  The lower the cost per animal, the higher the points for this element.  </t>
    </r>
    <r>
      <rPr>
        <b/>
        <sz val="10"/>
        <color indexed="8"/>
        <rFont val="Arial"/>
        <family val="2"/>
      </rPr>
      <t>Points for element can not be greater than 20 and not less than 0.</t>
    </r>
  </si>
  <si>
    <t>Total Points = 1138.5*C3^ -1.0182; minimum number of points = 0; maximum points = 20.</t>
  </si>
  <si>
    <t>not applicable</t>
  </si>
  <si>
    <t>Improved management towards regulating the water table and ground water flows for providing soil profile salt balance to sustain crop productivity and abatement of groundwater degradation.</t>
  </si>
  <si>
    <t xml:space="preserve">Will some kind of planned grazing system improvement be planned and implemented as a part of this application ? </t>
  </si>
  <si>
    <r>
      <t xml:space="preserve">Scores points for those applicants willing to participate in cooperative arrangements. NO DATA ENTRY REQUIRED. </t>
    </r>
    <r>
      <rPr>
        <b/>
        <sz val="10"/>
        <rFont val="Arial"/>
        <family val="2"/>
      </rPr>
      <t>Maximum points equals 20.</t>
    </r>
  </si>
  <si>
    <t>The implemented grazing system and facilitating practices do not favor the enhancement or improvement in wildlife habitat.  (0 points)</t>
  </si>
  <si>
    <t>A. Pest Management (Noxious Weed/Invasive Species) Assessment:</t>
  </si>
  <si>
    <t>? :</t>
  </si>
  <si>
    <t>The implemented cropland system and facilitating practices do not favor the improvement or enhancement of wildlife habitat.  (0 points)</t>
  </si>
  <si>
    <t>Below describe briefly the conservation treatment that will be implemented that results in the resource impact in Element #6:</t>
  </si>
  <si>
    <t xml:space="preserve">Total Points for Element III-1 = </t>
  </si>
  <si>
    <t xml:space="preserve">Total Points for Element III-2 = </t>
  </si>
  <si>
    <t xml:space="preserve">2b Points = </t>
  </si>
  <si>
    <t>c.</t>
  </si>
  <si>
    <t>d.</t>
  </si>
  <si>
    <t>Plan Components</t>
  </si>
  <si>
    <t>adequate</t>
  </si>
  <si>
    <t>Inadequate</t>
  </si>
  <si>
    <t>Existing Component</t>
  </si>
  <si>
    <t>Collection and transport</t>
  </si>
  <si>
    <t>Component Non-existent</t>
  </si>
  <si>
    <t>Seepage Control</t>
  </si>
  <si>
    <t>Transfer</t>
  </si>
  <si>
    <t>e.</t>
  </si>
  <si>
    <t>Kind:</t>
  </si>
  <si>
    <t>Is there a foreign water source that is contributing to the waste runoff from the existing facility?</t>
  </si>
  <si>
    <t xml:space="preserve">Total Points for Element III-3 = </t>
  </si>
  <si>
    <t>Total Points = 2a+2b+2c+2d</t>
  </si>
  <si>
    <t>P6)</t>
  </si>
  <si>
    <t xml:space="preserve">Total Points for Element IV-1 = </t>
  </si>
  <si>
    <t>0 Points</t>
  </si>
  <si>
    <t>5 Points</t>
  </si>
  <si>
    <t>10 Points</t>
  </si>
  <si>
    <t>On-site biosolids obtained annually, tons =</t>
  </si>
  <si>
    <t>Loading rate of receiving land, tons/acre =</t>
  </si>
  <si>
    <t>Subtotal: Pasture Points, (N7/100*N8) =</t>
  </si>
  <si>
    <t xml:space="preserve">Total Points for Element IV-2 = </t>
  </si>
  <si>
    <t>Nutrients are applied according to site specifc, grid based sampling (10 points)</t>
  </si>
  <si>
    <t>1-6 tons/acre = 5         16-30 tons/acre = 10</t>
  </si>
  <si>
    <t>6-16 tons/acre = 7.5     &gt;30 tons/acre = 12.5</t>
  </si>
  <si>
    <t>Applicant has requested technical assistance to an existing agricultural waste facility which includes an expansion of the animal feeding operation (0 points)</t>
  </si>
  <si>
    <t>L.G. "Smitty" Smith</t>
  </si>
  <si>
    <t>Priority is given to those existing applications where the facility is not being expanded.</t>
  </si>
  <si>
    <t>Emphasis on Existing Animal Feeding Operations</t>
  </si>
  <si>
    <t>A. Current Status of Ag Waste Mgt System:</t>
  </si>
  <si>
    <t>B. Innovative Practices Planned:</t>
  </si>
  <si>
    <t>Composting Facility (8 points)</t>
  </si>
  <si>
    <t>Wastewater Treatment Strip (8 points)</t>
  </si>
  <si>
    <t>Identifies inadequate and non-existent components that are needed and recognizes innovative practices.</t>
  </si>
  <si>
    <t>Saline/sodic conditions of the offered acres have been documented based on a routine laboratory soil test. (5 points)</t>
  </si>
  <si>
    <t>There is a liklihood that a saline/sodic conditions exist on the offered acres based on crop appearance differences, or salt accumulation on the soil surface. (2 points)</t>
  </si>
  <si>
    <t>S4</t>
  </si>
  <si>
    <t>Name of wildlife partner organization:</t>
  </si>
  <si>
    <t>Colorado Division of Wildlife</t>
  </si>
  <si>
    <t>U.S. Fish and Wildlife Service</t>
  </si>
  <si>
    <t xml:space="preserve">Total Points for Element V-3 = </t>
  </si>
  <si>
    <t>Kind of Entity or Joint Operation:</t>
  </si>
  <si>
    <t>Individual</t>
  </si>
  <si>
    <t>Limited Liability Limited Partnership</t>
  </si>
  <si>
    <t xml:space="preserve">Total Points for Element V-1 = </t>
  </si>
  <si>
    <t>no.=</t>
  </si>
  <si>
    <t>S1)</t>
  </si>
  <si>
    <t>S2)</t>
  </si>
  <si>
    <t>S3)</t>
  </si>
  <si>
    <t>S4)</t>
  </si>
  <si>
    <r>
      <t>Offered acres adjustment factor, L</t>
    </r>
    <r>
      <rPr>
        <vertAlign val="subscript"/>
        <sz val="10"/>
        <rFont val="Arial"/>
        <family val="2"/>
      </rPr>
      <t>adj</t>
    </r>
    <r>
      <rPr>
        <sz val="10"/>
        <rFont val="Arial"/>
        <family val="0"/>
      </rPr>
      <t xml:space="preserve"> =</t>
    </r>
  </si>
  <si>
    <t>B. Cropland Conversion to Permanent Cover</t>
  </si>
  <si>
    <t>Element 3:</t>
  </si>
  <si>
    <t>Percent of offered acres affected =</t>
  </si>
  <si>
    <t xml:space="preserve">Existing Hazard Rating = </t>
  </si>
  <si>
    <t>Below, describe briefly the conservation treatment that will be implemented that results in the resource impact in Element #1:</t>
  </si>
  <si>
    <t>Below, describe briefly the conservation treatment that will be implemented that results in the resource impact in Element #3:</t>
  </si>
  <si>
    <t xml:space="preserve">C1 </t>
  </si>
  <si>
    <t>C3 = C1/C2</t>
  </si>
  <si>
    <t>N5</t>
  </si>
  <si>
    <t>Total Points = Sum N1 thru N11</t>
  </si>
  <si>
    <t>M3 = M1/M2</t>
  </si>
  <si>
    <t>M5</t>
  </si>
  <si>
    <t>Total Points = M4+M5</t>
  </si>
  <si>
    <t>Is this EQIP application requesting Financial Assistance for an animal waste system for an existing animal feeding operation which includes relocation of all or part of the facility ?</t>
  </si>
  <si>
    <t>If #3 is "yes", application in HIGH priority; if "no", application is MEDIUM priority.</t>
  </si>
  <si>
    <t>Below, describe briefly the conservation treatment that will be implemented that results in the resource impact in Element #2:</t>
  </si>
  <si>
    <t>Wildlife Habitat Improvement as a Result of the Agricultural Enterprise</t>
  </si>
  <si>
    <t xml:space="preserve">Points for Element V-1 = </t>
  </si>
  <si>
    <t>other</t>
  </si>
  <si>
    <t>Below describe briefly the conservation treatment that will be implemented that results in the resource impact in Element #1:</t>
  </si>
  <si>
    <t>pronghorn antelope</t>
  </si>
  <si>
    <t>Element-1:</t>
  </si>
  <si>
    <t>Element-2:</t>
  </si>
  <si>
    <t>Identifes the site specific risk of environmental degradation based on location of the existing animal feeding operation.</t>
  </si>
  <si>
    <t xml:space="preserve">Depth to groundwater, Dg (ft)  = </t>
  </si>
  <si>
    <t xml:space="preserve">Distance to surface water, Ds (ft) = </t>
  </si>
  <si>
    <t>Element-3:</t>
  </si>
  <si>
    <t>Element-4:</t>
  </si>
  <si>
    <t>Below, describe briefly the conservation treatment that will be implemented which will improve the components of the agricultural waste management system.  Also describe, briefly,  the strategy in using the innovative practices, if any:</t>
  </si>
  <si>
    <t>Evaporation Pond [Pond] (8 points)</t>
  </si>
  <si>
    <t>Applicant has requested technical assistance to an existing agricultural waste facility which does not include an expansion of the animal feeding operation (10 points.)</t>
  </si>
  <si>
    <t>Solids Trap [Sediment Basin] (8 points)</t>
  </si>
  <si>
    <t>Below, briefly describe the conditions of the receiving acres and the method and application timing of the biosolids:</t>
  </si>
  <si>
    <t xml:space="preserve">Points for potential biosolid loading rate = </t>
  </si>
  <si>
    <t xml:space="preserve">Agricultural Waste Management Plan-CNMP </t>
  </si>
  <si>
    <t>Nutrients are applied, non-site specifc, based on conventional soil sampling techniques (5 Points)</t>
  </si>
  <si>
    <t>Storage and/or Treatment</t>
  </si>
  <si>
    <t>Waste Utilization/ Processing</t>
  </si>
  <si>
    <t>Beef Cattle</t>
  </si>
  <si>
    <t>grass: (0.84)</t>
  </si>
  <si>
    <t>broadleaf: (1.00)</t>
  </si>
  <si>
    <t>grass: (0.50)</t>
  </si>
  <si>
    <t>broadleaf: (0.67)</t>
  </si>
  <si>
    <t>* Values in parentheses are the diversity points per crop</t>
  </si>
  <si>
    <t>If the proposed project acres are not in either a State identified wildlife area or a locally identified wildlife area points for Part A =0.</t>
  </si>
  <si>
    <t xml:space="preserve">Total Cost/Animal Ratio, $/Animal = </t>
  </si>
  <si>
    <t>Priority:</t>
  </si>
  <si>
    <t>Riparian/Wetland (6 points)</t>
  </si>
  <si>
    <t>Will the applicant's goals be enhanced through leveraging funds from wildlife partner source(s) other than from the applicant(s) ?</t>
  </si>
  <si>
    <t>Wildlife Partner and Joint/Cooperative Agreement Participation</t>
  </si>
  <si>
    <t>If #4 is "yes" the application is considered HIGH priority; if "no" application is considered MEDIUM priority.</t>
  </si>
  <si>
    <t>Pasture Acres:</t>
  </si>
  <si>
    <t>Rangeland Acres:</t>
  </si>
  <si>
    <t>Signature of  professional wildlife partner Reviewer:</t>
  </si>
  <si>
    <t>Signature of professional wildlife partner Reviewer:</t>
  </si>
  <si>
    <t>If #4 is "yes", application is HIGH priority, if "no" the application is MEDIUM priority.</t>
  </si>
  <si>
    <t>Multiple benefit of soil erosion reduction and increasing soil quality by increasing crop diversity and intensity.  Based on the addition of crops to the rotation or converting lands to permanent cover.</t>
  </si>
  <si>
    <t xml:space="preserve">Number of acres with addition of crops to the rotation = </t>
  </si>
  <si>
    <t>A. Change in Crop Rotation</t>
  </si>
  <si>
    <r>
      <t>Weighting factor, W</t>
    </r>
    <r>
      <rPr>
        <vertAlign val="subscript"/>
        <sz val="10"/>
        <rFont val="Arial"/>
        <family val="2"/>
      </rPr>
      <t>t</t>
    </r>
    <r>
      <rPr>
        <sz val="10"/>
        <rFont val="Arial"/>
        <family val="0"/>
      </rPr>
      <t xml:space="preserve"> [D4)*2800] =</t>
    </r>
  </si>
  <si>
    <t xml:space="preserve">Number of acres in D2) expressed as a percent of the total offered acreage (TA) = </t>
  </si>
  <si>
    <t>Application's Total Treated Acreage (TA):</t>
  </si>
  <si>
    <t>Multiple benefit of soil erosion reduction and increasing soil quality variables with increased crop aftermath production potential with enhanced quantity and quality of the residue producing agricultural commodities.</t>
  </si>
  <si>
    <t>Russian knapweed</t>
  </si>
  <si>
    <t>Johnsongrass</t>
  </si>
  <si>
    <t xml:space="preserve">Group 1 Points = </t>
  </si>
  <si>
    <t>Downy brome</t>
  </si>
  <si>
    <t xml:space="preserve">Group 2 Points = </t>
  </si>
  <si>
    <t>Clearfield Wheat Management System</t>
  </si>
  <si>
    <t xml:space="preserve">Innovative Practice(s) Points = </t>
  </si>
  <si>
    <t>Is the plants unsuitable resource concern properly documented on the CPA-52 ?</t>
  </si>
  <si>
    <t>B. Pest Management Innovative Practices (IP) Planned:</t>
  </si>
  <si>
    <t xml:space="preserve">Points for Element V-2 = </t>
  </si>
  <si>
    <t xml:space="preserve">a.  </t>
  </si>
  <si>
    <t>If #3 is "Yes" application is MEDIUM priority; if "no" application is HIGH priority.</t>
  </si>
  <si>
    <t>Site Specific Assessment of Soil Salinity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</si>
</sst>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00"/>
    <numFmt numFmtId="167" formatCode="dd\-mmm\-yy"/>
    <numFmt numFmtId="168" formatCode="0.000"/>
    <numFmt numFmtId="169" formatCode="0.0%"/>
    <numFmt numFmtId="170" formatCode="&quot;$&quot;#,##0"/>
    <numFmt numFmtId="171" formatCode="#,##0.000"/>
    <numFmt numFmtId="172" formatCode="#,##0.0000"/>
    <numFmt numFmtId="173" formatCode="#,##0.00000"/>
    <numFmt numFmtId="174" formatCode="#,##0.0"/>
    <numFmt numFmtId="175" formatCode="0.00000"/>
  </numFmts>
  <fonts count="49">
    <font>
      <sz val="10"/>
      <name val="Arial"/>
      <family val="0"/>
    </font>
    <font>
      <b/>
      <sz val="14"/>
      <name val="Arial"/>
      <family val="2"/>
    </font>
    <font>
      <b/>
      <sz val="10"/>
      <name val="Arial"/>
      <family val="2"/>
    </font>
    <font>
      <sz val="9"/>
      <name val="Arial"/>
      <family val="2"/>
    </font>
    <font>
      <b/>
      <sz val="12"/>
      <name val="Arial"/>
      <family val="2"/>
    </font>
    <font>
      <i/>
      <sz val="10"/>
      <name val="Arial"/>
      <family val="0"/>
    </font>
    <font>
      <vertAlign val="subscript"/>
      <sz val="10"/>
      <name val="Arial"/>
      <family val="2"/>
    </font>
    <font>
      <sz val="8"/>
      <name val="Arial"/>
      <family val="2"/>
    </font>
    <font>
      <b/>
      <sz val="9"/>
      <name val="Arial"/>
      <family val="2"/>
    </font>
    <font>
      <b/>
      <sz val="8"/>
      <name val="Tahoma"/>
      <family val="0"/>
    </font>
    <font>
      <sz val="8"/>
      <name val="Tahoma"/>
      <family val="0"/>
    </font>
    <font>
      <sz val="10"/>
      <color indexed="9"/>
      <name val="Arial"/>
      <family val="2"/>
    </font>
    <font>
      <sz val="10"/>
      <color indexed="8"/>
      <name val="Arial"/>
      <family val="2"/>
    </font>
    <font>
      <sz val="14"/>
      <name val="Arial"/>
      <family val="2"/>
    </font>
    <font>
      <sz val="11"/>
      <name val="Arial"/>
      <family val="2"/>
    </font>
    <font>
      <sz val="11"/>
      <name val="Arial Narrow"/>
      <family val="2"/>
    </font>
    <font>
      <sz val="10"/>
      <name val="Arial Narrow"/>
      <family val="2"/>
    </font>
    <font>
      <b/>
      <sz val="11"/>
      <name val="Arial"/>
      <family val="2"/>
    </font>
    <font>
      <b/>
      <sz val="12"/>
      <name val="Times New Roman"/>
      <family val="1"/>
    </font>
    <font>
      <i/>
      <sz val="11"/>
      <name val="Arial Narrow"/>
      <family val="2"/>
    </font>
    <font>
      <b/>
      <i/>
      <sz val="11"/>
      <name val="Arial"/>
      <family val="2"/>
    </font>
    <font>
      <b/>
      <i/>
      <sz val="10"/>
      <name val="Arial"/>
      <family val="0"/>
    </font>
    <font>
      <i/>
      <sz val="11"/>
      <name val="Arial"/>
      <family val="2"/>
    </font>
    <font>
      <sz val="12"/>
      <name val="Arial Narrow"/>
      <family val="2"/>
    </font>
    <font>
      <b/>
      <sz val="10"/>
      <color indexed="8"/>
      <name val="Arial"/>
      <family val="2"/>
    </font>
    <font>
      <b/>
      <sz val="14"/>
      <color indexed="8"/>
      <name val="Arial"/>
      <family val="2"/>
    </font>
    <font>
      <b/>
      <sz val="9"/>
      <color indexed="8"/>
      <name val="Arial"/>
      <family val="2"/>
    </font>
    <font>
      <sz val="11"/>
      <color indexed="8"/>
      <name val="Arial"/>
      <family val="2"/>
    </font>
    <font>
      <b/>
      <sz val="12"/>
      <color indexed="8"/>
      <name val="Times New Roman"/>
      <family val="1"/>
    </font>
    <font>
      <b/>
      <sz val="12"/>
      <color indexed="8"/>
      <name val="Arial"/>
      <family val="2"/>
    </font>
    <font>
      <i/>
      <sz val="10"/>
      <color indexed="8"/>
      <name val="Arial"/>
      <family val="2"/>
    </font>
    <font>
      <i/>
      <sz val="11"/>
      <color indexed="8"/>
      <name val="Arial"/>
      <family val="2"/>
    </font>
    <font>
      <b/>
      <sz val="11"/>
      <color indexed="8"/>
      <name val="Arial"/>
      <family val="2"/>
    </font>
    <font>
      <b/>
      <i/>
      <sz val="11"/>
      <color indexed="8"/>
      <name val="Arial"/>
      <family val="2"/>
    </font>
    <font>
      <sz val="11"/>
      <color indexed="8"/>
      <name val="Arial Narrow"/>
      <family val="2"/>
    </font>
    <font>
      <i/>
      <sz val="11"/>
      <color indexed="8"/>
      <name val="Arial Narrow"/>
      <family val="2"/>
    </font>
    <font>
      <b/>
      <i/>
      <sz val="10"/>
      <color indexed="8"/>
      <name val="Arial"/>
      <family val="0"/>
    </font>
    <font>
      <b/>
      <sz val="8"/>
      <color indexed="8"/>
      <name val="Arial"/>
      <family val="2"/>
    </font>
    <font>
      <sz val="9"/>
      <color indexed="8"/>
      <name val="Arial"/>
      <family val="2"/>
    </font>
    <font>
      <sz val="12"/>
      <name val="Times New Roman"/>
      <family val="1"/>
    </font>
    <font>
      <b/>
      <sz val="10"/>
      <name val="Arial Narrow"/>
      <family val="2"/>
    </font>
    <font>
      <b/>
      <sz val="10"/>
      <color indexed="10"/>
      <name val="Arial"/>
      <family val="2"/>
    </font>
    <font>
      <b/>
      <sz val="11"/>
      <name val="Arial Narrow"/>
      <family val="2"/>
    </font>
    <font>
      <b/>
      <sz val="11"/>
      <color indexed="10"/>
      <name val="Arial"/>
      <family val="2"/>
    </font>
    <font>
      <b/>
      <i/>
      <sz val="12"/>
      <color indexed="8"/>
      <name val="Arial"/>
      <family val="2"/>
    </font>
    <font>
      <sz val="12"/>
      <name val="Arial"/>
      <family val="2"/>
    </font>
    <font>
      <b/>
      <sz val="12"/>
      <name val="Arial Narrow"/>
      <family val="2"/>
    </font>
    <font>
      <u val="single"/>
      <sz val="8"/>
      <name val="Tahoma"/>
      <family val="2"/>
    </font>
    <font>
      <b/>
      <sz val="8"/>
      <name val="Arial"/>
      <family val="2"/>
    </font>
  </fonts>
  <fills count="10">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s>
  <borders count="169">
    <border>
      <left/>
      <right/>
      <top/>
      <bottom/>
      <diagonal/>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medium"/>
    </border>
    <border>
      <left style="thin"/>
      <right>
        <color indexed="63"/>
      </right>
      <top style="medium"/>
      <bottom style="dashed"/>
    </border>
    <border>
      <left style="thin"/>
      <right style="thin"/>
      <top style="medium"/>
      <bottom style="dashed"/>
    </border>
    <border>
      <left style="thin"/>
      <right style="medium"/>
      <top style="medium"/>
      <bottom style="dashed"/>
    </border>
    <border>
      <left style="thin"/>
      <right>
        <color indexed="63"/>
      </right>
      <top style="dashed"/>
      <bottom style="mediumDashDotDot"/>
    </border>
    <border>
      <left style="thin"/>
      <right style="thin"/>
      <top style="dashed"/>
      <bottom style="mediumDashDotDot"/>
    </border>
    <border>
      <left>
        <color indexed="63"/>
      </left>
      <right style="medium"/>
      <top style="dashed"/>
      <bottom style="mediumDashDotDot"/>
    </border>
    <border>
      <left>
        <color indexed="63"/>
      </left>
      <right>
        <color indexed="63"/>
      </right>
      <top style="thin"/>
      <bottom>
        <color indexed="63"/>
      </bottom>
    </border>
    <border>
      <left>
        <color indexed="63"/>
      </left>
      <right>
        <color indexed="63"/>
      </right>
      <top style="thin"/>
      <bottom style="thin"/>
    </border>
    <border>
      <left style="thin"/>
      <right style="medium"/>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color indexed="63"/>
      </right>
      <top>
        <color indexed="63"/>
      </top>
      <bottom style="mediumDashed"/>
    </border>
    <border>
      <left>
        <color indexed="63"/>
      </left>
      <right>
        <color indexed="63"/>
      </right>
      <top style="medium"/>
      <bottom style="medium"/>
    </border>
    <border>
      <left style="dotted"/>
      <right>
        <color indexed="63"/>
      </right>
      <top style="medium"/>
      <bottom style="mediumDashDotDot"/>
    </border>
    <border>
      <left style="dotted"/>
      <right style="medium"/>
      <top style="mediumDashDotDot"/>
      <bottom style="thin"/>
    </border>
    <border>
      <left style="thin"/>
      <right style="thin"/>
      <top style="double"/>
      <bottom style="thin"/>
    </border>
    <border>
      <left style="dotted"/>
      <right style="medium"/>
      <top style="medium"/>
      <bottom>
        <color indexed="63"/>
      </bottom>
    </border>
    <border>
      <left style="dotted"/>
      <right style="medium"/>
      <top style="thin"/>
      <bottom style="thin"/>
    </border>
    <border>
      <left style="double"/>
      <right style="double"/>
      <top style="double"/>
      <bottom style="double"/>
    </border>
    <border>
      <left>
        <color indexed="63"/>
      </left>
      <right>
        <color indexed="63"/>
      </right>
      <top style="double"/>
      <bottom>
        <color indexed="63"/>
      </bottom>
    </border>
    <border>
      <left style="dotted"/>
      <right style="medium"/>
      <top>
        <color indexed="63"/>
      </top>
      <bottom style="thin"/>
    </border>
    <border>
      <left>
        <color indexed="63"/>
      </left>
      <right>
        <color indexed="63"/>
      </right>
      <top>
        <color indexed="63"/>
      </top>
      <bottom style="mediumDashDotDot"/>
    </border>
    <border>
      <left style="thin"/>
      <right style="thin"/>
      <top style="thin"/>
      <bottom style="mediumDashed"/>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style="medium"/>
    </border>
    <border>
      <left style="medium"/>
      <right>
        <color indexed="63"/>
      </right>
      <top style="mediumDashDotDot"/>
      <bottom>
        <color indexed="63"/>
      </bottom>
    </border>
    <border>
      <left style="medium"/>
      <right style="medium"/>
      <top style="medium"/>
      <bottom style="mediu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ouble"/>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style="thin"/>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style="mediumDashed"/>
    </border>
    <border>
      <left style="medium"/>
      <right>
        <color indexed="63"/>
      </right>
      <top style="medium"/>
      <bottom style="dotted"/>
    </border>
    <border>
      <left style="dotted"/>
      <right>
        <color indexed="63"/>
      </right>
      <top style="medium"/>
      <bottom style="dotted"/>
    </border>
    <border>
      <left style="medium"/>
      <right>
        <color indexed="63"/>
      </right>
      <top style="dotted"/>
      <bottom style="mediumDashDotDot"/>
    </border>
    <border>
      <left style="dotted"/>
      <right>
        <color indexed="63"/>
      </right>
      <top style="dotted"/>
      <bottom style="mediumDashDotDot"/>
    </border>
    <border>
      <left style="medium"/>
      <right style="medium"/>
      <top>
        <color indexed="63"/>
      </top>
      <bottom style="mediumDashDotDot"/>
    </border>
    <border>
      <left style="medium"/>
      <right>
        <color indexed="63"/>
      </right>
      <top>
        <color indexed="63"/>
      </top>
      <bottom style="thin"/>
    </border>
    <border>
      <left style="dotted"/>
      <right>
        <color indexed="63"/>
      </right>
      <top>
        <color indexed="63"/>
      </top>
      <bottom style="dotted"/>
    </border>
    <border>
      <left style="medium"/>
      <right style="medium"/>
      <top>
        <color indexed="63"/>
      </top>
      <bottom style="thin"/>
    </border>
    <border>
      <left style="medium"/>
      <right style="medium"/>
      <top style="thin"/>
      <bottom style="thin"/>
    </border>
    <border>
      <left style="dotted"/>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style="medium"/>
      <right style="medium"/>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color indexed="63"/>
      </bottom>
    </border>
    <border>
      <left>
        <color indexed="63"/>
      </left>
      <right style="medium"/>
      <top style="medium"/>
      <bottom>
        <color indexed="63"/>
      </bottom>
    </border>
    <border>
      <left style="thin"/>
      <right style="thin"/>
      <top>
        <color indexed="63"/>
      </top>
      <bottom style="mediumDashed"/>
    </border>
    <border>
      <left style="dotted"/>
      <right>
        <color indexed="63"/>
      </right>
      <top style="medium"/>
      <bottom style="dashed"/>
    </border>
    <border>
      <left style="medium"/>
      <right>
        <color indexed="63"/>
      </right>
      <top style="dashed"/>
      <bottom style="mediumDashDotDot"/>
    </border>
    <border>
      <left style="dotted"/>
      <right>
        <color indexed="63"/>
      </right>
      <top style="dashed"/>
      <bottom style="mediumDashDotDot"/>
    </border>
    <border>
      <left style="thin"/>
      <right>
        <color indexed="63"/>
      </right>
      <top style="thin"/>
      <bottom style="dashDot"/>
    </border>
    <border>
      <left style="medium"/>
      <right>
        <color indexed="63"/>
      </right>
      <top style="medium"/>
      <bottom style="medium"/>
    </border>
    <border>
      <left>
        <color indexed="63"/>
      </left>
      <right style="thin"/>
      <top style="thin"/>
      <bottom style="thin"/>
    </border>
    <border>
      <left style="thin"/>
      <right style="medium"/>
      <top style="medium"/>
      <bottom style="thin"/>
    </border>
    <border>
      <left style="dotted"/>
      <right>
        <color indexed="63"/>
      </right>
      <top>
        <color indexed="63"/>
      </top>
      <bottom style="mediumDashDotDot"/>
    </border>
    <border>
      <left style="dotted"/>
      <right>
        <color indexed="63"/>
      </right>
      <top>
        <color indexed="63"/>
      </top>
      <bottom style="thin"/>
    </border>
    <border>
      <left>
        <color indexed="63"/>
      </left>
      <right style="medium"/>
      <top style="thin"/>
      <bottom>
        <color indexed="63"/>
      </bottom>
    </border>
    <border>
      <left style="medium"/>
      <right>
        <color indexed="63"/>
      </right>
      <top style="medium"/>
      <bottom style="mediumDashDotDot"/>
    </border>
    <border>
      <left style="medium"/>
      <right style="medium"/>
      <top style="medium"/>
      <bottom style="thin"/>
    </border>
    <border>
      <left style="medium"/>
      <right>
        <color indexed="63"/>
      </right>
      <top style="mediumDashDotDot"/>
      <bottom style="thin"/>
    </border>
    <border>
      <left style="thin"/>
      <right>
        <color indexed="63"/>
      </right>
      <top style="double"/>
      <bottom>
        <color indexed="63"/>
      </bottom>
    </border>
    <border>
      <left>
        <color indexed="63"/>
      </left>
      <right style="medium"/>
      <top style="double"/>
      <bottom>
        <color indexed="63"/>
      </bottom>
    </border>
    <border>
      <left style="thin"/>
      <right style="medium"/>
      <top style="thin"/>
      <bottom style="medium"/>
    </border>
    <border>
      <left style="medium"/>
      <right>
        <color indexed="63"/>
      </right>
      <top style="double"/>
      <bottom style="double"/>
    </border>
    <border>
      <left>
        <color indexed="63"/>
      </left>
      <right style="medium"/>
      <top style="double"/>
      <bottom style="double"/>
    </border>
    <border>
      <left style="medium"/>
      <right>
        <color indexed="63"/>
      </right>
      <top>
        <color indexed="63"/>
      </top>
      <bottom style="mediumDashDotDot"/>
    </border>
    <border>
      <left>
        <color indexed="63"/>
      </left>
      <right style="medium"/>
      <top>
        <color indexed="63"/>
      </top>
      <bottom style="mediumDashDotDot"/>
    </border>
    <border>
      <left style="thin"/>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thin"/>
      <bottom>
        <color indexed="63"/>
      </bottom>
    </border>
    <border>
      <left>
        <color indexed="63"/>
      </left>
      <right style="thin"/>
      <top style="thin"/>
      <bottom style="dashDot"/>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medium"/>
      <bottom style="medium"/>
    </border>
    <border>
      <left>
        <color indexed="63"/>
      </left>
      <right>
        <color indexed="63"/>
      </right>
      <top style="mediumDashDotDot"/>
      <bottom style="thin"/>
    </border>
    <border>
      <left>
        <color indexed="63"/>
      </left>
      <right style="dotted"/>
      <top style="mediumDashDotDot"/>
      <bottom style="thin"/>
    </border>
    <border>
      <left>
        <color indexed="63"/>
      </left>
      <right style="dotted"/>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double"/>
      <bottom style="dashed"/>
    </border>
    <border>
      <left>
        <color indexed="63"/>
      </left>
      <right>
        <color indexed="63"/>
      </right>
      <top style="double"/>
      <bottom style="dashed"/>
    </border>
    <border>
      <left>
        <color indexed="63"/>
      </left>
      <right style="medium"/>
      <top style="double"/>
      <bottom style="dashed"/>
    </border>
    <border>
      <left style="double"/>
      <right>
        <color indexed="63"/>
      </right>
      <top style="double"/>
      <bottom style="double"/>
    </border>
    <border>
      <left>
        <color indexed="63"/>
      </left>
      <right style="double"/>
      <top style="double"/>
      <bottom style="double"/>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style="medium"/>
      <bottom style="mediumDashDotDot"/>
    </border>
    <border>
      <left style="thin"/>
      <right>
        <color indexed="63"/>
      </right>
      <top style="mediumDashed"/>
      <bottom style="medium"/>
    </border>
    <border>
      <left>
        <color indexed="63"/>
      </left>
      <right>
        <color indexed="63"/>
      </right>
      <top style="mediumDashed"/>
      <bottom style="medium"/>
    </border>
    <border>
      <left>
        <color indexed="63"/>
      </left>
      <right style="medium"/>
      <top style="mediumDashed"/>
      <bottom style="medium"/>
    </border>
    <border>
      <left>
        <color indexed="63"/>
      </left>
      <right style="medium"/>
      <top style="thin"/>
      <bottom style="medium"/>
    </border>
    <border>
      <left>
        <color indexed="63"/>
      </left>
      <right>
        <color indexed="63"/>
      </right>
      <top style="medium"/>
      <bottom style="dotted"/>
    </border>
    <border>
      <left>
        <color indexed="63"/>
      </left>
      <right style="dotted"/>
      <top style="medium"/>
      <bottom style="dotted"/>
    </border>
    <border>
      <left>
        <color indexed="63"/>
      </left>
      <right>
        <color indexed="63"/>
      </right>
      <top style="dotted"/>
      <bottom style="mediumDashDotDot"/>
    </border>
    <border>
      <left>
        <color indexed="63"/>
      </left>
      <right style="dotted"/>
      <top style="dotted"/>
      <bottom style="mediumDashDotDot"/>
    </border>
    <border>
      <left>
        <color indexed="63"/>
      </left>
      <right style="dotted"/>
      <top style="medium"/>
      <bottom style="thin"/>
    </border>
    <border>
      <left style="medium"/>
      <right>
        <color indexed="63"/>
      </right>
      <top style="thin"/>
      <bottom style="mediumDashed"/>
    </border>
    <border>
      <left>
        <color indexed="63"/>
      </left>
      <right style="thin"/>
      <top style="thin"/>
      <bottom style="mediumDashed"/>
    </border>
    <border>
      <left style="thin"/>
      <right>
        <color indexed="63"/>
      </right>
      <top style="thin"/>
      <bottom style="mediumDashed"/>
    </border>
    <border>
      <left style="medium"/>
      <right>
        <color indexed="63"/>
      </right>
      <top style="mediumDashDotDot"/>
      <bottom style="medium"/>
    </border>
    <border>
      <left>
        <color indexed="63"/>
      </left>
      <right>
        <color indexed="63"/>
      </right>
      <top style="mediumDashDotDot"/>
      <bottom style="medium"/>
    </border>
    <border>
      <left>
        <color indexed="63"/>
      </left>
      <right style="thin"/>
      <top style="mediumDashDotDot"/>
      <bottom style="medium"/>
    </border>
    <border>
      <left style="thin"/>
      <right>
        <color indexed="63"/>
      </right>
      <top>
        <color indexed="63"/>
      </top>
      <bottom style="mediumDashed"/>
    </border>
    <border>
      <left>
        <color indexed="63"/>
      </left>
      <right style="medium"/>
      <top>
        <color indexed="63"/>
      </top>
      <bottom style="mediumDashed"/>
    </border>
    <border>
      <left>
        <color indexed="63"/>
      </left>
      <right style="thin"/>
      <top>
        <color indexed="63"/>
      </top>
      <bottom style="mediumDashDotDot"/>
    </border>
    <border>
      <left>
        <color indexed="63"/>
      </left>
      <right>
        <color indexed="63"/>
      </right>
      <top style="medium"/>
      <bottom style="dashed"/>
    </border>
    <border>
      <left>
        <color indexed="63"/>
      </left>
      <right style="dotted"/>
      <top style="medium"/>
      <bottom style="dashed"/>
    </border>
    <border>
      <left>
        <color indexed="63"/>
      </left>
      <right>
        <color indexed="63"/>
      </right>
      <top style="dashed"/>
      <bottom style="mediumDashDotDot"/>
    </border>
    <border>
      <left>
        <color indexed="63"/>
      </left>
      <right style="dotted"/>
      <top style="dashed"/>
      <bottom style="mediumDashDotDot"/>
    </border>
    <border>
      <left>
        <color indexed="63"/>
      </left>
      <right style="dotted"/>
      <top>
        <color indexed="63"/>
      </top>
      <bottom>
        <color indexed="63"/>
      </bottom>
    </border>
    <border>
      <left>
        <color indexed="63"/>
      </left>
      <right style="dotted"/>
      <top style="thin"/>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double"/>
      <top>
        <color indexed="63"/>
      </top>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medium"/>
      <right>
        <color indexed="63"/>
      </right>
      <top>
        <color indexed="63"/>
      </top>
      <bottom style="mediumDashed"/>
    </border>
    <border>
      <left>
        <color indexed="63"/>
      </left>
      <right style="thin"/>
      <top>
        <color indexed="63"/>
      </top>
      <bottom style="mediumDashed"/>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thin"/>
      <bottom style="mediumDashed"/>
    </border>
    <border>
      <left style="medium"/>
      <right>
        <color indexed="63"/>
      </right>
      <top style="double"/>
      <bottom style="dotted"/>
    </border>
    <border>
      <left>
        <color indexed="63"/>
      </left>
      <right>
        <color indexed="63"/>
      </right>
      <top style="double"/>
      <bottom style="dotted"/>
    </border>
    <border>
      <left>
        <color indexed="63"/>
      </left>
      <right style="medium"/>
      <top style="double"/>
      <bottom style="dotted"/>
    </border>
    <border>
      <left>
        <color indexed="63"/>
      </left>
      <right>
        <color indexed="63"/>
      </right>
      <top style="mediumDashDotDot"/>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51">
    <xf numFmtId="0" fontId="0" fillId="0" borderId="0" xfId="0" applyAlignment="1">
      <alignment/>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3" borderId="0" xfId="0" applyFill="1" applyBorder="1" applyAlignment="1" applyProtection="1">
      <alignment horizontal="right"/>
      <protection/>
    </xf>
    <xf numFmtId="164" fontId="0" fillId="2" borderId="2" xfId="0" applyNumberFormat="1" applyFill="1" applyBorder="1" applyAlignment="1" applyProtection="1">
      <alignment horizontal="right"/>
      <protection locked="0"/>
    </xf>
    <xf numFmtId="0" fontId="0" fillId="2" borderId="4" xfId="0" applyFill="1" applyBorder="1" applyAlignment="1" applyProtection="1">
      <alignment horizontal="right"/>
      <protection locked="0"/>
    </xf>
    <xf numFmtId="0" fontId="0" fillId="2" borderId="1" xfId="0" applyFill="1" applyBorder="1" applyAlignment="1" applyProtection="1">
      <alignment horizontal="right"/>
      <protection locked="0"/>
    </xf>
    <xf numFmtId="0" fontId="0" fillId="2" borderId="2"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0" fillId="2" borderId="6" xfId="0" applyFill="1" applyBorder="1" applyAlignment="1" applyProtection="1">
      <alignment horizontal="right"/>
      <protection locked="0"/>
    </xf>
    <xf numFmtId="0" fontId="0" fillId="2" borderId="7" xfId="0" applyFill="1" applyBorder="1" applyAlignment="1" applyProtection="1">
      <alignment horizontal="right"/>
      <protection locked="0"/>
    </xf>
    <xf numFmtId="0" fontId="0" fillId="4" borderId="1" xfId="0" applyFill="1" applyBorder="1" applyAlignment="1" applyProtection="1">
      <alignment horizontal="left"/>
      <protection locked="0"/>
    </xf>
    <xf numFmtId="0" fontId="0" fillId="4" borderId="0" xfId="0" applyFill="1" applyBorder="1" applyAlignment="1" applyProtection="1">
      <alignment/>
      <protection locked="0"/>
    </xf>
    <xf numFmtId="0" fontId="0" fillId="4"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5" xfId="0" applyFill="1" applyBorder="1" applyAlignment="1" applyProtection="1">
      <alignment/>
      <protection locked="0"/>
    </xf>
    <xf numFmtId="0" fontId="0" fillId="2" borderId="4" xfId="0" applyFill="1" applyBorder="1" applyAlignment="1" applyProtection="1">
      <alignment/>
      <protection locked="0"/>
    </xf>
    <xf numFmtId="0" fontId="0" fillId="2" borderId="11" xfId="0" applyFill="1" applyBorder="1" applyAlignment="1" applyProtection="1">
      <alignment horizontal="left"/>
      <protection locked="0"/>
    </xf>
    <xf numFmtId="0" fontId="0" fillId="2" borderId="11" xfId="0" applyFill="1" applyBorder="1" applyAlignment="1" applyProtection="1">
      <alignment/>
      <protection locked="0"/>
    </xf>
    <xf numFmtId="0" fontId="0" fillId="2" borderId="12" xfId="0" applyFill="1" applyBorder="1" applyAlignment="1" applyProtection="1">
      <alignment/>
      <protection locked="0"/>
    </xf>
    <xf numFmtId="0" fontId="12" fillId="0" borderId="0" xfId="0" applyFont="1" applyFill="1" applyAlignment="1">
      <alignment/>
    </xf>
    <xf numFmtId="0" fontId="12" fillId="0" borderId="0" xfId="0" applyFont="1" applyAlignment="1">
      <alignment/>
    </xf>
    <xf numFmtId="0" fontId="13" fillId="0" borderId="0" xfId="0" applyFont="1" applyAlignment="1">
      <alignment/>
    </xf>
    <xf numFmtId="0" fontId="0" fillId="2" borderId="2"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3" xfId="0" applyFill="1" applyBorder="1" applyAlignment="1" applyProtection="1">
      <alignment horizontal="center"/>
      <protection locked="0"/>
    </xf>
    <xf numFmtId="1" fontId="0" fillId="2" borderId="2" xfId="0" applyNumberFormat="1" applyFill="1" applyBorder="1" applyAlignment="1" applyProtection="1">
      <alignment horizontal="right"/>
      <protection locked="0"/>
    </xf>
    <xf numFmtId="0" fontId="11" fillId="0" borderId="0" xfId="0" applyFont="1" applyAlignment="1">
      <alignment/>
    </xf>
    <xf numFmtId="0" fontId="12" fillId="0" borderId="0" xfId="0" applyFont="1" applyAlignment="1" applyProtection="1">
      <alignment/>
      <protection hidden="1"/>
    </xf>
    <xf numFmtId="0" fontId="11" fillId="0" borderId="0" xfId="0" applyFont="1" applyFill="1" applyAlignment="1">
      <alignment/>
    </xf>
    <xf numFmtId="0" fontId="12" fillId="0" borderId="0" xfId="0" applyFont="1" applyFill="1" applyAlignment="1" applyProtection="1">
      <alignment/>
      <protection hidden="1"/>
    </xf>
    <xf numFmtId="0" fontId="0" fillId="2" borderId="9" xfId="0" applyFill="1" applyBorder="1" applyAlignment="1" applyProtection="1">
      <alignment/>
      <protection locked="0"/>
    </xf>
    <xf numFmtId="0" fontId="0" fillId="2" borderId="14" xfId="0" applyFill="1" applyBorder="1" applyAlignment="1" applyProtection="1">
      <alignment/>
      <protection locked="0"/>
    </xf>
    <xf numFmtId="0" fontId="0" fillId="2" borderId="15"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15" xfId="0" applyFill="1" applyBorder="1" applyAlignment="1" applyProtection="1">
      <alignment/>
      <protection locked="0"/>
    </xf>
    <xf numFmtId="0" fontId="0" fillId="2" borderId="16" xfId="0" applyFill="1" applyBorder="1" applyAlignment="1" applyProtection="1">
      <alignment/>
      <protection locked="0"/>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8" xfId="0" applyFill="1" applyBorder="1" applyAlignment="1" applyProtection="1">
      <alignment/>
      <protection locked="0"/>
    </xf>
    <xf numFmtId="0" fontId="0" fillId="2" borderId="19" xfId="0" applyFill="1" applyBorder="1" applyAlignment="1" applyProtection="1">
      <alignment/>
      <protection locked="0"/>
    </xf>
    <xf numFmtId="0" fontId="0" fillId="2" borderId="20" xfId="0" applyFill="1" applyBorder="1" applyAlignment="1" applyProtection="1">
      <alignment horizontal="left"/>
      <protection locked="0"/>
    </xf>
    <xf numFmtId="2" fontId="0" fillId="3" borderId="21" xfId="0" applyNumberFormat="1" applyFill="1" applyBorder="1" applyAlignment="1" applyProtection="1">
      <alignment horizontal="right"/>
      <protection locked="0"/>
    </xf>
    <xf numFmtId="0" fontId="12" fillId="0" borderId="0" xfId="0" applyFont="1" applyAlignment="1" applyProtection="1">
      <alignment horizontal="right"/>
      <protection hidden="1"/>
    </xf>
    <xf numFmtId="0" fontId="0" fillId="0" borderId="0" xfId="0" applyAlignment="1">
      <alignment horizontal="left"/>
    </xf>
    <xf numFmtId="164" fontId="0" fillId="3" borderId="0" xfId="0" applyNumberFormat="1" applyFill="1" applyBorder="1" applyAlignment="1" applyProtection="1">
      <alignment horizontal="right"/>
      <protection locked="0"/>
    </xf>
    <xf numFmtId="0" fontId="24" fillId="0" borderId="0" xfId="0" applyFont="1" applyFill="1" applyAlignment="1" applyProtection="1">
      <alignment/>
      <protection hidden="1"/>
    </xf>
    <xf numFmtId="169" fontId="0" fillId="3" borderId="0" xfId="0" applyNumberFormat="1" applyFill="1" applyBorder="1" applyAlignment="1" applyProtection="1">
      <alignment horizontal="right"/>
      <protection locked="0"/>
    </xf>
    <xf numFmtId="0" fontId="12" fillId="0" borderId="0" xfId="0" applyFont="1" applyFill="1" applyAlignment="1" applyProtection="1">
      <alignment wrapText="1"/>
      <protection hidden="1"/>
    </xf>
    <xf numFmtId="169" fontId="0" fillId="3" borderId="22" xfId="0" applyNumberFormat="1" applyFill="1" applyBorder="1" applyAlignment="1" applyProtection="1">
      <alignment horizontal="right"/>
      <protection hidden="1"/>
    </xf>
    <xf numFmtId="0" fontId="12" fillId="2" borderId="2" xfId="0" applyFont="1" applyFill="1" applyBorder="1" applyAlignment="1" applyProtection="1">
      <alignment horizontal="right"/>
      <protection locked="0"/>
    </xf>
    <xf numFmtId="0" fontId="12" fillId="2" borderId="1" xfId="0" applyFont="1" applyFill="1" applyBorder="1" applyAlignment="1" applyProtection="1">
      <alignment horizontal="right"/>
      <protection locked="0"/>
    </xf>
    <xf numFmtId="0" fontId="12" fillId="2" borderId="3" xfId="0" applyFont="1" applyFill="1" applyBorder="1" applyAlignment="1" applyProtection="1">
      <alignment horizontal="right"/>
      <protection locked="0"/>
    </xf>
    <xf numFmtId="0" fontId="12" fillId="2" borderId="6" xfId="0" applyFont="1" applyFill="1" applyBorder="1" applyAlignment="1" applyProtection="1">
      <alignment horizontal="right"/>
      <protection locked="0"/>
    </xf>
    <xf numFmtId="0" fontId="12" fillId="2" borderId="7" xfId="0" applyFont="1" applyFill="1" applyBorder="1" applyAlignment="1" applyProtection="1">
      <alignment horizontal="right"/>
      <protection locked="0"/>
    </xf>
    <xf numFmtId="0" fontId="12" fillId="2" borderId="23" xfId="0" applyFont="1" applyFill="1" applyBorder="1" applyAlignment="1" applyProtection="1">
      <alignment horizontal="right"/>
      <protection locked="0"/>
    </xf>
    <xf numFmtId="0" fontId="31" fillId="3" borderId="6" xfId="0" applyFont="1" applyFill="1" applyBorder="1" applyAlignment="1" applyProtection="1">
      <alignment horizontal="left"/>
      <protection locked="0"/>
    </xf>
    <xf numFmtId="0" fontId="31" fillId="3" borderId="13" xfId="0" applyFont="1" applyFill="1" applyBorder="1" applyAlignment="1" applyProtection="1">
      <alignment horizontal="center"/>
      <protection locked="0"/>
    </xf>
    <xf numFmtId="0" fontId="12" fillId="3" borderId="0" xfId="0" applyFont="1" applyFill="1" applyBorder="1" applyAlignment="1" applyProtection="1">
      <alignment horizontal="right" vertical="center" wrapText="1"/>
      <protection locked="0"/>
    </xf>
    <xf numFmtId="164" fontId="12" fillId="2" borderId="2" xfId="0" applyNumberFormat="1" applyFont="1" applyFill="1" applyBorder="1" applyAlignment="1" applyProtection="1">
      <alignment horizontal="right" wrapText="1"/>
      <protection locked="0"/>
    </xf>
    <xf numFmtId="164" fontId="12" fillId="2" borderId="2" xfId="0" applyNumberFormat="1" applyFont="1" applyFill="1" applyBorder="1" applyAlignment="1" applyProtection="1">
      <alignment horizontal="right"/>
      <protection locked="0"/>
    </xf>
    <xf numFmtId="2" fontId="12" fillId="0" borderId="6" xfId="0" applyNumberFormat="1" applyFont="1" applyFill="1" applyBorder="1" applyAlignment="1" applyProtection="1">
      <alignment horizontal="right"/>
      <protection/>
    </xf>
    <xf numFmtId="164" fontId="12" fillId="0" borderId="6" xfId="0" applyNumberFormat="1" applyFont="1" applyFill="1" applyBorder="1" applyAlignment="1" applyProtection="1">
      <alignment horizontal="left"/>
      <protection/>
    </xf>
    <xf numFmtId="0" fontId="12" fillId="0" borderId="0" xfId="0" applyFont="1" applyAlignment="1">
      <alignment/>
    </xf>
    <xf numFmtId="2" fontId="32" fillId="0" borderId="0" xfId="0" applyNumberFormat="1" applyFont="1" applyBorder="1" applyAlignment="1" applyProtection="1">
      <alignment horizontal="right"/>
      <protection/>
    </xf>
    <xf numFmtId="0" fontId="12" fillId="0" borderId="0" xfId="0" applyFont="1" applyFill="1" applyBorder="1" applyAlignment="1" applyProtection="1">
      <alignment/>
      <protection/>
    </xf>
    <xf numFmtId="0" fontId="24" fillId="0" borderId="0" xfId="0" applyFont="1" applyFill="1" applyBorder="1" applyAlignment="1" applyProtection="1">
      <alignment horizontal="right"/>
      <protection/>
    </xf>
    <xf numFmtId="166" fontId="12" fillId="4" borderId="24" xfId="0" applyNumberFormat="1" applyFont="1" applyFill="1" applyBorder="1" applyAlignment="1" applyProtection="1">
      <alignment horizontal="center" vertical="center"/>
      <protection locked="0"/>
    </xf>
    <xf numFmtId="0" fontId="27" fillId="0" borderId="0" xfId="0" applyFont="1" applyFill="1" applyAlignment="1" applyProtection="1">
      <alignment/>
      <protection hidden="1"/>
    </xf>
    <xf numFmtId="164" fontId="0" fillId="3" borderId="22" xfId="0" applyNumberFormat="1" applyFill="1" applyBorder="1" applyAlignment="1" applyProtection="1">
      <alignment horizontal="right"/>
      <protection locked="0"/>
    </xf>
    <xf numFmtId="164" fontId="0" fillId="0" borderId="6" xfId="0" applyNumberFormat="1" applyFont="1" applyFill="1" applyBorder="1" applyAlignment="1" applyProtection="1">
      <alignment horizontal="center"/>
      <protection/>
    </xf>
    <xf numFmtId="0" fontId="12" fillId="0" borderId="0" xfId="0" applyFont="1" applyAlignment="1">
      <alignment horizontal="left"/>
    </xf>
    <xf numFmtId="1" fontId="0" fillId="2" borderId="1" xfId="0" applyNumberFormat="1" applyFill="1" applyBorder="1" applyAlignment="1" applyProtection="1">
      <alignment horizontal="right"/>
      <protection locked="0"/>
    </xf>
    <xf numFmtId="0" fontId="0" fillId="2" borderId="25" xfId="0" applyFill="1" applyBorder="1" applyAlignment="1" applyProtection="1">
      <alignment/>
      <protection locked="0"/>
    </xf>
    <xf numFmtId="0" fontId="0" fillId="2" borderId="13" xfId="0" applyFill="1" applyBorder="1" applyAlignment="1" applyProtection="1">
      <alignment/>
      <protection locked="0"/>
    </xf>
    <xf numFmtId="0" fontId="0" fillId="2" borderId="26" xfId="0" applyFill="1" applyBorder="1" applyAlignment="1" applyProtection="1">
      <alignment horizontal="left"/>
      <protection locked="0"/>
    </xf>
    <xf numFmtId="0" fontId="0" fillId="2" borderId="25" xfId="0" applyFill="1" applyBorder="1" applyAlignment="1" applyProtection="1">
      <alignment horizontal="left"/>
      <protection locked="0"/>
    </xf>
    <xf numFmtId="1" fontId="0" fillId="3" borderId="21" xfId="0" applyNumberFormat="1" applyFill="1" applyBorder="1" applyAlignment="1" applyProtection="1">
      <alignment horizontal="center"/>
      <protection locked="0"/>
    </xf>
    <xf numFmtId="1" fontId="0" fillId="2" borderId="6" xfId="0" applyNumberFormat="1" applyFill="1" applyBorder="1" applyAlignment="1" applyProtection="1">
      <alignment horizontal="right"/>
      <protection locked="0"/>
    </xf>
    <xf numFmtId="1" fontId="0" fillId="0" borderId="6" xfId="0" applyNumberFormat="1" applyFont="1" applyFill="1" applyBorder="1" applyAlignment="1" applyProtection="1">
      <alignment horizontal="center" vertical="center"/>
      <protection/>
    </xf>
    <xf numFmtId="1" fontId="0" fillId="2" borderId="6" xfId="0" applyNumberFormat="1" applyFill="1" applyBorder="1" applyAlignment="1" applyProtection="1">
      <alignment horizontal="center" vertical="center"/>
      <protection locked="0"/>
    </xf>
    <xf numFmtId="2" fontId="0" fillId="3" borderId="22" xfId="0" applyNumberFormat="1" applyFill="1" applyBorder="1" applyAlignment="1" applyProtection="1">
      <alignment horizontal="right"/>
      <protection locked="0"/>
    </xf>
    <xf numFmtId="2" fontId="0" fillId="3" borderId="0" xfId="0" applyNumberFormat="1" applyFill="1" applyBorder="1" applyAlignment="1" applyProtection="1">
      <alignment/>
      <protection locked="0"/>
    </xf>
    <xf numFmtId="0" fontId="12" fillId="0" borderId="0" xfId="0" applyFont="1" applyFill="1" applyAlignment="1" applyProtection="1">
      <alignment/>
      <protection hidden="1"/>
    </xf>
    <xf numFmtId="164" fontId="5" fillId="3" borderId="0" xfId="0" applyNumberFormat="1" applyFont="1" applyFill="1" applyBorder="1" applyAlignment="1" applyProtection="1">
      <alignment/>
      <protection locked="0"/>
    </xf>
    <xf numFmtId="0" fontId="12" fillId="0" borderId="0" xfId="0" applyFont="1" applyAlignment="1">
      <alignment vertical="top"/>
    </xf>
    <xf numFmtId="0" fontId="27" fillId="3"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protection/>
    </xf>
    <xf numFmtId="1" fontId="0" fillId="4" borderId="27" xfId="0" applyNumberFormat="1" applyFill="1" applyBorder="1" applyAlignment="1" applyProtection="1">
      <alignment horizontal="right"/>
      <protection locked="0"/>
    </xf>
    <xf numFmtId="2" fontId="0" fillId="0" borderId="6" xfId="0" applyNumberFormat="1" applyFont="1" applyFill="1" applyBorder="1" applyAlignment="1" applyProtection="1">
      <alignment horizontal="right" vertical="center"/>
      <protection/>
    </xf>
    <xf numFmtId="0" fontId="2" fillId="0" borderId="0" xfId="0" applyFont="1" applyAlignment="1">
      <alignment/>
    </xf>
    <xf numFmtId="0" fontId="0" fillId="0" borderId="0" xfId="0" applyFont="1" applyAlignment="1">
      <alignment/>
    </xf>
    <xf numFmtId="164" fontId="12" fillId="0" borderId="6" xfId="0" applyNumberFormat="1" applyFont="1" applyFill="1" applyBorder="1" applyAlignment="1" applyProtection="1">
      <alignment horizontal="center"/>
      <protection/>
    </xf>
    <xf numFmtId="2" fontId="17" fillId="0" borderId="0" xfId="0" applyNumberFormat="1" applyFont="1" applyBorder="1" applyAlignment="1" applyProtection="1">
      <alignment horizontal="right"/>
      <protection/>
    </xf>
    <xf numFmtId="0" fontId="0" fillId="0" borderId="0" xfId="0" applyFill="1" applyBorder="1" applyAlignment="1">
      <alignment/>
    </xf>
    <xf numFmtId="0" fontId="0" fillId="0" borderId="0" xfId="0" applyFill="1" applyBorder="1" applyAlignment="1" applyProtection="1">
      <alignment/>
      <protection/>
    </xf>
    <xf numFmtId="0" fontId="7" fillId="0" borderId="0" xfId="0" applyFont="1" applyFill="1" applyBorder="1" applyAlignment="1" applyProtection="1">
      <alignment horizontal="right"/>
      <protection/>
    </xf>
    <xf numFmtId="0" fontId="7" fillId="0" borderId="0" xfId="0" applyFont="1" applyFill="1" applyBorder="1" applyAlignment="1" applyProtection="1">
      <alignment horizontal="center"/>
      <protection/>
    </xf>
    <xf numFmtId="0" fontId="17" fillId="0" borderId="0" xfId="0" applyFont="1" applyFill="1" applyBorder="1" applyAlignment="1" applyProtection="1">
      <alignment horizontal="right"/>
      <protection/>
    </xf>
    <xf numFmtId="164" fontId="0" fillId="2" borderId="23" xfId="0" applyNumberFormat="1" applyFill="1" applyBorder="1" applyAlignment="1" applyProtection="1">
      <alignment horizontal="center" vertical="center"/>
      <protection locked="0"/>
    </xf>
    <xf numFmtId="0" fontId="2" fillId="3" borderId="28" xfId="0" applyFont="1" applyFill="1" applyBorder="1" applyAlignment="1" applyProtection="1">
      <alignment vertical="center"/>
      <protection locked="0"/>
    </xf>
    <xf numFmtId="165" fontId="2" fillId="3" borderId="28" xfId="0" applyNumberFormat="1" applyFont="1" applyFill="1" applyBorder="1" applyAlignment="1" applyProtection="1">
      <alignment horizontal="center" vertical="center"/>
      <protection locked="0"/>
    </xf>
    <xf numFmtId="0" fontId="0" fillId="4" borderId="7" xfId="0" applyFill="1" applyBorder="1" applyAlignment="1" applyProtection="1">
      <alignment/>
      <protection locked="0"/>
    </xf>
    <xf numFmtId="169" fontId="0" fillId="2" borderId="23" xfId="0" applyNumberFormat="1" applyFont="1" applyFill="1" applyBorder="1" applyAlignment="1" applyProtection="1">
      <alignment horizontal="center" vertical="center"/>
      <protection locked="0"/>
    </xf>
    <xf numFmtId="167" fontId="12" fillId="0" borderId="29" xfId="0" applyNumberFormat="1" applyFont="1" applyFill="1" applyBorder="1" applyAlignment="1" applyProtection="1">
      <alignment horizontal="center" vertical="center"/>
      <protection/>
    </xf>
    <xf numFmtId="166" fontId="0" fillId="4" borderId="24" xfId="0" applyNumberFormat="1" applyFont="1" applyFill="1" applyBorder="1" applyAlignment="1" applyProtection="1">
      <alignment horizontal="center" vertical="center"/>
      <protection locked="0"/>
    </xf>
    <xf numFmtId="166" fontId="14" fillId="4" borderId="30" xfId="0" applyNumberFormat="1"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2" fillId="0" borderId="0" xfId="0" applyFont="1" applyAlignment="1" applyProtection="1">
      <alignment horizontal="left" vertical="center" wrapText="1"/>
      <protection hidden="1"/>
    </xf>
    <xf numFmtId="0" fontId="0" fillId="2" borderId="23" xfId="0" applyFill="1" applyBorder="1" applyAlignment="1" applyProtection="1">
      <alignment horizontal="left"/>
      <protection locked="0"/>
    </xf>
    <xf numFmtId="0" fontId="0" fillId="4" borderId="23" xfId="0" applyFill="1" applyBorder="1" applyAlignment="1" applyProtection="1">
      <alignment horizontal="left"/>
      <protection locked="0"/>
    </xf>
    <xf numFmtId="1" fontId="0" fillId="2" borderId="6" xfId="0" applyNumberFormat="1" applyFont="1" applyFill="1" applyBorder="1" applyAlignment="1" applyProtection="1">
      <alignment horizontal="center" vertical="center"/>
      <protection locked="0"/>
    </xf>
    <xf numFmtId="164" fontId="0" fillId="2" borderId="33" xfId="0" applyNumberFormat="1" applyFill="1" applyBorder="1" applyAlignment="1" applyProtection="1">
      <alignment horizontal="right" vertical="center"/>
      <protection locked="0"/>
    </xf>
    <xf numFmtId="1" fontId="27" fillId="0" borderId="6" xfId="0" applyNumberFormat="1" applyFont="1" applyFill="1" applyBorder="1" applyAlignment="1" applyProtection="1">
      <alignment horizontal="center" vertical="center"/>
      <protection/>
    </xf>
    <xf numFmtId="0" fontId="11" fillId="0" borderId="0" xfId="0" applyFont="1" applyAlignment="1">
      <alignment horizontal="left"/>
    </xf>
    <xf numFmtId="0" fontId="11" fillId="0" borderId="0" xfId="0" applyFont="1" applyAlignment="1" applyProtection="1">
      <alignment/>
      <protection hidden="1"/>
    </xf>
    <xf numFmtId="1" fontId="0" fillId="3" borderId="0" xfId="0" applyNumberFormat="1" applyFont="1" applyFill="1" applyBorder="1" applyAlignment="1" applyProtection="1">
      <alignment horizontal="center" vertical="center"/>
      <protection locked="0"/>
    </xf>
    <xf numFmtId="0" fontId="0" fillId="4" borderId="25" xfId="0" applyFill="1" applyBorder="1" applyAlignment="1" applyProtection="1">
      <alignment/>
      <protection locked="0"/>
    </xf>
    <xf numFmtId="2" fontId="0" fillId="3" borderId="22" xfId="0" applyNumberFormat="1" applyFill="1" applyBorder="1" applyAlignment="1" applyProtection="1">
      <alignment/>
      <protection locked="0"/>
    </xf>
    <xf numFmtId="2" fontId="0" fillId="2" borderId="6" xfId="0" applyNumberFormat="1" applyFill="1" applyBorder="1" applyAlignment="1" applyProtection="1">
      <alignment/>
      <protection locked="0"/>
    </xf>
    <xf numFmtId="2" fontId="0" fillId="2" borderId="2" xfId="0" applyNumberFormat="1" applyFill="1" applyBorder="1" applyAlignment="1" applyProtection="1">
      <alignment horizontal="right" vertical="center"/>
      <protection locked="0"/>
    </xf>
    <xf numFmtId="2" fontId="0" fillId="3" borderId="0" xfId="0" applyNumberFormat="1" applyFill="1" applyBorder="1" applyAlignment="1" applyProtection="1">
      <alignment vertical="center"/>
      <protection locked="0"/>
    </xf>
    <xf numFmtId="166" fontId="0" fillId="0" borderId="6" xfId="0" applyNumberFormat="1" applyFont="1" applyFill="1" applyBorder="1" applyAlignment="1" applyProtection="1">
      <alignment horizontal="right" vertical="center"/>
      <protection/>
    </xf>
    <xf numFmtId="164" fontId="0" fillId="0" borderId="6" xfId="0" applyNumberFormat="1" applyFont="1" applyFill="1" applyBorder="1" applyAlignment="1" applyProtection="1">
      <alignment horizontal="right" vertical="center"/>
      <protection/>
    </xf>
    <xf numFmtId="0" fontId="32" fillId="2" borderId="34" xfId="0" applyFont="1" applyFill="1" applyBorder="1" applyAlignment="1" applyProtection="1">
      <alignment horizontal="center" vertical="center" wrapText="1"/>
      <protection locked="0"/>
    </xf>
    <xf numFmtId="0" fontId="32" fillId="2" borderId="32" xfId="0" applyFont="1" applyFill="1" applyBorder="1" applyAlignment="1" applyProtection="1">
      <alignment horizontal="center" vertical="center" wrapText="1"/>
      <protection locked="0"/>
    </xf>
    <xf numFmtId="0" fontId="32" fillId="2" borderId="35" xfId="0" applyFont="1" applyFill="1" applyBorder="1" applyAlignment="1" applyProtection="1">
      <alignment horizontal="center" vertical="center" wrapText="1"/>
      <protection locked="0"/>
    </xf>
    <xf numFmtId="2" fontId="14" fillId="0" borderId="36" xfId="0" applyNumberFormat="1" applyFont="1" applyFill="1" applyBorder="1" applyAlignment="1" applyProtection="1">
      <alignment horizontal="right" vertical="center"/>
      <protection/>
    </xf>
    <xf numFmtId="164" fontId="0" fillId="3" borderId="37" xfId="0" applyNumberFormat="1" applyFill="1" applyBorder="1" applyAlignment="1" applyProtection="1">
      <alignment/>
      <protection locked="0"/>
    </xf>
    <xf numFmtId="2" fontId="14" fillId="0" borderId="36" xfId="0" applyNumberFormat="1" applyFont="1" applyFill="1" applyBorder="1" applyAlignment="1" applyProtection="1">
      <alignment horizontal="right" vertical="center" wrapText="1"/>
      <protection/>
    </xf>
    <xf numFmtId="169" fontId="0" fillId="2" borderId="2" xfId="0" applyNumberFormat="1" applyFill="1" applyBorder="1" applyAlignment="1" applyProtection="1">
      <alignment horizontal="right"/>
      <protection locked="0"/>
    </xf>
    <xf numFmtId="0" fontId="17" fillId="2" borderId="38" xfId="0" applyFont="1" applyFill="1" applyBorder="1" applyAlignment="1" applyProtection="1">
      <alignment horizontal="center" vertical="center"/>
      <protection locked="0"/>
    </xf>
    <xf numFmtId="1" fontId="0" fillId="3" borderId="0" xfId="0" applyNumberFormat="1" applyFill="1" applyBorder="1" applyAlignment="1" applyProtection="1">
      <alignment horizontal="center"/>
      <protection locked="0"/>
    </xf>
    <xf numFmtId="1" fontId="0" fillId="3" borderId="39" xfId="0" applyNumberFormat="1" applyFill="1" applyBorder="1" applyAlignment="1" applyProtection="1">
      <alignment horizontal="center"/>
      <protection locked="0"/>
    </xf>
    <xf numFmtId="2" fontId="17" fillId="0" borderId="36" xfId="0" applyNumberFormat="1" applyFont="1" applyFill="1" applyBorder="1" applyAlignment="1" applyProtection="1">
      <alignment horizontal="right"/>
      <protection/>
    </xf>
    <xf numFmtId="2" fontId="0" fillId="0" borderId="36" xfId="0" applyNumberFormat="1" applyFont="1" applyFill="1" applyBorder="1" applyAlignment="1" applyProtection="1">
      <alignment horizontal="right" vertical="center"/>
      <protection/>
    </xf>
    <xf numFmtId="1" fontId="0" fillId="3" borderId="0" xfId="0" applyNumberFormat="1" applyFill="1" applyBorder="1" applyAlignment="1" applyProtection="1">
      <alignment horizontal="right"/>
      <protection locked="0"/>
    </xf>
    <xf numFmtId="164" fontId="5" fillId="3" borderId="0" xfId="0" applyNumberFormat="1" applyFont="1" applyFill="1" applyBorder="1" applyAlignment="1" applyProtection="1">
      <alignment horizontal="left"/>
      <protection locked="0"/>
    </xf>
    <xf numFmtId="2" fontId="12" fillId="0" borderId="36" xfId="0" applyNumberFormat="1" applyFont="1" applyFill="1" applyBorder="1" applyAlignment="1" applyProtection="1">
      <alignment horizontal="right" vertical="center"/>
      <protection/>
    </xf>
    <xf numFmtId="0" fontId="12" fillId="3" borderId="0" xfId="0" applyFont="1" applyFill="1" applyBorder="1" applyAlignment="1" applyProtection="1">
      <alignment horizontal="left" vertical="center" wrapText="1"/>
      <protection locked="0"/>
    </xf>
    <xf numFmtId="0" fontId="12" fillId="0" borderId="0" xfId="0" applyFont="1" applyAlignment="1" applyProtection="1">
      <alignment wrapText="1"/>
      <protection hidden="1"/>
    </xf>
    <xf numFmtId="0" fontId="24" fillId="3" borderId="40" xfId="0" applyFont="1" applyFill="1" applyBorder="1" applyAlignment="1" applyProtection="1">
      <alignment horizontal="right"/>
      <protection locked="0"/>
    </xf>
    <xf numFmtId="0" fontId="24" fillId="4" borderId="0" xfId="0" applyFont="1" applyFill="1" applyBorder="1" applyAlignment="1" applyProtection="1">
      <alignment horizontal="right" vertical="center" wrapText="1"/>
      <protection locked="0"/>
    </xf>
    <xf numFmtId="165" fontId="24" fillId="4" borderId="0" xfId="0" applyNumberFormat="1" applyFont="1" applyFill="1" applyBorder="1" applyAlignment="1" applyProtection="1">
      <alignment horizontal="right" vertical="center" wrapText="1"/>
      <protection locked="0"/>
    </xf>
    <xf numFmtId="2" fontId="27" fillId="4" borderId="0" xfId="0" applyNumberFormat="1" applyFont="1" applyFill="1" applyBorder="1" applyAlignment="1" applyProtection="1">
      <alignment horizontal="center" vertical="center"/>
      <protection locked="0"/>
    </xf>
    <xf numFmtId="2" fontId="27" fillId="4" borderId="41" xfId="0" applyNumberFormat="1" applyFont="1" applyFill="1" applyBorder="1" applyAlignment="1" applyProtection="1">
      <alignment horizontal="center" vertical="center"/>
      <protection locked="0"/>
    </xf>
    <xf numFmtId="0" fontId="29" fillId="3" borderId="42" xfId="0" applyFont="1" applyFill="1" applyBorder="1" applyAlignment="1" applyProtection="1" quotePrefix="1">
      <alignment vertical="center"/>
      <protection locked="0"/>
    </xf>
    <xf numFmtId="0" fontId="27" fillId="4" borderId="43" xfId="0" applyFont="1" applyFill="1" applyBorder="1" applyAlignment="1" applyProtection="1">
      <alignment horizontal="left" vertical="top" wrapText="1"/>
      <protection locked="0"/>
    </xf>
    <xf numFmtId="0" fontId="29" fillId="3" borderId="44" xfId="0" applyFont="1" applyFill="1" applyBorder="1" applyAlignment="1" applyProtection="1" quotePrefix="1">
      <alignment horizontal="left" vertical="center" wrapText="1"/>
      <protection locked="0"/>
    </xf>
    <xf numFmtId="0" fontId="27" fillId="4" borderId="43" xfId="0" applyFont="1" applyFill="1" applyBorder="1" applyAlignment="1" applyProtection="1">
      <alignment horizontal="left" wrapText="1"/>
      <protection locked="0"/>
    </xf>
    <xf numFmtId="0" fontId="28" fillId="4" borderId="45" xfId="0" applyFont="1" applyFill="1" applyBorder="1" applyAlignment="1" applyProtection="1">
      <alignment horizontal="left" vertical="center"/>
      <protection locked="0"/>
    </xf>
    <xf numFmtId="49" fontId="29" fillId="3" borderId="46" xfId="0" applyNumberFormat="1" applyFont="1" applyFill="1" applyBorder="1" applyAlignment="1" applyProtection="1">
      <alignment horizontal="left" vertical="center"/>
      <protection locked="0"/>
    </xf>
    <xf numFmtId="0" fontId="28" fillId="4" borderId="43" xfId="0" applyFont="1" applyFill="1" applyBorder="1" applyAlignment="1" applyProtection="1">
      <alignment horizontal="left" vertical="center"/>
      <protection locked="0"/>
    </xf>
    <xf numFmtId="0" fontId="12" fillId="3" borderId="0" xfId="0" applyFont="1" applyFill="1" applyBorder="1" applyAlignment="1" applyProtection="1">
      <alignment horizontal="center"/>
      <protection locked="0"/>
    </xf>
    <xf numFmtId="0" fontId="31" fillId="3" borderId="0" xfId="0" applyFont="1" applyFill="1" applyBorder="1" applyAlignment="1" applyProtection="1">
      <alignment horizontal="left"/>
      <protection locked="0"/>
    </xf>
    <xf numFmtId="0" fontId="31" fillId="4" borderId="41" xfId="0" applyFont="1" applyFill="1" applyBorder="1" applyAlignment="1" applyProtection="1">
      <alignment horizontal="left"/>
      <protection locked="0"/>
    </xf>
    <xf numFmtId="0" fontId="27" fillId="4" borderId="41" xfId="0" applyFont="1" applyFill="1" applyBorder="1" applyAlignment="1" applyProtection="1">
      <alignment horizontal="left"/>
      <protection locked="0"/>
    </xf>
    <xf numFmtId="0" fontId="12" fillId="3" borderId="47" xfId="0" applyFont="1" applyFill="1" applyBorder="1" applyAlignment="1" applyProtection="1">
      <alignment/>
      <protection locked="0"/>
    </xf>
    <xf numFmtId="0" fontId="30" fillId="3" borderId="21" xfId="0" applyFont="1" applyFill="1" applyBorder="1" applyAlignment="1" applyProtection="1">
      <alignment horizontal="left"/>
      <protection locked="0"/>
    </xf>
    <xf numFmtId="0" fontId="12" fillId="3" borderId="21" xfId="0" applyFont="1" applyFill="1" applyBorder="1" applyAlignment="1" applyProtection="1">
      <alignment/>
      <protection locked="0"/>
    </xf>
    <xf numFmtId="0" fontId="31" fillId="3" borderId="48" xfId="0" applyFont="1" applyFill="1" applyBorder="1" applyAlignment="1" applyProtection="1">
      <alignment horizontal="left"/>
      <protection locked="0"/>
    </xf>
    <xf numFmtId="0" fontId="12" fillId="3" borderId="24" xfId="0" applyFont="1" applyFill="1" applyBorder="1" applyAlignment="1" applyProtection="1">
      <alignment/>
      <protection locked="0"/>
    </xf>
    <xf numFmtId="0" fontId="31" fillId="3" borderId="24" xfId="0" applyFont="1" applyFill="1" applyBorder="1" applyAlignment="1" applyProtection="1">
      <alignment horizontal="left"/>
      <protection locked="0"/>
    </xf>
    <xf numFmtId="0" fontId="12" fillId="3" borderId="24" xfId="0" applyFont="1" applyFill="1" applyBorder="1" applyAlignment="1" applyProtection="1">
      <alignment horizontal="left" wrapText="1"/>
      <protection locked="0"/>
    </xf>
    <xf numFmtId="0" fontId="24" fillId="3" borderId="24" xfId="0" applyFont="1" applyFill="1" applyBorder="1" applyAlignment="1" applyProtection="1">
      <alignment horizontal="right"/>
      <protection locked="0"/>
    </xf>
    <xf numFmtId="0" fontId="30" fillId="3" borderId="47" xfId="0" applyFont="1" applyFill="1" applyBorder="1" applyAlignment="1" applyProtection="1">
      <alignment horizontal="left"/>
      <protection locked="0"/>
    </xf>
    <xf numFmtId="0" fontId="12" fillId="3" borderId="0" xfId="0" applyFont="1" applyFill="1" applyBorder="1" applyAlignment="1" applyProtection="1">
      <alignment/>
      <protection locked="0"/>
    </xf>
    <xf numFmtId="0" fontId="30" fillId="3" borderId="0" xfId="0" applyFont="1" applyFill="1" applyBorder="1" applyAlignment="1" applyProtection="1">
      <alignment horizontal="left"/>
      <protection locked="0"/>
    </xf>
    <xf numFmtId="0" fontId="30" fillId="4" borderId="41" xfId="0" applyFont="1" applyFill="1" applyBorder="1" applyAlignment="1" applyProtection="1">
      <alignment horizontal="left"/>
      <protection locked="0"/>
    </xf>
    <xf numFmtId="0" fontId="31" fillId="3" borderId="47" xfId="0" applyFont="1" applyFill="1" applyBorder="1" applyAlignment="1" applyProtection="1">
      <alignment horizontal="left"/>
      <protection locked="0"/>
    </xf>
    <xf numFmtId="0" fontId="33" fillId="3" borderId="0" xfId="0" applyFont="1" applyFill="1" applyBorder="1" applyAlignment="1" applyProtection="1">
      <alignment horizontal="right"/>
      <protection locked="0"/>
    </xf>
    <xf numFmtId="0" fontId="12" fillId="3" borderId="0" xfId="0" applyFont="1" applyFill="1" applyBorder="1" applyAlignment="1" applyProtection="1">
      <alignment horizontal="left" wrapText="1"/>
      <protection locked="0"/>
    </xf>
    <xf numFmtId="0" fontId="24" fillId="3" borderId="0" xfId="0" applyFont="1" applyFill="1" applyBorder="1" applyAlignment="1" applyProtection="1">
      <alignment horizontal="right"/>
      <protection locked="0"/>
    </xf>
    <xf numFmtId="0" fontId="31" fillId="4" borderId="41" xfId="0" applyFont="1" applyFill="1" applyBorder="1" applyAlignment="1" applyProtection="1">
      <alignment horizontal="center"/>
      <protection locked="0"/>
    </xf>
    <xf numFmtId="0" fontId="34" fillId="3" borderId="0" xfId="0" applyFont="1" applyFill="1" applyBorder="1" applyAlignment="1" applyProtection="1">
      <alignment horizontal="left" wrapText="1"/>
      <protection locked="0"/>
    </xf>
    <xf numFmtId="0" fontId="31" fillId="3" borderId="0" xfId="0" applyFont="1" applyFill="1" applyBorder="1" applyAlignment="1" applyProtection="1">
      <alignment horizontal="center" vertical="center"/>
      <protection locked="0"/>
    </xf>
    <xf numFmtId="0" fontId="12" fillId="4" borderId="41" xfId="0" applyFont="1" applyFill="1" applyBorder="1" applyAlignment="1" applyProtection="1">
      <alignment/>
      <protection locked="0"/>
    </xf>
    <xf numFmtId="0" fontId="33" fillId="3" borderId="0" xfId="0" applyFont="1" applyFill="1" applyBorder="1" applyAlignment="1" applyProtection="1">
      <alignment horizontal="right" vertical="center"/>
      <protection locked="0"/>
    </xf>
    <xf numFmtId="0" fontId="24" fillId="3" borderId="0" xfId="0" applyFont="1" applyFill="1" applyBorder="1" applyAlignment="1" applyProtection="1">
      <alignment horizontal="right" vertical="center"/>
      <protection locked="0"/>
    </xf>
    <xf numFmtId="0" fontId="32" fillId="3" borderId="0" xfId="0" applyFont="1" applyFill="1" applyBorder="1" applyAlignment="1" applyProtection="1">
      <alignment horizontal="right"/>
      <protection locked="0"/>
    </xf>
    <xf numFmtId="0" fontId="35" fillId="3" borderId="0" xfId="0" applyFont="1" applyFill="1" applyBorder="1" applyAlignment="1" applyProtection="1">
      <alignment horizontal="left" vertical="center" wrapText="1"/>
      <protection locked="0"/>
    </xf>
    <xf numFmtId="0" fontId="31" fillId="3" borderId="0" xfId="0" applyFont="1" applyFill="1" applyBorder="1" applyAlignment="1" applyProtection="1">
      <alignment horizontal="center"/>
      <protection locked="0"/>
    </xf>
    <xf numFmtId="0" fontId="27" fillId="3" borderId="48" xfId="0" applyFont="1" applyFill="1" applyBorder="1" applyAlignment="1" applyProtection="1">
      <alignment horizontal="left"/>
      <protection locked="0"/>
    </xf>
    <xf numFmtId="0" fontId="30" fillId="3" borderId="49" xfId="0" applyFont="1" applyFill="1" applyBorder="1" applyAlignment="1" applyProtection="1">
      <alignment horizontal="left" vertical="center" wrapText="1"/>
      <protection locked="0"/>
    </xf>
    <xf numFmtId="0" fontId="30" fillId="3" borderId="37" xfId="0" applyFont="1" applyFill="1" applyBorder="1" applyAlignment="1" applyProtection="1">
      <alignment horizontal="left" vertical="center" wrapText="1"/>
      <protection locked="0"/>
    </xf>
    <xf numFmtId="0" fontId="30" fillId="3" borderId="0" xfId="0" applyFont="1" applyFill="1" applyBorder="1" applyAlignment="1" applyProtection="1">
      <alignment horizontal="left" vertical="center" wrapText="1"/>
      <protection locked="0"/>
    </xf>
    <xf numFmtId="0" fontId="30" fillId="4" borderId="41" xfId="0" applyFont="1" applyFill="1" applyBorder="1" applyAlignment="1" applyProtection="1">
      <alignment horizontal="left" vertical="center" wrapText="1"/>
      <protection locked="0"/>
    </xf>
    <xf numFmtId="0" fontId="34" fillId="3" borderId="0" xfId="0" applyFont="1" applyFill="1" applyBorder="1" applyAlignment="1" applyProtection="1">
      <alignment horizontal="right" wrapText="1"/>
      <protection locked="0"/>
    </xf>
    <xf numFmtId="0" fontId="30" fillId="3" borderId="0" xfId="0" applyFont="1" applyFill="1" applyBorder="1" applyAlignment="1" applyProtection="1">
      <alignment/>
      <protection locked="0"/>
    </xf>
    <xf numFmtId="0" fontId="36" fillId="3" borderId="0" xfId="0" applyFont="1" applyFill="1" applyBorder="1" applyAlignment="1" applyProtection="1">
      <alignment horizontal="right"/>
      <protection locked="0"/>
    </xf>
    <xf numFmtId="2" fontId="36" fillId="3" borderId="0" xfId="0" applyNumberFormat="1" applyFont="1" applyFill="1" applyBorder="1" applyAlignment="1" applyProtection="1">
      <alignment horizontal="centerContinuous"/>
      <protection locked="0"/>
    </xf>
    <xf numFmtId="0" fontId="30" fillId="4" borderId="41" xfId="0" applyFont="1" applyFill="1" applyBorder="1" applyAlignment="1" applyProtection="1">
      <alignment horizontal="centerContinuous"/>
      <protection locked="0"/>
    </xf>
    <xf numFmtId="0" fontId="12" fillId="3" borderId="0" xfId="0" applyFont="1" applyFill="1" applyBorder="1" applyAlignment="1" applyProtection="1">
      <alignment horizontal="left"/>
      <protection locked="0"/>
    </xf>
    <xf numFmtId="2" fontId="32" fillId="3" borderId="0" xfId="0" applyNumberFormat="1" applyFont="1" applyFill="1" applyBorder="1" applyAlignment="1" applyProtection="1">
      <alignment horizontal="right"/>
      <protection locked="0"/>
    </xf>
    <xf numFmtId="2" fontId="32" fillId="4" borderId="41" xfId="0" applyNumberFormat="1"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30" fillId="3" borderId="0" xfId="0" applyFont="1" applyFill="1" applyBorder="1" applyAlignment="1" applyProtection="1">
      <alignment/>
      <protection locked="0"/>
    </xf>
    <xf numFmtId="4" fontId="12" fillId="3" borderId="0" xfId="0" applyNumberFormat="1" applyFont="1" applyFill="1" applyBorder="1" applyAlignment="1" applyProtection="1">
      <alignment horizontal="right"/>
      <protection locked="0"/>
    </xf>
    <xf numFmtId="166" fontId="12" fillId="3" borderId="0" xfId="0" applyNumberFormat="1" applyFont="1" applyFill="1" applyBorder="1" applyAlignment="1" applyProtection="1">
      <alignment horizontal="center" vertical="center"/>
      <protection locked="0"/>
    </xf>
    <xf numFmtId="0" fontId="34" fillId="3" borderId="0" xfId="0" applyFont="1" applyFill="1" applyBorder="1" applyAlignment="1" applyProtection="1">
      <alignment horizontal="right"/>
      <protection locked="0"/>
    </xf>
    <xf numFmtId="0" fontId="12" fillId="3" borderId="24" xfId="0" applyFont="1" applyFill="1" applyBorder="1" applyAlignment="1" applyProtection="1">
      <alignment horizontal="right"/>
      <protection locked="0"/>
    </xf>
    <xf numFmtId="2" fontId="12" fillId="3" borderId="24" xfId="0" applyNumberFormat="1" applyFont="1" applyFill="1" applyBorder="1" applyAlignment="1" applyProtection="1">
      <alignment/>
      <protection locked="0"/>
    </xf>
    <xf numFmtId="0" fontId="12" fillId="3" borderId="50" xfId="0" applyFont="1" applyFill="1" applyBorder="1" applyAlignment="1" applyProtection="1">
      <alignment/>
      <protection locked="0"/>
    </xf>
    <xf numFmtId="0" fontId="12" fillId="4" borderId="42" xfId="0" applyFont="1" applyFill="1" applyBorder="1" applyAlignment="1" applyProtection="1">
      <alignment/>
      <protection locked="0"/>
    </xf>
    <xf numFmtId="0" fontId="12" fillId="4" borderId="51" xfId="0" applyFont="1" applyFill="1" applyBorder="1" applyAlignment="1" applyProtection="1">
      <alignment/>
      <protection locked="0"/>
    </xf>
    <xf numFmtId="0" fontId="12" fillId="3" borderId="0" xfId="0" applyFont="1" applyFill="1" applyBorder="1" applyAlignment="1" applyProtection="1">
      <alignment horizontal="center"/>
      <protection locked="0"/>
    </xf>
    <xf numFmtId="0" fontId="12" fillId="4" borderId="47" xfId="0" applyFont="1" applyFill="1" applyBorder="1" applyAlignment="1" applyProtection="1">
      <alignment/>
      <protection locked="0"/>
    </xf>
    <xf numFmtId="0" fontId="12" fillId="4" borderId="52" xfId="0" applyFont="1" applyFill="1" applyBorder="1" applyAlignment="1" applyProtection="1">
      <alignment/>
      <protection locked="0"/>
    </xf>
    <xf numFmtId="0" fontId="32" fillId="3" borderId="47" xfId="0" applyFont="1" applyFill="1" applyBorder="1" applyAlignment="1" applyProtection="1">
      <alignment vertical="center"/>
      <protection locked="0"/>
    </xf>
    <xf numFmtId="0" fontId="12" fillId="3" borderId="0" xfId="0" applyFont="1" applyFill="1" applyBorder="1" applyAlignment="1" applyProtection="1">
      <alignment horizontal="center" wrapText="1"/>
      <protection locked="0"/>
    </xf>
    <xf numFmtId="0" fontId="36" fillId="3" borderId="0" xfId="0" applyFont="1" applyFill="1" applyBorder="1" applyAlignment="1" applyProtection="1">
      <alignment horizontal="center"/>
      <protection locked="0"/>
    </xf>
    <xf numFmtId="0" fontId="32" fillId="3" borderId="47" xfId="0" applyFont="1" applyFill="1" applyBorder="1" applyAlignment="1" applyProtection="1">
      <alignment horizontal="right" vertical="center"/>
      <protection locked="0"/>
    </xf>
    <xf numFmtId="0" fontId="38" fillId="3" borderId="0" xfId="0" applyFont="1" applyFill="1" applyBorder="1" applyAlignment="1" applyProtection="1">
      <alignment horizontal="left" vertical="center" wrapText="1"/>
      <protection locked="0"/>
    </xf>
    <xf numFmtId="0" fontId="30" fillId="3" borderId="0" xfId="0" applyFont="1" applyFill="1" applyBorder="1" applyAlignment="1" applyProtection="1">
      <alignment vertical="center"/>
      <protection locked="0"/>
    </xf>
    <xf numFmtId="0" fontId="27" fillId="4" borderId="53" xfId="0" applyFont="1" applyFill="1" applyBorder="1" applyAlignment="1" applyProtection="1">
      <alignment horizontal="center" vertical="center"/>
      <protection locked="0"/>
    </xf>
    <xf numFmtId="0" fontId="12" fillId="3" borderId="0" xfId="0" applyFont="1" applyFill="1" applyBorder="1" applyAlignment="1" applyProtection="1">
      <alignment horizontal="left" wrapText="1"/>
      <protection locked="0"/>
    </xf>
    <xf numFmtId="0" fontId="27" fillId="4" borderId="47"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wrapText="1"/>
      <protection locked="0"/>
    </xf>
    <xf numFmtId="0" fontId="12" fillId="3" borderId="0" xfId="0" applyFont="1" applyFill="1" applyBorder="1" applyAlignment="1" applyProtection="1">
      <alignment vertical="center"/>
      <protection locked="0"/>
    </xf>
    <xf numFmtId="0" fontId="12" fillId="4" borderId="48" xfId="0" applyFont="1" applyFill="1" applyBorder="1" applyAlignment="1" applyProtection="1">
      <alignment/>
      <protection locked="0"/>
    </xf>
    <xf numFmtId="0" fontId="24" fillId="3" borderId="47" xfId="0" applyFont="1" applyFill="1" applyBorder="1" applyAlignment="1" applyProtection="1">
      <alignment vertical="top"/>
      <protection locked="0"/>
    </xf>
    <xf numFmtId="0" fontId="24" fillId="3" borderId="47" xfId="0" applyFont="1" applyFill="1" applyBorder="1" applyAlignment="1" applyProtection="1">
      <alignment vertical="center"/>
      <protection locked="0"/>
    </xf>
    <xf numFmtId="0" fontId="12" fillId="3" borderId="6" xfId="0" applyFont="1" applyFill="1" applyBorder="1" applyAlignment="1" applyProtection="1">
      <alignment horizontal="left" vertical="center" wrapText="1"/>
      <protection locked="0"/>
    </xf>
    <xf numFmtId="0" fontId="30" fillId="3" borderId="0" xfId="0" applyFont="1" applyFill="1" applyBorder="1" applyAlignment="1" applyProtection="1">
      <alignment horizontal="right"/>
      <protection locked="0"/>
    </xf>
    <xf numFmtId="0" fontId="27" fillId="4" borderId="41" xfId="0" applyFont="1" applyFill="1" applyBorder="1" applyAlignment="1" applyProtection="1">
      <alignment horizontal="center"/>
      <protection locked="0"/>
    </xf>
    <xf numFmtId="0" fontId="27" fillId="3" borderId="48" xfId="0" applyFont="1" applyFill="1" applyBorder="1" applyAlignment="1" applyProtection="1">
      <alignment/>
      <protection locked="0"/>
    </xf>
    <xf numFmtId="0" fontId="12" fillId="3" borderId="24" xfId="0" applyFont="1" applyFill="1" applyBorder="1" applyAlignment="1" applyProtection="1">
      <alignment vertical="center"/>
      <protection locked="0"/>
    </xf>
    <xf numFmtId="0" fontId="29" fillId="5" borderId="42" xfId="0" applyFont="1" applyFill="1" applyBorder="1" applyAlignment="1" applyProtection="1">
      <alignment/>
      <protection locked="0"/>
    </xf>
    <xf numFmtId="0" fontId="12" fillId="5" borderId="50" xfId="0" applyFont="1" applyFill="1" applyBorder="1" applyAlignment="1" applyProtection="1">
      <alignment/>
      <protection locked="0"/>
    </xf>
    <xf numFmtId="0" fontId="29" fillId="5" borderId="50" xfId="0" applyFont="1" applyFill="1" applyBorder="1" applyAlignment="1" applyProtection="1">
      <alignment/>
      <protection locked="0"/>
    </xf>
    <xf numFmtId="0" fontId="30" fillId="3" borderId="47" xfId="0" applyFont="1" applyFill="1" applyBorder="1" applyAlignment="1" applyProtection="1">
      <alignment horizontal="left" wrapText="1"/>
      <protection locked="0"/>
    </xf>
    <xf numFmtId="0" fontId="30" fillId="3" borderId="0" xfId="0" applyFont="1" applyFill="1" applyBorder="1" applyAlignment="1" applyProtection="1">
      <alignment horizontal="left" wrapText="1"/>
      <protection locked="0"/>
    </xf>
    <xf numFmtId="0" fontId="30" fillId="4" borderId="51" xfId="0" applyFont="1" applyFill="1" applyBorder="1" applyAlignment="1" applyProtection="1">
      <alignment horizontal="left" wrapText="1"/>
      <protection locked="0"/>
    </xf>
    <xf numFmtId="169" fontId="12" fillId="3" borderId="0" xfId="0" applyNumberFormat="1" applyFont="1" applyFill="1" applyBorder="1" applyAlignment="1" applyProtection="1">
      <alignment horizontal="right"/>
      <protection locked="0"/>
    </xf>
    <xf numFmtId="164" fontId="12" fillId="3" borderId="0" xfId="0" applyNumberFormat="1" applyFont="1" applyFill="1" applyBorder="1" applyAlignment="1" applyProtection="1">
      <alignment horizontal="right"/>
      <protection locked="0"/>
    </xf>
    <xf numFmtId="0" fontId="12" fillId="3" borderId="6" xfId="0" applyFont="1" applyFill="1" applyBorder="1" applyAlignment="1" applyProtection="1">
      <alignment/>
      <protection locked="0"/>
    </xf>
    <xf numFmtId="164" fontId="37" fillId="4" borderId="45" xfId="0" applyNumberFormat="1" applyFont="1" applyFill="1" applyBorder="1" applyAlignment="1" applyProtection="1">
      <alignment/>
      <protection locked="0"/>
    </xf>
    <xf numFmtId="0" fontId="12" fillId="3" borderId="21" xfId="0" applyFont="1" applyFill="1" applyBorder="1" applyAlignment="1" applyProtection="1">
      <alignment horizontal="center"/>
      <protection locked="0"/>
    </xf>
    <xf numFmtId="0" fontId="12" fillId="4" borderId="54" xfId="0" applyFont="1" applyFill="1" applyBorder="1" applyAlignment="1" applyProtection="1">
      <alignment/>
      <protection locked="0"/>
    </xf>
    <xf numFmtId="164" fontId="12" fillId="3" borderId="0" xfId="0" applyNumberFormat="1" applyFont="1" applyFill="1" applyBorder="1" applyAlignment="1" applyProtection="1">
      <alignment horizontal="left"/>
      <protection locked="0"/>
    </xf>
    <xf numFmtId="0" fontId="30" fillId="3" borderId="47" xfId="0" applyFont="1" applyFill="1" applyBorder="1" applyAlignment="1" applyProtection="1">
      <alignment/>
      <protection locked="0"/>
    </xf>
    <xf numFmtId="0" fontId="31" fillId="3" borderId="48" xfId="0" applyFont="1" applyFill="1" applyBorder="1" applyAlignment="1" applyProtection="1">
      <alignment/>
      <protection locked="0"/>
    </xf>
    <xf numFmtId="0" fontId="0" fillId="4" borderId="1" xfId="0" applyFill="1" applyBorder="1" applyAlignment="1" applyProtection="1">
      <alignment/>
      <protection locked="0"/>
    </xf>
    <xf numFmtId="0" fontId="0" fillId="2" borderId="1" xfId="0" applyFill="1" applyBorder="1" applyAlignment="1" applyProtection="1">
      <alignment/>
      <protection locked="0"/>
    </xf>
    <xf numFmtId="0" fontId="0" fillId="3" borderId="47" xfId="0" applyFill="1" applyBorder="1" applyAlignment="1" applyProtection="1">
      <alignment/>
      <protection locked="0"/>
    </xf>
    <xf numFmtId="0" fontId="0" fillId="3" borderId="0" xfId="0" applyFill="1" applyBorder="1" applyAlignment="1" applyProtection="1">
      <alignment/>
      <protection locked="0"/>
    </xf>
    <xf numFmtId="0" fontId="2" fillId="3" borderId="21" xfId="0" applyFont="1" applyFill="1" applyBorder="1" applyAlignment="1" applyProtection="1">
      <alignment horizontal="right"/>
      <protection locked="0"/>
    </xf>
    <xf numFmtId="0" fontId="0" fillId="4" borderId="26" xfId="0" applyFill="1" applyBorder="1" applyAlignment="1" applyProtection="1">
      <alignment/>
      <protection locked="0"/>
    </xf>
    <xf numFmtId="0" fontId="0" fillId="2" borderId="26" xfId="0" applyFill="1" applyBorder="1" applyAlignment="1" applyProtection="1">
      <alignment/>
      <protection locked="0"/>
    </xf>
    <xf numFmtId="0" fontId="2" fillId="3" borderId="22" xfId="0" applyFont="1" applyFill="1" applyBorder="1" applyAlignment="1" applyProtection="1">
      <alignment horizontal="right" vertical="center" wrapText="1"/>
      <protection locked="0"/>
    </xf>
    <xf numFmtId="0" fontId="2" fillId="3" borderId="55" xfId="0" applyFont="1" applyFill="1" applyBorder="1" applyAlignment="1" applyProtection="1">
      <alignment horizontal="left" vertical="center"/>
      <protection locked="0"/>
    </xf>
    <xf numFmtId="0" fontId="2" fillId="3" borderId="21" xfId="0" applyFont="1" applyFill="1" applyBorder="1" applyAlignment="1" applyProtection="1">
      <alignment horizontal="right" vertical="center" wrapText="1"/>
      <protection locked="0"/>
    </xf>
    <xf numFmtId="0" fontId="2" fillId="3" borderId="0"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center" vertical="center" wrapText="1"/>
      <protection locked="0"/>
    </xf>
    <xf numFmtId="0" fontId="0" fillId="4" borderId="8" xfId="0" applyFill="1" applyBorder="1" applyAlignment="1" applyProtection="1">
      <alignment/>
      <protection locked="0"/>
    </xf>
    <xf numFmtId="0" fontId="2" fillId="3" borderId="40" xfId="0" applyFont="1" applyFill="1" applyBorder="1" applyAlignment="1" applyProtection="1">
      <alignment horizontal="right" vertical="center"/>
      <protection locked="0"/>
    </xf>
    <xf numFmtId="0" fontId="0" fillId="4" borderId="56" xfId="0" applyFill="1" applyBorder="1" applyAlignment="1" applyProtection="1">
      <alignment/>
      <protection locked="0"/>
    </xf>
    <xf numFmtId="0" fontId="2" fillId="4" borderId="0" xfId="0" applyFont="1" applyFill="1" applyBorder="1" applyAlignment="1" applyProtection="1">
      <alignment horizontal="right"/>
      <protection locked="0"/>
    </xf>
    <xf numFmtId="2" fontId="2" fillId="4" borderId="26" xfId="0" applyNumberFormat="1" applyFont="1" applyFill="1" applyBorder="1" applyAlignment="1" applyProtection="1">
      <alignment horizontal="centerContinuous"/>
      <protection locked="0"/>
    </xf>
    <xf numFmtId="0" fontId="0" fillId="4" borderId="41" xfId="0" applyFill="1" applyBorder="1" applyAlignment="1" applyProtection="1">
      <alignment horizontal="centerContinuous"/>
      <protection locked="0"/>
    </xf>
    <xf numFmtId="0" fontId="4" fillId="3" borderId="57" xfId="0" applyFont="1" applyFill="1" applyBorder="1" applyAlignment="1" applyProtection="1" quotePrefix="1">
      <alignment vertical="center"/>
      <protection locked="0"/>
    </xf>
    <xf numFmtId="0" fontId="17" fillId="2" borderId="58" xfId="0" applyFont="1" applyFill="1" applyBorder="1" applyAlignment="1" applyProtection="1">
      <alignment horizontal="center" vertical="center"/>
      <protection locked="0"/>
    </xf>
    <xf numFmtId="0" fontId="1" fillId="4" borderId="51" xfId="0" applyFont="1" applyFill="1" applyBorder="1" applyAlignment="1" applyProtection="1">
      <alignment horizontal="left" vertical="center"/>
      <protection locked="0"/>
    </xf>
    <xf numFmtId="0" fontId="4" fillId="3" borderId="59" xfId="0" applyFont="1" applyFill="1" applyBorder="1" applyAlignment="1" applyProtection="1" quotePrefix="1">
      <alignment vertical="center"/>
      <protection locked="0"/>
    </xf>
    <xf numFmtId="0" fontId="17" fillId="2" borderId="60" xfId="0" applyFont="1" applyFill="1" applyBorder="1" applyAlignment="1" applyProtection="1">
      <alignment horizontal="center" vertical="center"/>
      <protection locked="0"/>
    </xf>
    <xf numFmtId="0" fontId="14" fillId="4" borderId="61" xfId="0" applyFont="1" applyFill="1" applyBorder="1" applyAlignment="1" applyProtection="1">
      <alignment horizontal="left" vertical="center"/>
      <protection locked="0"/>
    </xf>
    <xf numFmtId="0" fontId="4" fillId="3" borderId="62" xfId="0" applyFont="1" applyFill="1" applyBorder="1" applyAlignment="1" applyProtection="1" quotePrefix="1">
      <alignment vertical="center"/>
      <protection locked="0"/>
    </xf>
    <xf numFmtId="0" fontId="17" fillId="2" borderId="63" xfId="0" applyFont="1" applyFill="1" applyBorder="1" applyAlignment="1" applyProtection="1">
      <alignment horizontal="center" vertical="center"/>
      <protection locked="0"/>
    </xf>
    <xf numFmtId="0" fontId="0" fillId="4" borderId="64" xfId="0" applyFill="1" applyBorder="1" applyAlignment="1" applyProtection="1">
      <alignment/>
      <protection locked="0"/>
    </xf>
    <xf numFmtId="0" fontId="18" fillId="4" borderId="65" xfId="0" applyFont="1" applyFill="1" applyBorder="1" applyAlignment="1" applyProtection="1">
      <alignment horizontal="left"/>
      <protection locked="0"/>
    </xf>
    <xf numFmtId="0" fontId="4" fillId="3" borderId="47" xfId="0" applyFont="1" applyFill="1" applyBorder="1" applyAlignment="1" applyProtection="1" quotePrefix="1">
      <alignment horizontal="left" vertical="center"/>
      <protection locked="0"/>
    </xf>
    <xf numFmtId="0" fontId="17" fillId="2" borderId="66" xfId="0" applyFont="1" applyFill="1" applyBorder="1" applyAlignment="1" applyProtection="1">
      <alignment horizontal="center" vertical="center"/>
      <protection locked="0"/>
    </xf>
    <xf numFmtId="0" fontId="18" fillId="4" borderId="64" xfId="0" applyFont="1" applyFill="1" applyBorder="1" applyAlignment="1" applyProtection="1">
      <alignment horizontal="left"/>
      <protection locked="0"/>
    </xf>
    <xf numFmtId="0" fontId="18" fillId="6" borderId="67" xfId="0" applyFont="1" applyFill="1" applyBorder="1" applyAlignment="1" applyProtection="1">
      <alignment horizontal="left"/>
      <protection locked="0"/>
    </xf>
    <xf numFmtId="0" fontId="18" fillId="6" borderId="68" xfId="0" applyFont="1" applyFill="1" applyBorder="1" applyAlignment="1" applyProtection="1">
      <alignment horizontal="left"/>
      <protection locked="0"/>
    </xf>
    <xf numFmtId="0" fontId="18" fillId="4" borderId="69" xfId="0" applyFont="1" applyFill="1" applyBorder="1" applyAlignment="1" applyProtection="1">
      <alignment horizontal="left"/>
      <protection locked="0"/>
    </xf>
    <xf numFmtId="0" fontId="4" fillId="5" borderId="42" xfId="0" applyFont="1" applyFill="1" applyBorder="1" applyAlignment="1" applyProtection="1">
      <alignment horizontal="left" vertical="center"/>
      <protection locked="0"/>
    </xf>
    <xf numFmtId="0" fontId="0" fillId="5" borderId="50" xfId="0" applyFill="1" applyBorder="1" applyAlignment="1" applyProtection="1">
      <alignment vertical="center"/>
      <protection locked="0"/>
    </xf>
    <xf numFmtId="0" fontId="2" fillId="3" borderId="47"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2" fillId="4" borderId="70" xfId="0" applyFont="1" applyFill="1" applyBorder="1" applyAlignment="1" applyProtection="1">
      <alignment horizontal="left"/>
      <protection locked="0"/>
    </xf>
    <xf numFmtId="164" fontId="0" fillId="4" borderId="52" xfId="0" applyNumberFormat="1" applyFont="1" applyFill="1" applyBorder="1" applyAlignment="1" applyProtection="1">
      <alignment horizontal="left"/>
      <protection locked="0"/>
    </xf>
    <xf numFmtId="0" fontId="0" fillId="3" borderId="26"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71" xfId="0" applyFont="1" applyFill="1" applyBorder="1" applyAlignment="1" applyProtection="1">
      <alignment horizontal="left" vertical="center" wrapText="1"/>
      <protection locked="0"/>
    </xf>
    <xf numFmtId="0" fontId="0" fillId="4" borderId="52" xfId="0" applyFont="1" applyFill="1" applyBorder="1" applyAlignment="1" applyProtection="1">
      <alignment horizontal="left"/>
      <protection locked="0"/>
    </xf>
    <xf numFmtId="0" fontId="0" fillId="3" borderId="1"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72"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5" fillId="3" borderId="0" xfId="0" applyFont="1" applyFill="1" applyBorder="1" applyAlignment="1" applyProtection="1">
      <alignment horizontal="left"/>
      <protection locked="0"/>
    </xf>
    <xf numFmtId="0" fontId="2" fillId="4" borderId="52" xfId="0" applyFont="1" applyFill="1" applyBorder="1" applyAlignment="1" applyProtection="1">
      <alignment horizontal="left"/>
      <protection locked="0"/>
    </xf>
    <xf numFmtId="0" fontId="0" fillId="3" borderId="6" xfId="0" applyFill="1" applyBorder="1" applyAlignment="1" applyProtection="1">
      <alignment/>
      <protection locked="0"/>
    </xf>
    <xf numFmtId="0" fontId="0" fillId="3" borderId="26" xfId="0" applyFont="1" applyFill="1" applyBorder="1" applyAlignment="1" applyProtection="1">
      <alignment horizontal="left" vertical="top"/>
      <protection locked="0"/>
    </xf>
    <xf numFmtId="0" fontId="2" fillId="3" borderId="6" xfId="0" applyFont="1" applyFill="1" applyBorder="1" applyAlignment="1" applyProtection="1">
      <alignment horizontal="left"/>
      <protection locked="0"/>
    </xf>
    <xf numFmtId="0" fontId="0" fillId="3" borderId="0" xfId="0" applyFont="1" applyFill="1" applyBorder="1" applyAlignment="1" applyProtection="1">
      <alignment horizontal="left" wrapText="1"/>
      <protection locked="0"/>
    </xf>
    <xf numFmtId="0" fontId="2" fillId="3" borderId="0" xfId="0" applyFont="1" applyFill="1" applyBorder="1" applyAlignment="1" applyProtection="1">
      <alignment horizontal="right" vertical="center"/>
      <protection locked="0"/>
    </xf>
    <xf numFmtId="0" fontId="0" fillId="3" borderId="0" xfId="0" applyFont="1" applyFill="1" applyBorder="1" applyAlignment="1" applyProtection="1">
      <alignment horizontal="left"/>
      <protection locked="0"/>
    </xf>
    <xf numFmtId="0" fontId="0"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4" borderId="54" xfId="0" applyFont="1" applyFill="1" applyBorder="1" applyAlignment="1" applyProtection="1">
      <alignment horizontal="left"/>
      <protection locked="0"/>
    </xf>
    <xf numFmtId="0" fontId="14" fillId="3" borderId="48" xfId="0" applyFont="1" applyFill="1" applyBorder="1" applyAlignment="1" applyProtection="1">
      <alignment horizontal="left"/>
      <protection locked="0"/>
    </xf>
    <xf numFmtId="0" fontId="2" fillId="3" borderId="24" xfId="0" applyFont="1" applyFill="1" applyBorder="1" applyAlignment="1" applyProtection="1">
      <alignment horizontal="left"/>
      <protection locked="0"/>
    </xf>
    <xf numFmtId="0" fontId="17" fillId="3" borderId="24" xfId="0" applyFont="1" applyFill="1" applyBorder="1" applyAlignment="1" applyProtection="1">
      <alignment horizontal="right" vertical="center"/>
      <protection locked="0"/>
    </xf>
    <xf numFmtId="0" fontId="4" fillId="5" borderId="42" xfId="0" applyFont="1" applyFill="1" applyBorder="1" applyAlignment="1" applyProtection="1">
      <alignment/>
      <protection locked="0"/>
    </xf>
    <xf numFmtId="0" fontId="0" fillId="5" borderId="50" xfId="0" applyFill="1" applyBorder="1" applyAlignment="1" applyProtection="1">
      <alignment/>
      <protection locked="0"/>
    </xf>
    <xf numFmtId="0" fontId="42" fillId="3" borderId="37" xfId="0" applyFont="1" applyFill="1" applyBorder="1" applyAlignment="1" applyProtection="1">
      <alignment horizontal="right"/>
      <protection locked="0"/>
    </xf>
    <xf numFmtId="0" fontId="5" fillId="3" borderId="0" xfId="0" applyFont="1" applyFill="1" applyBorder="1" applyAlignment="1" applyProtection="1">
      <alignment horizontal="left"/>
      <protection locked="0"/>
    </xf>
    <xf numFmtId="0" fontId="5" fillId="4" borderId="70" xfId="0" applyFont="1" applyFill="1" applyBorder="1" applyAlignment="1" applyProtection="1">
      <alignment horizontal="left"/>
      <protection locked="0"/>
    </xf>
    <xf numFmtId="0" fontId="5" fillId="3" borderId="0" xfId="0" applyFont="1" applyFill="1" applyBorder="1" applyAlignment="1" applyProtection="1">
      <alignment horizontal="left" vertical="center"/>
      <protection locked="0"/>
    </xf>
    <xf numFmtId="0" fontId="5" fillId="4" borderId="52" xfId="0" applyFont="1" applyFill="1" applyBorder="1" applyAlignment="1" applyProtection="1">
      <alignment horizontal="left"/>
      <protection locked="0"/>
    </xf>
    <xf numFmtId="0" fontId="15" fillId="3" borderId="0" xfId="0" applyFont="1" applyFill="1" applyBorder="1" applyAlignment="1" applyProtection="1">
      <alignment horizontal="right"/>
      <protection locked="0"/>
    </xf>
    <xf numFmtId="0" fontId="15" fillId="3" borderId="47" xfId="0" applyFont="1" applyFill="1" applyBorder="1" applyAlignment="1" applyProtection="1">
      <alignment horizontal="right"/>
      <protection locked="0"/>
    </xf>
    <xf numFmtId="0" fontId="5" fillId="3" borderId="0"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right" wrapText="1"/>
      <protection locked="0"/>
    </xf>
    <xf numFmtId="0" fontId="14" fillId="3" borderId="0" xfId="0" applyFont="1" applyFill="1" applyBorder="1" applyAlignment="1" applyProtection="1">
      <alignment horizontal="right"/>
      <protection locked="0"/>
    </xf>
    <xf numFmtId="0" fontId="0" fillId="4" borderId="52" xfId="0" applyFill="1" applyBorder="1" applyAlignment="1" applyProtection="1">
      <alignment/>
      <protection locked="0"/>
    </xf>
    <xf numFmtId="0" fontId="14" fillId="3" borderId="0" xfId="0" applyFont="1" applyFill="1" applyBorder="1" applyAlignment="1" applyProtection="1">
      <alignment horizontal="left" wrapText="1"/>
      <protection locked="0"/>
    </xf>
    <xf numFmtId="0" fontId="0" fillId="4" borderId="54" xfId="0" applyFill="1" applyBorder="1" applyAlignment="1" applyProtection="1">
      <alignment/>
      <protection locked="0"/>
    </xf>
    <xf numFmtId="0" fontId="5" fillId="3" borderId="24" xfId="0" applyFont="1" applyFill="1" applyBorder="1" applyAlignment="1" applyProtection="1">
      <alignment horizontal="left"/>
      <protection locked="0"/>
    </xf>
    <xf numFmtId="0" fontId="14" fillId="3" borderId="24" xfId="0"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locked="0"/>
    </xf>
    <xf numFmtId="0" fontId="4" fillId="5" borderId="42" xfId="0" applyFont="1" applyFill="1" applyBorder="1" applyAlignment="1" applyProtection="1">
      <alignment vertical="center"/>
      <protection locked="0"/>
    </xf>
    <xf numFmtId="0" fontId="15" fillId="3" borderId="37" xfId="0" applyFont="1" applyFill="1" applyBorder="1" applyAlignment="1" applyProtection="1">
      <alignment horizontal="right" wrapText="1"/>
      <protection locked="0"/>
    </xf>
    <xf numFmtId="0" fontId="20" fillId="3" borderId="0" xfId="0" applyFont="1" applyFill="1" applyBorder="1" applyAlignment="1" applyProtection="1">
      <alignment horizontal="left" vertical="top" wrapText="1"/>
      <protection locked="0"/>
    </xf>
    <xf numFmtId="0" fontId="5" fillId="3" borderId="0" xfId="0" applyFont="1" applyFill="1" applyBorder="1" applyAlignment="1" applyProtection="1">
      <alignment/>
      <protection locked="0"/>
    </xf>
    <xf numFmtId="1" fontId="14" fillId="2" borderId="6" xfId="0" applyNumberFormat="1" applyFont="1" applyFill="1" applyBorder="1" applyAlignment="1" applyProtection="1">
      <alignment horizontal="center"/>
      <protection locked="0"/>
    </xf>
    <xf numFmtId="2" fontId="5" fillId="3" borderId="0" xfId="0" applyNumberFormat="1" applyFont="1" applyFill="1" applyBorder="1" applyAlignment="1" applyProtection="1">
      <alignment horizontal="left"/>
      <protection locked="0"/>
    </xf>
    <xf numFmtId="2" fontId="5" fillId="3" borderId="0" xfId="0" applyNumberFormat="1" applyFont="1" applyFill="1" applyBorder="1" applyAlignment="1" applyProtection="1">
      <alignment horizontal="right"/>
      <protection locked="0"/>
    </xf>
    <xf numFmtId="2" fontId="0" fillId="3" borderId="0" xfId="0" applyNumberFormat="1" applyFont="1" applyFill="1" applyBorder="1" applyAlignment="1" applyProtection="1">
      <alignment horizontal="right"/>
      <protection locked="0"/>
    </xf>
    <xf numFmtId="0" fontId="5" fillId="4" borderId="54" xfId="0" applyFont="1" applyFill="1" applyBorder="1" applyAlignment="1" applyProtection="1">
      <alignment horizontal="left"/>
      <protection locked="0"/>
    </xf>
    <xf numFmtId="0" fontId="18" fillId="3" borderId="24" xfId="0" applyFont="1" applyFill="1" applyBorder="1" applyAlignment="1" applyProtection="1">
      <alignment horizontal="left"/>
      <protection locked="0"/>
    </xf>
    <xf numFmtId="0" fontId="5" fillId="3" borderId="49" xfId="0" applyFont="1" applyFill="1" applyBorder="1" applyAlignment="1" applyProtection="1">
      <alignment/>
      <protection locked="0"/>
    </xf>
    <xf numFmtId="0" fontId="5" fillId="3" borderId="37" xfId="0" applyFont="1" applyFill="1" applyBorder="1" applyAlignment="1" applyProtection="1">
      <alignment/>
      <protection locked="0"/>
    </xf>
    <xf numFmtId="0" fontId="19" fillId="3" borderId="37" xfId="0" applyFont="1" applyFill="1" applyBorder="1" applyAlignment="1" applyProtection="1">
      <alignment/>
      <protection locked="0"/>
    </xf>
    <xf numFmtId="0" fontId="20" fillId="3" borderId="37" xfId="0" applyFont="1" applyFill="1" applyBorder="1" applyAlignment="1" applyProtection="1">
      <alignment horizontal="left" vertical="top" wrapText="1"/>
      <protection locked="0"/>
    </xf>
    <xf numFmtId="0" fontId="15" fillId="3" borderId="0" xfId="0" applyFont="1" applyFill="1" applyBorder="1" applyAlignment="1" applyProtection="1">
      <alignment horizontal="right" vertical="top"/>
      <protection locked="0"/>
    </xf>
    <xf numFmtId="0" fontId="5" fillId="3" borderId="47" xfId="0" applyFont="1" applyFill="1" applyBorder="1" applyAlignment="1" applyProtection="1">
      <alignment/>
      <protection locked="0"/>
    </xf>
    <xf numFmtId="0" fontId="18" fillId="3" borderId="47" xfId="0" applyFont="1" applyFill="1" applyBorder="1" applyAlignment="1" applyProtection="1">
      <alignment horizontal="left"/>
      <protection locked="0"/>
    </xf>
    <xf numFmtId="0" fontId="18" fillId="3" borderId="0" xfId="0" applyFont="1" applyFill="1" applyBorder="1" applyAlignment="1" applyProtection="1">
      <alignment horizontal="left"/>
      <protection locked="0"/>
    </xf>
    <xf numFmtId="1" fontId="0" fillId="4" borderId="52" xfId="0" applyNumberFormat="1" applyFont="1" applyFill="1" applyBorder="1" applyAlignment="1" applyProtection="1">
      <alignment horizontal="left"/>
      <protection locked="0"/>
    </xf>
    <xf numFmtId="0" fontId="14" fillId="3" borderId="48" xfId="0" applyFont="1" applyFill="1" applyBorder="1" applyAlignment="1" applyProtection="1">
      <alignment/>
      <protection locked="0"/>
    </xf>
    <xf numFmtId="0" fontId="4" fillId="5" borderId="42" xfId="0" applyFont="1" applyFill="1" applyBorder="1" applyAlignment="1" applyProtection="1">
      <alignment/>
      <protection locked="0"/>
    </xf>
    <xf numFmtId="0" fontId="4" fillId="5" borderId="50" xfId="0" applyFont="1" applyFill="1" applyBorder="1" applyAlignment="1" applyProtection="1">
      <alignment/>
      <protection locked="0"/>
    </xf>
    <xf numFmtId="0" fontId="5" fillId="5" borderId="73" xfId="0" applyFont="1" applyFill="1" applyBorder="1" applyAlignment="1" applyProtection="1">
      <alignment/>
      <protection locked="0"/>
    </xf>
    <xf numFmtId="0" fontId="5" fillId="5" borderId="74" xfId="0" applyFont="1" applyFill="1" applyBorder="1" applyAlignment="1" applyProtection="1">
      <alignment/>
      <protection locked="0"/>
    </xf>
    <xf numFmtId="0" fontId="0" fillId="5" borderId="74" xfId="0" applyFill="1" applyBorder="1" applyAlignment="1" applyProtection="1">
      <alignment/>
      <protection locked="0"/>
    </xf>
    <xf numFmtId="0" fontId="0" fillId="5" borderId="75" xfId="0" applyFill="1" applyBorder="1" applyAlignment="1" applyProtection="1">
      <alignment/>
      <protection locked="0"/>
    </xf>
    <xf numFmtId="0" fontId="0" fillId="3" borderId="0" xfId="0" applyFill="1" applyBorder="1" applyAlignment="1" applyProtection="1">
      <alignment horizontal="right" wrapText="1"/>
      <protection locked="0"/>
    </xf>
    <xf numFmtId="0" fontId="0" fillId="4" borderId="70" xfId="0" applyFill="1" applyBorder="1" applyAlignment="1" applyProtection="1">
      <alignment/>
      <protection locked="0"/>
    </xf>
    <xf numFmtId="0" fontId="0" fillId="3" borderId="0" xfId="0" applyFill="1" applyBorder="1" applyAlignment="1" applyProtection="1">
      <alignment horizontal="left"/>
      <protection locked="0"/>
    </xf>
    <xf numFmtId="0" fontId="0" fillId="3" borderId="48" xfId="0" applyFill="1" applyBorder="1" applyAlignment="1" applyProtection="1">
      <alignment/>
      <protection locked="0"/>
    </xf>
    <xf numFmtId="0" fontId="0" fillId="3" borderId="24" xfId="0" applyFill="1" applyBorder="1" applyAlignment="1" applyProtection="1">
      <alignment/>
      <protection locked="0"/>
    </xf>
    <xf numFmtId="0" fontId="4" fillId="5" borderId="50" xfId="0" applyFont="1" applyFill="1" applyBorder="1" applyAlignment="1" applyProtection="1">
      <alignment/>
      <protection locked="0"/>
    </xf>
    <xf numFmtId="0" fontId="3" fillId="3" borderId="0" xfId="0" applyFont="1" applyFill="1" applyBorder="1" applyAlignment="1" applyProtection="1">
      <alignment/>
      <protection locked="0"/>
    </xf>
    <xf numFmtId="0" fontId="2" fillId="3" borderId="13" xfId="0" applyFont="1" applyFill="1" applyBorder="1" applyAlignment="1" applyProtection="1">
      <alignment horizontal="right"/>
      <protection locked="0"/>
    </xf>
    <xf numFmtId="0" fontId="2" fillId="3" borderId="76" xfId="0" applyFont="1" applyFill="1" applyBorder="1" applyAlignment="1" applyProtection="1">
      <alignment/>
      <protection locked="0"/>
    </xf>
    <xf numFmtId="0" fontId="2" fillId="3" borderId="2" xfId="0" applyFont="1" applyFill="1" applyBorder="1" applyAlignment="1" applyProtection="1">
      <alignment horizontal="right"/>
      <protection locked="0"/>
    </xf>
    <xf numFmtId="0" fontId="0" fillId="3" borderId="0" xfId="0" applyFill="1" applyBorder="1" applyAlignment="1" applyProtection="1">
      <alignment horizontal="right"/>
      <protection locked="0"/>
    </xf>
    <xf numFmtId="165" fontId="0" fillId="3" borderId="0" xfId="0" applyNumberFormat="1" applyFill="1" applyBorder="1" applyAlignment="1" applyProtection="1">
      <alignment horizontal="right"/>
      <protection locked="0"/>
    </xf>
    <xf numFmtId="0" fontId="0" fillId="3" borderId="24" xfId="0" applyFill="1" applyBorder="1" applyAlignment="1" applyProtection="1">
      <alignment vertical="center"/>
      <protection locked="0"/>
    </xf>
    <xf numFmtId="0" fontId="3" fillId="3" borderId="24" xfId="0" applyFont="1" applyFill="1" applyBorder="1" applyAlignment="1" applyProtection="1">
      <alignment/>
      <protection locked="0"/>
    </xf>
    <xf numFmtId="0" fontId="15" fillId="3" borderId="0" xfId="0" applyFont="1" applyFill="1" applyBorder="1" applyAlignment="1" applyProtection="1">
      <alignment horizontal="left"/>
      <protection locked="0"/>
    </xf>
    <xf numFmtId="0" fontId="0" fillId="3" borderId="37" xfId="0" applyFill="1" applyBorder="1" applyAlignment="1" applyProtection="1">
      <alignment/>
      <protection locked="0"/>
    </xf>
    <xf numFmtId="0" fontId="7" fillId="3" borderId="0" xfId="0" applyFont="1" applyFill="1" applyBorder="1" applyAlignment="1" applyProtection="1">
      <alignment horizontal="right"/>
      <protection locked="0"/>
    </xf>
    <xf numFmtId="16" fontId="7" fillId="3" borderId="0" xfId="0" applyNumberFormat="1" applyFont="1" applyFill="1" applyBorder="1" applyAlignment="1" applyProtection="1">
      <alignment horizontal="center"/>
      <protection locked="0"/>
    </xf>
    <xf numFmtId="0" fontId="7" fillId="3" borderId="0" xfId="0" applyFont="1" applyFill="1" applyBorder="1" applyAlignment="1" applyProtection="1">
      <alignment horizontal="center"/>
      <protection locked="0"/>
    </xf>
    <xf numFmtId="0" fontId="7" fillId="4" borderId="42" xfId="0" applyFont="1" applyFill="1" applyBorder="1" applyAlignment="1" applyProtection="1">
      <alignment horizontal="center"/>
      <protection locked="0"/>
    </xf>
    <xf numFmtId="0" fontId="0" fillId="4" borderId="77" xfId="0" applyFill="1" applyBorder="1" applyAlignment="1" applyProtection="1">
      <alignment horizontal="centerContinuous"/>
      <protection locked="0"/>
    </xf>
    <xf numFmtId="0" fontId="0" fillId="3" borderId="0" xfId="0" applyFill="1" applyBorder="1" applyAlignment="1" applyProtection="1">
      <alignment horizontal="center"/>
      <protection locked="0"/>
    </xf>
    <xf numFmtId="0" fontId="0" fillId="3" borderId="0" xfId="0" applyFill="1" applyBorder="1" applyAlignment="1" applyProtection="1">
      <alignment horizontal="left" vertical="center"/>
      <protection locked="0"/>
    </xf>
    <xf numFmtId="0" fontId="0" fillId="3" borderId="0" xfId="0" applyFill="1" applyBorder="1" applyAlignment="1" applyProtection="1">
      <alignment vertical="center"/>
      <protection locked="0"/>
    </xf>
    <xf numFmtId="0" fontId="7" fillId="3" borderId="0" xfId="0" applyFont="1" applyFill="1" applyBorder="1" applyAlignment="1" applyProtection="1">
      <alignment horizontal="right" vertical="center"/>
      <protection locked="0"/>
    </xf>
    <xf numFmtId="0" fontId="7" fillId="3" borderId="0"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protection locked="0"/>
    </xf>
    <xf numFmtId="0" fontId="7" fillId="4" borderId="41" xfId="0" applyFont="1" applyFill="1" applyBorder="1" applyAlignment="1" applyProtection="1">
      <alignment/>
      <protection locked="0"/>
    </xf>
    <xf numFmtId="0" fontId="7" fillId="3" borderId="24" xfId="0" applyFont="1" applyFill="1" applyBorder="1" applyAlignment="1" applyProtection="1">
      <alignment horizontal="right"/>
      <protection locked="0"/>
    </xf>
    <xf numFmtId="0" fontId="7" fillId="3" borderId="24" xfId="0" applyFont="1" applyFill="1" applyBorder="1" applyAlignment="1" applyProtection="1">
      <alignment horizontal="center"/>
      <protection locked="0"/>
    </xf>
    <xf numFmtId="0" fontId="17" fillId="3" borderId="10" xfId="0" applyFont="1" applyFill="1" applyBorder="1" applyAlignment="1" applyProtection="1">
      <alignment horizontal="right"/>
      <protection locked="0"/>
    </xf>
    <xf numFmtId="0" fontId="12" fillId="4" borderId="70" xfId="0" applyFont="1" applyFill="1" applyBorder="1" applyAlignment="1" applyProtection="1">
      <alignment/>
      <protection locked="0"/>
    </xf>
    <xf numFmtId="0" fontId="12" fillId="3" borderId="0" xfId="0" applyFont="1" applyFill="1" applyBorder="1" applyAlignment="1" applyProtection="1">
      <alignment horizontal="left" vertical="top"/>
      <protection locked="0"/>
    </xf>
    <xf numFmtId="0" fontId="12" fillId="3" borderId="0" xfId="0" applyFont="1" applyFill="1" applyBorder="1" applyAlignment="1" applyProtection="1">
      <alignment horizontal="left" vertical="center"/>
      <protection locked="0"/>
    </xf>
    <xf numFmtId="165" fontId="12" fillId="3" borderId="0" xfId="0" applyNumberFormat="1" applyFont="1" applyFill="1" applyBorder="1" applyAlignment="1" applyProtection="1">
      <alignment/>
      <protection locked="0"/>
    </xf>
    <xf numFmtId="0" fontId="32" fillId="3" borderId="24" xfId="0" applyFont="1" applyFill="1" applyBorder="1" applyAlignment="1" applyProtection="1">
      <alignment horizontal="right"/>
      <protection locked="0"/>
    </xf>
    <xf numFmtId="2" fontId="32" fillId="3" borderId="24" xfId="0" applyNumberFormat="1" applyFont="1" applyFill="1" applyBorder="1" applyAlignment="1" applyProtection="1">
      <alignment horizontal="right" vertical="center"/>
      <protection locked="0"/>
    </xf>
    <xf numFmtId="2" fontId="32" fillId="4" borderId="45" xfId="0" applyNumberFormat="1" applyFont="1" applyFill="1" applyBorder="1" applyAlignment="1" applyProtection="1">
      <alignment horizontal="right" vertical="center"/>
      <protection locked="0"/>
    </xf>
    <xf numFmtId="165" fontId="3" fillId="4" borderId="3" xfId="0" applyNumberFormat="1" applyFont="1" applyFill="1" applyBorder="1" applyAlignment="1" applyProtection="1">
      <alignment/>
      <protection locked="0"/>
    </xf>
    <xf numFmtId="0" fontId="0" fillId="4" borderId="28" xfId="0" applyFill="1" applyBorder="1" applyAlignment="1" applyProtection="1">
      <alignment/>
      <protection locked="0"/>
    </xf>
    <xf numFmtId="0" fontId="2" fillId="3" borderId="78" xfId="0" applyFont="1" applyFill="1" applyBorder="1" applyAlignment="1" applyProtection="1">
      <alignment horizontal="right" vertical="center"/>
      <protection locked="0"/>
    </xf>
    <xf numFmtId="0" fontId="0" fillId="4" borderId="29" xfId="0" applyFill="1" applyBorder="1" applyAlignment="1" applyProtection="1">
      <alignment/>
      <protection locked="0"/>
    </xf>
    <xf numFmtId="0" fontId="45" fillId="4" borderId="10" xfId="0" applyFont="1" applyFill="1" applyBorder="1" applyAlignment="1" applyProtection="1">
      <alignment horizontal="left" vertical="center"/>
      <protection locked="0"/>
    </xf>
    <xf numFmtId="0" fontId="2" fillId="4" borderId="0" xfId="0" applyFont="1" applyFill="1" applyBorder="1" applyAlignment="1" applyProtection="1">
      <alignment horizontal="right" wrapText="1"/>
      <protection locked="0"/>
    </xf>
    <xf numFmtId="165" fontId="2" fillId="4" borderId="0" xfId="0" applyNumberFormat="1" applyFont="1" applyFill="1" applyBorder="1" applyAlignment="1" applyProtection="1">
      <alignment horizontal="right" vertical="center"/>
      <protection locked="0"/>
    </xf>
    <xf numFmtId="2" fontId="14" fillId="4" borderId="0" xfId="0" applyNumberFormat="1" applyFont="1" applyFill="1" applyBorder="1" applyAlignment="1" applyProtection="1">
      <alignment horizontal="center" vertical="center"/>
      <protection hidden="1" locked="0"/>
    </xf>
    <xf numFmtId="2" fontId="14" fillId="4" borderId="41" xfId="0" applyNumberFormat="1" applyFont="1" applyFill="1" applyBorder="1" applyAlignment="1" applyProtection="1">
      <alignment horizontal="center" vertical="center"/>
      <protection hidden="1" locked="0"/>
    </xf>
    <xf numFmtId="49" fontId="4" fillId="3" borderId="42" xfId="0" applyNumberFormat="1" applyFont="1" applyFill="1" applyBorder="1" applyAlignment="1" applyProtection="1">
      <alignment horizontal="left" vertical="center"/>
      <protection locked="0"/>
    </xf>
    <xf numFmtId="0" fontId="17" fillId="2" borderId="79" xfId="0" applyFont="1" applyFill="1" applyBorder="1" applyAlignment="1" applyProtection="1">
      <alignment horizontal="center" vertical="center"/>
      <protection locked="0"/>
    </xf>
    <xf numFmtId="0" fontId="0" fillId="4" borderId="51" xfId="0" applyFill="1" applyBorder="1" applyAlignment="1" applyProtection="1">
      <alignment horizontal="centerContinuous"/>
      <protection locked="0"/>
    </xf>
    <xf numFmtId="49" fontId="4" fillId="3" borderId="80" xfId="0" applyNumberFormat="1" applyFont="1" applyFill="1" applyBorder="1" applyAlignment="1" applyProtection="1">
      <alignment horizontal="left" vertical="center"/>
      <protection locked="0"/>
    </xf>
    <xf numFmtId="2" fontId="17" fillId="2" borderId="81" xfId="0" applyNumberFormat="1" applyFont="1" applyFill="1" applyBorder="1" applyAlignment="1" applyProtection="1">
      <alignment horizontal="center" vertical="center"/>
      <protection locked="0"/>
    </xf>
    <xf numFmtId="0" fontId="0" fillId="4" borderId="54" xfId="0" applyFill="1" applyBorder="1" applyAlignment="1" applyProtection="1">
      <alignment horizontal="centerContinuous"/>
      <protection locked="0"/>
    </xf>
    <xf numFmtId="49" fontId="4" fillId="3" borderId="47" xfId="0" applyNumberFormat="1" applyFont="1" applyFill="1" applyBorder="1" applyAlignment="1" applyProtection="1">
      <alignment vertical="center"/>
      <protection locked="0"/>
    </xf>
    <xf numFmtId="2" fontId="17" fillId="2" borderId="66" xfId="0" applyNumberFormat="1" applyFont="1" applyFill="1" applyBorder="1" applyAlignment="1" applyProtection="1">
      <alignment horizontal="center" vertical="center"/>
      <protection locked="0"/>
    </xf>
    <xf numFmtId="0" fontId="0" fillId="4" borderId="52" xfId="0" applyFill="1" applyBorder="1" applyAlignment="1" applyProtection="1">
      <alignment horizontal="centerContinuous"/>
      <protection locked="0"/>
    </xf>
    <xf numFmtId="0" fontId="18" fillId="4" borderId="65" xfId="0" applyFont="1" applyFill="1" applyBorder="1" applyAlignment="1" applyProtection="1">
      <alignment horizontal="left" vertical="center"/>
      <protection locked="0"/>
    </xf>
    <xf numFmtId="0" fontId="18" fillId="4" borderId="52" xfId="0" applyFont="1" applyFill="1" applyBorder="1" applyAlignment="1" applyProtection="1">
      <alignment horizontal="left" vertical="center"/>
      <protection locked="0"/>
    </xf>
    <xf numFmtId="0" fontId="18" fillId="4" borderId="69" xfId="0" applyFont="1" applyFill="1" applyBorder="1" applyAlignment="1" applyProtection="1">
      <alignment horizontal="left" vertical="center" wrapText="1"/>
      <protection locked="0"/>
    </xf>
    <xf numFmtId="0" fontId="4" fillId="5" borderId="47" xfId="0" applyFont="1" applyFill="1" applyBorder="1" applyAlignment="1" applyProtection="1">
      <alignment/>
      <protection locked="0"/>
    </xf>
    <xf numFmtId="0" fontId="0" fillId="5" borderId="0" xfId="0" applyFill="1" applyBorder="1" applyAlignment="1" applyProtection="1">
      <alignment/>
      <protection locked="0"/>
    </xf>
    <xf numFmtId="1" fontId="0" fillId="2" borderId="2" xfId="0" applyNumberFormat="1" applyFont="1" applyFill="1" applyBorder="1" applyAlignment="1" applyProtection="1">
      <alignment horizontal="right" vertical="center"/>
      <protection locked="0"/>
    </xf>
    <xf numFmtId="1" fontId="0" fillId="2" borderId="33" xfId="0" applyNumberFormat="1" applyFont="1" applyFill="1" applyBorder="1" applyAlignment="1" applyProtection="1">
      <alignment horizontal="right" vertical="center"/>
      <protection locked="0"/>
    </xf>
    <xf numFmtId="0" fontId="5" fillId="4" borderId="70" xfId="0" applyFont="1" applyFill="1" applyBorder="1" applyAlignment="1" applyProtection="1">
      <alignment horizontal="left" vertical="center"/>
      <protection locked="0"/>
    </xf>
    <xf numFmtId="1" fontId="0" fillId="2" borderId="6" xfId="0" applyNumberFormat="1" applyFont="1" applyFill="1" applyBorder="1" applyAlignment="1" applyProtection="1">
      <alignment horizontal="right" vertical="center"/>
      <protection locked="0"/>
    </xf>
    <xf numFmtId="2" fontId="0" fillId="2" borderId="6" xfId="0" applyNumberFormat="1" applyFont="1" applyFill="1" applyBorder="1" applyAlignment="1" applyProtection="1">
      <alignment horizontal="right" vertical="center"/>
      <protection locked="0"/>
    </xf>
    <xf numFmtId="0" fontId="5" fillId="4" borderId="52" xfId="0" applyFont="1" applyFill="1" applyBorder="1" applyAlignment="1" applyProtection="1">
      <alignment horizontal="left" vertical="center"/>
      <protection locked="0"/>
    </xf>
    <xf numFmtId="0" fontId="0" fillId="4" borderId="52" xfId="0" applyFont="1" applyFill="1" applyBorder="1" applyAlignment="1" applyProtection="1">
      <alignment horizontal="left" vertical="center"/>
      <protection locked="0"/>
    </xf>
    <xf numFmtId="0" fontId="0" fillId="3" borderId="47" xfId="0" applyFont="1" applyFill="1" applyBorder="1" applyAlignment="1" applyProtection="1">
      <alignment horizontal="left" vertical="center"/>
      <protection locked="0"/>
    </xf>
    <xf numFmtId="0" fontId="15" fillId="3" borderId="0" xfId="0" applyFont="1" applyFill="1" applyBorder="1" applyAlignment="1" applyProtection="1">
      <alignment horizontal="right" vertical="center"/>
      <protection locked="0"/>
    </xf>
    <xf numFmtId="0" fontId="0" fillId="2" borderId="6" xfId="0" applyFont="1" applyFill="1" applyBorder="1" applyAlignment="1" applyProtection="1">
      <alignment horizontal="center" vertical="center"/>
      <protection locked="0"/>
    </xf>
    <xf numFmtId="0" fontId="0" fillId="3" borderId="0" xfId="0" applyFont="1" applyFill="1" applyBorder="1" applyAlignment="1" applyProtection="1">
      <alignment horizontal="left" vertical="top" wrapText="1"/>
      <protection locked="0"/>
    </xf>
    <xf numFmtId="2" fontId="0" fillId="3" borderId="21" xfId="0" applyNumberFormat="1" applyFont="1" applyFill="1" applyBorder="1" applyAlignment="1" applyProtection="1">
      <alignment horizontal="right" vertical="center"/>
      <protection locked="0"/>
    </xf>
    <xf numFmtId="2" fontId="0" fillId="3" borderId="0" xfId="0" applyNumberFormat="1" applyFont="1" applyFill="1" applyBorder="1" applyAlignment="1" applyProtection="1">
      <alignment horizontal="right" vertical="center"/>
      <protection locked="0"/>
    </xf>
    <xf numFmtId="0" fontId="14" fillId="3" borderId="47" xfId="0" applyFont="1" applyFill="1" applyBorder="1" applyAlignment="1" applyProtection="1">
      <alignment horizontal="left" vertical="center"/>
      <protection locked="0"/>
    </xf>
    <xf numFmtId="0" fontId="0" fillId="3" borderId="24" xfId="0" applyFont="1" applyFill="1" applyBorder="1" applyAlignment="1" applyProtection="1">
      <alignment horizontal="left" vertical="center"/>
      <protection locked="0"/>
    </xf>
    <xf numFmtId="0" fontId="5" fillId="5" borderId="48" xfId="0" applyFont="1" applyFill="1" applyBorder="1" applyAlignment="1" applyProtection="1">
      <alignment/>
      <protection locked="0"/>
    </xf>
    <xf numFmtId="0" fontId="5" fillId="5" borderId="24" xfId="0" applyFont="1" applyFill="1" applyBorder="1" applyAlignment="1" applyProtection="1">
      <alignment/>
      <protection locked="0"/>
    </xf>
    <xf numFmtId="0" fontId="19" fillId="5" borderId="24" xfId="0" applyFont="1" applyFill="1" applyBorder="1" applyAlignment="1" applyProtection="1">
      <alignment/>
      <protection locked="0"/>
    </xf>
    <xf numFmtId="0" fontId="20" fillId="5" borderId="24" xfId="0" applyFont="1" applyFill="1" applyBorder="1" applyAlignment="1" applyProtection="1">
      <alignment horizontal="left" vertical="top" wrapText="1"/>
      <protection locked="0"/>
    </xf>
    <xf numFmtId="0" fontId="21" fillId="5" borderId="24" xfId="0" applyFont="1" applyFill="1" applyBorder="1" applyAlignment="1" applyProtection="1">
      <alignment horizontal="right"/>
      <protection locked="0"/>
    </xf>
    <xf numFmtId="2" fontId="21" fillId="5" borderId="24" xfId="0" applyNumberFormat="1" applyFont="1" applyFill="1" applyBorder="1" applyAlignment="1" applyProtection="1">
      <alignment horizontal="centerContinuous"/>
      <protection locked="0"/>
    </xf>
    <xf numFmtId="0" fontId="5" fillId="5" borderId="10" xfId="0" applyFont="1" applyFill="1" applyBorder="1" applyAlignment="1" applyProtection="1">
      <alignment horizontal="centerContinuous"/>
      <protection locked="0"/>
    </xf>
    <xf numFmtId="0" fontId="19" fillId="3" borderId="0" xfId="0" applyFont="1" applyFill="1" applyBorder="1" applyAlignment="1" applyProtection="1">
      <alignment/>
      <protection locked="0"/>
    </xf>
    <xf numFmtId="0" fontId="21" fillId="3" borderId="0" xfId="0" applyFont="1" applyFill="1" applyBorder="1" applyAlignment="1" applyProtection="1">
      <alignment horizontal="right"/>
      <protection locked="0"/>
    </xf>
    <xf numFmtId="2" fontId="21" fillId="3" borderId="0" xfId="0" applyNumberFormat="1" applyFont="1" applyFill="1" applyBorder="1" applyAlignment="1" applyProtection="1">
      <alignment horizontal="centerContinuous"/>
      <protection locked="0"/>
    </xf>
    <xf numFmtId="0" fontId="5" fillId="4" borderId="51" xfId="0" applyFont="1" applyFill="1" applyBorder="1" applyAlignment="1" applyProtection="1">
      <alignment horizontal="centerContinuous"/>
      <protection locked="0"/>
    </xf>
    <xf numFmtId="0" fontId="5" fillId="4" borderId="52" xfId="0" applyFont="1" applyFill="1" applyBorder="1" applyAlignment="1" applyProtection="1">
      <alignment horizontal="centerContinuous"/>
      <protection locked="0"/>
    </xf>
    <xf numFmtId="1" fontId="0" fillId="4" borderId="52" xfId="0" applyNumberFormat="1" applyFont="1" applyFill="1" applyBorder="1" applyAlignment="1" applyProtection="1">
      <alignment horizontal="centerContinuous"/>
      <protection locked="0"/>
    </xf>
    <xf numFmtId="0" fontId="15" fillId="3" borderId="47" xfId="0" applyFont="1" applyFill="1" applyBorder="1" applyAlignment="1" applyProtection="1">
      <alignment horizontal="right" vertical="top"/>
      <protection locked="0"/>
    </xf>
    <xf numFmtId="0" fontId="19" fillId="3" borderId="0" xfId="0" applyFont="1" applyFill="1" applyBorder="1" applyAlignment="1" applyProtection="1">
      <alignment horizontal="left"/>
      <protection locked="0"/>
    </xf>
    <xf numFmtId="0" fontId="0" fillId="3" borderId="0" xfId="0" applyFill="1" applyAlignment="1" applyProtection="1">
      <alignment/>
      <protection locked="0"/>
    </xf>
    <xf numFmtId="0" fontId="2" fillId="3" borderId="0" xfId="0" applyFont="1" applyFill="1" applyBorder="1" applyAlignment="1" applyProtection="1">
      <alignment horizontal="right" vertical="top"/>
      <protection locked="0"/>
    </xf>
    <xf numFmtId="0" fontId="2" fillId="3" borderId="0" xfId="0" applyFont="1" applyFill="1" applyBorder="1" applyAlignment="1" applyProtection="1">
      <alignment horizontal="left" vertical="top" wrapText="1"/>
      <protection locked="0"/>
    </xf>
    <xf numFmtId="0" fontId="21" fillId="3" borderId="0" xfId="0" applyFont="1" applyFill="1" applyBorder="1" applyAlignment="1" applyProtection="1">
      <alignment horizontal="right" vertical="center"/>
      <protection locked="0"/>
    </xf>
    <xf numFmtId="2" fontId="21" fillId="3" borderId="0" xfId="0" applyNumberFormat="1" applyFont="1" applyFill="1" applyBorder="1" applyAlignment="1" applyProtection="1">
      <alignment horizontal="centerContinuous" vertical="center"/>
      <protection locked="0"/>
    </xf>
    <xf numFmtId="1" fontId="0" fillId="4" borderId="52" xfId="0" applyNumberFormat="1" applyFont="1" applyFill="1" applyBorder="1" applyAlignment="1" applyProtection="1">
      <alignment horizontal="center"/>
      <protection locked="0"/>
    </xf>
    <xf numFmtId="2" fontId="5" fillId="3" borderId="0" xfId="0" applyNumberFormat="1" applyFont="1" applyFill="1" applyBorder="1" applyAlignment="1" applyProtection="1">
      <alignment horizontal="left"/>
      <protection locked="0"/>
    </xf>
    <xf numFmtId="2" fontId="14" fillId="3" borderId="0" xfId="0" applyNumberFormat="1" applyFont="1" applyFill="1" applyBorder="1" applyAlignment="1" applyProtection="1">
      <alignment horizontal="right" vertical="top" wrapText="1"/>
      <protection locked="0"/>
    </xf>
    <xf numFmtId="0" fontId="15" fillId="3" borderId="0" xfId="0" applyFont="1" applyFill="1" applyBorder="1" applyAlignment="1" applyProtection="1">
      <alignment horizontal="left" wrapText="1"/>
      <protection locked="0"/>
    </xf>
    <xf numFmtId="0" fontId="5" fillId="3" borderId="0" xfId="0" applyFont="1" applyFill="1" applyBorder="1" applyAlignment="1" applyProtection="1">
      <alignment horizontal="left" vertical="top"/>
      <protection locked="0"/>
    </xf>
    <xf numFmtId="0" fontId="5" fillId="4" borderId="54" xfId="0" applyFont="1" applyFill="1" applyBorder="1" applyAlignment="1" applyProtection="1">
      <alignment horizontal="centerContinuous"/>
      <protection locked="0"/>
    </xf>
    <xf numFmtId="0" fontId="17" fillId="3" borderId="24" xfId="0" applyFont="1" applyFill="1" applyBorder="1" applyAlignment="1" applyProtection="1">
      <alignment horizontal="right"/>
      <protection locked="0"/>
    </xf>
    <xf numFmtId="0" fontId="42" fillId="3" borderId="0" xfId="0" applyFont="1" applyFill="1" applyBorder="1" applyAlignment="1" applyProtection="1">
      <alignment horizontal="right"/>
      <protection locked="0"/>
    </xf>
    <xf numFmtId="0" fontId="5" fillId="4" borderId="41" xfId="0" applyFont="1" applyFill="1" applyBorder="1" applyAlignment="1" applyProtection="1">
      <alignment horizontal="centerContinuous"/>
      <protection locked="0"/>
    </xf>
    <xf numFmtId="0" fontId="42" fillId="3" borderId="47" xfId="0" applyFont="1" applyFill="1" applyBorder="1" applyAlignment="1" applyProtection="1">
      <alignment horizontal="right"/>
      <protection locked="0"/>
    </xf>
    <xf numFmtId="0" fontId="2" fillId="3" borderId="0" xfId="0" applyFont="1" applyFill="1" applyBorder="1" applyAlignment="1" applyProtection="1">
      <alignment horizontal="right"/>
      <protection locked="0"/>
    </xf>
    <xf numFmtId="2" fontId="17" fillId="3" borderId="0" xfId="0" applyNumberFormat="1" applyFont="1" applyFill="1" applyBorder="1" applyAlignment="1" applyProtection="1">
      <alignment horizontal="right"/>
      <protection locked="0"/>
    </xf>
    <xf numFmtId="2" fontId="17" fillId="4" borderId="41" xfId="0" applyNumberFormat="1" applyFont="1" applyFill="1" applyBorder="1" applyAlignment="1" applyProtection="1">
      <alignment horizontal="right"/>
      <protection locked="0"/>
    </xf>
    <xf numFmtId="0" fontId="0" fillId="4" borderId="41" xfId="0" applyFill="1" applyBorder="1" applyAlignment="1" applyProtection="1">
      <alignment/>
      <protection locked="0"/>
    </xf>
    <xf numFmtId="166" fontId="15" fillId="3" borderId="0" xfId="0" applyNumberFormat="1" applyFont="1" applyFill="1" applyBorder="1" applyAlignment="1" applyProtection="1">
      <alignment horizontal="right" vertical="center"/>
      <protection locked="0"/>
    </xf>
    <xf numFmtId="173" fontId="0" fillId="3" borderId="24" xfId="0" applyNumberFormat="1" applyFill="1" applyBorder="1" applyAlignment="1" applyProtection="1">
      <alignment horizontal="right" vertical="center"/>
      <protection locked="0"/>
    </xf>
    <xf numFmtId="0" fontId="5" fillId="3" borderId="24" xfId="0" applyFont="1" applyFill="1" applyBorder="1" applyAlignment="1" applyProtection="1">
      <alignment horizontal="left"/>
      <protection locked="0"/>
    </xf>
    <xf numFmtId="0" fontId="0" fillId="3" borderId="24" xfId="0" applyFill="1" applyBorder="1" applyAlignment="1" applyProtection="1">
      <alignment horizontal="right"/>
      <protection locked="0"/>
    </xf>
    <xf numFmtId="0" fontId="15" fillId="3" borderId="24" xfId="0" applyFont="1" applyFill="1" applyBorder="1" applyAlignment="1" applyProtection="1">
      <alignment horizontal="left" wrapText="1"/>
      <protection locked="0"/>
    </xf>
    <xf numFmtId="0" fontId="0" fillId="5" borderId="47" xfId="0" applyFill="1" applyBorder="1" applyAlignment="1" applyProtection="1">
      <alignment/>
      <protection locked="0"/>
    </xf>
    <xf numFmtId="0" fontId="5" fillId="5" borderId="73" xfId="0" applyFont="1" applyFill="1" applyBorder="1" applyAlignment="1" applyProtection="1">
      <alignment vertical="center"/>
      <protection locked="0"/>
    </xf>
    <xf numFmtId="0" fontId="5" fillId="3" borderId="0" xfId="0" applyFont="1" applyFill="1" applyBorder="1" applyAlignment="1" applyProtection="1">
      <alignment/>
      <protection locked="0"/>
    </xf>
    <xf numFmtId="0" fontId="5" fillId="3" borderId="0" xfId="0" applyFont="1" applyFill="1" applyAlignment="1" applyProtection="1">
      <alignment/>
      <protection locked="0"/>
    </xf>
    <xf numFmtId="165" fontId="0" fillId="3" borderId="0" xfId="0" applyNumberFormat="1" applyFill="1" applyBorder="1" applyAlignment="1" applyProtection="1">
      <alignment horizontal="right" vertical="center"/>
      <protection locked="0"/>
    </xf>
    <xf numFmtId="2" fontId="0" fillId="3" borderId="0" xfId="0" applyNumberFormat="1" applyFill="1" applyBorder="1" applyAlignment="1" applyProtection="1">
      <alignment horizontal="right"/>
      <protection locked="0"/>
    </xf>
    <xf numFmtId="0" fontId="0" fillId="3" borderId="47" xfId="0" applyFont="1" applyFill="1" applyBorder="1" applyAlignment="1" applyProtection="1">
      <alignment/>
      <protection locked="0"/>
    </xf>
    <xf numFmtId="0" fontId="0" fillId="4" borderId="49" xfId="0" applyFill="1" applyBorder="1" applyAlignment="1" applyProtection="1">
      <alignment/>
      <protection locked="0"/>
    </xf>
    <xf numFmtId="0" fontId="0" fillId="4" borderId="47" xfId="0" applyFill="1" applyBorder="1" applyAlignment="1" applyProtection="1">
      <alignment/>
      <protection locked="0"/>
    </xf>
    <xf numFmtId="0" fontId="0" fillId="3" borderId="37" xfId="0" applyFill="1" applyBorder="1" applyAlignment="1" applyProtection="1">
      <alignment horizontal="right"/>
      <protection locked="0"/>
    </xf>
    <xf numFmtId="0" fontId="0" fillId="3" borderId="47" xfId="0" applyFill="1" applyBorder="1" applyAlignment="1" applyProtection="1">
      <alignment horizontal="right"/>
      <protection locked="0"/>
    </xf>
    <xf numFmtId="164" fontId="0" fillId="3" borderId="0" xfId="0" applyNumberFormat="1" applyFill="1" applyBorder="1" applyAlignment="1" applyProtection="1">
      <alignment horizontal="center"/>
      <protection locked="0"/>
    </xf>
    <xf numFmtId="164" fontId="0" fillId="4" borderId="52" xfId="0" applyNumberFormat="1" applyFill="1" applyBorder="1" applyAlignment="1" applyProtection="1">
      <alignment horizontal="center"/>
      <protection locked="0"/>
    </xf>
    <xf numFmtId="169" fontId="0" fillId="3" borderId="21" xfId="0" applyNumberFormat="1" applyFill="1" applyBorder="1" applyAlignment="1" applyProtection="1">
      <alignment horizontal="right"/>
      <protection locked="0"/>
    </xf>
    <xf numFmtId="0" fontId="0" fillId="3" borderId="0" xfId="0" applyFill="1" applyBorder="1" applyAlignment="1" applyProtection="1">
      <alignment horizontal="right" vertical="center"/>
      <protection locked="0"/>
    </xf>
    <xf numFmtId="165" fontId="0" fillId="3" borderId="0" xfId="0" applyNumberFormat="1" applyFont="1" applyFill="1" applyBorder="1" applyAlignment="1" applyProtection="1">
      <alignment horizontal="right"/>
      <protection locked="0"/>
    </xf>
    <xf numFmtId="0" fontId="0" fillId="3" borderId="10" xfId="0" applyFill="1" applyBorder="1" applyAlignment="1" applyProtection="1">
      <alignment/>
      <protection locked="0"/>
    </xf>
    <xf numFmtId="0" fontId="4" fillId="5" borderId="50" xfId="0" applyFont="1" applyFill="1" applyBorder="1" applyAlignment="1" applyProtection="1">
      <alignment/>
      <protection locked="0"/>
    </xf>
    <xf numFmtId="0" fontId="0" fillId="5" borderId="77" xfId="0" applyFill="1" applyBorder="1" applyAlignment="1" applyProtection="1">
      <alignment/>
      <protection locked="0"/>
    </xf>
    <xf numFmtId="0" fontId="0" fillId="3" borderId="7" xfId="0" applyFill="1" applyBorder="1" applyAlignment="1" applyProtection="1">
      <alignment/>
      <protection locked="0"/>
    </xf>
    <xf numFmtId="0" fontId="0" fillId="4" borderId="0" xfId="0" applyFill="1" applyBorder="1" applyAlignment="1" applyProtection="1">
      <alignment horizontal="center"/>
      <protection locked="0"/>
    </xf>
    <xf numFmtId="0" fontId="0" fillId="4" borderId="70" xfId="0" applyFill="1" applyBorder="1" applyAlignment="1" applyProtection="1">
      <alignment horizontal="center"/>
      <protection locked="0"/>
    </xf>
    <xf numFmtId="2" fontId="3" fillId="4" borderId="52" xfId="0" applyNumberFormat="1" applyFont="1" applyFill="1" applyBorder="1" applyAlignment="1" applyProtection="1">
      <alignment/>
      <protection locked="0"/>
    </xf>
    <xf numFmtId="0" fontId="0" fillId="3" borderId="82" xfId="0" applyFill="1" applyBorder="1" applyAlignment="1" applyProtection="1">
      <alignment/>
      <protection locked="0"/>
    </xf>
    <xf numFmtId="0" fontId="0" fillId="4" borderId="52" xfId="0" applyFill="1" applyBorder="1" applyAlignment="1" applyProtection="1">
      <alignment horizontal="center"/>
      <protection locked="0"/>
    </xf>
    <xf numFmtId="0" fontId="0" fillId="4" borderId="13" xfId="0" applyFill="1" applyBorder="1" applyAlignment="1" applyProtection="1">
      <alignment horizontal="left" vertical="center"/>
      <protection locked="0"/>
    </xf>
    <xf numFmtId="0" fontId="0" fillId="4" borderId="71" xfId="0" applyFill="1" applyBorder="1" applyAlignment="1" applyProtection="1">
      <alignment horizontal="right"/>
      <protection locked="0"/>
    </xf>
    <xf numFmtId="0" fontId="0" fillId="4" borderId="76" xfId="0" applyFill="1" applyBorder="1" applyAlignment="1" applyProtection="1">
      <alignment/>
      <protection locked="0"/>
    </xf>
    <xf numFmtId="0" fontId="0" fillId="4" borderId="7" xfId="0" applyFill="1" applyBorder="1" applyAlignment="1" applyProtection="1">
      <alignment vertical="center"/>
      <protection locked="0"/>
    </xf>
    <xf numFmtId="0" fontId="0" fillId="4" borderId="71" xfId="0" applyFill="1" applyBorder="1" applyAlignment="1" applyProtection="1">
      <alignment/>
      <protection locked="0"/>
    </xf>
    <xf numFmtId="0" fontId="0" fillId="4" borderId="1" xfId="0" applyFill="1" applyBorder="1" applyAlignment="1" applyProtection="1">
      <alignment horizontal="center"/>
      <protection locked="0"/>
    </xf>
    <xf numFmtId="2" fontId="3" fillId="4" borderId="64" xfId="0" applyNumberFormat="1" applyFont="1" applyFill="1" applyBorder="1" applyAlignment="1" applyProtection="1">
      <alignment/>
      <protection locked="0"/>
    </xf>
    <xf numFmtId="0" fontId="15" fillId="4" borderId="52" xfId="0" applyFont="1" applyFill="1" applyBorder="1" applyAlignment="1" applyProtection="1">
      <alignment horizontal="left" vertical="center" wrapText="1"/>
      <protection locked="0"/>
    </xf>
    <xf numFmtId="2" fontId="3" fillId="4" borderId="65" xfId="0" applyNumberFormat="1" applyFont="1" applyFill="1" applyBorder="1" applyAlignment="1" applyProtection="1">
      <alignment/>
      <protection locked="0"/>
    </xf>
    <xf numFmtId="2" fontId="0" fillId="3" borderId="22" xfId="0" applyNumberFormat="1" applyFill="1" applyBorder="1" applyAlignment="1" applyProtection="1">
      <alignment horizontal="right"/>
      <protection hidden="1" locked="0"/>
    </xf>
    <xf numFmtId="0" fontId="0" fillId="3" borderId="47" xfId="0" applyFont="1" applyFill="1" applyBorder="1" applyAlignment="1" applyProtection="1">
      <alignment horizontal="right" vertical="center" wrapText="1"/>
      <protection locked="0"/>
    </xf>
    <xf numFmtId="0" fontId="0" fillId="3" borderId="0" xfId="0" applyFont="1" applyFill="1" applyBorder="1" applyAlignment="1" applyProtection="1">
      <alignment horizontal="right" vertical="center" wrapText="1"/>
      <protection locked="0"/>
    </xf>
    <xf numFmtId="0" fontId="0" fillId="3" borderId="0" xfId="0" applyFill="1" applyBorder="1" applyAlignment="1" applyProtection="1">
      <alignment horizontal="right" vertical="center" wrapText="1"/>
      <protection locked="0"/>
    </xf>
    <xf numFmtId="165" fontId="0" fillId="3" borderId="21" xfId="0" applyNumberFormat="1" applyFill="1" applyBorder="1" applyAlignment="1" applyProtection="1">
      <alignment horizontal="right" vertical="center"/>
      <protection locked="0"/>
    </xf>
    <xf numFmtId="2" fontId="0" fillId="4" borderId="52" xfId="0" applyNumberFormat="1" applyFill="1" applyBorder="1" applyAlignment="1" applyProtection="1">
      <alignment horizontal="right"/>
      <protection locked="0"/>
    </xf>
    <xf numFmtId="0" fontId="0" fillId="3" borderId="47" xfId="0" applyFill="1" applyBorder="1" applyAlignment="1" applyProtection="1">
      <alignment horizontal="left" vertical="top" wrapText="1"/>
      <protection locked="0"/>
    </xf>
    <xf numFmtId="0" fontId="0" fillId="3" borderId="47" xfId="0" applyFill="1" applyBorder="1" applyAlignment="1" applyProtection="1">
      <alignment horizontal="left"/>
      <protection locked="0"/>
    </xf>
    <xf numFmtId="0" fontId="43" fillId="3" borderId="0" xfId="0" applyFont="1" applyFill="1" applyBorder="1" applyAlignment="1" applyProtection="1">
      <alignment horizontal="left" vertical="center"/>
      <protection locked="0"/>
    </xf>
    <xf numFmtId="2" fontId="0" fillId="4" borderId="54" xfId="0" applyNumberFormat="1" applyFill="1" applyBorder="1" applyAlignment="1" applyProtection="1">
      <alignment horizontal="right"/>
      <protection locked="0"/>
    </xf>
    <xf numFmtId="0" fontId="0" fillId="4" borderId="54" xfId="0" applyFill="1" applyBorder="1" applyAlignment="1" applyProtection="1">
      <alignment horizontal="center"/>
      <protection locked="0"/>
    </xf>
    <xf numFmtId="2" fontId="0" fillId="4" borderId="83" xfId="0" applyNumberFormat="1" applyFill="1" applyBorder="1" applyAlignment="1" applyProtection="1">
      <alignment horizontal="right"/>
      <protection locked="0"/>
    </xf>
    <xf numFmtId="0" fontId="0" fillId="4" borderId="10" xfId="0" applyFill="1" applyBorder="1" applyAlignment="1" applyProtection="1">
      <alignment horizontal="center"/>
      <protection locked="0"/>
    </xf>
    <xf numFmtId="0" fontId="4" fillId="5" borderId="42" xfId="0" applyFont="1" applyFill="1" applyBorder="1" applyAlignment="1" applyProtection="1">
      <alignment horizontal="left" vertical="top"/>
      <protection locked="0"/>
    </xf>
    <xf numFmtId="0" fontId="4" fillId="5" borderId="47" xfId="0" applyFont="1" applyFill="1" applyBorder="1" applyAlignment="1" applyProtection="1">
      <alignment horizontal="left" vertical="top"/>
      <protection locked="0"/>
    </xf>
    <xf numFmtId="0" fontId="4" fillId="5" borderId="0" xfId="0" applyFont="1" applyFill="1" applyBorder="1" applyAlignment="1" applyProtection="1">
      <alignment/>
      <protection locked="0"/>
    </xf>
    <xf numFmtId="0" fontId="2" fillId="3" borderId="47" xfId="0" applyFont="1" applyFill="1" applyBorder="1" applyAlignment="1" applyProtection="1">
      <alignment/>
      <protection locked="0"/>
    </xf>
    <xf numFmtId="0" fontId="0" fillId="3" borderId="0" xfId="0" applyFill="1" applyBorder="1" applyAlignment="1" applyProtection="1">
      <alignment horizontal="left" vertical="top" wrapText="1"/>
      <protection locked="0"/>
    </xf>
    <xf numFmtId="0" fontId="0" fillId="3" borderId="0" xfId="0" applyFill="1" applyBorder="1" applyAlignment="1" applyProtection="1">
      <alignment vertical="top"/>
      <protection locked="0"/>
    </xf>
    <xf numFmtId="0" fontId="0" fillId="3" borderId="0" xfId="0" applyFill="1" applyBorder="1" applyAlignment="1" applyProtection="1">
      <alignment horizontal="right" vertical="top"/>
      <protection locked="0"/>
    </xf>
    <xf numFmtId="0" fontId="12" fillId="3" borderId="41" xfId="0" applyFont="1" applyFill="1" applyBorder="1" applyAlignment="1" applyProtection="1">
      <alignment horizontal="left" vertical="center"/>
      <protection locked="0"/>
    </xf>
    <xf numFmtId="0" fontId="14" fillId="4" borderId="23" xfId="0" applyFont="1" applyFill="1" applyBorder="1" applyAlignment="1" applyProtection="1">
      <alignment horizontal="center" vertical="center"/>
      <protection locked="0"/>
    </xf>
    <xf numFmtId="169" fontId="0" fillId="3" borderId="0" xfId="0" applyNumberFormat="1" applyFill="1" applyBorder="1" applyAlignment="1" applyProtection="1">
      <alignment horizontal="left"/>
      <protection locked="0"/>
    </xf>
    <xf numFmtId="0" fontId="5" fillId="3" borderId="0" xfId="0" applyFont="1" applyFill="1" applyBorder="1" applyAlignment="1" applyProtection="1">
      <alignment vertical="center"/>
      <protection locked="0"/>
    </xf>
    <xf numFmtId="0" fontId="14" fillId="3" borderId="0" xfId="0" applyFont="1" applyFill="1" applyBorder="1" applyAlignment="1" applyProtection="1">
      <alignment horizontal="center" vertical="center"/>
      <protection locked="0"/>
    </xf>
    <xf numFmtId="0" fontId="0" fillId="3" borderId="48" xfId="0" applyFill="1" applyBorder="1" applyAlignment="1" applyProtection="1">
      <alignment horizontal="right"/>
      <protection locked="0"/>
    </xf>
    <xf numFmtId="0" fontId="0" fillId="3" borderId="24" xfId="0" applyFill="1" applyBorder="1" applyAlignment="1" applyProtection="1">
      <alignment horizontal="left"/>
      <protection locked="0"/>
    </xf>
    <xf numFmtId="169" fontId="0" fillId="3" borderId="24" xfId="0" applyNumberFormat="1" applyFill="1" applyBorder="1" applyAlignment="1" applyProtection="1">
      <alignment horizontal="right"/>
      <protection locked="0"/>
    </xf>
    <xf numFmtId="169" fontId="0" fillId="3" borderId="24" xfId="0" applyNumberFormat="1" applyFill="1" applyBorder="1" applyAlignment="1" applyProtection="1">
      <alignment horizontal="right" vertical="center"/>
      <protection locked="0"/>
    </xf>
    <xf numFmtId="0" fontId="5" fillId="3" borderId="24" xfId="0" applyFont="1" applyFill="1" applyBorder="1" applyAlignment="1" applyProtection="1">
      <alignment vertical="center"/>
      <protection locked="0"/>
    </xf>
    <xf numFmtId="0" fontId="29" fillId="5" borderId="42" xfId="0" applyFont="1" applyFill="1" applyBorder="1" applyAlignment="1" applyProtection="1">
      <alignment horizontal="left" vertical="top"/>
      <protection locked="0"/>
    </xf>
    <xf numFmtId="0" fontId="29" fillId="5" borderId="50" xfId="0" applyFont="1" applyFill="1" applyBorder="1" applyAlignment="1" applyProtection="1">
      <alignment horizontal="left" vertical="top"/>
      <protection locked="0"/>
    </xf>
    <xf numFmtId="0" fontId="12" fillId="3" borderId="47"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37" xfId="0" applyFont="1" applyFill="1" applyBorder="1" applyAlignment="1" applyProtection="1">
      <alignment horizontal="left" vertical="top" wrapText="1"/>
      <protection locked="0"/>
    </xf>
    <xf numFmtId="0" fontId="30" fillId="3" borderId="0" xfId="0" applyFont="1" applyFill="1" applyBorder="1" applyAlignment="1" applyProtection="1">
      <alignment horizontal="left" vertical="top" wrapText="1"/>
      <protection locked="0"/>
    </xf>
    <xf numFmtId="0" fontId="12" fillId="3" borderId="0" xfId="0" applyFont="1" applyFill="1" applyBorder="1" applyAlignment="1" applyProtection="1">
      <alignment horizontal="right" vertical="top" wrapText="1"/>
      <protection locked="0"/>
    </xf>
    <xf numFmtId="0" fontId="12" fillId="3" borderId="0" xfId="0" applyFont="1" applyFill="1" applyBorder="1" applyAlignment="1" applyProtection="1">
      <alignment horizontal="right" vertical="center" wrapText="1"/>
      <protection locked="0"/>
    </xf>
    <xf numFmtId="0" fontId="27" fillId="3" borderId="0" xfId="0" applyFont="1" applyFill="1" applyBorder="1" applyAlignment="1" applyProtection="1">
      <alignment horizontal="right" wrapText="1"/>
      <protection locked="0"/>
    </xf>
    <xf numFmtId="0" fontId="27" fillId="3" borderId="0" xfId="0" applyFont="1" applyFill="1" applyBorder="1" applyAlignment="1" applyProtection="1">
      <alignment horizontal="right"/>
      <protection locked="0"/>
    </xf>
    <xf numFmtId="0" fontId="27" fillId="3" borderId="47" xfId="0" applyFont="1" applyFill="1" applyBorder="1" applyAlignment="1" applyProtection="1">
      <alignment horizontal="right"/>
      <protection locked="0"/>
    </xf>
    <xf numFmtId="2" fontId="27" fillId="3" borderId="0" xfId="0" applyNumberFormat="1" applyFont="1" applyFill="1" applyBorder="1" applyAlignment="1" applyProtection="1">
      <alignment horizontal="right" vertical="center"/>
      <protection locked="0"/>
    </xf>
    <xf numFmtId="0" fontId="12" fillId="3" borderId="41" xfId="0" applyFont="1" applyFill="1" applyBorder="1" applyAlignment="1" applyProtection="1">
      <alignment/>
      <protection locked="0"/>
    </xf>
    <xf numFmtId="0" fontId="12" fillId="3" borderId="6" xfId="0" applyFont="1" applyFill="1" applyBorder="1" applyAlignment="1" applyProtection="1">
      <alignment horizontal="center"/>
      <protection locked="0"/>
    </xf>
    <xf numFmtId="0" fontId="0" fillId="2" borderId="7" xfId="0" applyFill="1" applyBorder="1" applyAlignment="1" applyProtection="1">
      <alignment/>
      <protection locked="0"/>
    </xf>
    <xf numFmtId="0" fontId="0" fillId="2" borderId="22" xfId="0" applyFill="1" applyBorder="1" applyAlignment="1" applyProtection="1">
      <alignment/>
      <protection locked="0"/>
    </xf>
    <xf numFmtId="0" fontId="0" fillId="2" borderId="84" xfId="0" applyFill="1" applyBorder="1" applyAlignment="1" applyProtection="1">
      <alignment/>
      <protection locked="0"/>
    </xf>
    <xf numFmtId="0" fontId="0" fillId="4" borderId="54" xfId="0" applyFont="1" applyFill="1" applyBorder="1" applyAlignment="1" applyProtection="1">
      <alignment horizontal="left" vertical="center"/>
      <protection locked="0"/>
    </xf>
    <xf numFmtId="2" fontId="14" fillId="0" borderId="36" xfId="0" applyNumberFormat="1" applyFont="1" applyFill="1" applyBorder="1" applyAlignment="1" applyProtection="1">
      <alignment vertical="center"/>
      <protection/>
    </xf>
    <xf numFmtId="2" fontId="0" fillId="0" borderId="36" xfId="0" applyNumberFormat="1" applyFill="1" applyBorder="1" applyAlignment="1" applyProtection="1">
      <alignment horizontal="right" vertical="center"/>
      <protection/>
    </xf>
    <xf numFmtId="0" fontId="14" fillId="0" borderId="6"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0" fillId="2" borderId="15" xfId="0" applyFont="1" applyFill="1" applyBorder="1" applyAlignment="1" applyProtection="1">
      <alignment/>
      <protection locked="0"/>
    </xf>
    <xf numFmtId="0" fontId="0" fillId="2" borderId="18" xfId="0" applyFont="1" applyFill="1" applyBorder="1" applyAlignment="1" applyProtection="1">
      <alignment/>
      <protection locked="0"/>
    </xf>
    <xf numFmtId="0" fontId="2" fillId="3" borderId="28" xfId="0" applyFont="1" applyFill="1" applyBorder="1" applyAlignment="1" applyProtection="1">
      <alignment horizontal="left" vertical="center"/>
      <protection locked="0"/>
    </xf>
    <xf numFmtId="0" fontId="2" fillId="3" borderId="28" xfId="0" applyFont="1" applyFill="1" applyBorder="1" applyAlignment="1" applyProtection="1">
      <alignment horizontal="center" vertical="center"/>
      <protection locked="0"/>
    </xf>
    <xf numFmtId="1" fontId="0" fillId="2" borderId="85" xfId="0" applyNumberFormat="1" applyFill="1" applyBorder="1" applyAlignment="1" applyProtection="1">
      <alignment horizontal="center" vertical="center"/>
      <protection locked="0"/>
    </xf>
    <xf numFmtId="0" fontId="40" fillId="3" borderId="22" xfId="0" applyFont="1" applyFill="1" applyBorder="1" applyAlignment="1" applyProtection="1">
      <alignment horizontal="right" vertical="center"/>
      <protection locked="0"/>
    </xf>
    <xf numFmtId="0" fontId="0" fillId="3" borderId="22" xfId="0" applyFill="1" applyBorder="1" applyAlignment="1" applyProtection="1">
      <alignment/>
      <protection locked="0"/>
    </xf>
    <xf numFmtId="0" fontId="2" fillId="4" borderId="48" xfId="0" applyFont="1" applyFill="1" applyBorder="1" applyAlignment="1" applyProtection="1">
      <alignment horizontal="right" vertical="center" wrapText="1"/>
      <protection locked="0"/>
    </xf>
    <xf numFmtId="0" fontId="2" fillId="4" borderId="24" xfId="0" applyFont="1" applyFill="1" applyBorder="1" applyAlignment="1" applyProtection="1">
      <alignment horizontal="right" vertical="center" wrapText="1"/>
      <protection locked="0"/>
    </xf>
    <xf numFmtId="165" fontId="2" fillId="4" borderId="24" xfId="0" applyNumberFormat="1" applyFont="1" applyFill="1" applyBorder="1" applyAlignment="1" applyProtection="1">
      <alignment horizontal="right" vertical="center" wrapText="1"/>
      <protection locked="0"/>
    </xf>
    <xf numFmtId="2" fontId="14" fillId="4" borderId="24" xfId="0" applyNumberFormat="1" applyFont="1" applyFill="1" applyBorder="1" applyAlignment="1" applyProtection="1">
      <alignment horizontal="center" vertical="center"/>
      <protection locked="0"/>
    </xf>
    <xf numFmtId="2" fontId="14" fillId="4" borderId="10" xfId="0" applyNumberFormat="1" applyFont="1" applyFill="1" applyBorder="1" applyAlignment="1" applyProtection="1">
      <alignment horizontal="center" vertical="center"/>
      <protection locked="0"/>
    </xf>
    <xf numFmtId="49" fontId="4" fillId="3" borderId="42" xfId="0" applyNumberFormat="1" applyFont="1" applyFill="1" applyBorder="1" applyAlignment="1" applyProtection="1">
      <alignment vertical="center"/>
      <protection locked="0"/>
    </xf>
    <xf numFmtId="49" fontId="4" fillId="3" borderId="59" xfId="0" applyNumberFormat="1" applyFont="1" applyFill="1" applyBorder="1" applyAlignment="1" applyProtection="1">
      <alignment vertical="center"/>
      <protection locked="0"/>
    </xf>
    <xf numFmtId="0" fontId="17" fillId="2" borderId="86" xfId="0" applyFont="1" applyFill="1" applyBorder="1" applyAlignment="1" applyProtection="1">
      <alignment horizontal="center" vertical="center"/>
      <protection locked="0"/>
    </xf>
    <xf numFmtId="0" fontId="14" fillId="4" borderId="52" xfId="0" applyFont="1" applyFill="1" applyBorder="1" applyAlignment="1" applyProtection="1">
      <alignment horizontal="left" vertical="center"/>
      <protection locked="0"/>
    </xf>
    <xf numFmtId="49" fontId="4" fillId="3" borderId="62" xfId="0" applyNumberFormat="1" applyFont="1" applyFill="1" applyBorder="1" applyAlignment="1" applyProtection="1">
      <alignment vertical="center"/>
      <protection locked="0"/>
    </xf>
    <xf numFmtId="0" fontId="17" fillId="2" borderId="87" xfId="0" applyFont="1" applyFill="1" applyBorder="1" applyAlignment="1" applyProtection="1">
      <alignment horizontal="center" vertical="center"/>
      <protection locked="0"/>
    </xf>
    <xf numFmtId="49" fontId="4" fillId="3" borderId="47" xfId="0" applyNumberFormat="1" applyFont="1" applyFill="1" applyBorder="1" applyAlignment="1" applyProtection="1">
      <alignment horizontal="left" vertical="center"/>
      <protection locked="0"/>
    </xf>
    <xf numFmtId="0" fontId="18" fillId="4" borderId="52" xfId="0" applyFont="1" applyFill="1" applyBorder="1" applyAlignment="1" applyProtection="1">
      <alignment horizontal="left"/>
      <protection locked="0"/>
    </xf>
    <xf numFmtId="0" fontId="21" fillId="3" borderId="37" xfId="0" applyFont="1" applyFill="1" applyBorder="1" applyAlignment="1" applyProtection="1">
      <alignment horizontal="right"/>
      <protection locked="0"/>
    </xf>
    <xf numFmtId="2" fontId="21" fillId="3" borderId="37" xfId="0" applyNumberFormat="1" applyFont="1" applyFill="1" applyBorder="1" applyAlignment="1" applyProtection="1">
      <alignment horizontal="centerContinuous"/>
      <protection locked="0"/>
    </xf>
    <xf numFmtId="0" fontId="5" fillId="4" borderId="70" xfId="0" applyFont="1" applyFill="1" applyBorder="1" applyAlignment="1" applyProtection="1">
      <alignment horizontal="centerContinuous"/>
      <protection locked="0"/>
    </xf>
    <xf numFmtId="0" fontId="15" fillId="3" borderId="0" xfId="0" applyFont="1" applyFill="1" applyBorder="1" applyAlignment="1" applyProtection="1">
      <alignment horizontal="left" vertical="top" wrapText="1"/>
      <protection locked="0"/>
    </xf>
    <xf numFmtId="1" fontId="39" fillId="4" borderId="52" xfId="0" applyNumberFormat="1" applyFont="1" applyFill="1" applyBorder="1" applyAlignment="1" applyProtection="1">
      <alignment horizontal="left"/>
      <protection locked="0"/>
    </xf>
    <xf numFmtId="0" fontId="2" fillId="3" borderId="0" xfId="0" applyFont="1" applyFill="1" applyBorder="1" applyAlignment="1" applyProtection="1">
      <alignment horizontal="right" vertical="center" wrapText="1"/>
      <protection locked="0"/>
    </xf>
    <xf numFmtId="0" fontId="14" fillId="3" borderId="0" xfId="0" applyFont="1" applyFill="1" applyBorder="1" applyAlignment="1" applyProtection="1">
      <alignment horizontal="right" wrapText="1"/>
      <protection locked="0"/>
    </xf>
    <xf numFmtId="0" fontId="0" fillId="3" borderId="0" xfId="0" applyFont="1" applyFill="1" applyBorder="1" applyAlignment="1" applyProtection="1">
      <alignment horizontal="right" wrapText="1"/>
      <protection locked="0"/>
    </xf>
    <xf numFmtId="2" fontId="14" fillId="3" borderId="0" xfId="0" applyNumberFormat="1" applyFont="1" applyFill="1" applyBorder="1" applyAlignment="1" applyProtection="1">
      <alignment horizontal="right" vertical="center"/>
      <protection locked="0"/>
    </xf>
    <xf numFmtId="1" fontId="14" fillId="4" borderId="52" xfId="0" applyNumberFormat="1" applyFont="1" applyFill="1" applyBorder="1" applyAlignment="1" applyProtection="1">
      <alignment horizontal="left"/>
      <protection locked="0"/>
    </xf>
    <xf numFmtId="2" fontId="14" fillId="3" borderId="0" xfId="0" applyNumberFormat="1" applyFont="1" applyFill="1" applyBorder="1" applyAlignment="1" applyProtection="1">
      <alignment horizontal="left"/>
      <protection locked="0"/>
    </xf>
    <xf numFmtId="0" fontId="18" fillId="4" borderId="54" xfId="0" applyFont="1" applyFill="1" applyBorder="1" applyAlignment="1" applyProtection="1">
      <alignment horizontal="left"/>
      <protection locked="0"/>
    </xf>
    <xf numFmtId="0" fontId="15" fillId="3" borderId="24" xfId="0" applyFont="1" applyFill="1" applyBorder="1" applyAlignment="1" applyProtection="1">
      <alignment horizontal="right" vertical="top"/>
      <protection locked="0"/>
    </xf>
    <xf numFmtId="0" fontId="0" fillId="3" borderId="47" xfId="0" applyFill="1" applyBorder="1" applyAlignment="1" applyProtection="1">
      <alignment horizontal="right" wrapText="1"/>
      <protection/>
    </xf>
    <xf numFmtId="0" fontId="0" fillId="3" borderId="0" xfId="0" applyFill="1" applyBorder="1" applyAlignment="1" applyProtection="1">
      <alignment horizontal="right" wrapText="1"/>
      <protection/>
    </xf>
    <xf numFmtId="2" fontId="14" fillId="3" borderId="0" xfId="0" applyNumberFormat="1" applyFont="1" applyFill="1" applyBorder="1" applyAlignment="1" applyProtection="1">
      <alignment horizontal="left" vertical="center"/>
      <protection locked="0"/>
    </xf>
    <xf numFmtId="0" fontId="0" fillId="4" borderId="3" xfId="0" applyFill="1" applyBorder="1" applyAlignment="1" applyProtection="1">
      <alignment horizontal="right"/>
      <protection locked="0"/>
    </xf>
    <xf numFmtId="0" fontId="0" fillId="4" borderId="6" xfId="0" applyFill="1" applyBorder="1" applyAlignment="1" applyProtection="1">
      <alignment/>
      <protection locked="0"/>
    </xf>
    <xf numFmtId="0" fontId="0" fillId="4" borderId="23" xfId="0" applyFill="1" applyBorder="1" applyAlignment="1" applyProtection="1">
      <alignment horizontal="right"/>
      <protection locked="0"/>
    </xf>
    <xf numFmtId="0" fontId="40" fillId="3" borderId="21" xfId="0" applyFont="1" applyFill="1" applyBorder="1" applyAlignment="1" applyProtection="1">
      <alignment horizontal="right" vertical="top"/>
      <protection locked="0"/>
    </xf>
    <xf numFmtId="0" fontId="2" fillId="3" borderId="21" xfId="0" applyFont="1" applyFill="1" applyBorder="1" applyAlignment="1" applyProtection="1">
      <alignment horizontal="left" vertical="center"/>
      <protection locked="0"/>
    </xf>
    <xf numFmtId="0" fontId="0" fillId="3" borderId="21" xfId="0" applyFill="1" applyBorder="1" applyAlignment="1" applyProtection="1">
      <alignment horizontal="right" vertical="center"/>
      <protection locked="0"/>
    </xf>
    <xf numFmtId="0" fontId="0" fillId="3" borderId="88" xfId="0" applyFill="1" applyBorder="1" applyAlignment="1" applyProtection="1">
      <alignment horizontal="center" vertical="center"/>
      <protection locked="0"/>
    </xf>
    <xf numFmtId="0" fontId="40" fillId="3" borderId="0" xfId="0" applyFont="1" applyFill="1" applyBorder="1" applyAlignment="1" applyProtection="1">
      <alignment horizontal="right" vertical="center" wrapText="1"/>
      <protection locked="0"/>
    </xf>
    <xf numFmtId="0" fontId="0" fillId="3" borderId="41" xfId="0" applyFill="1" applyBorder="1" applyAlignment="1" applyProtection="1">
      <alignment horizontal="center" vertical="center"/>
      <protection locked="0"/>
    </xf>
    <xf numFmtId="0" fontId="0" fillId="4" borderId="21" xfId="0" applyFill="1" applyBorder="1" applyAlignment="1" applyProtection="1">
      <alignment/>
      <protection locked="0"/>
    </xf>
    <xf numFmtId="0" fontId="0" fillId="4" borderId="88" xfId="0" applyFill="1" applyBorder="1" applyAlignment="1" applyProtection="1">
      <alignment/>
      <protection locked="0"/>
    </xf>
    <xf numFmtId="0" fontId="40" fillId="3" borderId="0" xfId="0" applyFont="1" applyFill="1" applyBorder="1" applyAlignment="1" applyProtection="1">
      <alignment horizontal="right" vertical="center"/>
      <protection locked="0"/>
    </xf>
    <xf numFmtId="0" fontId="2" fillId="3" borderId="28" xfId="0" applyFont="1" applyFill="1" applyBorder="1" applyAlignment="1" applyProtection="1">
      <alignment horizontal="right" vertical="center"/>
      <protection locked="0"/>
    </xf>
    <xf numFmtId="0" fontId="0" fillId="3" borderId="8" xfId="0" applyFill="1" applyBorder="1" applyAlignment="1" applyProtection="1">
      <alignment horizontal="center" vertical="center"/>
      <protection locked="0"/>
    </xf>
    <xf numFmtId="0" fontId="0" fillId="3" borderId="28" xfId="0" applyFill="1" applyBorder="1" applyAlignment="1" applyProtection="1">
      <alignment vertical="top"/>
      <protection locked="0"/>
    </xf>
    <xf numFmtId="0" fontId="2" fillId="3" borderId="12" xfId="0" applyFont="1" applyFill="1" applyBorder="1" applyAlignment="1" applyProtection="1">
      <alignment horizontal="right"/>
      <protection locked="0"/>
    </xf>
    <xf numFmtId="165" fontId="2" fillId="4" borderId="24" xfId="0" applyNumberFormat="1" applyFont="1" applyFill="1" applyBorder="1" applyAlignment="1" applyProtection="1">
      <alignment horizontal="right"/>
      <protection locked="0"/>
    </xf>
    <xf numFmtId="0" fontId="4" fillId="4" borderId="83" xfId="0" applyFont="1" applyFill="1" applyBorder="1" applyAlignment="1" applyProtection="1">
      <alignment horizontal="left" vertical="center"/>
      <protection locked="0"/>
    </xf>
    <xf numFmtId="0" fontId="4" fillId="4" borderId="24" xfId="0" applyFont="1" applyFill="1" applyBorder="1" applyAlignment="1" applyProtection="1">
      <alignment horizontal="left" vertical="center"/>
      <protection locked="0"/>
    </xf>
    <xf numFmtId="0" fontId="2" fillId="4" borderId="30" xfId="0" applyFont="1" applyFill="1" applyBorder="1" applyAlignment="1" applyProtection="1">
      <alignment horizontal="right" vertical="center" wrapText="1"/>
      <protection locked="0"/>
    </xf>
    <xf numFmtId="165" fontId="2" fillId="4" borderId="30" xfId="0" applyNumberFormat="1" applyFont="1" applyFill="1" applyBorder="1" applyAlignment="1" applyProtection="1">
      <alignment horizontal="right"/>
      <protection locked="0"/>
    </xf>
    <xf numFmtId="165" fontId="2" fillId="4" borderId="30" xfId="0" applyNumberFormat="1" applyFont="1" applyFill="1" applyBorder="1" applyAlignment="1" applyProtection="1">
      <alignment horizontal="right" vertical="center" wrapText="1"/>
      <protection locked="0"/>
    </xf>
    <xf numFmtId="2" fontId="14" fillId="4" borderId="30" xfId="0" applyNumberFormat="1" applyFont="1" applyFill="1" applyBorder="1" applyAlignment="1" applyProtection="1">
      <alignment horizontal="center" vertical="center"/>
      <protection locked="0"/>
    </xf>
    <xf numFmtId="2" fontId="14" fillId="4" borderId="43" xfId="0" applyNumberFormat="1" applyFont="1" applyFill="1" applyBorder="1" applyAlignment="1" applyProtection="1">
      <alignment horizontal="center" vertical="center"/>
      <protection locked="0"/>
    </xf>
    <xf numFmtId="49" fontId="4" fillId="3" borderId="89" xfId="0" applyNumberFormat="1" applyFont="1" applyFill="1" applyBorder="1" applyAlignment="1" applyProtection="1">
      <alignment horizontal="left" vertical="center"/>
      <protection locked="0"/>
    </xf>
    <xf numFmtId="0" fontId="14" fillId="4" borderId="90" xfId="0" applyFont="1" applyFill="1" applyBorder="1" applyAlignment="1" applyProtection="1">
      <alignment horizontal="left"/>
      <protection locked="0"/>
    </xf>
    <xf numFmtId="49" fontId="4" fillId="3" borderId="91" xfId="0" applyNumberFormat="1" applyFont="1" applyFill="1" applyBorder="1" applyAlignment="1" applyProtection="1">
      <alignment horizontal="left" vertical="center"/>
      <protection locked="0"/>
    </xf>
    <xf numFmtId="0" fontId="14" fillId="4" borderId="45" xfId="0" applyFont="1" applyFill="1" applyBorder="1" applyAlignment="1" applyProtection="1">
      <alignment horizontal="left"/>
      <protection locked="0"/>
    </xf>
    <xf numFmtId="0" fontId="18" fillId="4" borderId="45" xfId="0" applyFont="1" applyFill="1" applyBorder="1" applyAlignment="1" applyProtection="1">
      <alignment horizontal="left" vertical="center"/>
      <protection locked="0"/>
    </xf>
    <xf numFmtId="49" fontId="18" fillId="3" borderId="62" xfId="0" applyNumberFormat="1" applyFont="1" applyFill="1" applyBorder="1" applyAlignment="1" applyProtection="1">
      <alignment horizontal="left" vertical="center"/>
      <protection locked="0"/>
    </xf>
    <xf numFmtId="0" fontId="18" fillId="6" borderId="48" xfId="0" applyFont="1" applyFill="1" applyBorder="1" applyAlignment="1" applyProtection="1">
      <alignment horizontal="left" vertical="center"/>
      <protection locked="0"/>
    </xf>
    <xf numFmtId="0" fontId="18" fillId="6" borderId="24" xfId="0" applyFont="1" applyFill="1" applyBorder="1" applyAlignment="1" applyProtection="1">
      <alignment horizontal="left" vertical="center"/>
      <protection locked="0"/>
    </xf>
    <xf numFmtId="0" fontId="4" fillId="5" borderId="47" xfId="0" applyFont="1" applyFill="1" applyBorder="1" applyAlignment="1" applyProtection="1">
      <alignment horizontal="left"/>
      <protection locked="0"/>
    </xf>
    <xf numFmtId="0" fontId="22" fillId="3" borderId="47" xfId="0" applyFont="1" applyFill="1" applyBorder="1" applyAlignment="1" applyProtection="1">
      <alignment horizontal="left"/>
      <protection locked="0"/>
    </xf>
    <xf numFmtId="0" fontId="22" fillId="3" borderId="0" xfId="0" applyFont="1" applyFill="1" applyBorder="1" applyAlignment="1" applyProtection="1">
      <alignment horizontal="left"/>
      <protection locked="0"/>
    </xf>
    <xf numFmtId="0" fontId="22" fillId="4" borderId="70" xfId="0" applyFont="1" applyFill="1" applyBorder="1" applyAlignment="1" applyProtection="1">
      <alignment horizontal="left"/>
      <protection locked="0"/>
    </xf>
    <xf numFmtId="0" fontId="22" fillId="3" borderId="6" xfId="0" applyFont="1" applyFill="1" applyBorder="1" applyAlignment="1" applyProtection="1">
      <alignment horizontal="left"/>
      <protection locked="0"/>
    </xf>
    <xf numFmtId="0" fontId="22" fillId="4" borderId="52" xfId="0" applyFont="1" applyFill="1" applyBorder="1" applyAlignment="1" applyProtection="1">
      <alignment horizontal="left"/>
      <protection locked="0"/>
    </xf>
    <xf numFmtId="0" fontId="2" fillId="3" borderId="26" xfId="0" applyFont="1" applyFill="1" applyBorder="1" applyAlignment="1" applyProtection="1">
      <alignment horizontal="right" wrapText="1"/>
      <protection locked="0"/>
    </xf>
    <xf numFmtId="0" fontId="2" fillId="3" borderId="0" xfId="0" applyFont="1" applyFill="1" applyBorder="1" applyAlignment="1" applyProtection="1">
      <alignment horizontal="right" wrapText="1"/>
      <protection locked="0"/>
    </xf>
    <xf numFmtId="0" fontId="14" fillId="3" borderId="71" xfId="0" applyFont="1" applyFill="1" applyBorder="1" applyAlignment="1" applyProtection="1">
      <alignment horizontal="left" wrapText="1"/>
      <protection locked="0"/>
    </xf>
    <xf numFmtId="0" fontId="14" fillId="3" borderId="1" xfId="0" applyFont="1" applyFill="1" applyBorder="1" applyAlignment="1" applyProtection="1">
      <alignment horizontal="left" wrapText="1"/>
      <protection locked="0"/>
    </xf>
    <xf numFmtId="0" fontId="0" fillId="3" borderId="28" xfId="0" applyFont="1" applyFill="1" applyBorder="1" applyAlignment="1" applyProtection="1">
      <alignment horizontal="right" wrapText="1"/>
      <protection locked="0"/>
    </xf>
    <xf numFmtId="0" fontId="14" fillId="3" borderId="28" xfId="0" applyFont="1" applyFill="1" applyBorder="1" applyAlignment="1" applyProtection="1">
      <alignment horizontal="center" wrapText="1"/>
      <protection locked="0"/>
    </xf>
    <xf numFmtId="0" fontId="14" fillId="3" borderId="28" xfId="0" applyFont="1" applyFill="1" applyBorder="1" applyAlignment="1" applyProtection="1">
      <alignment horizontal="left" wrapText="1"/>
      <protection locked="0"/>
    </xf>
    <xf numFmtId="0" fontId="14" fillId="3" borderId="72" xfId="0" applyFont="1" applyFill="1" applyBorder="1" applyAlignment="1" applyProtection="1">
      <alignment horizontal="left" wrapText="1"/>
      <protection locked="0"/>
    </xf>
    <xf numFmtId="0" fontId="5" fillId="3" borderId="6" xfId="0" applyFont="1" applyFill="1" applyBorder="1" applyAlignment="1" applyProtection="1">
      <alignment horizontal="left"/>
      <protection locked="0"/>
    </xf>
    <xf numFmtId="1" fontId="22" fillId="4" borderId="52" xfId="0" applyNumberFormat="1" applyFont="1" applyFill="1" applyBorder="1" applyAlignment="1" applyProtection="1">
      <alignment horizontal="left"/>
      <protection locked="0"/>
    </xf>
    <xf numFmtId="0" fontId="22" fillId="3" borderId="48" xfId="0" applyFont="1" applyFill="1" applyBorder="1" applyAlignment="1" applyProtection="1">
      <alignment horizontal="left"/>
      <protection locked="0"/>
    </xf>
    <xf numFmtId="0" fontId="22" fillId="3" borderId="24" xfId="0" applyFont="1" applyFill="1" applyBorder="1" applyAlignment="1" applyProtection="1">
      <alignment horizontal="left"/>
      <protection locked="0"/>
    </xf>
    <xf numFmtId="0" fontId="22" fillId="3" borderId="0" xfId="0" applyFont="1" applyFill="1" applyBorder="1" applyAlignment="1" applyProtection="1">
      <alignment horizontal="center"/>
      <protection locked="0"/>
    </xf>
    <xf numFmtId="0" fontId="22" fillId="4" borderId="70" xfId="0" applyFont="1" applyFill="1" applyBorder="1" applyAlignment="1" applyProtection="1">
      <alignment horizontal="center"/>
      <protection locked="0"/>
    </xf>
    <xf numFmtId="0" fontId="14" fillId="4" borderId="52" xfId="0" applyFont="1" applyFill="1" applyBorder="1" applyAlignment="1" applyProtection="1">
      <alignment horizontal="center"/>
      <protection locked="0"/>
    </xf>
    <xf numFmtId="0" fontId="0" fillId="3" borderId="0" xfId="0" applyFont="1" applyFill="1" applyBorder="1" applyAlignment="1" applyProtection="1">
      <alignment horizontal="right"/>
      <protection locked="0"/>
    </xf>
    <xf numFmtId="0" fontId="5" fillId="3" borderId="0" xfId="0" applyFont="1" applyFill="1" applyBorder="1" applyAlignment="1" applyProtection="1">
      <alignment horizontal="left" wrapText="1"/>
      <protection locked="0"/>
    </xf>
    <xf numFmtId="0" fontId="14" fillId="4" borderId="52" xfId="0" applyFont="1" applyFill="1" applyBorder="1" applyAlignment="1" applyProtection="1">
      <alignment horizontal="left"/>
      <protection locked="0"/>
    </xf>
    <xf numFmtId="0" fontId="0" fillId="3" borderId="24" xfId="0" applyFont="1" applyFill="1" applyBorder="1" applyAlignment="1" applyProtection="1">
      <alignment horizontal="left" wrapText="1"/>
      <protection locked="0"/>
    </xf>
    <xf numFmtId="0" fontId="19" fillId="5" borderId="74" xfId="0" applyFont="1" applyFill="1" applyBorder="1" applyAlignment="1" applyProtection="1">
      <alignment/>
      <protection locked="0"/>
    </xf>
    <xf numFmtId="0" fontId="20" fillId="5" borderId="74" xfId="0" applyFont="1" applyFill="1" applyBorder="1" applyAlignment="1" applyProtection="1">
      <alignment horizontal="left" vertical="top" wrapText="1"/>
      <protection locked="0"/>
    </xf>
    <xf numFmtId="0" fontId="21" fillId="5" borderId="74" xfId="0" applyFont="1" applyFill="1" applyBorder="1" applyAlignment="1" applyProtection="1">
      <alignment horizontal="right"/>
      <protection locked="0"/>
    </xf>
    <xf numFmtId="2" fontId="21" fillId="5" borderId="74" xfId="0" applyNumberFormat="1" applyFont="1" applyFill="1" applyBorder="1" applyAlignment="1" applyProtection="1">
      <alignment horizontal="centerContinuous"/>
      <protection locked="0"/>
    </xf>
    <xf numFmtId="0" fontId="5" fillId="5" borderId="75" xfId="0" applyFont="1" applyFill="1" applyBorder="1" applyAlignment="1" applyProtection="1">
      <alignment horizontal="centerContinuous"/>
      <protection locked="0"/>
    </xf>
    <xf numFmtId="0" fontId="15" fillId="3" borderId="37" xfId="0" applyFont="1" applyFill="1" applyBorder="1" applyAlignment="1" applyProtection="1">
      <alignment horizontal="right" vertical="top"/>
      <protection locked="0"/>
    </xf>
    <xf numFmtId="1" fontId="14" fillId="3" borderId="37" xfId="0" applyNumberFormat="1" applyFont="1" applyFill="1" applyBorder="1" applyAlignment="1" applyProtection="1">
      <alignment horizontal="center" vertical="center" wrapText="1"/>
      <protection locked="0"/>
    </xf>
    <xf numFmtId="0" fontId="5" fillId="3" borderId="37" xfId="0" applyFont="1" applyFill="1" applyBorder="1" applyAlignment="1" applyProtection="1">
      <alignment horizontal="left"/>
      <protection locked="0"/>
    </xf>
    <xf numFmtId="0" fontId="0" fillId="3" borderId="37" xfId="0" applyFont="1" applyFill="1" applyBorder="1" applyAlignment="1" applyProtection="1">
      <alignment/>
      <protection locked="0"/>
    </xf>
    <xf numFmtId="0" fontId="2" fillId="3" borderId="0" xfId="0" applyFont="1" applyFill="1" applyBorder="1" applyAlignment="1" applyProtection="1">
      <alignment horizontal="right" vertical="top" wrapText="1"/>
      <protection locked="0"/>
    </xf>
    <xf numFmtId="0" fontId="2" fillId="3" borderId="0" xfId="0" applyFont="1" applyFill="1" applyBorder="1" applyAlignment="1" applyProtection="1">
      <alignment horizontal="left" vertical="top"/>
      <protection locked="0"/>
    </xf>
    <xf numFmtId="2" fontId="21" fillId="3" borderId="0" xfId="0" applyNumberFormat="1" applyFont="1" applyFill="1" applyBorder="1" applyAlignment="1" applyProtection="1">
      <alignment horizontal="centerContinuous" vertical="top"/>
      <protection locked="0"/>
    </xf>
    <xf numFmtId="2" fontId="5" fillId="3" borderId="0" xfId="0" applyNumberFormat="1" applyFont="1" applyFill="1" applyBorder="1" applyAlignment="1" applyProtection="1">
      <alignment horizontal="left" vertical="center"/>
      <protection locked="0"/>
    </xf>
    <xf numFmtId="2" fontId="14" fillId="3" borderId="0" xfId="0" applyNumberFormat="1" applyFont="1" applyFill="1" applyBorder="1" applyAlignment="1" applyProtection="1">
      <alignment horizontal="right" vertical="center" wrapText="1"/>
      <protection locked="0"/>
    </xf>
    <xf numFmtId="0" fontId="5" fillId="4" borderId="45" xfId="0" applyFont="1" applyFill="1" applyBorder="1" applyAlignment="1" applyProtection="1">
      <alignment horizontal="centerContinuous"/>
      <protection locked="0"/>
    </xf>
    <xf numFmtId="2" fontId="17" fillId="4" borderId="52" xfId="0" applyNumberFormat="1" applyFont="1" applyFill="1" applyBorder="1" applyAlignment="1" applyProtection="1">
      <alignment horizontal="right"/>
      <protection locked="0"/>
    </xf>
    <xf numFmtId="0" fontId="15" fillId="3" borderId="0" xfId="0" applyFont="1" applyFill="1" applyAlignment="1" applyProtection="1">
      <alignment horizontal="right"/>
      <protection locked="0"/>
    </xf>
    <xf numFmtId="4" fontId="0" fillId="3" borderId="0" xfId="0" applyNumberFormat="1" applyFill="1" applyBorder="1" applyAlignment="1" applyProtection="1">
      <alignment horizontal="right"/>
      <protection locked="0"/>
    </xf>
    <xf numFmtId="0" fontId="5" fillId="3" borderId="24" xfId="0" applyFont="1" applyFill="1" applyBorder="1" applyAlignment="1" applyProtection="1">
      <alignment/>
      <protection locked="0"/>
    </xf>
    <xf numFmtId="0" fontId="5" fillId="3" borderId="0" xfId="0" applyFont="1" applyFill="1" applyBorder="1" applyAlignment="1" applyProtection="1">
      <alignment horizontal="right" vertical="center"/>
      <protection locked="0"/>
    </xf>
    <xf numFmtId="0" fontId="0" fillId="3" borderId="47" xfId="0" applyFont="1" applyFill="1" applyBorder="1" applyAlignment="1" applyProtection="1">
      <alignment horizontal="right" wrapText="1"/>
      <protection locked="0"/>
    </xf>
    <xf numFmtId="2" fontId="5" fillId="3" borderId="41" xfId="0" applyNumberFormat="1" applyFont="1" applyFill="1" applyBorder="1" applyAlignment="1" applyProtection="1">
      <alignment horizontal="left"/>
      <protection locked="0"/>
    </xf>
    <xf numFmtId="164" fontId="32" fillId="4" borderId="45" xfId="0" applyNumberFormat="1" applyFont="1" applyFill="1" applyBorder="1" applyAlignment="1" applyProtection="1">
      <alignment vertical="center"/>
      <protection locked="0"/>
    </xf>
    <xf numFmtId="169" fontId="0" fillId="3" borderId="0" xfId="0" applyNumberFormat="1" applyFill="1" applyBorder="1" applyAlignment="1" applyProtection="1">
      <alignment horizontal="right" vertical="center"/>
      <protection locked="0"/>
    </xf>
    <xf numFmtId="169" fontId="0" fillId="3" borderId="0" xfId="0" applyNumberFormat="1" applyFill="1" applyBorder="1" applyAlignment="1" applyProtection="1">
      <alignment horizontal="center" vertical="center"/>
      <protection locked="0"/>
    </xf>
    <xf numFmtId="4" fontId="0" fillId="3" borderId="0" xfId="0" applyNumberFormat="1" applyFill="1" applyBorder="1" applyAlignment="1" applyProtection="1">
      <alignment horizontal="center"/>
      <protection locked="0"/>
    </xf>
    <xf numFmtId="2" fontId="17" fillId="4" borderId="54" xfId="0" applyNumberFormat="1" applyFont="1" applyFill="1" applyBorder="1" applyAlignment="1" applyProtection="1">
      <alignment horizontal="right"/>
      <protection locked="0"/>
    </xf>
    <xf numFmtId="0" fontId="14" fillId="3" borderId="48" xfId="0" applyFont="1" applyFill="1" applyBorder="1" applyAlignment="1" applyProtection="1">
      <alignment vertical="center"/>
      <protection locked="0"/>
    </xf>
    <xf numFmtId="2" fontId="0" fillId="3" borderId="24" xfId="0" applyNumberFormat="1" applyFill="1" applyBorder="1" applyAlignment="1" applyProtection="1">
      <alignment/>
      <protection locked="0"/>
    </xf>
    <xf numFmtId="0" fontId="5" fillId="3" borderId="92" xfId="0" applyFont="1" applyFill="1" applyBorder="1" applyAlignment="1" applyProtection="1">
      <alignment/>
      <protection locked="0"/>
    </xf>
    <xf numFmtId="0" fontId="5" fillId="3" borderId="26" xfId="0" applyFont="1" applyFill="1" applyBorder="1" applyAlignment="1" applyProtection="1">
      <alignment/>
      <protection locked="0"/>
    </xf>
    <xf numFmtId="0" fontId="2" fillId="3" borderId="24" xfId="0" applyFont="1" applyFill="1" applyBorder="1" applyAlignment="1" applyProtection="1">
      <alignment horizontal="right"/>
      <protection locked="0"/>
    </xf>
    <xf numFmtId="0" fontId="5" fillId="5" borderId="47" xfId="0" applyFont="1" applyFill="1" applyBorder="1" applyAlignment="1" applyProtection="1">
      <alignment/>
      <protection locked="0"/>
    </xf>
    <xf numFmtId="0" fontId="5" fillId="5" borderId="0" xfId="0" applyFont="1" applyFill="1" applyBorder="1" applyAlignment="1" applyProtection="1">
      <alignment/>
      <protection locked="0"/>
    </xf>
    <xf numFmtId="0" fontId="0" fillId="5" borderId="41" xfId="0" applyFill="1" applyBorder="1" applyAlignment="1" applyProtection="1">
      <alignment/>
      <protection locked="0"/>
    </xf>
    <xf numFmtId="0" fontId="0" fillId="3" borderId="6" xfId="0" applyFill="1" applyBorder="1" applyAlignment="1" applyProtection="1">
      <alignment horizontal="center"/>
      <protection locked="0"/>
    </xf>
    <xf numFmtId="0" fontId="0" fillId="4" borderId="10" xfId="0" applyFill="1" applyBorder="1" applyAlignment="1" applyProtection="1">
      <alignment/>
      <protection locked="0"/>
    </xf>
    <xf numFmtId="165" fontId="0" fillId="3" borderId="0" xfId="0" applyNumberFormat="1" applyFill="1" applyBorder="1" applyAlignment="1" applyProtection="1">
      <alignment/>
      <protection locked="0"/>
    </xf>
    <xf numFmtId="0" fontId="5" fillId="3" borderId="37" xfId="0" applyFont="1" applyFill="1" applyBorder="1" applyAlignment="1" applyProtection="1">
      <alignment horizontal="left"/>
      <protection locked="0"/>
    </xf>
    <xf numFmtId="0" fontId="0" fillId="3" borderId="0" xfId="0" applyFill="1" applyBorder="1" applyAlignment="1" applyProtection="1">
      <alignment horizontal="left" vertical="top"/>
      <protection locked="0"/>
    </xf>
    <xf numFmtId="0" fontId="2" fillId="3" borderId="24" xfId="0" applyFont="1" applyFill="1" applyBorder="1" applyAlignment="1" applyProtection="1">
      <alignment horizontal="right" vertical="center"/>
      <protection locked="0"/>
    </xf>
    <xf numFmtId="0" fontId="5" fillId="3" borderId="37" xfId="0" applyFont="1" applyFill="1" applyBorder="1" applyAlignment="1" applyProtection="1">
      <alignment/>
      <protection locked="0"/>
    </xf>
    <xf numFmtId="0" fontId="0" fillId="3" borderId="93" xfId="0" applyFill="1" applyBorder="1" applyAlignment="1" applyProtection="1">
      <alignment/>
      <protection locked="0"/>
    </xf>
    <xf numFmtId="0" fontId="0" fillId="3" borderId="41" xfId="0" applyFill="1" applyBorder="1" applyAlignment="1" applyProtection="1">
      <alignment/>
      <protection locked="0"/>
    </xf>
    <xf numFmtId="1" fontId="0" fillId="4" borderId="52" xfId="0" applyNumberFormat="1" applyFill="1" applyBorder="1" applyAlignment="1" applyProtection="1">
      <alignment horizontal="center"/>
      <protection locked="0"/>
    </xf>
    <xf numFmtId="0" fontId="2" fillId="3" borderId="41" xfId="0" applyFont="1" applyFill="1" applyBorder="1" applyAlignment="1" applyProtection="1">
      <alignment horizontal="left" vertical="top"/>
      <protection locked="0"/>
    </xf>
    <xf numFmtId="1" fontId="0" fillId="4" borderId="52" xfId="0" applyNumberFormat="1" applyFill="1" applyBorder="1" applyAlignment="1" applyProtection="1">
      <alignment horizontal="left"/>
      <protection locked="0"/>
    </xf>
    <xf numFmtId="0" fontId="12" fillId="3" borderId="47" xfId="0" applyFont="1" applyFill="1" applyBorder="1" applyAlignment="1" applyProtection="1">
      <alignment horizontal="left"/>
      <protection locked="0"/>
    </xf>
    <xf numFmtId="1" fontId="2" fillId="4" borderId="52" xfId="0" applyNumberFormat="1" applyFont="1" applyFill="1" applyBorder="1" applyAlignment="1" applyProtection="1">
      <alignment/>
      <protection locked="0"/>
    </xf>
    <xf numFmtId="0" fontId="5" fillId="3" borderId="49" xfId="0" applyFont="1" applyFill="1" applyBorder="1" applyAlignment="1" applyProtection="1">
      <alignment horizontal="left" vertical="top" wrapText="1"/>
      <protection locked="0"/>
    </xf>
    <xf numFmtId="0" fontId="5" fillId="3" borderId="37"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4" borderId="49" xfId="0" applyFont="1" applyFill="1" applyBorder="1" applyAlignment="1" applyProtection="1">
      <alignment horizontal="left" vertical="top" wrapText="1"/>
      <protection locked="0"/>
    </xf>
    <xf numFmtId="0" fontId="5" fillId="4" borderId="93" xfId="0" applyFont="1" applyFill="1" applyBorder="1" applyAlignment="1" applyProtection="1">
      <alignment horizontal="left" vertical="top" wrapText="1"/>
      <protection locked="0"/>
    </xf>
    <xf numFmtId="0" fontId="0" fillId="3" borderId="0" xfId="0" applyFont="1" applyFill="1" applyBorder="1" applyAlignment="1" applyProtection="1">
      <alignment horizontal="center" vertical="center" wrapText="1"/>
      <protection locked="0"/>
    </xf>
    <xf numFmtId="164" fontId="0" fillId="4" borderId="41" xfId="0" applyNumberFormat="1" applyFill="1" applyBorder="1" applyAlignment="1" applyProtection="1">
      <alignment/>
      <protection locked="0"/>
    </xf>
    <xf numFmtId="1" fontId="14" fillId="3" borderId="0" xfId="0" applyNumberFormat="1" applyFont="1" applyFill="1" applyBorder="1" applyAlignment="1" applyProtection="1">
      <alignment horizontal="center" vertical="center"/>
      <protection locked="0"/>
    </xf>
    <xf numFmtId="0" fontId="3" fillId="3" borderId="47" xfId="0" applyFont="1" applyFill="1" applyBorder="1" applyAlignment="1" applyProtection="1">
      <alignment horizontal="right" vertical="center" wrapText="1"/>
      <protection locked="0"/>
    </xf>
    <xf numFmtId="0" fontId="0" fillId="3" borderId="47" xfId="0" applyFont="1" applyFill="1" applyBorder="1" applyAlignment="1" applyProtection="1">
      <alignment horizontal="left"/>
      <protection locked="0"/>
    </xf>
    <xf numFmtId="2" fontId="3" fillId="3" borderId="0" xfId="0" applyNumberFormat="1" applyFont="1" applyFill="1" applyBorder="1" applyAlignment="1" applyProtection="1">
      <alignment horizontal="left" wrapText="1"/>
      <protection locked="0"/>
    </xf>
    <xf numFmtId="0" fontId="12" fillId="4" borderId="47" xfId="0" applyFont="1" applyFill="1" applyBorder="1" applyAlignment="1" applyProtection="1">
      <alignment horizontal="left" vertical="top" wrapText="1"/>
      <protection locked="0"/>
    </xf>
    <xf numFmtId="0" fontId="12" fillId="4" borderId="49" xfId="0" applyFont="1" applyFill="1" applyBorder="1" applyAlignment="1" applyProtection="1">
      <alignment/>
      <protection locked="0"/>
    </xf>
    <xf numFmtId="0" fontId="30" fillId="3" borderId="41" xfId="0" applyFont="1" applyFill="1" applyBorder="1" applyAlignment="1" applyProtection="1">
      <alignment/>
      <protection locked="0"/>
    </xf>
    <xf numFmtId="0" fontId="38" fillId="3" borderId="26" xfId="0" applyFont="1" applyFill="1" applyBorder="1" applyAlignment="1" applyProtection="1">
      <alignment horizontal="left" vertical="center"/>
      <protection locked="0"/>
    </xf>
    <xf numFmtId="0" fontId="0" fillId="3" borderId="26" xfId="0" applyFill="1" applyBorder="1" applyAlignment="1" applyProtection="1">
      <alignment horizontal="center"/>
      <protection locked="0"/>
    </xf>
    <xf numFmtId="167" fontId="0" fillId="0" borderId="94" xfId="0" applyNumberFormat="1" applyFill="1" applyBorder="1" applyAlignment="1" applyProtection="1">
      <alignment horizontal="center" vertical="center"/>
      <protection/>
    </xf>
    <xf numFmtId="2" fontId="0" fillId="0" borderId="36" xfId="0" applyNumberFormat="1" applyFill="1" applyBorder="1" applyAlignment="1" applyProtection="1">
      <alignment vertical="center"/>
      <protection/>
    </xf>
    <xf numFmtId="4" fontId="2" fillId="3" borderId="6" xfId="0" applyNumberFormat="1" applyFont="1" applyFill="1" applyBorder="1" applyAlignment="1" applyProtection="1">
      <alignment horizontal="center" vertical="center"/>
      <protection/>
    </xf>
    <xf numFmtId="169" fontId="0" fillId="0" borderId="7" xfId="0" applyNumberFormat="1" applyFill="1" applyBorder="1" applyAlignment="1" applyProtection="1">
      <alignment horizontal="right" vertical="center"/>
      <protection/>
    </xf>
    <xf numFmtId="10" fontId="0" fillId="0" borderId="2" xfId="0" applyNumberFormat="1" applyBorder="1" applyAlignment="1" applyProtection="1">
      <alignment horizontal="right"/>
      <protection/>
    </xf>
    <xf numFmtId="169" fontId="0" fillId="0" borderId="6" xfId="0" applyNumberFormat="1" applyFill="1" applyBorder="1" applyAlignment="1" applyProtection="1">
      <alignment horizontal="right"/>
      <protection/>
    </xf>
    <xf numFmtId="1" fontId="0" fillId="0" borderId="6" xfId="0" applyNumberFormat="1" applyFill="1" applyBorder="1" applyAlignment="1" applyProtection="1">
      <alignment horizontal="center"/>
      <protection/>
    </xf>
    <xf numFmtId="169" fontId="0" fillId="0" borderId="6" xfId="0" applyNumberFormat="1" applyFill="1" applyBorder="1" applyAlignment="1" applyProtection="1">
      <alignment horizontal="right" vertical="center"/>
      <protection/>
    </xf>
    <xf numFmtId="2" fontId="0" fillId="0" borderId="6" xfId="0" applyNumberFormat="1" applyFill="1" applyBorder="1" applyAlignment="1" applyProtection="1">
      <alignment vertical="center"/>
      <protection/>
    </xf>
    <xf numFmtId="2" fontId="0" fillId="0" borderId="6" xfId="0" applyNumberFormat="1" applyFont="1" applyFill="1" applyBorder="1" applyAlignment="1" applyProtection="1">
      <alignment horizontal="center" vertical="center"/>
      <protection/>
    </xf>
    <xf numFmtId="165" fontId="0" fillId="3" borderId="0" xfId="0" applyNumberFormat="1" applyFill="1" applyBorder="1" applyAlignment="1" applyProtection="1">
      <alignment/>
      <protection/>
    </xf>
    <xf numFmtId="165" fontId="0" fillId="3" borderId="0" xfId="0" applyNumberFormat="1" applyFill="1" applyBorder="1" applyAlignment="1" applyProtection="1">
      <alignment horizontal="right"/>
      <protection/>
    </xf>
    <xf numFmtId="0" fontId="5" fillId="3" borderId="47" xfId="0" applyFont="1" applyFill="1" applyBorder="1" applyAlignment="1" applyProtection="1">
      <alignment horizontal="left" wrapText="1"/>
      <protection locked="0"/>
    </xf>
    <xf numFmtId="0" fontId="5" fillId="3" borderId="0" xfId="0" applyFont="1" applyFill="1" applyBorder="1" applyAlignment="1" applyProtection="1">
      <alignment horizontal="left" wrapText="1"/>
      <protection locked="0"/>
    </xf>
    <xf numFmtId="0" fontId="5" fillId="4" borderId="70" xfId="0" applyFont="1" applyFill="1" applyBorder="1" applyAlignment="1" applyProtection="1">
      <alignment horizontal="left" wrapText="1"/>
      <protection locked="0"/>
    </xf>
    <xf numFmtId="170" fontId="0" fillId="2" borderId="6" xfId="0" applyNumberFormat="1" applyFont="1" applyFill="1" applyBorder="1" applyAlignment="1" applyProtection="1">
      <alignment horizontal="right" vertical="center" wrapText="1"/>
      <protection locked="0"/>
    </xf>
    <xf numFmtId="0" fontId="15" fillId="4" borderId="52" xfId="0" applyFont="1" applyFill="1" applyBorder="1" applyAlignment="1" applyProtection="1">
      <alignment horizontal="right" wrapText="1"/>
      <protection locked="0"/>
    </xf>
    <xf numFmtId="0" fontId="18" fillId="3" borderId="0" xfId="0" applyFont="1" applyFill="1" applyBorder="1" applyAlignment="1" applyProtection="1">
      <alignment horizontal="right"/>
      <protection locked="0"/>
    </xf>
    <xf numFmtId="0" fontId="5" fillId="3" borderId="47"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4" borderId="52" xfId="0" applyFont="1" applyFill="1" applyBorder="1" applyAlignment="1" applyProtection="1">
      <alignment horizontal="left" vertical="top" wrapText="1"/>
      <protection locked="0"/>
    </xf>
    <xf numFmtId="0" fontId="5" fillId="4" borderId="95" xfId="0" applyFont="1" applyFill="1" applyBorder="1" applyAlignment="1" applyProtection="1">
      <alignment horizontal="left"/>
      <protection locked="0"/>
    </xf>
    <xf numFmtId="0" fontId="5" fillId="4" borderId="96" xfId="0" applyFont="1" applyFill="1" applyBorder="1" applyAlignment="1" applyProtection="1">
      <alignment horizontal="left"/>
      <protection locked="0"/>
    </xf>
    <xf numFmtId="0" fontId="17" fillId="3" borderId="0" xfId="0" applyFont="1" applyFill="1" applyBorder="1" applyAlignment="1" applyProtection="1">
      <alignment horizontal="left" wrapText="1"/>
      <protection locked="0"/>
    </xf>
    <xf numFmtId="0" fontId="5" fillId="4" borderId="49" xfId="0" applyFont="1" applyFill="1" applyBorder="1" applyAlignment="1" applyProtection="1">
      <alignment horizontal="left"/>
      <protection locked="0"/>
    </xf>
    <xf numFmtId="0" fontId="5" fillId="4" borderId="93" xfId="0" applyFont="1" applyFill="1" applyBorder="1" applyAlignment="1" applyProtection="1">
      <alignment horizontal="left"/>
      <protection locked="0"/>
    </xf>
    <xf numFmtId="0" fontId="2" fillId="3" borderId="47" xfId="0" applyFont="1" applyFill="1" applyBorder="1" applyAlignment="1" applyProtection="1">
      <alignment horizontal="right" wrapText="1"/>
      <protection locked="0"/>
    </xf>
    <xf numFmtId="0" fontId="5" fillId="4" borderId="47" xfId="0" applyFont="1" applyFill="1" applyBorder="1" applyAlignment="1" applyProtection="1">
      <alignment horizontal="left"/>
      <protection locked="0"/>
    </xf>
    <xf numFmtId="0" fontId="5" fillId="4" borderId="41" xfId="0" applyFont="1" applyFill="1" applyBorder="1" applyAlignment="1" applyProtection="1">
      <alignment horizontal="left"/>
      <protection locked="0"/>
    </xf>
    <xf numFmtId="0" fontId="0" fillId="3" borderId="0" xfId="0" applyFill="1" applyBorder="1" applyAlignment="1" applyProtection="1">
      <alignment horizontal="center" vertical="center" textRotation="90"/>
      <protection locked="0"/>
    </xf>
    <xf numFmtId="164" fontId="0" fillId="2" borderId="6" xfId="0" applyNumberFormat="1" applyFill="1" applyBorder="1" applyAlignment="1" applyProtection="1">
      <alignment/>
      <protection locked="0"/>
    </xf>
    <xf numFmtId="0" fontId="0" fillId="3" borderId="47" xfId="0" applyFill="1" applyBorder="1" applyAlignment="1" applyProtection="1">
      <alignment horizontal="left" vertical="center"/>
      <protection locked="0"/>
    </xf>
    <xf numFmtId="2" fontId="7" fillId="3" borderId="0" xfId="0" applyNumberFormat="1" applyFont="1" applyFill="1" applyBorder="1" applyAlignment="1" applyProtection="1">
      <alignment horizontal="center"/>
      <protection locked="0"/>
    </xf>
    <xf numFmtId="2" fontId="7" fillId="4" borderId="47" xfId="0" applyNumberFormat="1" applyFont="1" applyFill="1" applyBorder="1" applyAlignment="1" applyProtection="1">
      <alignment horizontal="center"/>
      <protection locked="0"/>
    </xf>
    <xf numFmtId="164" fontId="0" fillId="3" borderId="26" xfId="0" applyNumberFormat="1" applyFill="1" applyBorder="1" applyAlignment="1" applyProtection="1">
      <alignment/>
      <protection locked="0"/>
    </xf>
    <xf numFmtId="1" fontId="7" fillId="4" borderId="47" xfId="0" applyNumberFormat="1" applyFont="1" applyFill="1" applyBorder="1" applyAlignment="1" applyProtection="1">
      <alignment horizontal="center"/>
      <protection locked="0"/>
    </xf>
    <xf numFmtId="0" fontId="2" fillId="3" borderId="0" xfId="0" applyFont="1" applyFill="1" applyBorder="1" applyAlignment="1" applyProtection="1">
      <alignment horizontal="right"/>
      <protection locked="0"/>
    </xf>
    <xf numFmtId="0" fontId="3" fillId="3" borderId="26" xfId="0" applyFont="1" applyFill="1" applyBorder="1" applyAlignment="1" applyProtection="1">
      <alignment horizontal="right" vertical="center"/>
      <protection locked="0"/>
    </xf>
    <xf numFmtId="0" fontId="3" fillId="3" borderId="0" xfId="0" applyFont="1" applyFill="1" applyBorder="1" applyAlignment="1" applyProtection="1">
      <alignment horizontal="right" vertical="center"/>
      <protection locked="0"/>
    </xf>
    <xf numFmtId="169" fontId="5" fillId="3" borderId="0" xfId="0" applyNumberFormat="1" applyFont="1" applyFill="1" applyBorder="1" applyAlignment="1" applyProtection="1">
      <alignment horizontal="left" vertical="center"/>
      <protection locked="0"/>
    </xf>
    <xf numFmtId="0" fontId="0" fillId="3" borderId="47" xfId="0" applyFill="1" applyBorder="1" applyAlignment="1" applyProtection="1">
      <alignment horizontal="right" vertical="center"/>
      <protection locked="0"/>
    </xf>
    <xf numFmtId="0" fontId="0" fillId="3" borderId="0" xfId="0" applyFill="1" applyBorder="1" applyAlignment="1" applyProtection="1">
      <alignment horizontal="right" vertical="center" textRotation="90" wrapText="1"/>
      <protection locked="0"/>
    </xf>
    <xf numFmtId="164" fontId="0" fillId="3" borderId="21" xfId="0" applyNumberFormat="1" applyFill="1" applyBorder="1" applyAlignment="1" applyProtection="1">
      <alignment/>
      <protection locked="0"/>
    </xf>
    <xf numFmtId="164" fontId="0" fillId="3" borderId="0" xfId="0" applyNumberFormat="1" applyFill="1" applyBorder="1" applyAlignment="1" applyProtection="1">
      <alignment/>
      <protection locked="0"/>
    </xf>
    <xf numFmtId="0" fontId="0" fillId="3" borderId="97" xfId="0" applyFill="1" applyBorder="1" applyAlignment="1" applyProtection="1">
      <alignment horizontal="right" vertical="center"/>
      <protection locked="0"/>
    </xf>
    <xf numFmtId="0" fontId="0" fillId="3" borderId="39" xfId="0" applyFill="1" applyBorder="1" applyAlignment="1" applyProtection="1">
      <alignment horizontal="right" vertical="center"/>
      <protection locked="0"/>
    </xf>
    <xf numFmtId="0" fontId="0" fillId="3" borderId="39" xfId="0" applyFill="1" applyBorder="1" applyAlignment="1" applyProtection="1">
      <alignment horizontal="center" vertical="center" textRotation="90"/>
      <protection locked="0"/>
    </xf>
    <xf numFmtId="0" fontId="0" fillId="3" borderId="39" xfId="0" applyFill="1" applyBorder="1" applyAlignment="1" applyProtection="1">
      <alignment horizontal="left"/>
      <protection locked="0"/>
    </xf>
    <xf numFmtId="0" fontId="0" fillId="3" borderId="39" xfId="0" applyFill="1" applyBorder="1" applyAlignment="1" applyProtection="1">
      <alignment horizontal="right" vertical="center" textRotation="90" wrapText="1"/>
      <protection locked="0"/>
    </xf>
    <xf numFmtId="164" fontId="0" fillId="3" borderId="39" xfId="0" applyNumberFormat="1" applyFill="1" applyBorder="1" applyAlignment="1" applyProtection="1">
      <alignment/>
      <protection locked="0"/>
    </xf>
    <xf numFmtId="164" fontId="0" fillId="3" borderId="39" xfId="0" applyNumberFormat="1" applyFill="1" applyBorder="1" applyAlignment="1" applyProtection="1">
      <alignment horizontal="right"/>
      <protection locked="0"/>
    </xf>
    <xf numFmtId="0" fontId="0" fillId="3" borderId="39" xfId="0" applyFill="1" applyBorder="1" applyAlignment="1" applyProtection="1">
      <alignment/>
      <protection locked="0"/>
    </xf>
    <xf numFmtId="0" fontId="3" fillId="3" borderId="39" xfId="0" applyFont="1" applyFill="1" applyBorder="1" applyAlignment="1" applyProtection="1">
      <alignment/>
      <protection locked="0"/>
    </xf>
    <xf numFmtId="2" fontId="7" fillId="3" borderId="98" xfId="0" applyNumberFormat="1" applyFont="1" applyFill="1" applyBorder="1" applyAlignment="1" applyProtection="1">
      <alignment horizontal="center"/>
      <protection locked="0"/>
    </xf>
    <xf numFmtId="0" fontId="17" fillId="3" borderId="47"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center"/>
      <protection locked="0"/>
    </xf>
    <xf numFmtId="0" fontId="14" fillId="3" borderId="0" xfId="0" applyFont="1" applyFill="1" applyBorder="1" applyAlignment="1" applyProtection="1">
      <alignment horizontal="right" vertical="center"/>
      <protection locked="0"/>
    </xf>
    <xf numFmtId="164" fontId="14" fillId="3" borderId="0" xfId="0" applyNumberFormat="1" applyFont="1" applyFill="1" applyBorder="1" applyAlignment="1" applyProtection="1">
      <alignment horizontal="right"/>
      <protection locked="0"/>
    </xf>
    <xf numFmtId="164" fontId="0" fillId="2" borderId="6" xfId="0" applyNumberFormat="1" applyFill="1" applyBorder="1" applyAlignment="1" applyProtection="1">
      <alignment/>
      <protection locked="0"/>
    </xf>
    <xf numFmtId="164" fontId="7" fillId="4" borderId="49" xfId="0" applyNumberFormat="1" applyFont="1" applyFill="1" applyBorder="1" applyAlignment="1" applyProtection="1">
      <alignment horizontal="right" vertical="center"/>
      <protection locked="0"/>
    </xf>
    <xf numFmtId="164" fontId="7" fillId="4" borderId="93" xfId="0" applyNumberFormat="1" applyFont="1" applyFill="1" applyBorder="1" applyAlignment="1" applyProtection="1">
      <alignment horizontal="right" vertical="center"/>
      <protection locked="0"/>
    </xf>
    <xf numFmtId="164" fontId="7" fillId="4" borderId="47" xfId="0" applyNumberFormat="1" applyFont="1" applyFill="1" applyBorder="1" applyAlignment="1" applyProtection="1">
      <alignment horizontal="right" vertical="center"/>
      <protection locked="0"/>
    </xf>
    <xf numFmtId="164" fontId="7" fillId="4" borderId="41" xfId="0" applyNumberFormat="1" applyFont="1" applyFill="1" applyBorder="1" applyAlignment="1" applyProtection="1">
      <alignment horizontal="right" vertical="center"/>
      <protection locked="0"/>
    </xf>
    <xf numFmtId="0" fontId="5" fillId="3" borderId="99" xfId="0" applyFont="1" applyFill="1" applyBorder="1" applyAlignment="1" applyProtection="1">
      <alignment horizontal="left"/>
      <protection locked="0"/>
    </xf>
    <xf numFmtId="0" fontId="16" fillId="3" borderId="0" xfId="0" applyFont="1" applyFill="1" applyBorder="1" applyAlignment="1" applyProtection="1">
      <alignment horizontal="center" vertical="center" textRotation="90" wrapText="1"/>
      <protection locked="0"/>
    </xf>
    <xf numFmtId="0" fontId="0" fillId="3" borderId="0" xfId="0" applyFill="1" applyBorder="1" applyAlignment="1" applyProtection="1">
      <alignment horizontal="center" vertical="center" textRotation="90" wrapText="1"/>
      <protection locked="0"/>
    </xf>
    <xf numFmtId="164" fontId="0" fillId="3" borderId="21" xfId="0" applyNumberFormat="1" applyFill="1" applyBorder="1" applyAlignment="1" applyProtection="1">
      <alignment/>
      <protection locked="0"/>
    </xf>
    <xf numFmtId="169" fontId="14" fillId="3" borderId="0" xfId="0" applyNumberFormat="1" applyFont="1" applyFill="1" applyBorder="1" applyAlignment="1" applyProtection="1">
      <alignment horizontal="right"/>
      <protection locked="0"/>
    </xf>
    <xf numFmtId="2" fontId="17" fillId="3" borderId="0" xfId="0" applyNumberFormat="1" applyFont="1" applyFill="1" applyBorder="1" applyAlignment="1" applyProtection="1">
      <alignment horizontal="center"/>
      <protection locked="0"/>
    </xf>
    <xf numFmtId="0" fontId="2" fillId="3" borderId="0" xfId="0" applyFont="1" applyFill="1" applyAlignment="1" applyProtection="1">
      <alignment/>
      <protection locked="0"/>
    </xf>
    <xf numFmtId="164" fontId="0" fillId="3" borderId="0" xfId="0" applyNumberFormat="1" applyFill="1" applyBorder="1" applyAlignment="1" applyProtection="1">
      <alignment/>
      <protection locked="0"/>
    </xf>
    <xf numFmtId="0" fontId="0" fillId="3" borderId="0" xfId="0" applyFill="1" applyAlignment="1" applyProtection="1">
      <alignment horizontal="left"/>
      <protection locked="0"/>
    </xf>
    <xf numFmtId="164" fontId="7" fillId="4" borderId="48" xfId="0" applyNumberFormat="1" applyFont="1" applyFill="1" applyBorder="1" applyAlignment="1" applyProtection="1">
      <alignment horizontal="right" vertical="center"/>
      <protection locked="0"/>
    </xf>
    <xf numFmtId="164" fontId="7" fillId="4" borderId="10" xfId="0" applyNumberFormat="1" applyFont="1" applyFill="1" applyBorder="1" applyAlignment="1" applyProtection="1">
      <alignment horizontal="right" vertical="center"/>
      <protection locked="0"/>
    </xf>
    <xf numFmtId="0" fontId="41" fillId="3" borderId="24" xfId="0" applyFont="1" applyFill="1" applyBorder="1" applyAlignment="1" applyProtection="1">
      <alignment horizontal="left" vertical="center"/>
      <protection locked="0"/>
    </xf>
    <xf numFmtId="0" fontId="2" fillId="7" borderId="100" xfId="0" applyFont="1" applyFill="1" applyBorder="1" applyAlignment="1" applyProtection="1">
      <alignment/>
      <protection locked="0"/>
    </xf>
    <xf numFmtId="0" fontId="0" fillId="7" borderId="74" xfId="0" applyFill="1" applyBorder="1" applyAlignment="1" applyProtection="1">
      <alignment/>
      <protection locked="0"/>
    </xf>
    <xf numFmtId="0" fontId="0" fillId="7" borderId="101" xfId="0" applyFill="1" applyBorder="1" applyAlignment="1" applyProtection="1">
      <alignment/>
      <protection locked="0"/>
    </xf>
    <xf numFmtId="0" fontId="0" fillId="7" borderId="75" xfId="0" applyFill="1" applyBorder="1" applyAlignment="1" applyProtection="1">
      <alignment/>
      <protection locked="0"/>
    </xf>
    <xf numFmtId="165" fontId="14" fillId="3" borderId="0" xfId="0" applyNumberFormat="1" applyFont="1" applyFill="1" applyBorder="1" applyAlignment="1" applyProtection="1">
      <alignment horizontal="right" vertical="center"/>
      <protection locked="0"/>
    </xf>
    <xf numFmtId="0" fontId="5" fillId="3" borderId="41" xfId="0" applyFont="1" applyFill="1" applyBorder="1" applyAlignment="1" applyProtection="1">
      <alignment vertical="center"/>
      <protection locked="0"/>
    </xf>
    <xf numFmtId="165" fontId="0" fillId="3" borderId="0" xfId="0" applyNumberFormat="1" applyFont="1" applyFill="1" applyBorder="1" applyAlignment="1" applyProtection="1">
      <alignment horizontal="right" vertical="center"/>
      <protection locked="0"/>
    </xf>
    <xf numFmtId="0" fontId="0" fillId="4" borderId="51" xfId="0" applyFill="1" applyBorder="1" applyAlignment="1" applyProtection="1">
      <alignment/>
      <protection locked="0"/>
    </xf>
    <xf numFmtId="0" fontId="4" fillId="5" borderId="42" xfId="0" applyFont="1" applyFill="1" applyBorder="1" applyAlignment="1" applyProtection="1">
      <alignment vertical="top"/>
      <protection locked="0"/>
    </xf>
    <xf numFmtId="0" fontId="12" fillId="3" borderId="0" xfId="0" applyFont="1" applyFill="1" applyBorder="1" applyAlignment="1" applyProtection="1">
      <alignment/>
      <protection locked="0"/>
    </xf>
    <xf numFmtId="164" fontId="0" fillId="2" borderId="6" xfId="0" applyNumberFormat="1" applyFill="1" applyBorder="1" applyAlignment="1" applyProtection="1">
      <alignment horizontal="right" vertical="center"/>
      <protection locked="0"/>
    </xf>
    <xf numFmtId="169" fontId="5" fillId="3" borderId="0" xfId="0" applyNumberFormat="1" applyFont="1" applyFill="1" applyBorder="1" applyAlignment="1" applyProtection="1">
      <alignment horizontal="left"/>
      <protection locked="0"/>
    </xf>
    <xf numFmtId="0" fontId="17" fillId="3" borderId="47" xfId="0" applyFont="1" applyFill="1" applyBorder="1" applyAlignment="1" applyProtection="1">
      <alignment vertical="center"/>
      <protection locked="0"/>
    </xf>
    <xf numFmtId="0" fontId="14" fillId="3" borderId="0" xfId="0" applyFont="1" applyFill="1" applyBorder="1" applyAlignment="1" applyProtection="1">
      <alignment/>
      <protection locked="0"/>
    </xf>
    <xf numFmtId="0" fontId="14" fillId="3" borderId="0" xfId="0" applyFont="1" applyFill="1" applyBorder="1" applyAlignment="1" applyProtection="1">
      <alignment vertical="center"/>
      <protection locked="0"/>
    </xf>
    <xf numFmtId="0" fontId="5" fillId="3" borderId="26" xfId="0" applyFont="1" applyFill="1" applyBorder="1" applyAlignment="1" applyProtection="1">
      <alignment horizontal="left"/>
      <protection locked="0"/>
    </xf>
    <xf numFmtId="169" fontId="5" fillId="3" borderId="26" xfId="0" applyNumberFormat="1" applyFont="1" applyFill="1" applyBorder="1" applyAlignment="1" applyProtection="1">
      <alignment horizontal="left"/>
      <protection locked="0"/>
    </xf>
    <xf numFmtId="0" fontId="5" fillId="3" borderId="41" xfId="0" applyFont="1" applyFill="1" applyBorder="1" applyAlignment="1" applyProtection="1">
      <alignment/>
      <protection locked="0"/>
    </xf>
    <xf numFmtId="10" fontId="0" fillId="3" borderId="0" xfId="0" applyNumberFormat="1" applyFill="1" applyBorder="1" applyAlignment="1" applyProtection="1">
      <alignment horizontal="right"/>
      <protection locked="0"/>
    </xf>
    <xf numFmtId="0" fontId="0" fillId="3" borderId="24" xfId="0" applyFill="1" applyBorder="1" applyAlignment="1" applyProtection="1">
      <alignment horizontal="left" wrapText="1"/>
      <protection locked="0"/>
    </xf>
    <xf numFmtId="0" fontId="2" fillId="7" borderId="100" xfId="0" applyFont="1" applyFill="1" applyBorder="1" applyAlignment="1" applyProtection="1">
      <alignment/>
      <protection locked="0"/>
    </xf>
    <xf numFmtId="0" fontId="0" fillId="7" borderId="101" xfId="0" applyFill="1" applyBorder="1" applyAlignment="1" applyProtection="1">
      <alignment horizontal="left" vertical="top"/>
      <protection locked="0"/>
    </xf>
    <xf numFmtId="0" fontId="0" fillId="7" borderId="102" xfId="0" applyFill="1" applyBorder="1" applyAlignment="1" applyProtection="1">
      <alignment horizontal="left" vertical="top"/>
      <protection locked="0"/>
    </xf>
    <xf numFmtId="0" fontId="12" fillId="5" borderId="0" xfId="0" applyFont="1" applyFill="1" applyBorder="1" applyAlignment="1" applyProtection="1">
      <alignment horizontal="left" vertical="top"/>
      <protection locked="0"/>
    </xf>
    <xf numFmtId="0" fontId="12" fillId="4" borderId="52" xfId="0" applyFont="1" applyFill="1" applyBorder="1" applyAlignment="1" applyProtection="1">
      <alignment horizontal="left" vertical="top" wrapText="1"/>
      <protection locked="0"/>
    </xf>
    <xf numFmtId="2" fontId="14" fillId="0" borderId="36" xfId="0" applyNumberFormat="1" applyFont="1" applyFill="1" applyBorder="1" applyAlignment="1" applyProtection="1">
      <alignment/>
      <protection/>
    </xf>
    <xf numFmtId="1" fontId="14" fillId="0" borderId="6" xfId="0" applyNumberFormat="1" applyFont="1" applyFill="1" applyBorder="1" applyAlignment="1" applyProtection="1">
      <alignment horizontal="center" vertical="center"/>
      <protection/>
    </xf>
    <xf numFmtId="0" fontId="0" fillId="4" borderId="55" xfId="0" applyFill="1" applyBorder="1" applyAlignment="1" applyProtection="1">
      <alignment/>
      <protection/>
    </xf>
    <xf numFmtId="0" fontId="2" fillId="4" borderId="103" xfId="0" applyFont="1" applyFill="1" applyBorder="1" applyAlignment="1" applyProtection="1">
      <alignment horizontal="right" vertical="center"/>
      <protection/>
    </xf>
    <xf numFmtId="0" fontId="15" fillId="3" borderId="37" xfId="0" applyFont="1" applyFill="1" applyBorder="1" applyAlignment="1" applyProtection="1">
      <alignment/>
      <protection/>
    </xf>
    <xf numFmtId="0" fontId="5" fillId="3" borderId="0" xfId="0" applyFont="1" applyFill="1" applyBorder="1" applyAlignment="1" applyProtection="1">
      <alignment horizontal="left" vertical="center"/>
      <protection/>
    </xf>
    <xf numFmtId="0" fontId="15" fillId="3" borderId="0" xfId="0" applyFont="1" applyFill="1" applyBorder="1" applyAlignment="1" applyProtection="1">
      <alignment/>
      <protection/>
    </xf>
    <xf numFmtId="0" fontId="0" fillId="3" borderId="0" xfId="0" applyFont="1" applyFill="1" applyBorder="1" applyAlignment="1" applyProtection="1">
      <alignment horizontal="left" vertical="center"/>
      <protection/>
    </xf>
    <xf numFmtId="0" fontId="15" fillId="3" borderId="0" xfId="0" applyFont="1" applyFill="1" applyBorder="1" applyAlignment="1" applyProtection="1">
      <alignment horizontal="left" vertical="center"/>
      <protection/>
    </xf>
    <xf numFmtId="0" fontId="0" fillId="3" borderId="47" xfId="0" applyFont="1" applyFill="1" applyBorder="1" applyAlignment="1" applyProtection="1">
      <alignment horizontal="left" vertical="center"/>
      <protection/>
    </xf>
    <xf numFmtId="0" fontId="15" fillId="3" borderId="0" xfId="0" applyFont="1" applyFill="1" applyBorder="1" applyAlignment="1" applyProtection="1">
      <alignment horizontal="right"/>
      <protection/>
    </xf>
    <xf numFmtId="0" fontId="0" fillId="3" borderId="47" xfId="0" applyFill="1" applyBorder="1" applyAlignment="1" applyProtection="1">
      <alignment/>
      <protection/>
    </xf>
    <xf numFmtId="0" fontId="0" fillId="3" borderId="47" xfId="0" applyFill="1" applyBorder="1" applyAlignment="1" applyProtection="1">
      <alignment horizontal="right"/>
      <protection/>
    </xf>
    <xf numFmtId="0" fontId="0" fillId="3" borderId="0" xfId="0" applyFill="1" applyBorder="1" applyAlignment="1" applyProtection="1">
      <alignment horizontal="right" vertical="center"/>
      <protection/>
    </xf>
    <xf numFmtId="0" fontId="0" fillId="3" borderId="0" xfId="0" applyFill="1" applyBorder="1" applyAlignment="1" applyProtection="1">
      <alignment horizontal="right" vertical="center" wrapText="1"/>
      <protection/>
    </xf>
    <xf numFmtId="0" fontId="8" fillId="3" borderId="47" xfId="0" applyFont="1" applyFill="1" applyBorder="1" applyAlignment="1" applyProtection="1">
      <alignment horizontal="right" textRotation="90" wrapText="1"/>
      <protection/>
    </xf>
    <xf numFmtId="0" fontId="8" fillId="3" borderId="0" xfId="0" applyFont="1" applyFill="1" applyBorder="1" applyAlignment="1" applyProtection="1">
      <alignment horizontal="right" textRotation="90" wrapText="1"/>
      <protection/>
    </xf>
    <xf numFmtId="0" fontId="0" fillId="3" borderId="0" xfId="0" applyFill="1" applyBorder="1" applyAlignment="1" applyProtection="1">
      <alignment/>
      <protection/>
    </xf>
    <xf numFmtId="165" fontId="14" fillId="3" borderId="0" xfId="0" applyNumberFormat="1" applyFont="1" applyFill="1" applyBorder="1" applyAlignment="1" applyProtection="1">
      <alignment horizontal="right"/>
      <protection/>
    </xf>
    <xf numFmtId="0" fontId="15" fillId="3" borderId="84" xfId="0" applyFont="1" applyFill="1" applyBorder="1" applyAlignment="1" applyProtection="1">
      <alignment horizontal="right" vertical="center"/>
      <protection/>
    </xf>
    <xf numFmtId="0" fontId="15" fillId="3" borderId="104" xfId="0" applyFont="1" applyFill="1" applyBorder="1" applyAlignment="1" applyProtection="1">
      <alignment horizontal="right" vertical="center"/>
      <protection/>
    </xf>
    <xf numFmtId="0" fontId="15" fillId="3" borderId="84" xfId="0" applyFont="1" applyFill="1" applyBorder="1" applyAlignment="1" applyProtection="1">
      <alignment horizontal="right"/>
      <protection/>
    </xf>
    <xf numFmtId="0" fontId="0" fillId="3" borderId="6"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47" xfId="0" applyFill="1" applyBorder="1" applyAlignment="1" applyProtection="1">
      <alignment horizontal="left" vertical="top" wrapText="1"/>
      <protection/>
    </xf>
    <xf numFmtId="168" fontId="14" fillId="3" borderId="0" xfId="0" applyNumberFormat="1" applyFont="1" applyFill="1" applyBorder="1" applyAlignment="1" applyProtection="1">
      <alignment horizontal="right"/>
      <protection hidden="1"/>
    </xf>
    <xf numFmtId="0" fontId="0" fillId="3" borderId="62" xfId="0" applyFill="1" applyBorder="1" applyAlignment="1" applyProtection="1">
      <alignment/>
      <protection/>
    </xf>
    <xf numFmtId="0" fontId="0" fillId="3" borderId="28" xfId="0" applyFill="1" applyBorder="1" applyAlignment="1" applyProtection="1">
      <alignment/>
      <protection/>
    </xf>
    <xf numFmtId="0" fontId="2" fillId="3" borderId="28" xfId="0" applyFont="1" applyFill="1" applyBorder="1" applyAlignment="1" applyProtection="1">
      <alignment horizontal="right"/>
      <protection/>
    </xf>
    <xf numFmtId="0" fontId="0" fillId="3" borderId="48" xfId="0" applyFill="1" applyBorder="1" applyAlignment="1" applyProtection="1">
      <alignment/>
      <protection/>
    </xf>
    <xf numFmtId="0" fontId="0" fillId="3" borderId="24" xfId="0" applyFill="1" applyBorder="1" applyAlignment="1" applyProtection="1">
      <alignment/>
      <protection/>
    </xf>
    <xf numFmtId="0" fontId="2" fillId="3" borderId="68" xfId="0" applyFont="1" applyFill="1" applyBorder="1" applyAlignment="1" applyProtection="1">
      <alignment horizontal="right"/>
      <protection/>
    </xf>
    <xf numFmtId="0" fontId="0" fillId="4" borderId="1" xfId="0" applyFill="1" applyBorder="1" applyAlignment="1" applyProtection="1">
      <alignment/>
      <protection/>
    </xf>
    <xf numFmtId="0" fontId="0" fillId="4" borderId="9" xfId="0" applyFill="1" applyBorder="1" applyAlignment="1" applyProtection="1">
      <alignment/>
      <protection/>
    </xf>
    <xf numFmtId="0" fontId="12" fillId="4" borderId="1" xfId="0" applyFont="1" applyFill="1" applyBorder="1" applyAlignment="1" applyProtection="1">
      <alignment/>
      <protection/>
    </xf>
    <xf numFmtId="0" fontId="12" fillId="4" borderId="6" xfId="0" applyFont="1" applyFill="1" applyBorder="1" applyAlignment="1" applyProtection="1">
      <alignment/>
      <protection/>
    </xf>
    <xf numFmtId="0" fontId="46" fillId="3" borderId="46" xfId="0" applyFont="1" applyFill="1" applyBorder="1" applyAlignment="1" applyProtection="1">
      <alignment horizontal="right" vertical="center"/>
      <protection/>
    </xf>
    <xf numFmtId="0" fontId="14" fillId="3" borderId="0" xfId="0" applyFont="1" applyFill="1" applyBorder="1" applyAlignment="1" applyProtection="1">
      <alignment horizontal="right" vertical="center"/>
      <protection/>
    </xf>
    <xf numFmtId="0" fontId="16" fillId="3" borderId="0" xfId="0" applyFont="1" applyFill="1" applyBorder="1" applyAlignment="1" applyProtection="1">
      <alignment horizontal="right"/>
      <protection/>
    </xf>
    <xf numFmtId="0" fontId="0" fillId="3" borderId="0" xfId="0" applyFill="1" applyBorder="1" applyAlignment="1" applyProtection="1">
      <alignment horizontal="center"/>
      <protection/>
    </xf>
    <xf numFmtId="0" fontId="0" fillId="3" borderId="0" xfId="0" applyFill="1" applyBorder="1" applyAlignment="1" applyProtection="1">
      <alignment horizontal="left"/>
      <protection/>
    </xf>
    <xf numFmtId="169" fontId="0" fillId="3" borderId="0" xfId="0" applyNumberFormat="1" applyFill="1" applyBorder="1" applyAlignment="1" applyProtection="1">
      <alignment horizontal="right"/>
      <protection/>
    </xf>
    <xf numFmtId="2" fontId="0" fillId="3" borderId="0" xfId="0" applyNumberFormat="1" applyFill="1" applyBorder="1" applyAlignment="1" applyProtection="1">
      <alignment/>
      <protection/>
    </xf>
    <xf numFmtId="0" fontId="12" fillId="3" borderId="0" xfId="0" applyFont="1" applyFill="1" applyBorder="1" applyAlignment="1" applyProtection="1">
      <alignment horizontal="right" vertical="top" wrapText="1"/>
      <protection/>
    </xf>
    <xf numFmtId="0" fontId="12" fillId="3" borderId="0" xfId="0" applyFont="1" applyFill="1" applyBorder="1" applyAlignment="1" applyProtection="1">
      <alignment/>
      <protection/>
    </xf>
    <xf numFmtId="0" fontId="12" fillId="3" borderId="0" xfId="0" applyFont="1" applyFill="1" applyBorder="1" applyAlignment="1" applyProtection="1">
      <alignment horizontal="right"/>
      <protection/>
    </xf>
    <xf numFmtId="0" fontId="42" fillId="7" borderId="73" xfId="0" applyFont="1" applyFill="1" applyBorder="1" applyAlignment="1" applyProtection="1">
      <alignment vertical="center"/>
      <protection/>
    </xf>
    <xf numFmtId="0" fontId="0" fillId="7" borderId="101" xfId="0" applyFill="1" applyBorder="1" applyAlignment="1" applyProtection="1">
      <alignment/>
      <protection/>
    </xf>
    <xf numFmtId="0" fontId="0" fillId="7" borderId="74" xfId="0" applyFill="1" applyBorder="1" applyAlignment="1" applyProtection="1">
      <alignment horizontal="left" vertical="center"/>
      <protection/>
    </xf>
    <xf numFmtId="0" fontId="0" fillId="7" borderId="74" xfId="0" applyFill="1" applyBorder="1" applyAlignment="1" applyProtection="1">
      <alignment/>
      <protection/>
    </xf>
    <xf numFmtId="0" fontId="0" fillId="7" borderId="102" xfId="0" applyFill="1" applyBorder="1" applyAlignment="1" applyProtection="1">
      <alignment/>
      <protection/>
    </xf>
    <xf numFmtId="0" fontId="42" fillId="7" borderId="100" xfId="0" applyFont="1" applyFill="1" applyBorder="1" applyAlignment="1" applyProtection="1">
      <alignment vertical="center"/>
      <protection/>
    </xf>
    <xf numFmtId="0" fontId="42" fillId="7" borderId="100" xfId="0" applyFont="1" applyFill="1" applyBorder="1" applyAlignment="1" applyProtection="1">
      <alignment/>
      <protection/>
    </xf>
    <xf numFmtId="0" fontId="0" fillId="7" borderId="101" xfId="0" applyFill="1" applyBorder="1" applyAlignment="1" applyProtection="1">
      <alignment vertical="center"/>
      <protection/>
    </xf>
    <xf numFmtId="0" fontId="0" fillId="7" borderId="75" xfId="0" applyFill="1" applyBorder="1" applyAlignment="1" applyProtection="1">
      <alignment/>
      <protection/>
    </xf>
    <xf numFmtId="0" fontId="2" fillId="7" borderId="73" xfId="0" applyFont="1" applyFill="1" applyBorder="1" applyAlignment="1" applyProtection="1">
      <alignment/>
      <protection/>
    </xf>
    <xf numFmtId="0" fontId="2" fillId="7" borderId="74" xfId="0" applyFont="1" applyFill="1" applyBorder="1" applyAlignment="1" applyProtection="1">
      <alignment/>
      <protection/>
    </xf>
    <xf numFmtId="0" fontId="2" fillId="7" borderId="101" xfId="0" applyFont="1" applyFill="1" applyBorder="1" applyAlignment="1" applyProtection="1">
      <alignment horizontal="left" vertical="center"/>
      <protection/>
    </xf>
    <xf numFmtId="0" fontId="0" fillId="7" borderId="101" xfId="0" applyFill="1" applyBorder="1" applyAlignment="1" applyProtection="1">
      <alignment horizontal="left"/>
      <protection/>
    </xf>
    <xf numFmtId="0" fontId="0" fillId="7" borderId="102" xfId="0" applyFill="1" applyBorder="1" applyAlignment="1" applyProtection="1">
      <alignment horizontal="left"/>
      <protection/>
    </xf>
    <xf numFmtId="0" fontId="2" fillId="7" borderId="102" xfId="0" applyFont="1" applyFill="1" applyBorder="1" applyAlignment="1" applyProtection="1">
      <alignment horizontal="left" vertical="center"/>
      <protection/>
    </xf>
    <xf numFmtId="0" fontId="12" fillId="4" borderId="105" xfId="0" applyFont="1" applyFill="1" applyBorder="1" applyAlignment="1" applyProtection="1">
      <alignment/>
      <protection locked="0"/>
    </xf>
    <xf numFmtId="0" fontId="0" fillId="0" borderId="0" xfId="0" applyAlignment="1">
      <alignment vertical="center"/>
    </xf>
    <xf numFmtId="0" fontId="0" fillId="2" borderId="41"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50" xfId="0" applyFont="1" applyFill="1" applyBorder="1" applyAlignment="1" applyProtection="1">
      <alignment horizontal="left" vertical="center" wrapText="1"/>
      <protection locked="0"/>
    </xf>
    <xf numFmtId="0" fontId="17" fillId="3" borderId="72" xfId="0" applyFont="1" applyFill="1" applyBorder="1" applyAlignment="1" applyProtection="1">
      <alignment horizontal="right" vertical="center" wrapText="1"/>
      <protection/>
    </xf>
    <xf numFmtId="0" fontId="0" fillId="2" borderId="106" xfId="0" applyFont="1" applyFill="1" applyBorder="1" applyAlignment="1" applyProtection="1">
      <alignment horizontal="left" vertical="center" wrapText="1"/>
      <protection locked="0"/>
    </xf>
    <xf numFmtId="0" fontId="17" fillId="3" borderId="107" xfId="0" applyFont="1" applyFill="1" applyBorder="1" applyAlignment="1" applyProtection="1">
      <alignment horizontal="right" vertical="center" wrapText="1"/>
      <protection/>
    </xf>
    <xf numFmtId="0" fontId="17" fillId="3" borderId="47" xfId="0" applyFont="1" applyFill="1" applyBorder="1" applyAlignment="1" applyProtection="1">
      <alignment horizontal="right" vertical="center" wrapText="1"/>
      <protection/>
    </xf>
    <xf numFmtId="0" fontId="17" fillId="3" borderId="71" xfId="0" applyFont="1" applyFill="1" applyBorder="1" applyAlignment="1" applyProtection="1">
      <alignment horizontal="right" vertical="center" wrapText="1"/>
      <protection/>
    </xf>
    <xf numFmtId="0" fontId="17" fillId="3" borderId="62" xfId="0" applyFont="1" applyFill="1" applyBorder="1" applyAlignment="1" applyProtection="1">
      <alignment horizontal="right" vertical="center" wrapText="1"/>
      <protection/>
    </xf>
    <xf numFmtId="0" fontId="17" fillId="3" borderId="42" xfId="0" applyFont="1" applyFill="1" applyBorder="1" applyAlignment="1" applyProtection="1">
      <alignment horizontal="right" vertical="center" wrapText="1"/>
      <protection/>
    </xf>
    <xf numFmtId="0" fontId="4" fillId="5" borderId="77" xfId="0" applyFont="1" applyFill="1" applyBorder="1" applyAlignment="1" applyProtection="1">
      <alignment horizontal="left"/>
      <protection locked="0"/>
    </xf>
    <xf numFmtId="2" fontId="14" fillId="3" borderId="0" xfId="0" applyNumberFormat="1" applyFont="1" applyFill="1" applyBorder="1" applyAlignment="1" applyProtection="1">
      <alignment horizontal="right" vertical="center"/>
      <protection locked="0"/>
    </xf>
    <xf numFmtId="0" fontId="4" fillId="5" borderId="50" xfId="0" applyFont="1" applyFill="1" applyBorder="1" applyAlignment="1" applyProtection="1">
      <alignment horizontal="left"/>
      <protection locked="0"/>
    </xf>
    <xf numFmtId="166" fontId="0" fillId="0" borderId="84" xfId="0" applyNumberFormat="1" applyFill="1" applyBorder="1" applyAlignment="1" applyProtection="1">
      <alignment horizontal="right" vertical="center"/>
      <protection/>
    </xf>
    <xf numFmtId="2" fontId="14" fillId="3" borderId="0" xfId="0" applyNumberFormat="1" applyFont="1" applyFill="1" applyBorder="1" applyAlignment="1" applyProtection="1">
      <alignment horizontal="left" vertical="center"/>
      <protection locked="0"/>
    </xf>
    <xf numFmtId="0" fontId="3" fillId="7" borderId="93" xfId="0" applyFont="1" applyFill="1" applyBorder="1" applyAlignment="1" applyProtection="1">
      <alignment horizontal="left" vertical="top" wrapText="1"/>
      <protection/>
    </xf>
    <xf numFmtId="0" fontId="3" fillId="7" borderId="108" xfId="0" applyFont="1" applyFill="1" applyBorder="1" applyAlignment="1" applyProtection="1">
      <alignment horizontal="left" vertical="top" wrapText="1"/>
      <protection/>
    </xf>
    <xf numFmtId="0" fontId="3" fillId="7" borderId="109" xfId="0" applyFont="1" applyFill="1" applyBorder="1" applyAlignment="1" applyProtection="1">
      <alignment horizontal="left" vertical="top" wrapText="1"/>
      <protection/>
    </xf>
    <xf numFmtId="0" fontId="3" fillId="7" borderId="110" xfId="0" applyFont="1" applyFill="1" applyBorder="1" applyAlignment="1" applyProtection="1">
      <alignment horizontal="left" vertical="top" wrapText="1"/>
      <protection/>
    </xf>
    <xf numFmtId="0" fontId="5" fillId="5" borderId="73" xfId="0" applyFont="1" applyFill="1" applyBorder="1" applyAlignment="1" applyProtection="1">
      <alignment horizontal="left" wrapText="1"/>
      <protection locked="0"/>
    </xf>
    <xf numFmtId="0" fontId="5" fillId="5" borderId="74" xfId="0" applyFont="1" applyFill="1" applyBorder="1" applyAlignment="1" applyProtection="1">
      <alignment horizontal="left" wrapText="1"/>
      <protection locked="0"/>
    </xf>
    <xf numFmtId="0" fontId="5" fillId="5" borderId="75" xfId="0" applyFont="1" applyFill="1" applyBorder="1" applyAlignment="1" applyProtection="1">
      <alignment horizontal="left" wrapText="1"/>
      <protection locked="0"/>
    </xf>
    <xf numFmtId="166" fontId="0" fillId="0" borderId="7" xfId="0" applyNumberFormat="1" applyFill="1" applyBorder="1" applyAlignment="1" applyProtection="1">
      <alignment horizontal="right" vertical="center"/>
      <protection/>
    </xf>
    <xf numFmtId="0" fontId="5" fillId="5" borderId="75" xfId="0" applyFont="1" applyFill="1" applyBorder="1" applyAlignment="1" applyProtection="1">
      <alignment horizontal="left" vertical="top" wrapText="1"/>
      <protection locked="0"/>
    </xf>
    <xf numFmtId="0" fontId="3" fillId="7" borderId="49" xfId="0" applyFont="1" applyFill="1" applyBorder="1" applyAlignment="1" applyProtection="1">
      <alignment horizontal="left" vertical="top" wrapText="1"/>
      <protection/>
    </xf>
    <xf numFmtId="0" fontId="3" fillId="7" borderId="37" xfId="0" applyFont="1" applyFill="1" applyBorder="1" applyAlignment="1" applyProtection="1">
      <alignment horizontal="left" vertical="top" wrapText="1"/>
      <protection/>
    </xf>
    <xf numFmtId="0" fontId="5" fillId="5" borderId="74" xfId="0" applyFont="1" applyFill="1" applyBorder="1" applyAlignment="1" applyProtection="1">
      <alignment horizontal="left" vertical="top" wrapText="1"/>
      <protection locked="0"/>
    </xf>
    <xf numFmtId="0" fontId="5" fillId="5" borderId="73" xfId="0" applyFont="1" applyFill="1" applyBorder="1" applyAlignment="1" applyProtection="1">
      <alignment horizontal="left" vertical="top" wrapText="1"/>
      <protection locked="0"/>
    </xf>
    <xf numFmtId="0" fontId="0" fillId="3" borderId="84"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5" fillId="5" borderId="74" xfId="0" applyFont="1" applyFill="1" applyBorder="1" applyAlignment="1" applyProtection="1">
      <alignment horizontal="left" vertical="top" wrapText="1"/>
      <protection locked="0"/>
    </xf>
    <xf numFmtId="0" fontId="5" fillId="5" borderId="75" xfId="0" applyFont="1" applyFill="1" applyBorder="1" applyAlignment="1" applyProtection="1">
      <alignment horizontal="left" vertical="top" wrapText="1"/>
      <protection locked="0"/>
    </xf>
    <xf numFmtId="0" fontId="4" fillId="5" borderId="50" xfId="0" applyFont="1" applyFill="1" applyBorder="1" applyAlignment="1" applyProtection="1">
      <alignment horizontal="left" vertical="top" wrapText="1"/>
      <protection locked="0"/>
    </xf>
    <xf numFmtId="0" fontId="4" fillId="5" borderId="77" xfId="0" applyFont="1" applyFill="1" applyBorder="1" applyAlignment="1" applyProtection="1">
      <alignment horizontal="left" vertical="top" wrapText="1"/>
      <protection locked="0"/>
    </xf>
    <xf numFmtId="170" fontId="0" fillId="2" borderId="7" xfId="0" applyNumberFormat="1" applyFill="1" applyBorder="1" applyAlignment="1" applyProtection="1">
      <alignment horizontal="right" vertical="center"/>
      <protection locked="0"/>
    </xf>
    <xf numFmtId="170" fontId="0" fillId="2" borderId="84" xfId="0" applyNumberFormat="1" applyFill="1" applyBorder="1" applyAlignment="1" applyProtection="1">
      <alignment horizontal="right" vertical="center"/>
      <protection locked="0"/>
    </xf>
    <xf numFmtId="0" fontId="5" fillId="5" borderId="73" xfId="0" applyFont="1" applyFill="1" applyBorder="1" applyAlignment="1" applyProtection="1">
      <alignment horizontal="left" vertical="top" wrapText="1"/>
      <protection locked="0"/>
    </xf>
    <xf numFmtId="0" fontId="4" fillId="0" borderId="111"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0" fillId="3" borderId="112" xfId="0" applyFont="1" applyFill="1" applyBorder="1" applyAlignment="1" applyProtection="1">
      <alignment horizontal="left" vertical="center" wrapText="1"/>
      <protection/>
    </xf>
    <xf numFmtId="0" fontId="0" fillId="3" borderId="113" xfId="0" applyFont="1" applyFill="1" applyBorder="1" applyAlignment="1" applyProtection="1">
      <alignment horizontal="left" vertical="center" wrapText="1"/>
      <protection/>
    </xf>
    <xf numFmtId="0" fontId="0" fillId="3" borderId="0" xfId="0" applyFill="1" applyBorder="1" applyAlignment="1" applyProtection="1">
      <alignment horizontal="right" wrapText="1"/>
      <protection locked="0"/>
    </xf>
    <xf numFmtId="0" fontId="0" fillId="3" borderId="28" xfId="0" applyFont="1" applyFill="1" applyBorder="1" applyAlignment="1" applyProtection="1">
      <alignment horizontal="left" vertical="center" wrapText="1"/>
      <protection/>
    </xf>
    <xf numFmtId="0" fontId="0" fillId="3" borderId="114" xfId="0" applyFont="1" applyFill="1" applyBorder="1" applyAlignment="1" applyProtection="1">
      <alignment horizontal="left" vertical="center" wrapText="1"/>
      <protection/>
    </xf>
    <xf numFmtId="0" fontId="2" fillId="3" borderId="28" xfId="0" applyFont="1" applyFill="1" applyBorder="1" applyAlignment="1" applyProtection="1">
      <alignment horizontal="left" vertical="center" wrapText="1"/>
      <protection/>
    </xf>
    <xf numFmtId="0" fontId="12" fillId="3" borderId="0" xfId="0" applyFont="1" applyFill="1" applyBorder="1" applyAlignment="1" applyProtection="1">
      <alignment horizontal="left" vertical="center"/>
      <protection locked="0"/>
    </xf>
    <xf numFmtId="0" fontId="44" fillId="3" borderId="72" xfId="0" applyFont="1" applyFill="1" applyBorder="1" applyAlignment="1" applyProtection="1">
      <alignment horizontal="right" vertical="center" wrapText="1"/>
      <protection/>
    </xf>
    <xf numFmtId="0" fontId="44" fillId="3" borderId="62" xfId="0" applyFont="1" applyFill="1" applyBorder="1" applyAlignment="1" applyProtection="1">
      <alignment horizontal="right" vertical="center" wrapText="1"/>
      <protection/>
    </xf>
    <xf numFmtId="0" fontId="2" fillId="3" borderId="21" xfId="0" applyFont="1" applyFill="1" applyBorder="1" applyAlignment="1" applyProtection="1">
      <alignment horizontal="left" wrapText="1"/>
      <protection locked="0"/>
    </xf>
    <xf numFmtId="0" fontId="2" fillId="3" borderId="0" xfId="0" applyFont="1" applyFill="1" applyBorder="1" applyAlignment="1" applyProtection="1">
      <alignment horizontal="left" wrapText="1"/>
      <protection locked="0"/>
    </xf>
    <xf numFmtId="0" fontId="0" fillId="3" borderId="25"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0" fontId="0" fillId="3" borderId="103"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72" xfId="0" applyFont="1"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22" xfId="0" applyFill="1" applyBorder="1" applyAlignment="1" applyProtection="1">
      <alignment horizontal="left" vertical="center" wrapText="1"/>
      <protection locked="0"/>
    </xf>
    <xf numFmtId="0" fontId="0" fillId="3" borderId="84" xfId="0" applyFill="1" applyBorder="1" applyAlignment="1" applyProtection="1">
      <alignment horizontal="left" vertical="center" wrapText="1"/>
      <protection locked="0"/>
    </xf>
    <xf numFmtId="0" fontId="1" fillId="8" borderId="83" xfId="0" applyFont="1" applyFill="1" applyBorder="1" applyAlignment="1" applyProtection="1">
      <alignment horizontal="center" vertical="center"/>
      <protection locked="0"/>
    </xf>
    <xf numFmtId="0" fontId="1" fillId="8" borderId="30" xfId="0" applyFont="1" applyFill="1" applyBorder="1" applyAlignment="1" applyProtection="1">
      <alignment horizontal="center" vertical="center"/>
      <protection locked="0"/>
    </xf>
    <xf numFmtId="0" fontId="1" fillId="8" borderId="43" xfId="0" applyFont="1" applyFill="1" applyBorder="1" applyAlignment="1" applyProtection="1">
      <alignment horizontal="center" vertical="center"/>
      <protection locked="0"/>
    </xf>
    <xf numFmtId="2" fontId="17" fillId="0" borderId="83" xfId="0" applyNumberFormat="1" applyFont="1" applyFill="1" applyBorder="1" applyAlignment="1" applyProtection="1">
      <alignment horizontal="right" vertical="center"/>
      <protection/>
    </xf>
    <xf numFmtId="2" fontId="17" fillId="0" borderId="43" xfId="0" applyNumberFormat="1" applyFont="1" applyFill="1" applyBorder="1" applyAlignment="1" applyProtection="1">
      <alignment horizontal="right" vertical="center"/>
      <protection/>
    </xf>
    <xf numFmtId="169" fontId="0" fillId="0" borderId="7" xfId="0" applyNumberFormat="1" applyFill="1" applyBorder="1" applyAlignment="1" applyProtection="1">
      <alignment horizontal="right" vertical="center"/>
      <protection/>
    </xf>
    <xf numFmtId="169" fontId="0" fillId="0" borderId="84" xfId="0" applyNumberFormat="1" applyFill="1" applyBorder="1" applyAlignment="1" applyProtection="1">
      <alignment horizontal="right" vertical="center"/>
      <protection/>
    </xf>
    <xf numFmtId="0" fontId="0" fillId="2" borderId="1"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8" xfId="0" applyFont="1" applyFill="1" applyBorder="1" applyAlignment="1" applyProtection="1">
      <alignment horizontal="left" vertical="center" wrapText="1"/>
      <protection locked="0"/>
    </xf>
    <xf numFmtId="165" fontId="40" fillId="3" borderId="0" xfId="0" applyNumberFormat="1" applyFont="1" applyFill="1" applyBorder="1" applyAlignment="1" applyProtection="1">
      <alignment horizontal="right" vertical="top" wrapText="1"/>
      <protection locked="0"/>
    </xf>
    <xf numFmtId="0" fontId="8" fillId="3" borderId="21" xfId="0" applyFont="1" applyFill="1" applyBorder="1" applyAlignment="1" applyProtection="1">
      <alignment horizontal="right" vertical="center" wrapText="1"/>
      <protection locked="0"/>
    </xf>
    <xf numFmtId="0" fontId="8" fillId="3" borderId="0" xfId="0" applyFont="1" applyFill="1" applyBorder="1" applyAlignment="1" applyProtection="1">
      <alignment horizontal="right" vertical="center" wrapText="1"/>
      <protection locked="0"/>
    </xf>
    <xf numFmtId="0" fontId="40" fillId="3" borderId="0" xfId="0" applyFont="1" applyFill="1" applyBorder="1" applyAlignment="1" applyProtection="1">
      <alignment horizontal="right" vertical="center" wrapText="1"/>
      <protection/>
    </xf>
    <xf numFmtId="0" fontId="40" fillId="3" borderId="47" xfId="0" applyFont="1" applyFill="1" applyBorder="1" applyAlignment="1" applyProtection="1">
      <alignment horizontal="right" vertical="top" wrapText="1"/>
      <protection locked="0"/>
    </xf>
    <xf numFmtId="0" fontId="40" fillId="3" borderId="0" xfId="0" applyFont="1" applyFill="1" applyBorder="1" applyAlignment="1" applyProtection="1">
      <alignment horizontal="right" vertical="top" wrapText="1"/>
      <protection locked="0"/>
    </xf>
    <xf numFmtId="0" fontId="40" fillId="3" borderId="62" xfId="0" applyFont="1" applyFill="1" applyBorder="1" applyAlignment="1" applyProtection="1">
      <alignment horizontal="right" vertical="top" wrapText="1"/>
      <protection locked="0"/>
    </xf>
    <xf numFmtId="0" fontId="40" fillId="3" borderId="28" xfId="0" applyFont="1" applyFill="1" applyBorder="1" applyAlignment="1" applyProtection="1">
      <alignment horizontal="right" vertical="top" wrapText="1"/>
      <protection locked="0"/>
    </xf>
    <xf numFmtId="0" fontId="0" fillId="2" borderId="1"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8" fillId="3" borderId="55" xfId="0" applyFont="1" applyFill="1" applyBorder="1" applyAlignment="1" applyProtection="1">
      <alignment horizontal="right" vertical="center" wrapText="1"/>
      <protection locked="0"/>
    </xf>
    <xf numFmtId="0" fontId="8" fillId="3" borderId="47" xfId="0" applyFont="1" applyFill="1" applyBorder="1" applyAlignment="1" applyProtection="1">
      <alignment horizontal="right" vertical="center" wrapText="1"/>
      <protection locked="0"/>
    </xf>
    <xf numFmtId="0" fontId="2" fillId="3" borderId="62" xfId="0" applyFont="1" applyFill="1" applyBorder="1" applyAlignment="1" applyProtection="1">
      <alignment horizontal="right" vertical="center"/>
      <protection/>
    </xf>
    <xf numFmtId="0" fontId="2" fillId="3" borderId="72" xfId="0" applyFont="1" applyFill="1" applyBorder="1" applyAlignment="1" applyProtection="1">
      <alignment horizontal="right" vertical="center"/>
      <protection/>
    </xf>
    <xf numFmtId="0" fontId="40" fillId="3" borderId="0" xfId="0" applyFont="1" applyFill="1" applyBorder="1" applyAlignment="1" applyProtection="1">
      <alignment horizontal="right" vertical="center" wrapText="1"/>
      <protection locked="0"/>
    </xf>
    <xf numFmtId="0" fontId="29" fillId="5" borderId="50"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protection locked="0"/>
    </xf>
    <xf numFmtId="2" fontId="17" fillId="0" borderId="48" xfId="0" applyNumberFormat="1" applyFont="1" applyBorder="1" applyAlignment="1" applyProtection="1">
      <alignment horizontal="right" vertical="center"/>
      <protection/>
    </xf>
    <xf numFmtId="2" fontId="17" fillId="0" borderId="10" xfId="0" applyNumberFormat="1" applyFont="1" applyBorder="1" applyAlignment="1" applyProtection="1">
      <alignment horizontal="right" vertical="center"/>
      <protection/>
    </xf>
    <xf numFmtId="0" fontId="2" fillId="3" borderId="55" xfId="0" applyFont="1" applyFill="1" applyBorder="1" applyAlignment="1" applyProtection="1">
      <alignment horizontal="right" vertical="center" wrapText="1"/>
      <protection/>
    </xf>
    <xf numFmtId="0" fontId="2" fillId="3" borderId="21" xfId="0" applyFont="1" applyFill="1" applyBorder="1" applyAlignment="1" applyProtection="1">
      <alignment horizontal="right" vertical="center" wrapText="1"/>
      <protection/>
    </xf>
    <xf numFmtId="0" fontId="2" fillId="3" borderId="103" xfId="0" applyFont="1" applyFill="1" applyBorder="1" applyAlignment="1" applyProtection="1">
      <alignment horizontal="right" vertical="center" wrapText="1"/>
      <protection/>
    </xf>
    <xf numFmtId="0" fontId="2" fillId="3" borderId="48" xfId="0" applyFont="1" applyFill="1" applyBorder="1" applyAlignment="1" applyProtection="1">
      <alignment horizontal="right" vertical="center" wrapText="1"/>
      <protection/>
    </xf>
    <xf numFmtId="0" fontId="2" fillId="3" borderId="24" xfId="0" applyFont="1" applyFill="1" applyBorder="1" applyAlignment="1" applyProtection="1">
      <alignment horizontal="right" vertical="center" wrapText="1"/>
      <protection/>
    </xf>
    <xf numFmtId="0" fontId="2" fillId="3" borderId="105" xfId="0" applyFont="1" applyFill="1" applyBorder="1" applyAlignment="1" applyProtection="1">
      <alignment horizontal="right" vertical="center" wrapText="1"/>
      <protection/>
    </xf>
    <xf numFmtId="0" fontId="0" fillId="3" borderId="7" xfId="0" applyFont="1" applyFill="1" applyBorder="1" applyAlignment="1" applyProtection="1">
      <alignment horizontal="left" wrapText="1"/>
      <protection locked="0"/>
    </xf>
    <xf numFmtId="0" fontId="0" fillId="3" borderId="22" xfId="0" applyFont="1" applyFill="1" applyBorder="1" applyAlignment="1" applyProtection="1">
      <alignment horizontal="left" wrapText="1"/>
      <protection locked="0"/>
    </xf>
    <xf numFmtId="0" fontId="0" fillId="3" borderId="84" xfId="0" applyFont="1" applyFill="1" applyBorder="1" applyAlignment="1" applyProtection="1">
      <alignment horizontal="left" wrapText="1"/>
      <protection locked="0"/>
    </xf>
    <xf numFmtId="0" fontId="0" fillId="3" borderId="25" xfId="0" applyFont="1" applyFill="1" applyBorder="1" applyAlignment="1" applyProtection="1">
      <alignment horizontal="left" wrapText="1"/>
      <protection locked="0"/>
    </xf>
    <xf numFmtId="0" fontId="0" fillId="3" borderId="21" xfId="0" applyFont="1" applyFill="1" applyBorder="1" applyAlignment="1" applyProtection="1">
      <alignment horizontal="left" wrapText="1"/>
      <protection locked="0"/>
    </xf>
    <xf numFmtId="0" fontId="0" fillId="3" borderId="103" xfId="0" applyFont="1" applyFill="1" applyBorder="1" applyAlignment="1" applyProtection="1">
      <alignment horizontal="left" wrapText="1"/>
      <protection locked="0"/>
    </xf>
    <xf numFmtId="0" fontId="1" fillId="9" borderId="83" xfId="0" applyFont="1" applyFill="1" applyBorder="1" applyAlignment="1" applyProtection="1">
      <alignment horizontal="center" vertical="center"/>
      <protection/>
    </xf>
    <xf numFmtId="0" fontId="1" fillId="9" borderId="30" xfId="0" applyFont="1" applyFill="1" applyBorder="1" applyAlignment="1" applyProtection="1">
      <alignment horizontal="center" vertical="center"/>
      <protection/>
    </xf>
    <xf numFmtId="0" fontId="1" fillId="9" borderId="43" xfId="0" applyFont="1" applyFill="1" applyBorder="1" applyAlignment="1" applyProtection="1">
      <alignment horizontal="center" vertical="center"/>
      <protection/>
    </xf>
    <xf numFmtId="166" fontId="14" fillId="2" borderId="25" xfId="0" applyNumberFormat="1" applyFont="1" applyFill="1" applyBorder="1" applyAlignment="1" applyProtection="1">
      <alignment horizontal="center" vertical="center"/>
      <protection locked="0"/>
    </xf>
    <xf numFmtId="166" fontId="14" fillId="2" borderId="103" xfId="0" applyNumberFormat="1" applyFont="1" applyFill="1" applyBorder="1" applyAlignment="1" applyProtection="1">
      <alignment horizontal="center" vertical="center"/>
      <protection locked="0"/>
    </xf>
    <xf numFmtId="166" fontId="14" fillId="2" borderId="9" xfId="0" applyNumberFormat="1" applyFont="1" applyFill="1" applyBorder="1" applyAlignment="1" applyProtection="1">
      <alignment horizontal="center" vertical="center"/>
      <protection locked="0"/>
    </xf>
    <xf numFmtId="166" fontId="14" fillId="2" borderId="105" xfId="0" applyNumberFormat="1" applyFont="1" applyFill="1" applyBorder="1" applyAlignment="1" applyProtection="1">
      <alignment horizontal="center" vertical="center"/>
      <protection locked="0"/>
    </xf>
    <xf numFmtId="2" fontId="14" fillId="0" borderId="25" xfId="0" applyNumberFormat="1" applyFont="1" applyBorder="1" applyAlignment="1" applyProtection="1">
      <alignment horizontal="center" vertical="center"/>
      <protection/>
    </xf>
    <xf numFmtId="2" fontId="14" fillId="0" borderId="88" xfId="0" applyNumberFormat="1" applyFont="1" applyBorder="1" applyAlignment="1" applyProtection="1">
      <alignment horizontal="center" vertical="center"/>
      <protection/>
    </xf>
    <xf numFmtId="2" fontId="14" fillId="0" borderId="9" xfId="0" applyNumberFormat="1" applyFont="1" applyBorder="1" applyAlignment="1" applyProtection="1">
      <alignment horizontal="center" vertical="center"/>
      <protection/>
    </xf>
    <xf numFmtId="2" fontId="14" fillId="0" borderId="10" xfId="0" applyNumberFormat="1" applyFont="1" applyBorder="1" applyAlignment="1" applyProtection="1">
      <alignment horizontal="center" vertical="center"/>
      <protection/>
    </xf>
    <xf numFmtId="0" fontId="1" fillId="8" borderId="83" xfId="0" applyFont="1" applyFill="1" applyBorder="1" applyAlignment="1" applyProtection="1">
      <alignment horizontal="center" vertical="center"/>
      <protection/>
    </xf>
    <xf numFmtId="0" fontId="1" fillId="8" borderId="30" xfId="0" applyFont="1" applyFill="1" applyBorder="1" applyAlignment="1" applyProtection="1">
      <alignment horizontal="center" vertical="center"/>
      <protection/>
    </xf>
    <xf numFmtId="0" fontId="1" fillId="8" borderId="43" xfId="0" applyFont="1" applyFill="1" applyBorder="1" applyAlignment="1" applyProtection="1">
      <alignment horizontal="center" vertical="center"/>
      <protection/>
    </xf>
    <xf numFmtId="165" fontId="2" fillId="3" borderId="21" xfId="0" applyNumberFormat="1" applyFont="1" applyFill="1" applyBorder="1" applyAlignment="1" applyProtection="1">
      <alignment horizontal="right" vertical="center" wrapText="1"/>
      <protection locked="0"/>
    </xf>
    <xf numFmtId="165" fontId="2" fillId="3" borderId="103" xfId="0" applyNumberFormat="1" applyFont="1" applyFill="1" applyBorder="1" applyAlignment="1" applyProtection="1">
      <alignment horizontal="right" vertical="center" wrapText="1"/>
      <protection locked="0"/>
    </xf>
    <xf numFmtId="165" fontId="2" fillId="3" borderId="24" xfId="0" applyNumberFormat="1" applyFont="1" applyFill="1" applyBorder="1" applyAlignment="1" applyProtection="1">
      <alignment horizontal="right" vertical="center" wrapText="1"/>
      <protection locked="0"/>
    </xf>
    <xf numFmtId="165" fontId="2" fillId="3" borderId="105" xfId="0" applyNumberFormat="1" applyFont="1" applyFill="1" applyBorder="1" applyAlignment="1" applyProtection="1">
      <alignment horizontal="right" vertical="center" wrapText="1"/>
      <protection locked="0"/>
    </xf>
    <xf numFmtId="0" fontId="8" fillId="3" borderId="115" xfId="0" applyFont="1" applyFill="1" applyBorder="1" applyAlignment="1" applyProtection="1">
      <alignment horizontal="right"/>
      <protection/>
    </xf>
    <xf numFmtId="0" fontId="8" fillId="3" borderId="116" xfId="0" applyFont="1" applyFill="1" applyBorder="1" applyAlignment="1" applyProtection="1">
      <alignment horizontal="right"/>
      <protection/>
    </xf>
    <xf numFmtId="0" fontId="8" fillId="3" borderId="117" xfId="0" applyFont="1" applyFill="1" applyBorder="1" applyAlignment="1" applyProtection="1">
      <alignment horizontal="right"/>
      <protection/>
    </xf>
    <xf numFmtId="0" fontId="2" fillId="3" borderId="46" xfId="0" applyFont="1" applyFill="1" applyBorder="1" applyAlignment="1" applyProtection="1">
      <alignment horizontal="right"/>
      <protection/>
    </xf>
    <xf numFmtId="0" fontId="2" fillId="3" borderId="22" xfId="0" applyFont="1" applyFill="1" applyBorder="1" applyAlignment="1" applyProtection="1">
      <alignment horizontal="right"/>
      <protection/>
    </xf>
    <xf numFmtId="0" fontId="2" fillId="3" borderId="84" xfId="0" applyFont="1" applyFill="1" applyBorder="1" applyAlignment="1" applyProtection="1">
      <alignment horizontal="right"/>
      <protection/>
    </xf>
    <xf numFmtId="0" fontId="2" fillId="3" borderId="55" xfId="0" applyFont="1" applyFill="1" applyBorder="1" applyAlignment="1" applyProtection="1">
      <alignment horizontal="center" vertical="center" wrapText="1"/>
      <protection/>
    </xf>
    <xf numFmtId="0" fontId="2" fillId="3" borderId="103" xfId="0" applyFont="1" applyFill="1" applyBorder="1" applyAlignment="1" applyProtection="1">
      <alignment horizontal="center" vertical="center" wrapText="1"/>
      <protection/>
    </xf>
    <xf numFmtId="0" fontId="2" fillId="3" borderId="62" xfId="0" applyFont="1" applyFill="1" applyBorder="1" applyAlignment="1" applyProtection="1">
      <alignment horizontal="center" vertical="center" wrapText="1"/>
      <protection/>
    </xf>
    <xf numFmtId="0" fontId="2" fillId="3" borderId="72" xfId="0" applyFont="1" applyFill="1" applyBorder="1" applyAlignment="1" applyProtection="1">
      <alignment horizontal="center" vertical="center" wrapText="1"/>
      <protection/>
    </xf>
    <xf numFmtId="0" fontId="40" fillId="3" borderId="26" xfId="0" applyFont="1" applyFill="1" applyBorder="1" applyAlignment="1" applyProtection="1">
      <alignment horizontal="right" wrapText="1"/>
      <protection/>
    </xf>
    <xf numFmtId="0" fontId="40" fillId="3" borderId="71" xfId="0" applyFont="1" applyFill="1" applyBorder="1" applyAlignment="1" applyProtection="1">
      <alignment horizontal="right" wrapText="1"/>
      <protection/>
    </xf>
    <xf numFmtId="0" fontId="0" fillId="2" borderId="25"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88" xfId="0" applyFill="1" applyBorder="1" applyAlignment="1" applyProtection="1">
      <alignment horizontal="left" vertical="center"/>
      <protection locked="0"/>
    </xf>
    <xf numFmtId="0" fontId="0" fillId="3" borderId="0" xfId="0" applyFont="1" applyFill="1" applyBorder="1" applyAlignment="1" applyProtection="1">
      <alignment horizontal="left" wrapText="1"/>
      <protection locked="0"/>
    </xf>
    <xf numFmtId="0" fontId="2" fillId="3" borderId="46" xfId="0" applyFont="1" applyFill="1" applyBorder="1" applyAlignment="1" applyProtection="1">
      <alignment horizontal="right" vertical="center"/>
      <protection/>
    </xf>
    <xf numFmtId="0" fontId="2" fillId="3" borderId="22" xfId="0" applyFont="1" applyFill="1" applyBorder="1" applyAlignment="1" applyProtection="1">
      <alignment horizontal="right" vertical="center"/>
      <protection/>
    </xf>
    <xf numFmtId="0" fontId="2" fillId="3" borderId="84" xfId="0" applyFont="1" applyFill="1" applyBorder="1" applyAlignment="1" applyProtection="1">
      <alignment horizontal="right" vertical="center"/>
      <protection/>
    </xf>
    <xf numFmtId="0" fontId="2" fillId="3" borderId="67" xfId="0" applyFont="1" applyFill="1" applyBorder="1" applyAlignment="1" applyProtection="1">
      <alignment horizontal="right" vertical="center"/>
      <protection/>
    </xf>
    <xf numFmtId="0" fontId="2" fillId="3" borderId="118" xfId="0" applyFont="1" applyFill="1" applyBorder="1" applyAlignment="1" applyProtection="1">
      <alignment horizontal="right" vertical="center"/>
      <protection/>
    </xf>
    <xf numFmtId="0" fontId="0" fillId="2" borderId="11" xfId="0" applyFont="1" applyFill="1" applyBorder="1" applyAlignment="1" applyProtection="1">
      <alignment horizontal="left" vertical="center"/>
      <protection locked="0"/>
    </xf>
    <xf numFmtId="0" fontId="0" fillId="2" borderId="118" xfId="0" applyFont="1" applyFill="1" applyBorder="1" applyAlignment="1" applyProtection="1">
      <alignment horizontal="left" vertical="center"/>
      <protection locked="0"/>
    </xf>
    <xf numFmtId="0" fontId="2" fillId="3" borderId="26" xfId="0" applyFont="1" applyFill="1" applyBorder="1" applyAlignment="1" applyProtection="1">
      <alignment horizontal="right" wrapText="1"/>
      <protection locked="0"/>
    </xf>
    <xf numFmtId="0" fontId="2" fillId="3" borderId="0" xfId="0" applyFont="1" applyFill="1" applyBorder="1" applyAlignment="1" applyProtection="1">
      <alignment horizontal="right" wrapText="1"/>
      <protection locked="0"/>
    </xf>
    <xf numFmtId="0" fontId="2" fillId="3" borderId="71" xfId="0" applyFont="1" applyFill="1" applyBorder="1" applyAlignment="1" applyProtection="1">
      <alignment horizontal="right" wrapText="1"/>
      <protection locked="0"/>
    </xf>
    <xf numFmtId="0" fontId="23" fillId="2" borderId="7"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23" fillId="2" borderId="84" xfId="0" applyFont="1" applyFill="1" applyBorder="1" applyAlignment="1" applyProtection="1">
      <alignment horizontal="left" vertical="center"/>
      <protection locked="0"/>
    </xf>
    <xf numFmtId="0" fontId="5" fillId="5" borderId="73" xfId="0" applyFont="1" applyFill="1" applyBorder="1" applyAlignment="1" applyProtection="1">
      <alignment horizontal="left"/>
      <protection locked="0"/>
    </xf>
    <xf numFmtId="0" fontId="5" fillId="5" borderId="74" xfId="0" applyFont="1" applyFill="1" applyBorder="1" applyAlignment="1" applyProtection="1">
      <alignment horizontal="left"/>
      <protection locked="0"/>
    </xf>
    <xf numFmtId="0" fontId="5" fillId="5" borderId="75" xfId="0" applyFont="1" applyFill="1" applyBorder="1" applyAlignment="1" applyProtection="1">
      <alignment horizontal="left"/>
      <protection locked="0"/>
    </xf>
    <xf numFmtId="0" fontId="18" fillId="6" borderId="46" xfId="0" applyFont="1" applyFill="1" applyBorder="1" applyAlignment="1" applyProtection="1">
      <alignment horizontal="left" vertical="center" wrapText="1"/>
      <protection locked="0"/>
    </xf>
    <xf numFmtId="0" fontId="18" fillId="6" borderId="22" xfId="0" applyFont="1" applyFill="1" applyBorder="1" applyAlignment="1" applyProtection="1">
      <alignment horizontal="left" vertical="center" wrapText="1"/>
      <protection locked="0"/>
    </xf>
    <xf numFmtId="0" fontId="18" fillId="6" borderId="27"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right" wrapText="1"/>
      <protection locked="0"/>
    </xf>
    <xf numFmtId="2" fontId="17" fillId="0" borderId="83" xfId="0" applyNumberFormat="1" applyFont="1" applyBorder="1" applyAlignment="1" applyProtection="1">
      <alignment horizontal="right" vertical="center"/>
      <protection/>
    </xf>
    <xf numFmtId="2" fontId="17" fillId="0" borderId="43" xfId="0" applyNumberFormat="1" applyFont="1" applyBorder="1" applyAlignment="1" applyProtection="1">
      <alignment horizontal="right" vertical="center"/>
      <protection/>
    </xf>
    <xf numFmtId="0" fontId="3" fillId="3" borderId="0" xfId="0" applyFont="1" applyFill="1" applyBorder="1" applyAlignment="1" applyProtection="1">
      <alignment horizontal="left" vertical="center" wrapText="1"/>
      <protection locked="0"/>
    </xf>
    <xf numFmtId="0" fontId="2" fillId="3" borderId="26" xfId="0" applyFont="1" applyFill="1" applyBorder="1" applyAlignment="1" applyProtection="1">
      <alignment horizontal="right" vertical="center" wrapText="1"/>
      <protection locked="0"/>
    </xf>
    <xf numFmtId="0" fontId="2" fillId="3" borderId="0" xfId="0" applyFont="1" applyFill="1" applyBorder="1" applyAlignment="1" applyProtection="1">
      <alignment horizontal="right" vertical="center" wrapText="1"/>
      <protection locked="0"/>
    </xf>
    <xf numFmtId="0" fontId="2" fillId="3" borderId="71" xfId="0" applyFont="1" applyFill="1" applyBorder="1" applyAlignment="1" applyProtection="1">
      <alignment horizontal="right" vertical="center" wrapText="1"/>
      <protection locked="0"/>
    </xf>
    <xf numFmtId="0" fontId="3" fillId="7" borderId="119" xfId="0" applyFont="1" applyFill="1" applyBorder="1" applyAlignment="1" applyProtection="1">
      <alignment horizontal="left" vertical="top" wrapText="1"/>
      <protection/>
    </xf>
    <xf numFmtId="0" fontId="0" fillId="0" borderId="120" xfId="0" applyBorder="1" applyAlignment="1" applyProtection="1">
      <alignment horizontal="left" vertical="top" wrapText="1"/>
      <protection/>
    </xf>
    <xf numFmtId="0" fontId="0" fillId="0" borderId="121" xfId="0" applyBorder="1" applyAlignment="1" applyProtection="1">
      <alignment horizontal="left" vertical="top" wrapText="1"/>
      <protection/>
    </xf>
    <xf numFmtId="0" fontId="7" fillId="7" borderId="49" xfId="0" applyFont="1" applyFill="1" applyBorder="1" applyAlignment="1" applyProtection="1">
      <alignment horizontal="left" vertical="top" wrapText="1"/>
      <protection locked="0"/>
    </xf>
    <xf numFmtId="0" fontId="7" fillId="7" borderId="37" xfId="0" applyFont="1" applyFill="1" applyBorder="1" applyAlignment="1" applyProtection="1">
      <alignment horizontal="left" vertical="top" wrapText="1"/>
      <protection locked="0"/>
    </xf>
    <xf numFmtId="0" fontId="7" fillId="7" borderId="93" xfId="0" applyFont="1" applyFill="1" applyBorder="1" applyAlignment="1" applyProtection="1">
      <alignment horizontal="left" vertical="top" wrapText="1"/>
      <protection locked="0"/>
    </xf>
    <xf numFmtId="0" fontId="7" fillId="7" borderId="47" xfId="0" applyFont="1" applyFill="1" applyBorder="1" applyAlignment="1" applyProtection="1">
      <alignment horizontal="left" vertical="top" wrapText="1"/>
      <protection locked="0"/>
    </xf>
    <xf numFmtId="0" fontId="7" fillId="7" borderId="0" xfId="0" applyFont="1" applyFill="1" applyBorder="1" applyAlignment="1" applyProtection="1">
      <alignment horizontal="left" vertical="top" wrapText="1"/>
      <protection locked="0"/>
    </xf>
    <xf numFmtId="0" fontId="7" fillId="7" borderId="41" xfId="0" applyFont="1" applyFill="1" applyBorder="1" applyAlignment="1" applyProtection="1">
      <alignment horizontal="left" vertical="top" wrapText="1"/>
      <protection locked="0"/>
    </xf>
    <xf numFmtId="0" fontId="7" fillId="7" borderId="48" xfId="0" applyFont="1" applyFill="1" applyBorder="1" applyAlignment="1" applyProtection="1">
      <alignment horizontal="left" vertical="top" wrapText="1"/>
      <protection locked="0"/>
    </xf>
    <xf numFmtId="0" fontId="7" fillId="7" borderId="24" xfId="0" applyFont="1" applyFill="1" applyBorder="1" applyAlignment="1" applyProtection="1">
      <alignment horizontal="left" vertical="top" wrapText="1"/>
      <protection locked="0"/>
    </xf>
    <xf numFmtId="0" fontId="7" fillId="7" borderId="10" xfId="0" applyFont="1" applyFill="1" applyBorder="1" applyAlignment="1" applyProtection="1">
      <alignment horizontal="left" vertical="top" wrapText="1"/>
      <protection locked="0"/>
    </xf>
    <xf numFmtId="2" fontId="14" fillId="0" borderId="122" xfId="0" applyNumberFormat="1" applyFont="1" applyFill="1" applyBorder="1" applyAlignment="1" applyProtection="1">
      <alignment horizontal="right" vertical="center"/>
      <protection/>
    </xf>
    <xf numFmtId="2" fontId="14" fillId="0" borderId="123" xfId="0" applyNumberFormat="1" applyFont="1" applyFill="1" applyBorder="1" applyAlignment="1" applyProtection="1">
      <alignment horizontal="right" vertical="center"/>
      <protection/>
    </xf>
    <xf numFmtId="0" fontId="42" fillId="3" borderId="49" xfId="0" applyFont="1" applyFill="1" applyBorder="1" applyAlignment="1" applyProtection="1">
      <alignment horizontal="right" wrapText="1"/>
      <protection locked="0"/>
    </xf>
    <xf numFmtId="0" fontId="42" fillId="3" borderId="37" xfId="0" applyFont="1" applyFill="1" applyBorder="1" applyAlignment="1" applyProtection="1">
      <alignment horizontal="right" wrapText="1"/>
      <protection locked="0"/>
    </xf>
    <xf numFmtId="0" fontId="42" fillId="3" borderId="47" xfId="0" applyFont="1" applyFill="1" applyBorder="1" applyAlignment="1" applyProtection="1">
      <alignment horizontal="right" wrapText="1"/>
      <protection locked="0"/>
    </xf>
    <xf numFmtId="0" fontId="42" fillId="3" borderId="0" xfId="0" applyFont="1" applyFill="1" applyBorder="1" applyAlignment="1" applyProtection="1">
      <alignment horizontal="right" wrapText="1"/>
      <protection locked="0"/>
    </xf>
    <xf numFmtId="0" fontId="15" fillId="3" borderId="47" xfId="0" applyFont="1" applyFill="1" applyBorder="1" applyAlignment="1" applyProtection="1">
      <alignment horizontal="right" wrapText="1"/>
      <protection locked="0"/>
    </xf>
    <xf numFmtId="0" fontId="0" fillId="3" borderId="47" xfId="0" applyFont="1" applyFill="1" applyBorder="1" applyAlignment="1" applyProtection="1">
      <alignment horizontal="right" wrapText="1"/>
      <protection locked="0"/>
    </xf>
    <xf numFmtId="0" fontId="0" fillId="3" borderId="0" xfId="0" applyFont="1" applyFill="1" applyBorder="1" applyAlignment="1" applyProtection="1">
      <alignment horizontal="right" wrapText="1"/>
      <protection locked="0"/>
    </xf>
    <xf numFmtId="164" fontId="0" fillId="0" borderId="7" xfId="0" applyNumberFormat="1" applyFont="1" applyFill="1" applyBorder="1" applyAlignment="1" applyProtection="1">
      <alignment horizontal="right" vertical="center"/>
      <protection/>
    </xf>
    <xf numFmtId="164" fontId="0" fillId="0" borderId="84" xfId="0" applyNumberFormat="1" applyFont="1" applyFill="1" applyBorder="1" applyAlignment="1" applyProtection="1">
      <alignment horizontal="right" vertical="center"/>
      <protection/>
    </xf>
    <xf numFmtId="0" fontId="4" fillId="5" borderId="0" xfId="0" applyFont="1" applyFill="1" applyBorder="1" applyAlignment="1" applyProtection="1">
      <alignment horizontal="left"/>
      <protection locked="0"/>
    </xf>
    <xf numFmtId="0" fontId="4" fillId="5" borderId="41" xfId="0" applyFont="1" applyFill="1" applyBorder="1" applyAlignment="1" applyProtection="1">
      <alignment horizontal="left"/>
      <protection locked="0"/>
    </xf>
    <xf numFmtId="0" fontId="14" fillId="3" borderId="48" xfId="0" applyFont="1" applyFill="1" applyBorder="1" applyAlignment="1" applyProtection="1">
      <alignment horizontal="left" vertical="center" wrapText="1"/>
      <protection locked="0"/>
    </xf>
    <xf numFmtId="0" fontId="14" fillId="3" borderId="24" xfId="0" applyFont="1" applyFill="1" applyBorder="1" applyAlignment="1" applyProtection="1">
      <alignment horizontal="left" vertical="center" wrapText="1"/>
      <protection locked="0"/>
    </xf>
    <xf numFmtId="0" fontId="0" fillId="3" borderId="49" xfId="0" applyFill="1" applyBorder="1" applyAlignment="1" applyProtection="1">
      <alignment horizontal="right" wrapText="1"/>
      <protection/>
    </xf>
    <xf numFmtId="0" fontId="0" fillId="3" borderId="37" xfId="0" applyFill="1" applyBorder="1" applyAlignment="1" applyProtection="1">
      <alignment horizontal="right" wrapText="1"/>
      <protection/>
    </xf>
    <xf numFmtId="0" fontId="0" fillId="3" borderId="47" xfId="0" applyFill="1" applyBorder="1" applyAlignment="1" applyProtection="1">
      <alignment horizontal="right" wrapText="1"/>
      <protection/>
    </xf>
    <xf numFmtId="0" fontId="0" fillId="3" borderId="0" xfId="0" applyFill="1" applyBorder="1" applyAlignment="1" applyProtection="1">
      <alignment horizontal="right" wrapText="1"/>
      <protection/>
    </xf>
    <xf numFmtId="0" fontId="5" fillId="5" borderId="73" xfId="0" applyFont="1" applyFill="1" applyBorder="1" applyAlignment="1" applyProtection="1">
      <alignment horizontal="left" vertical="center"/>
      <protection locked="0"/>
    </xf>
    <xf numFmtId="0" fontId="5" fillId="5" borderId="74" xfId="0" applyFont="1" applyFill="1" applyBorder="1" applyAlignment="1" applyProtection="1">
      <alignment horizontal="left" vertical="center"/>
      <protection locked="0"/>
    </xf>
    <xf numFmtId="0" fontId="5" fillId="5" borderId="75" xfId="0" applyFont="1" applyFill="1" applyBorder="1" applyAlignment="1" applyProtection="1">
      <alignment horizontal="left" vertical="center"/>
      <protection locked="0"/>
    </xf>
    <xf numFmtId="0" fontId="0" fillId="7" borderId="49" xfId="0" applyFill="1" applyBorder="1" applyAlignment="1" applyProtection="1">
      <alignment horizontal="left" vertical="top" wrapText="1"/>
      <protection locked="0"/>
    </xf>
    <xf numFmtId="0" fontId="0" fillId="7" borderId="37" xfId="0" applyFill="1" applyBorder="1" applyAlignment="1" applyProtection="1">
      <alignment horizontal="left" vertical="top" wrapText="1"/>
      <protection locked="0"/>
    </xf>
    <xf numFmtId="0" fontId="0" fillId="7" borderId="93" xfId="0" applyFill="1" applyBorder="1" applyAlignment="1" applyProtection="1">
      <alignment horizontal="left" vertical="top" wrapText="1"/>
      <protection locked="0"/>
    </xf>
    <xf numFmtId="0" fontId="0" fillId="7" borderId="47"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41" xfId="0" applyFill="1" applyBorder="1" applyAlignment="1" applyProtection="1">
      <alignment horizontal="left" vertical="top" wrapText="1"/>
      <protection locked="0"/>
    </xf>
    <xf numFmtId="0" fontId="0" fillId="7" borderId="48" xfId="0" applyFill="1" applyBorder="1" applyAlignment="1" applyProtection="1">
      <alignment horizontal="left" vertical="top" wrapText="1"/>
      <protection locked="0"/>
    </xf>
    <xf numFmtId="0" fontId="0" fillId="7" borderId="24" xfId="0" applyFill="1" applyBorder="1" applyAlignment="1" applyProtection="1">
      <alignment horizontal="left" vertical="top" wrapText="1"/>
      <protection locked="0"/>
    </xf>
    <xf numFmtId="0" fontId="0" fillId="7" borderId="10" xfId="0" applyFill="1" applyBorder="1" applyAlignment="1" applyProtection="1">
      <alignment horizontal="left" vertical="top" wrapText="1"/>
      <protection locked="0"/>
    </xf>
    <xf numFmtId="4" fontId="17" fillId="0" borderId="83" xfId="0" applyNumberFormat="1" applyFont="1" applyBorder="1" applyAlignment="1" applyProtection="1">
      <alignment horizontal="right" vertical="center"/>
      <protection/>
    </xf>
    <xf numFmtId="4" fontId="17" fillId="0" borderId="43" xfId="0" applyNumberFormat="1" applyFont="1" applyBorder="1" applyAlignment="1" applyProtection="1">
      <alignment horizontal="right" vertical="center"/>
      <protection/>
    </xf>
    <xf numFmtId="0" fontId="0" fillId="5" borderId="47" xfId="0" applyFill="1" applyBorder="1" applyAlignment="1" applyProtection="1">
      <alignment horizontal="left" wrapText="1"/>
      <protection locked="0"/>
    </xf>
    <xf numFmtId="0" fontId="0" fillId="5" borderId="0" xfId="0" applyFill="1" applyBorder="1" applyAlignment="1" applyProtection="1">
      <alignment horizontal="left" wrapText="1"/>
      <protection locked="0"/>
    </xf>
    <xf numFmtId="0" fontId="0" fillId="5" borderId="41" xfId="0" applyFill="1" applyBorder="1" applyAlignment="1" applyProtection="1">
      <alignment horizontal="left" wrapText="1"/>
      <protection locked="0"/>
    </xf>
    <xf numFmtId="0" fontId="5" fillId="5" borderId="73" xfId="0" applyFont="1" applyFill="1" applyBorder="1" applyAlignment="1" applyProtection="1">
      <alignment horizontal="left" vertical="center" wrapText="1"/>
      <protection locked="0"/>
    </xf>
    <xf numFmtId="0" fontId="5" fillId="5" borderId="74" xfId="0" applyFont="1" applyFill="1" applyBorder="1" applyAlignment="1" applyProtection="1">
      <alignment horizontal="left" vertical="center" wrapText="1"/>
      <protection locked="0"/>
    </xf>
    <xf numFmtId="0" fontId="5" fillId="5" borderId="75" xfId="0" applyFont="1" applyFill="1" applyBorder="1" applyAlignment="1" applyProtection="1">
      <alignment horizontal="left" vertical="center" wrapText="1"/>
      <protection locked="0"/>
    </xf>
    <xf numFmtId="0" fontId="0" fillId="3" borderId="7" xfId="0" applyFill="1" applyBorder="1" applyAlignment="1" applyProtection="1">
      <alignment horizontal="left" wrapText="1"/>
      <protection locked="0"/>
    </xf>
    <xf numFmtId="0" fontId="0" fillId="3" borderId="22" xfId="0" applyFill="1" applyBorder="1" applyAlignment="1" applyProtection="1">
      <alignment horizontal="left" wrapText="1"/>
      <protection locked="0"/>
    </xf>
    <xf numFmtId="0" fontId="0" fillId="3" borderId="84" xfId="0" applyFill="1" applyBorder="1" applyAlignment="1" applyProtection="1">
      <alignment horizontal="left" wrapText="1"/>
      <protection locked="0"/>
    </xf>
    <xf numFmtId="0" fontId="3" fillId="7" borderId="124" xfId="0" applyFont="1" applyFill="1" applyBorder="1" applyAlignment="1" applyProtection="1">
      <alignment horizontal="left" vertical="top" wrapText="1"/>
      <protection locked="0"/>
    </xf>
    <xf numFmtId="0" fontId="3" fillId="7" borderId="125" xfId="0" applyFont="1" applyFill="1" applyBorder="1" applyAlignment="1" applyProtection="1">
      <alignment horizontal="left" vertical="top" wrapText="1"/>
      <protection locked="0"/>
    </xf>
    <xf numFmtId="0" fontId="3" fillId="7" borderId="126" xfId="0" applyFont="1" applyFill="1" applyBorder="1" applyAlignment="1" applyProtection="1">
      <alignment horizontal="left" vertical="top" wrapText="1"/>
      <protection locked="0"/>
    </xf>
    <xf numFmtId="0" fontId="3" fillId="7" borderId="47"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41" xfId="0" applyFont="1" applyFill="1" applyBorder="1" applyAlignment="1" applyProtection="1">
      <alignment horizontal="left" vertical="top" wrapText="1"/>
      <protection locked="0"/>
    </xf>
    <xf numFmtId="0" fontId="3" fillId="7" borderId="48" xfId="0" applyFont="1" applyFill="1" applyBorder="1" applyAlignment="1" applyProtection="1">
      <alignment horizontal="left" vertical="top" wrapText="1"/>
      <protection locked="0"/>
    </xf>
    <xf numFmtId="0" fontId="3" fillId="7" borderId="24"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8" fillId="3" borderId="7" xfId="0" applyFont="1" applyFill="1" applyBorder="1" applyAlignment="1" applyProtection="1">
      <alignment horizontal="left" vertical="center" wrapText="1"/>
      <protection locked="0"/>
    </xf>
    <xf numFmtId="0" fontId="38" fillId="3" borderId="22" xfId="0" applyFont="1" applyFill="1" applyBorder="1" applyAlignment="1" applyProtection="1">
      <alignment horizontal="left" vertical="center" wrapText="1"/>
      <protection locked="0"/>
    </xf>
    <xf numFmtId="0" fontId="38" fillId="3" borderId="84" xfId="0" applyFont="1" applyFill="1" applyBorder="1" applyAlignment="1" applyProtection="1">
      <alignment horizontal="left" vertical="center" wrapText="1"/>
      <protection locked="0"/>
    </xf>
    <xf numFmtId="0" fontId="0" fillId="3" borderId="127" xfId="0" applyFont="1" applyFill="1" applyBorder="1" applyAlignment="1" applyProtection="1">
      <alignment horizontal="left" vertical="center" wrapText="1"/>
      <protection/>
    </xf>
    <xf numFmtId="0" fontId="22" fillId="3" borderId="13" xfId="0" applyFont="1" applyFill="1" applyBorder="1" applyAlignment="1" applyProtection="1">
      <alignment horizontal="center"/>
      <protection locked="0"/>
    </xf>
    <xf numFmtId="0" fontId="22" fillId="3" borderId="76" xfId="0" applyFont="1" applyFill="1" applyBorder="1" applyAlignment="1" applyProtection="1">
      <alignment horizontal="center"/>
      <protection locked="0"/>
    </xf>
    <xf numFmtId="0" fontId="22" fillId="3" borderId="2" xfId="0" applyFont="1" applyFill="1" applyBorder="1" applyAlignment="1" applyProtection="1">
      <alignment horizontal="center"/>
      <protection locked="0"/>
    </xf>
    <xf numFmtId="0" fontId="23" fillId="2" borderId="7" xfId="0" applyFont="1" applyFill="1" applyBorder="1" applyAlignment="1" applyProtection="1">
      <alignment horizontal="left" wrapText="1"/>
      <protection locked="0"/>
    </xf>
    <xf numFmtId="0" fontId="23" fillId="2" borderId="22" xfId="0" applyFont="1" applyFill="1" applyBorder="1" applyAlignment="1" applyProtection="1">
      <alignment horizontal="left" wrapText="1"/>
      <protection locked="0"/>
    </xf>
    <xf numFmtId="0" fontId="23" fillId="2" borderId="84" xfId="0" applyFont="1" applyFill="1" applyBorder="1" applyAlignment="1" applyProtection="1">
      <alignment horizontal="left" wrapText="1"/>
      <protection locked="0"/>
    </xf>
    <xf numFmtId="0" fontId="0" fillId="7" borderId="49" xfId="0" applyFill="1" applyBorder="1" applyAlignment="1" applyProtection="1">
      <alignment horizontal="left" vertical="top" wrapText="1"/>
      <protection/>
    </xf>
    <xf numFmtId="0" fontId="0" fillId="7" borderId="37" xfId="0" applyFill="1" applyBorder="1" applyAlignment="1" applyProtection="1">
      <alignment horizontal="left" vertical="top" wrapText="1"/>
      <protection/>
    </xf>
    <xf numFmtId="0" fontId="0" fillId="7" borderId="93" xfId="0" applyFill="1" applyBorder="1" applyAlignment="1" applyProtection="1">
      <alignment horizontal="left" vertical="top" wrapText="1"/>
      <protection/>
    </xf>
    <xf numFmtId="0" fontId="0" fillId="7" borderId="47" xfId="0" applyFill="1" applyBorder="1" applyAlignment="1" applyProtection="1">
      <alignment horizontal="left" vertical="top" wrapText="1"/>
      <protection/>
    </xf>
    <xf numFmtId="0" fontId="0" fillId="7" borderId="0" xfId="0" applyFill="1" applyBorder="1" applyAlignment="1" applyProtection="1">
      <alignment horizontal="left" vertical="top" wrapText="1"/>
      <protection/>
    </xf>
    <xf numFmtId="0" fontId="0" fillId="7" borderId="41" xfId="0" applyFill="1" applyBorder="1" applyAlignment="1" applyProtection="1">
      <alignment horizontal="left" vertical="top" wrapText="1"/>
      <protection/>
    </xf>
    <xf numFmtId="0" fontId="0" fillId="7" borderId="108" xfId="0" applyFill="1" applyBorder="1" applyAlignment="1" applyProtection="1">
      <alignment horizontal="left" vertical="top" wrapText="1"/>
      <protection/>
    </xf>
    <xf numFmtId="0" fontId="0" fillId="7" borderId="109" xfId="0" applyFill="1" applyBorder="1" applyAlignment="1" applyProtection="1">
      <alignment horizontal="left" vertical="top" wrapText="1"/>
      <protection/>
    </xf>
    <xf numFmtId="0" fontId="0" fillId="7" borderId="110" xfId="0" applyFill="1" applyBorder="1" applyAlignment="1" applyProtection="1">
      <alignment horizontal="left" vertical="top" wrapText="1"/>
      <protection/>
    </xf>
    <xf numFmtId="0" fontId="15" fillId="3" borderId="13" xfId="0" applyFont="1" applyFill="1" applyBorder="1" applyAlignment="1" applyProtection="1">
      <alignment horizontal="left" vertical="top"/>
      <protection locked="0"/>
    </xf>
    <xf numFmtId="0" fontId="15" fillId="3" borderId="2" xfId="0" applyFont="1" applyFill="1" applyBorder="1" applyAlignment="1" applyProtection="1">
      <alignment horizontal="left" vertical="top"/>
      <protection locked="0"/>
    </xf>
    <xf numFmtId="0" fontId="0" fillId="3" borderId="13" xfId="0" applyFill="1" applyBorder="1" applyAlignment="1" applyProtection="1">
      <alignment horizontal="left"/>
      <protection locked="0"/>
    </xf>
    <xf numFmtId="0" fontId="0" fillId="3" borderId="2" xfId="0" applyFill="1" applyBorder="1" applyAlignment="1" applyProtection="1">
      <alignment horizontal="left"/>
      <protection locked="0"/>
    </xf>
    <xf numFmtId="0" fontId="12" fillId="3" borderId="0" xfId="0" applyFont="1" applyFill="1" applyBorder="1" applyAlignment="1" applyProtection="1">
      <alignment horizontal="right" vertical="top" wrapText="1"/>
      <protection locked="0"/>
    </xf>
    <xf numFmtId="2" fontId="32" fillId="0" borderId="83" xfId="0" applyNumberFormat="1" applyFont="1" applyBorder="1" applyAlignment="1" applyProtection="1">
      <alignment horizontal="right" vertical="center"/>
      <protection/>
    </xf>
    <xf numFmtId="2" fontId="32" fillId="0" borderId="43" xfId="0" applyNumberFormat="1" applyFont="1" applyBorder="1" applyAlignment="1" applyProtection="1">
      <alignment horizontal="right" vertical="center"/>
      <protection/>
    </xf>
    <xf numFmtId="0" fontId="12" fillId="5" borderId="47"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73" xfId="0" applyFont="1" applyFill="1" applyBorder="1" applyAlignment="1" applyProtection="1">
      <alignment horizontal="left" vertical="top" wrapText="1"/>
      <protection locked="0"/>
    </xf>
    <xf numFmtId="0" fontId="12" fillId="5" borderId="74" xfId="0" applyFont="1" applyFill="1" applyBorder="1" applyAlignment="1" applyProtection="1">
      <alignment horizontal="left" vertical="top" wrapText="1"/>
      <protection locked="0"/>
    </xf>
    <xf numFmtId="0" fontId="27" fillId="2" borderId="7" xfId="0" applyFont="1" applyFill="1" applyBorder="1" applyAlignment="1" applyProtection="1">
      <alignment horizontal="left" vertical="center"/>
      <protection locked="0"/>
    </xf>
    <xf numFmtId="0" fontId="27" fillId="2" borderId="22" xfId="0" applyFont="1" applyFill="1" applyBorder="1" applyAlignment="1" applyProtection="1">
      <alignment horizontal="left" vertical="center"/>
      <protection locked="0"/>
    </xf>
    <xf numFmtId="0" fontId="27" fillId="2" borderId="84" xfId="0" applyFont="1" applyFill="1" applyBorder="1" applyAlignment="1" applyProtection="1">
      <alignment horizontal="left" vertical="center"/>
      <protection locked="0"/>
    </xf>
    <xf numFmtId="2" fontId="27" fillId="0" borderId="122" xfId="0" applyNumberFormat="1" applyFont="1" applyFill="1" applyBorder="1" applyAlignment="1" applyProtection="1">
      <alignment horizontal="right" vertical="center"/>
      <protection/>
    </xf>
    <xf numFmtId="2" fontId="27" fillId="0" borderId="123" xfId="0" applyNumberFormat="1" applyFont="1" applyFill="1" applyBorder="1" applyAlignment="1" applyProtection="1">
      <alignment horizontal="right" vertical="center"/>
      <protection/>
    </xf>
    <xf numFmtId="0" fontId="27" fillId="3" borderId="0" xfId="0" applyFont="1" applyFill="1" applyBorder="1" applyAlignment="1" applyProtection="1">
      <alignment horizontal="right" wrapText="1"/>
      <protection locked="0"/>
    </xf>
    <xf numFmtId="0" fontId="2" fillId="3" borderId="0" xfId="0" applyFont="1"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47"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164" fontId="27" fillId="2" borderId="7" xfId="0" applyNumberFormat="1" applyFont="1" applyFill="1" applyBorder="1" applyAlignment="1" applyProtection="1">
      <alignment horizontal="right" vertical="center" wrapText="1"/>
      <protection locked="0"/>
    </xf>
    <xf numFmtId="164" fontId="27" fillId="2" borderId="84" xfId="0" applyNumberFormat="1" applyFont="1" applyFill="1" applyBorder="1" applyAlignment="1" applyProtection="1">
      <alignment horizontal="right" vertical="center" wrapText="1"/>
      <protection locked="0"/>
    </xf>
    <xf numFmtId="0" fontId="12" fillId="3" borderId="0" xfId="0" applyFont="1" applyFill="1" applyBorder="1" applyAlignment="1" applyProtection="1">
      <alignment horizontal="right" wrapText="1"/>
      <protection locked="0"/>
    </xf>
    <xf numFmtId="0" fontId="0" fillId="0" borderId="0" xfId="0" applyBorder="1" applyAlignment="1" applyProtection="1">
      <alignment horizontal="right" wrapText="1"/>
      <protection locked="0"/>
    </xf>
    <xf numFmtId="0" fontId="14" fillId="3" borderId="47" xfId="0" applyFont="1" applyFill="1" applyBorder="1" applyAlignment="1" applyProtection="1">
      <alignment horizontal="left" wrapText="1"/>
      <protection locked="0"/>
    </xf>
    <xf numFmtId="0" fontId="14" fillId="3" borderId="0" xfId="0" applyFont="1" applyFill="1" applyBorder="1" applyAlignment="1" applyProtection="1">
      <alignment horizontal="left" wrapText="1"/>
      <protection locked="0"/>
    </xf>
    <xf numFmtId="0" fontId="14" fillId="3" borderId="48" xfId="0" applyFont="1" applyFill="1" applyBorder="1" applyAlignment="1" applyProtection="1">
      <alignment horizontal="left" wrapText="1"/>
      <protection locked="0"/>
    </xf>
    <xf numFmtId="0" fontId="14" fillId="3" borderId="24" xfId="0" applyFont="1" applyFill="1" applyBorder="1" applyAlignment="1" applyProtection="1">
      <alignment horizontal="left" wrapText="1"/>
      <protection locked="0"/>
    </xf>
    <xf numFmtId="0" fontId="4" fillId="5" borderId="50" xfId="0" applyFont="1" applyFill="1" applyBorder="1" applyAlignment="1" applyProtection="1">
      <alignment horizontal="left" vertical="top" wrapText="1"/>
      <protection locked="0"/>
    </xf>
    <xf numFmtId="0" fontId="4" fillId="5" borderId="77" xfId="0" applyFont="1" applyFill="1" applyBorder="1" applyAlignment="1" applyProtection="1">
      <alignment horizontal="left" vertical="top" wrapText="1"/>
      <protection locked="0"/>
    </xf>
    <xf numFmtId="0" fontId="4" fillId="5" borderId="50" xfId="0" applyFont="1" applyFill="1" applyBorder="1" applyAlignment="1" applyProtection="1">
      <alignment horizontal="left" wrapText="1"/>
      <protection locked="0"/>
    </xf>
    <xf numFmtId="0" fontId="4" fillId="5" borderId="77" xfId="0" applyFont="1" applyFill="1" applyBorder="1" applyAlignment="1" applyProtection="1">
      <alignment horizontal="left" wrapText="1"/>
      <protection locked="0"/>
    </xf>
    <xf numFmtId="0" fontId="4" fillId="5" borderId="0" xfId="0" applyFont="1" applyFill="1" applyBorder="1" applyAlignment="1" applyProtection="1">
      <alignment horizontal="left" wrapText="1"/>
      <protection locked="0"/>
    </xf>
    <xf numFmtId="0" fontId="4" fillId="5" borderId="41" xfId="0" applyFont="1" applyFill="1" applyBorder="1" applyAlignment="1" applyProtection="1">
      <alignment horizontal="left" wrapText="1"/>
      <protection locked="0"/>
    </xf>
    <xf numFmtId="164" fontId="0" fillId="2" borderId="7" xfId="0" applyNumberFormat="1" applyFill="1" applyBorder="1" applyAlignment="1" applyProtection="1">
      <alignment horizontal="right" vertical="center"/>
      <protection locked="0"/>
    </xf>
    <xf numFmtId="164" fontId="0" fillId="2" borderId="84" xfId="0" applyNumberFormat="1" applyFill="1" applyBorder="1" applyAlignment="1" applyProtection="1">
      <alignment horizontal="right" vertical="center"/>
      <protection locked="0"/>
    </xf>
    <xf numFmtId="169" fontId="0" fillId="0" borderId="7" xfId="0" applyNumberFormat="1" applyFill="1" applyBorder="1" applyAlignment="1" applyProtection="1">
      <alignment horizontal="right"/>
      <protection/>
    </xf>
    <xf numFmtId="169" fontId="0" fillId="0" borderId="84" xfId="0" applyNumberFormat="1" applyFill="1" applyBorder="1" applyAlignment="1" applyProtection="1">
      <alignment horizontal="right"/>
      <protection/>
    </xf>
    <xf numFmtId="169" fontId="27" fillId="0" borderId="7" xfId="0" applyNumberFormat="1" applyFont="1" applyFill="1" applyBorder="1" applyAlignment="1" applyProtection="1">
      <alignment horizontal="right" vertical="center"/>
      <protection/>
    </xf>
    <xf numFmtId="169" fontId="27" fillId="0" borderId="84" xfId="0" applyNumberFormat="1" applyFont="1" applyFill="1" applyBorder="1" applyAlignment="1" applyProtection="1">
      <alignment horizontal="right" vertical="center"/>
      <protection/>
    </xf>
    <xf numFmtId="0" fontId="5" fillId="5" borderId="47"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41" xfId="0" applyFont="1" applyFill="1" applyBorder="1" applyAlignment="1" applyProtection="1">
      <alignment horizontal="left" vertical="top" wrapText="1"/>
      <protection locked="0"/>
    </xf>
    <xf numFmtId="0" fontId="4" fillId="5" borderId="50" xfId="0" applyFont="1" applyFill="1" applyBorder="1" applyAlignment="1" applyProtection="1">
      <alignment horizontal="left"/>
      <protection locked="0"/>
    </xf>
    <xf numFmtId="0" fontId="4" fillId="5" borderId="77" xfId="0" applyFont="1" applyFill="1" applyBorder="1" applyAlignment="1" applyProtection="1">
      <alignment horizontal="left"/>
      <protection locked="0"/>
    </xf>
    <xf numFmtId="0" fontId="0" fillId="7" borderId="124" xfId="0" applyFill="1" applyBorder="1" applyAlignment="1" applyProtection="1">
      <alignment horizontal="left" vertical="top" wrapText="1"/>
      <protection locked="0"/>
    </xf>
    <xf numFmtId="0" fontId="0" fillId="7" borderId="125" xfId="0" applyFill="1" applyBorder="1" applyAlignment="1" applyProtection="1">
      <alignment horizontal="left" vertical="top" wrapText="1"/>
      <protection locked="0"/>
    </xf>
    <xf numFmtId="0" fontId="0" fillId="7" borderId="126" xfId="0" applyFill="1" applyBorder="1" applyAlignment="1" applyProtection="1">
      <alignment horizontal="left" vertical="top" wrapText="1"/>
      <protection locked="0"/>
    </xf>
    <xf numFmtId="0" fontId="0" fillId="7" borderId="42" xfId="0" applyFill="1" applyBorder="1" applyAlignment="1" applyProtection="1">
      <alignment horizontal="left" vertical="top" wrapText="1"/>
      <protection/>
    </xf>
    <xf numFmtId="0" fontId="0" fillId="0" borderId="50" xfId="0" applyBorder="1" applyAlignment="1" applyProtection="1">
      <alignment horizontal="left" vertical="top" wrapText="1"/>
      <protection/>
    </xf>
    <xf numFmtId="0" fontId="0" fillId="0" borderId="77" xfId="0" applyBorder="1" applyAlignment="1" applyProtection="1">
      <alignment horizontal="left" vertical="top" wrapText="1"/>
      <protection/>
    </xf>
    <xf numFmtId="0" fontId="0" fillId="0" borderId="108" xfId="0" applyBorder="1" applyAlignment="1" applyProtection="1">
      <alignment horizontal="left" vertical="top" wrapText="1"/>
      <protection/>
    </xf>
    <xf numFmtId="0" fontId="0" fillId="0" borderId="109" xfId="0" applyBorder="1" applyAlignment="1" applyProtection="1">
      <alignment horizontal="left" vertical="top" wrapText="1"/>
      <protection/>
    </xf>
    <xf numFmtId="0" fontId="0" fillId="0" borderId="110" xfId="0" applyBorder="1" applyAlignment="1" applyProtection="1">
      <alignment horizontal="left" vertical="top" wrapText="1"/>
      <protection/>
    </xf>
    <xf numFmtId="0" fontId="0" fillId="2" borderId="7"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84" xfId="0" applyFill="1" applyBorder="1" applyAlignment="1" applyProtection="1">
      <alignment horizontal="left"/>
      <protection locked="0"/>
    </xf>
    <xf numFmtId="0" fontId="0" fillId="0" borderId="4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3" borderId="47" xfId="0" applyFont="1" applyFill="1" applyBorder="1" applyAlignment="1" applyProtection="1">
      <alignment horizontal="right" vertical="center" wrapText="1"/>
      <protection locked="0"/>
    </xf>
    <xf numFmtId="0" fontId="0" fillId="3" borderId="47" xfId="0" applyFill="1" applyBorder="1" applyAlignment="1" applyProtection="1">
      <alignment horizontal="right" vertical="top" wrapText="1"/>
      <protection locked="0"/>
    </xf>
    <xf numFmtId="0" fontId="0" fillId="3" borderId="0" xfId="0" applyFill="1" applyBorder="1" applyAlignment="1" applyProtection="1">
      <alignment horizontal="right" vertical="top" wrapText="1"/>
      <protection locked="0"/>
    </xf>
    <xf numFmtId="164" fontId="14" fillId="0" borderId="7" xfId="0" applyNumberFormat="1" applyFont="1" applyBorder="1" applyAlignment="1" applyProtection="1">
      <alignment horizontal="right" vertical="center"/>
      <protection/>
    </xf>
    <xf numFmtId="164" fontId="14" fillId="0" borderId="84" xfId="0" applyNumberFormat="1" applyFont="1" applyBorder="1" applyAlignment="1" applyProtection="1">
      <alignment horizontal="right" vertical="center"/>
      <protection/>
    </xf>
    <xf numFmtId="166" fontId="0" fillId="2" borderId="25" xfId="0" applyNumberFormat="1" applyFont="1" applyFill="1" applyBorder="1" applyAlignment="1" applyProtection="1">
      <alignment horizontal="center" vertical="center"/>
      <protection locked="0"/>
    </xf>
    <xf numFmtId="166" fontId="0" fillId="2" borderId="21" xfId="0" applyNumberFormat="1" applyFont="1" applyFill="1" applyBorder="1" applyAlignment="1" applyProtection="1">
      <alignment horizontal="center" vertical="center"/>
      <protection locked="0"/>
    </xf>
    <xf numFmtId="166" fontId="0" fillId="2" borderId="9" xfId="0" applyNumberFormat="1" applyFont="1" applyFill="1" applyBorder="1" applyAlignment="1" applyProtection="1">
      <alignment horizontal="center" vertical="center"/>
      <protection locked="0"/>
    </xf>
    <xf numFmtId="166" fontId="0" fillId="2" borderId="24" xfId="0" applyNumberFormat="1" applyFont="1" applyFill="1" applyBorder="1" applyAlignment="1" applyProtection="1">
      <alignment horizontal="center" vertical="center"/>
      <protection locked="0"/>
    </xf>
    <xf numFmtId="164" fontId="14" fillId="2" borderId="7" xfId="0" applyNumberFormat="1" applyFont="1" applyFill="1" applyBorder="1" applyAlignment="1" applyProtection="1">
      <alignment horizontal="right"/>
      <protection locked="0"/>
    </xf>
    <xf numFmtId="164" fontId="14" fillId="2" borderId="84" xfId="0" applyNumberFormat="1" applyFont="1" applyFill="1" applyBorder="1" applyAlignment="1" applyProtection="1">
      <alignment horizontal="right"/>
      <protection locked="0"/>
    </xf>
    <xf numFmtId="0" fontId="14" fillId="3" borderId="0" xfId="0" applyFont="1" applyFill="1" applyBorder="1" applyAlignment="1" applyProtection="1">
      <alignment horizontal="right" vertical="center"/>
      <protection/>
    </xf>
    <xf numFmtId="0" fontId="14" fillId="3" borderId="71" xfId="0" applyFont="1" applyFill="1" applyBorder="1" applyAlignment="1" applyProtection="1">
      <alignment horizontal="right" vertical="center"/>
      <protection/>
    </xf>
    <xf numFmtId="0" fontId="17" fillId="0" borderId="43" xfId="0" applyFont="1" applyBorder="1" applyAlignment="1" applyProtection="1">
      <alignment horizontal="right" vertical="center"/>
      <protection/>
    </xf>
    <xf numFmtId="0" fontId="18" fillId="3" borderId="0" xfId="0" applyFont="1" applyFill="1" applyBorder="1" applyAlignment="1" applyProtection="1">
      <alignment horizontal="center"/>
      <protection locked="0"/>
    </xf>
    <xf numFmtId="169" fontId="14" fillId="0" borderId="7" xfId="0" applyNumberFormat="1" applyFont="1" applyBorder="1" applyAlignment="1" applyProtection="1">
      <alignment horizontal="right" vertical="center"/>
      <protection/>
    </xf>
    <xf numFmtId="169" fontId="14" fillId="0" borderId="84" xfId="0" applyNumberFormat="1" applyFont="1" applyBorder="1" applyAlignment="1" applyProtection="1">
      <alignment horizontal="right" vertical="center"/>
      <protection/>
    </xf>
    <xf numFmtId="0" fontId="0" fillId="3" borderId="13" xfId="0" applyFont="1" applyFill="1" applyBorder="1" applyAlignment="1" applyProtection="1">
      <alignment horizontal="left"/>
      <protection locked="0"/>
    </xf>
    <xf numFmtId="0" fontId="0" fillId="3" borderId="2" xfId="0" applyFont="1" applyFill="1" applyBorder="1" applyAlignment="1" applyProtection="1">
      <alignment horizontal="left"/>
      <protection locked="0"/>
    </xf>
    <xf numFmtId="0" fontId="4" fillId="0" borderId="128" xfId="0" applyFont="1" applyFill="1" applyBorder="1" applyAlignment="1" applyProtection="1">
      <alignment horizontal="left" vertical="center"/>
      <protection/>
    </xf>
    <xf numFmtId="0" fontId="4" fillId="0" borderId="129" xfId="0" applyFont="1" applyFill="1" applyBorder="1" applyAlignment="1" applyProtection="1">
      <alignment horizontal="left" vertical="center"/>
      <protection/>
    </xf>
    <xf numFmtId="0" fontId="4" fillId="0" borderId="130" xfId="0" applyFont="1" applyFill="1" applyBorder="1" applyAlignment="1" applyProtection="1">
      <alignment horizontal="left" vertical="center"/>
      <protection/>
    </xf>
    <xf numFmtId="2" fontId="0" fillId="0" borderId="122" xfId="0" applyNumberFormat="1" applyFont="1" applyFill="1" applyBorder="1" applyAlignment="1" applyProtection="1">
      <alignment horizontal="right" vertical="center"/>
      <protection/>
    </xf>
    <xf numFmtId="2" fontId="0" fillId="0" borderId="123" xfId="0" applyNumberFormat="1" applyFont="1" applyFill="1" applyBorder="1" applyAlignment="1" applyProtection="1">
      <alignment horizontal="right" vertical="center"/>
      <protection/>
    </xf>
    <xf numFmtId="0" fontId="18" fillId="6" borderId="67" xfId="0" applyFont="1" applyFill="1" applyBorder="1" applyAlignment="1" applyProtection="1">
      <alignment horizontal="left" vertical="center" wrapText="1"/>
      <protection/>
    </xf>
    <xf numFmtId="0" fontId="18" fillId="6" borderId="68" xfId="0" applyFont="1" applyFill="1" applyBorder="1" applyAlignment="1" applyProtection="1">
      <alignment horizontal="left" vertical="center" wrapText="1"/>
      <protection/>
    </xf>
    <xf numFmtId="0" fontId="18" fillId="6" borderId="131" xfId="0" applyFont="1" applyFill="1" applyBorder="1" applyAlignment="1" applyProtection="1">
      <alignment horizontal="left" vertical="center" wrapText="1"/>
      <protection/>
    </xf>
    <xf numFmtId="169" fontId="14" fillId="0" borderId="7" xfId="0" applyNumberFormat="1" applyFont="1" applyFill="1" applyBorder="1" applyAlignment="1" applyProtection="1">
      <alignment horizontal="right" vertical="center"/>
      <protection/>
    </xf>
    <xf numFmtId="169" fontId="14" fillId="0" borderId="84" xfId="0" applyNumberFormat="1" applyFont="1" applyFill="1" applyBorder="1" applyAlignment="1" applyProtection="1">
      <alignment horizontal="right" vertical="center"/>
      <protection/>
    </xf>
    <xf numFmtId="0" fontId="3" fillId="3" borderId="0" xfId="0" applyFont="1" applyFill="1" applyBorder="1" applyAlignment="1" applyProtection="1">
      <alignment horizontal="left" vertical="top" wrapText="1"/>
      <protection locked="0"/>
    </xf>
    <xf numFmtId="0" fontId="0" fillId="3" borderId="47" xfId="0" applyFill="1" applyBorder="1" applyAlignment="1" applyProtection="1">
      <alignment horizontal="left" vertical="center"/>
      <protection/>
    </xf>
    <xf numFmtId="0" fontId="0" fillId="3" borderId="0" xfId="0" applyFill="1" applyBorder="1" applyAlignment="1" applyProtection="1">
      <alignment horizontal="left" vertical="center"/>
      <protection/>
    </xf>
    <xf numFmtId="0" fontId="0" fillId="3" borderId="71" xfId="0" applyFill="1" applyBorder="1" applyAlignment="1" applyProtection="1">
      <alignment horizontal="left" vertical="center"/>
      <protection/>
    </xf>
    <xf numFmtId="0" fontId="0" fillId="3" borderId="26" xfId="0" applyFont="1" applyFill="1" applyBorder="1" applyAlignment="1" applyProtection="1">
      <alignment horizontal="right" wrapText="1"/>
      <protection/>
    </xf>
    <xf numFmtId="0" fontId="0" fillId="3" borderId="0" xfId="0" applyFont="1" applyFill="1" applyBorder="1" applyAlignment="1" applyProtection="1">
      <alignment horizontal="right" wrapText="1"/>
      <protection/>
    </xf>
    <xf numFmtId="0" fontId="0" fillId="3" borderId="47" xfId="0" applyFill="1" applyBorder="1" applyAlignment="1" applyProtection="1">
      <alignment horizontal="right" wrapText="1"/>
      <protection locked="0"/>
    </xf>
    <xf numFmtId="0" fontId="0" fillId="3" borderId="0" xfId="0" applyFill="1" applyBorder="1" applyAlignment="1" applyProtection="1">
      <alignment horizontal="center" vertical="center" textRotation="90"/>
      <protection locked="0"/>
    </xf>
    <xf numFmtId="0" fontId="0" fillId="3" borderId="26" xfId="0" applyFill="1" applyBorder="1" applyAlignment="1" applyProtection="1">
      <alignment horizontal="right" wrapText="1"/>
      <protection/>
    </xf>
    <xf numFmtId="0" fontId="0" fillId="3" borderId="132" xfId="0" applyFont="1" applyFill="1" applyBorder="1" applyAlignment="1" applyProtection="1">
      <alignment horizontal="left" vertical="center" wrapText="1"/>
      <protection/>
    </xf>
    <xf numFmtId="0" fontId="0" fillId="3" borderId="133" xfId="0" applyFont="1" applyFill="1" applyBorder="1" applyAlignment="1" applyProtection="1">
      <alignment horizontal="left" vertical="center" wrapText="1"/>
      <protection/>
    </xf>
    <xf numFmtId="0" fontId="0" fillId="3" borderId="134" xfId="0" applyFont="1" applyFill="1" applyBorder="1" applyAlignment="1" applyProtection="1">
      <alignment horizontal="left" vertical="center" wrapText="1"/>
      <protection/>
    </xf>
    <xf numFmtId="0" fontId="0" fillId="3" borderId="135" xfId="0" applyFont="1" applyFill="1" applyBorder="1" applyAlignment="1" applyProtection="1">
      <alignment horizontal="left" vertical="center" wrapText="1"/>
      <protection/>
    </xf>
    <xf numFmtId="0" fontId="0" fillId="3" borderId="116" xfId="0" applyFont="1" applyFill="1" applyBorder="1" applyAlignment="1" applyProtection="1">
      <alignment horizontal="left" vertical="center" wrapText="1"/>
      <protection/>
    </xf>
    <xf numFmtId="0" fontId="2" fillId="3" borderId="116" xfId="0" applyFont="1" applyFill="1" applyBorder="1" applyAlignment="1" applyProtection="1">
      <alignment horizontal="left" vertical="center" wrapText="1"/>
      <protection/>
    </xf>
    <xf numFmtId="0" fontId="2" fillId="3" borderId="136" xfId="0" applyFont="1" applyFill="1" applyBorder="1" applyAlignment="1" applyProtection="1">
      <alignment horizontal="left" vertical="center" wrapText="1"/>
      <protection/>
    </xf>
    <xf numFmtId="0" fontId="18" fillId="6" borderId="67" xfId="0" applyFont="1" applyFill="1" applyBorder="1" applyAlignment="1" applyProtection="1">
      <alignment horizontal="left" wrapText="1"/>
      <protection locked="0"/>
    </xf>
    <xf numFmtId="0" fontId="18" fillId="6" borderId="68" xfId="0" applyFont="1" applyFill="1" applyBorder="1" applyAlignment="1" applyProtection="1">
      <alignment horizontal="left" wrapText="1"/>
      <protection locked="0"/>
    </xf>
    <xf numFmtId="0" fontId="27" fillId="3" borderId="47" xfId="0" applyFont="1" applyFill="1" applyBorder="1" applyAlignment="1" applyProtection="1">
      <alignment horizontal="right" wrapText="1"/>
      <protection/>
    </xf>
    <xf numFmtId="0" fontId="27" fillId="3" borderId="0" xfId="0" applyFont="1" applyFill="1" applyBorder="1" applyAlignment="1" applyProtection="1">
      <alignment horizontal="right" wrapText="1"/>
      <protection/>
    </xf>
    <xf numFmtId="0" fontId="12" fillId="5" borderId="75" xfId="0" applyFont="1" applyFill="1" applyBorder="1" applyAlignment="1" applyProtection="1">
      <alignment horizontal="left" vertical="top" wrapText="1"/>
      <protection locked="0"/>
    </xf>
    <xf numFmtId="0" fontId="12" fillId="3" borderId="0" xfId="0" applyFont="1" applyFill="1" applyBorder="1" applyAlignment="1" applyProtection="1">
      <alignment horizontal="right" wrapText="1"/>
      <protection/>
    </xf>
    <xf numFmtId="0" fontId="12" fillId="3" borderId="0" xfId="0" applyFont="1" applyFill="1" applyBorder="1" applyAlignment="1" applyProtection="1">
      <alignment horizontal="right" vertical="top" wrapText="1"/>
      <protection/>
    </xf>
    <xf numFmtId="2" fontId="27" fillId="0" borderId="122" xfId="0" applyNumberFormat="1" applyFont="1" applyFill="1" applyBorder="1" applyAlignment="1" applyProtection="1">
      <alignment horizontal="right"/>
      <protection/>
    </xf>
    <xf numFmtId="2" fontId="27" fillId="0" borderId="123" xfId="0" applyNumberFormat="1" applyFont="1" applyFill="1" applyBorder="1" applyAlignment="1" applyProtection="1">
      <alignment horizontal="right"/>
      <protection/>
    </xf>
    <xf numFmtId="0" fontId="0" fillId="2" borderId="7"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84" xfId="0" applyFill="1" applyBorder="1" applyAlignment="1" applyProtection="1">
      <alignment horizontal="center"/>
      <protection locked="0"/>
    </xf>
    <xf numFmtId="0" fontId="0" fillId="2" borderId="1" xfId="0" applyFont="1" applyFill="1" applyBorder="1" applyAlignment="1" applyProtection="1">
      <alignment horizontal="left" vertical="center"/>
      <protection locked="0"/>
    </xf>
    <xf numFmtId="0" fontId="0" fillId="2" borderId="28"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2" fillId="3" borderId="137" xfId="0" applyFont="1" applyFill="1" applyBorder="1" applyAlignment="1" applyProtection="1">
      <alignment horizontal="right" vertical="center"/>
      <protection/>
    </xf>
    <xf numFmtId="0" fontId="2" fillId="3" borderId="138" xfId="0" applyFont="1" applyFill="1" applyBorder="1" applyAlignment="1" applyProtection="1">
      <alignment horizontal="right" vertical="center"/>
      <protection/>
    </xf>
    <xf numFmtId="174" fontId="14" fillId="2" borderId="7" xfId="0" applyNumberFormat="1" applyFont="1" applyFill="1" applyBorder="1" applyAlignment="1" applyProtection="1">
      <alignment horizontal="center" vertical="center" wrapText="1"/>
      <protection locked="0"/>
    </xf>
    <xf numFmtId="174" fontId="14" fillId="2" borderId="27" xfId="0" applyNumberFormat="1" applyFont="1" applyFill="1" applyBorder="1" applyAlignment="1" applyProtection="1">
      <alignment horizontal="center" vertical="center" wrapText="1"/>
      <protection locked="0"/>
    </xf>
    <xf numFmtId="0" fontId="46" fillId="3" borderId="46" xfId="0" applyFont="1" applyFill="1" applyBorder="1" applyAlignment="1" applyProtection="1">
      <alignment horizontal="right" vertical="center" wrapText="1"/>
      <protection/>
    </xf>
    <xf numFmtId="0" fontId="46" fillId="3" borderId="22" xfId="0" applyFont="1" applyFill="1" applyBorder="1" applyAlignment="1" applyProtection="1">
      <alignment horizontal="right" vertical="center" wrapText="1"/>
      <protection/>
    </xf>
    <xf numFmtId="174" fontId="14" fillId="2" borderId="7" xfId="0" applyNumberFormat="1" applyFont="1" applyFill="1" applyBorder="1" applyAlignment="1" applyProtection="1">
      <alignment horizontal="center" vertical="center"/>
      <protection locked="0"/>
    </xf>
    <xf numFmtId="174" fontId="14" fillId="2" borderId="22" xfId="0" applyNumberFormat="1" applyFont="1" applyFill="1" applyBorder="1" applyAlignment="1" applyProtection="1">
      <alignment horizontal="center" vertical="center"/>
      <protection locked="0"/>
    </xf>
    <xf numFmtId="0" fontId="46" fillId="3" borderId="7" xfId="0" applyFont="1" applyFill="1" applyBorder="1" applyAlignment="1" applyProtection="1">
      <alignment horizontal="right" vertical="center" wrapText="1"/>
      <protection/>
    </xf>
    <xf numFmtId="0" fontId="0" fillId="2" borderId="139" xfId="0" applyFont="1" applyFill="1" applyBorder="1" applyAlignment="1" applyProtection="1">
      <alignment horizontal="left" vertical="center"/>
      <protection locked="0"/>
    </xf>
    <xf numFmtId="0" fontId="0" fillId="2" borderId="56" xfId="0" applyFont="1" applyFill="1" applyBorder="1" applyAlignment="1" applyProtection="1">
      <alignment horizontal="left" vertical="center"/>
      <protection locked="0"/>
    </xf>
    <xf numFmtId="0" fontId="0" fillId="2" borderId="138" xfId="0" applyFont="1" applyFill="1" applyBorder="1" applyAlignment="1" applyProtection="1">
      <alignment horizontal="left" vertical="center"/>
      <protection locked="0"/>
    </xf>
    <xf numFmtId="0" fontId="0" fillId="3" borderId="28" xfId="0" applyFill="1" applyBorder="1" applyAlignment="1" applyProtection="1">
      <alignment horizontal="left" vertical="center" wrapText="1"/>
      <protection/>
    </xf>
    <xf numFmtId="0" fontId="0" fillId="3" borderId="114" xfId="0" applyFill="1" applyBorder="1" applyAlignment="1" applyProtection="1">
      <alignment horizontal="left" vertical="center" wrapText="1"/>
      <protection/>
    </xf>
    <xf numFmtId="0" fontId="2" fillId="3" borderId="42" xfId="0" applyFont="1" applyFill="1" applyBorder="1" applyAlignment="1" applyProtection="1">
      <alignment horizontal="right" vertical="center" wrapText="1"/>
      <protection/>
    </xf>
    <xf numFmtId="0" fontId="2" fillId="3" borderId="107" xfId="0" applyFont="1" applyFill="1" applyBorder="1" applyAlignment="1" applyProtection="1">
      <alignment horizontal="right" vertical="center" wrapText="1"/>
      <protection/>
    </xf>
    <xf numFmtId="0" fontId="2" fillId="3" borderId="47" xfId="0" applyFont="1" applyFill="1" applyBorder="1" applyAlignment="1" applyProtection="1">
      <alignment horizontal="right" vertical="center" wrapText="1"/>
      <protection/>
    </xf>
    <xf numFmtId="0" fontId="2" fillId="3" borderId="71" xfId="0" applyFont="1" applyFill="1" applyBorder="1" applyAlignment="1" applyProtection="1">
      <alignment horizontal="right" vertical="center" wrapText="1"/>
      <protection/>
    </xf>
    <xf numFmtId="0" fontId="2" fillId="3" borderId="62" xfId="0" applyFont="1" applyFill="1" applyBorder="1" applyAlignment="1" applyProtection="1">
      <alignment horizontal="right" vertical="center" wrapText="1"/>
      <protection/>
    </xf>
    <xf numFmtId="0" fontId="2" fillId="3" borderId="72" xfId="0" applyFont="1" applyFill="1" applyBorder="1" applyAlignment="1" applyProtection="1">
      <alignment horizontal="right" vertical="center" wrapText="1"/>
      <protection/>
    </xf>
    <xf numFmtId="0" fontId="2" fillId="3" borderId="140" xfId="0" applyFont="1" applyFill="1" applyBorder="1" applyAlignment="1" applyProtection="1">
      <alignment horizontal="center" vertical="center"/>
      <protection/>
    </xf>
    <xf numFmtId="0" fontId="2" fillId="3" borderId="141" xfId="0" applyFont="1" applyFill="1" applyBorder="1" applyAlignment="1" applyProtection="1">
      <alignment horizontal="center" vertical="center"/>
      <protection/>
    </xf>
    <xf numFmtId="0" fontId="2" fillId="3" borderId="142" xfId="0" applyFont="1" applyFill="1" applyBorder="1" applyAlignment="1" applyProtection="1">
      <alignment horizontal="center" vertical="center"/>
      <protection/>
    </xf>
    <xf numFmtId="167" fontId="0" fillId="0" borderId="143" xfId="0" applyNumberFormat="1" applyFont="1" applyFill="1" applyBorder="1" applyAlignment="1" applyProtection="1">
      <alignment horizontal="center" vertical="center"/>
      <protection/>
    </xf>
    <xf numFmtId="167" fontId="0" fillId="0" borderId="144" xfId="0" applyNumberFormat="1" applyFont="1" applyFill="1" applyBorder="1" applyAlignment="1" applyProtection="1">
      <alignment horizontal="center" vertical="center"/>
      <protection/>
    </xf>
    <xf numFmtId="174" fontId="0" fillId="0" borderId="7" xfId="0" applyNumberFormat="1" applyFont="1" applyFill="1" applyBorder="1" applyAlignment="1" applyProtection="1">
      <alignment horizontal="center" vertical="center"/>
      <protection/>
    </xf>
    <xf numFmtId="174" fontId="0" fillId="0" borderId="27" xfId="0" applyNumberFormat="1" applyFont="1" applyFill="1" applyBorder="1" applyAlignment="1" applyProtection="1">
      <alignment horizontal="center" vertical="center"/>
      <protection/>
    </xf>
    <xf numFmtId="165" fontId="2" fillId="3" borderId="25" xfId="0" applyNumberFormat="1" applyFont="1" applyFill="1" applyBorder="1" applyAlignment="1" applyProtection="1">
      <alignment horizontal="right" vertical="center" wrapText="1"/>
      <protection locked="0"/>
    </xf>
    <xf numFmtId="165" fontId="2" fillId="3" borderId="9" xfId="0" applyNumberFormat="1" applyFont="1" applyFill="1" applyBorder="1" applyAlignment="1" applyProtection="1">
      <alignment horizontal="right" vertical="center" wrapText="1"/>
      <protection locked="0"/>
    </xf>
    <xf numFmtId="0" fontId="40" fillId="3" borderId="62" xfId="0" applyFont="1" applyFill="1" applyBorder="1" applyAlignment="1" applyProtection="1">
      <alignment horizontal="right" vertical="center" wrapText="1"/>
      <protection/>
    </xf>
    <xf numFmtId="0" fontId="40" fillId="3" borderId="72" xfId="0" applyFont="1" applyFill="1" applyBorder="1" applyAlignment="1" applyProtection="1">
      <alignment horizontal="right" vertical="center" wrapText="1"/>
      <protection/>
    </xf>
    <xf numFmtId="10" fontId="0" fillId="2" borderId="7" xfId="0" applyNumberFormat="1" applyFont="1" applyFill="1" applyBorder="1" applyAlignment="1" applyProtection="1">
      <alignment horizontal="right" vertical="center"/>
      <protection locked="0"/>
    </xf>
    <xf numFmtId="10" fontId="0" fillId="2" borderId="84" xfId="0" applyNumberFormat="1" applyFont="1" applyFill="1" applyBorder="1" applyAlignment="1" applyProtection="1">
      <alignment horizontal="right" vertical="center"/>
      <protection locked="0"/>
    </xf>
    <xf numFmtId="0" fontId="0" fillId="3" borderId="0" xfId="0" applyFont="1" applyFill="1" applyBorder="1" applyAlignment="1" applyProtection="1">
      <alignment horizontal="left" vertical="top" wrapText="1"/>
      <protection locked="0"/>
    </xf>
    <xf numFmtId="2" fontId="17" fillId="0" borderId="122" xfId="0" applyNumberFormat="1" applyFont="1" applyBorder="1" applyAlignment="1" applyProtection="1">
      <alignment horizontal="right" vertical="center"/>
      <protection/>
    </xf>
    <xf numFmtId="2" fontId="17" fillId="0" borderId="123" xfId="0" applyNumberFormat="1" applyFont="1" applyBorder="1" applyAlignment="1" applyProtection="1">
      <alignment horizontal="right" vertical="center"/>
      <protection/>
    </xf>
    <xf numFmtId="0" fontId="16" fillId="3" borderId="71" xfId="0" applyFont="1" applyFill="1" applyBorder="1" applyAlignment="1" applyProtection="1">
      <alignment horizontal="right" vertical="center" textRotation="90" wrapText="1"/>
      <protection locked="0"/>
    </xf>
    <xf numFmtId="0" fontId="17" fillId="3" borderId="47" xfId="0" applyFont="1" applyFill="1" applyBorder="1" applyAlignment="1" applyProtection="1">
      <alignment horizontal="left" wrapText="1"/>
      <protection locked="0"/>
    </xf>
    <xf numFmtId="0" fontId="17" fillId="3" borderId="0" xfId="0" applyFont="1" applyFill="1" applyBorder="1" applyAlignment="1" applyProtection="1">
      <alignment horizontal="left" wrapText="1"/>
      <protection locked="0"/>
    </xf>
    <xf numFmtId="0" fontId="14" fillId="3" borderId="0" xfId="0" applyFont="1" applyFill="1" applyBorder="1" applyAlignment="1" applyProtection="1">
      <alignment horizontal="right" vertical="center" wrapText="1"/>
      <protection/>
    </xf>
    <xf numFmtId="0" fontId="14" fillId="3" borderId="71" xfId="0" applyFont="1" applyFill="1" applyBorder="1" applyAlignment="1" applyProtection="1">
      <alignment horizontal="right" vertical="center" wrapText="1"/>
      <protection/>
    </xf>
    <xf numFmtId="0" fontId="0" fillId="3" borderId="26" xfId="0" applyFill="1" applyBorder="1" applyAlignment="1" applyProtection="1">
      <alignment horizontal="right" vertical="center" textRotation="90" wrapText="1"/>
      <protection locked="0"/>
    </xf>
    <xf numFmtId="0" fontId="0" fillId="3" borderId="71" xfId="0" applyFill="1" applyBorder="1" applyAlignment="1" applyProtection="1">
      <alignment horizontal="right" vertical="center" textRotation="90" wrapText="1"/>
      <protection locked="0"/>
    </xf>
    <xf numFmtId="0" fontId="1" fillId="9" borderId="83" xfId="0" applyFont="1" applyFill="1" applyBorder="1" applyAlignment="1" applyProtection="1">
      <alignment horizontal="center" vertical="center"/>
      <protection locked="0"/>
    </xf>
    <xf numFmtId="0" fontId="1" fillId="9" borderId="30" xfId="0" applyFont="1" applyFill="1" applyBorder="1" applyAlignment="1" applyProtection="1">
      <alignment horizontal="center" vertical="center"/>
      <protection locked="0"/>
    </xf>
    <xf numFmtId="0" fontId="1" fillId="9" borderId="43" xfId="0" applyFont="1" applyFill="1" applyBorder="1" applyAlignment="1" applyProtection="1">
      <alignment horizontal="center" vertical="center"/>
      <protection locked="0"/>
    </xf>
    <xf numFmtId="0" fontId="40" fillId="3" borderId="116" xfId="0" applyFont="1" applyFill="1" applyBorder="1" applyAlignment="1" applyProtection="1">
      <alignment horizontal="right" vertical="center"/>
      <protection locked="0"/>
    </xf>
    <xf numFmtId="0" fontId="40" fillId="3" borderId="117" xfId="0" applyFont="1" applyFill="1" applyBorder="1" applyAlignment="1" applyProtection="1">
      <alignment horizontal="right" vertical="center"/>
      <protection locked="0"/>
    </xf>
    <xf numFmtId="0" fontId="2" fillId="3" borderId="50" xfId="0" applyFont="1" applyFill="1" applyBorder="1" applyAlignment="1" applyProtection="1">
      <alignment horizontal="right" vertical="center" wrapText="1"/>
      <protection/>
    </xf>
    <xf numFmtId="0" fontId="2" fillId="3" borderId="97" xfId="0" applyFont="1" applyFill="1" applyBorder="1" applyAlignment="1" applyProtection="1">
      <alignment horizontal="right" vertical="center" wrapText="1"/>
      <protection/>
    </xf>
    <xf numFmtId="0" fontId="2" fillId="3" borderId="39" xfId="0" applyFont="1" applyFill="1" applyBorder="1" applyAlignment="1" applyProtection="1">
      <alignment horizontal="right" vertical="center" wrapText="1"/>
      <protection/>
    </xf>
    <xf numFmtId="0" fontId="2" fillId="3" borderId="145" xfId="0" applyFont="1" applyFill="1" applyBorder="1" applyAlignment="1" applyProtection="1">
      <alignment horizontal="right" vertical="center" wrapText="1"/>
      <protection/>
    </xf>
    <xf numFmtId="0" fontId="2" fillId="3" borderId="115" xfId="0" applyFont="1" applyFill="1" applyBorder="1" applyAlignment="1" applyProtection="1">
      <alignment horizontal="left" vertical="center"/>
      <protection locked="0"/>
    </xf>
    <xf numFmtId="0" fontId="2" fillId="3" borderId="116" xfId="0" applyFont="1" applyFill="1" applyBorder="1" applyAlignment="1" applyProtection="1">
      <alignment horizontal="left" vertical="center"/>
      <protection locked="0"/>
    </xf>
    <xf numFmtId="0" fontId="2" fillId="2" borderId="106" xfId="0" applyFont="1" applyFill="1" applyBorder="1" applyAlignment="1" applyProtection="1">
      <alignment horizontal="left" vertical="center" wrapText="1"/>
      <protection locked="0"/>
    </xf>
    <xf numFmtId="0" fontId="2" fillId="2" borderId="50" xfId="0" applyFont="1" applyFill="1" applyBorder="1" applyAlignment="1" applyProtection="1">
      <alignment horizontal="left" vertical="center" wrapText="1"/>
      <protection locked="0"/>
    </xf>
    <xf numFmtId="0" fontId="2" fillId="2" borderId="77"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4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0" fillId="2" borderId="7" xfId="0" applyFont="1" applyFill="1" applyBorder="1" applyAlignment="1" applyProtection="1">
      <alignment horizontal="left" vertical="center"/>
      <protection locked="0"/>
    </xf>
    <xf numFmtId="0" fontId="0" fillId="2" borderId="22" xfId="0" applyFont="1" applyFill="1" applyBorder="1" applyAlignment="1" applyProtection="1">
      <alignment horizontal="left" vertical="center"/>
      <protection locked="0"/>
    </xf>
    <xf numFmtId="0" fontId="0" fillId="2" borderId="27" xfId="0" applyFont="1" applyFill="1" applyBorder="1" applyAlignment="1" applyProtection="1">
      <alignment horizontal="left" vertical="center"/>
      <protection locked="0"/>
    </xf>
    <xf numFmtId="0" fontId="18" fillId="3" borderId="13" xfId="0" applyFont="1" applyFill="1" applyBorder="1" applyAlignment="1" applyProtection="1">
      <alignment horizontal="left"/>
      <protection locked="0"/>
    </xf>
    <xf numFmtId="0" fontId="18" fillId="3" borderId="2" xfId="0" applyFont="1" applyFill="1" applyBorder="1" applyAlignment="1" applyProtection="1">
      <alignment horizontal="left"/>
      <protection locked="0"/>
    </xf>
    <xf numFmtId="0" fontId="29" fillId="5" borderId="77" xfId="0" applyFont="1" applyFill="1" applyBorder="1" applyAlignment="1" applyProtection="1">
      <alignment horizontal="left" vertical="top" wrapText="1"/>
      <protection locked="0"/>
    </xf>
    <xf numFmtId="0" fontId="29" fillId="5" borderId="0" xfId="0" applyFont="1" applyFill="1" applyBorder="1" applyAlignment="1" applyProtection="1">
      <alignment horizontal="left" vertical="top" wrapText="1"/>
      <protection locked="0"/>
    </xf>
    <xf numFmtId="0" fontId="29" fillId="5" borderId="41" xfId="0" applyFont="1" applyFill="1" applyBorder="1" applyAlignment="1" applyProtection="1">
      <alignment horizontal="left" vertical="top" wrapText="1"/>
      <protection locked="0"/>
    </xf>
    <xf numFmtId="0" fontId="15" fillId="3" borderId="71" xfId="0" applyFont="1" applyFill="1" applyBorder="1" applyAlignment="1" applyProtection="1">
      <alignment horizontal="right" wrapText="1"/>
      <protection locked="0"/>
    </xf>
    <xf numFmtId="0" fontId="0" fillId="0" borderId="125" xfId="0" applyBorder="1" applyAlignment="1" applyProtection="1">
      <alignment horizontal="left" vertical="top" wrapText="1"/>
      <protection locked="0"/>
    </xf>
    <xf numFmtId="0" fontId="0" fillId="0" borderId="126" xfId="0" applyBorder="1" applyAlignment="1" applyProtection="1">
      <alignment horizontal="left" vertical="top" wrapText="1"/>
      <protection locked="0"/>
    </xf>
    <xf numFmtId="2" fontId="14" fillId="0" borderId="7" xfId="0" applyNumberFormat="1" applyFont="1" applyFill="1" applyBorder="1" applyAlignment="1" applyProtection="1">
      <alignment horizontal="right" vertical="center"/>
      <protection/>
    </xf>
    <xf numFmtId="2" fontId="14" fillId="0" borderId="84" xfId="0" applyNumberFormat="1" applyFont="1" applyFill="1" applyBorder="1" applyAlignment="1" applyProtection="1">
      <alignment horizontal="right" vertical="center"/>
      <protection/>
    </xf>
    <xf numFmtId="0" fontId="0" fillId="7" borderId="49" xfId="0" applyFont="1" applyFill="1" applyBorder="1" applyAlignment="1" applyProtection="1">
      <alignment horizontal="left" vertical="top" wrapText="1"/>
      <protection locked="0"/>
    </xf>
    <xf numFmtId="0" fontId="0" fillId="7" borderId="37" xfId="0" applyFont="1" applyFill="1" applyBorder="1" applyAlignment="1" applyProtection="1">
      <alignment horizontal="left" vertical="top" wrapText="1"/>
      <protection locked="0"/>
    </xf>
    <xf numFmtId="0" fontId="0" fillId="7" borderId="93" xfId="0" applyFont="1" applyFill="1" applyBorder="1" applyAlignment="1" applyProtection="1">
      <alignment horizontal="left" vertical="top" wrapText="1"/>
      <protection locked="0"/>
    </xf>
    <xf numFmtId="0" fontId="0" fillId="7" borderId="108" xfId="0" applyFont="1" applyFill="1" applyBorder="1" applyAlignment="1" applyProtection="1">
      <alignment horizontal="left" vertical="top" wrapText="1"/>
      <protection locked="0"/>
    </xf>
    <xf numFmtId="0" fontId="0" fillId="7" borderId="109" xfId="0" applyFont="1" applyFill="1" applyBorder="1" applyAlignment="1" applyProtection="1">
      <alignment horizontal="left" vertical="top" wrapText="1"/>
      <protection locked="0"/>
    </xf>
    <xf numFmtId="0" fontId="0" fillId="7" borderId="110" xfId="0" applyFont="1" applyFill="1" applyBorder="1" applyAlignment="1" applyProtection="1">
      <alignment horizontal="left" vertical="top" wrapText="1"/>
      <protection locked="0"/>
    </xf>
    <xf numFmtId="0" fontId="14" fillId="7" borderId="124" xfId="0" applyFont="1" applyFill="1" applyBorder="1" applyAlignment="1" applyProtection="1">
      <alignment horizontal="left" vertical="top" wrapText="1"/>
      <protection locked="0"/>
    </xf>
    <xf numFmtId="0" fontId="14" fillId="7" borderId="125" xfId="0" applyFont="1" applyFill="1" applyBorder="1" applyAlignment="1" applyProtection="1">
      <alignment horizontal="left" vertical="top" wrapText="1"/>
      <protection locked="0"/>
    </xf>
    <xf numFmtId="0" fontId="14" fillId="7" borderId="126" xfId="0" applyFont="1" applyFill="1" applyBorder="1" applyAlignment="1" applyProtection="1">
      <alignment horizontal="left" vertical="top" wrapText="1"/>
      <protection locked="0"/>
    </xf>
    <xf numFmtId="0" fontId="14" fillId="7" borderId="47" xfId="0" applyFont="1" applyFill="1" applyBorder="1" applyAlignment="1" applyProtection="1">
      <alignment horizontal="left" vertical="top" wrapText="1"/>
      <protection locked="0"/>
    </xf>
    <xf numFmtId="0" fontId="14" fillId="7" borderId="0" xfId="0" applyFont="1" applyFill="1" applyBorder="1" applyAlignment="1" applyProtection="1">
      <alignment horizontal="left" vertical="top" wrapText="1"/>
      <protection locked="0"/>
    </xf>
    <xf numFmtId="0" fontId="14" fillId="7" borderId="41" xfId="0" applyFont="1" applyFill="1" applyBorder="1" applyAlignment="1" applyProtection="1">
      <alignment horizontal="left" vertical="top" wrapText="1"/>
      <protection locked="0"/>
    </xf>
    <xf numFmtId="0" fontId="14" fillId="7" borderId="48" xfId="0" applyFont="1" applyFill="1" applyBorder="1" applyAlignment="1" applyProtection="1">
      <alignment horizontal="left" vertical="top" wrapText="1"/>
      <protection locked="0"/>
    </xf>
    <xf numFmtId="0" fontId="14" fillId="7" borderId="24" xfId="0" applyFont="1" applyFill="1" applyBorder="1" applyAlignment="1" applyProtection="1">
      <alignment horizontal="left" vertical="top" wrapText="1"/>
      <protection locked="0"/>
    </xf>
    <xf numFmtId="0" fontId="14" fillId="7" borderId="10" xfId="0" applyFont="1" applyFill="1" applyBorder="1" applyAlignment="1" applyProtection="1">
      <alignment horizontal="left" vertical="top" wrapText="1"/>
      <protection locked="0"/>
    </xf>
    <xf numFmtId="2" fontId="17" fillId="0" borderId="122" xfId="0" applyNumberFormat="1" applyFont="1" applyFill="1" applyBorder="1" applyAlignment="1" applyProtection="1">
      <alignment horizontal="right" vertical="center"/>
      <protection/>
    </xf>
    <xf numFmtId="2" fontId="17" fillId="0" borderId="123" xfId="0" applyNumberFormat="1" applyFont="1" applyFill="1" applyBorder="1" applyAlignment="1" applyProtection="1">
      <alignment horizontal="right" vertical="center"/>
      <protection/>
    </xf>
    <xf numFmtId="0" fontId="17" fillId="3" borderId="47"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center"/>
      <protection locked="0"/>
    </xf>
    <xf numFmtId="2" fontId="17" fillId="0" borderId="122" xfId="0" applyNumberFormat="1" applyFont="1" applyFill="1" applyBorder="1" applyAlignment="1" applyProtection="1">
      <alignment horizontal="right" vertical="center"/>
      <protection locked="0"/>
    </xf>
    <xf numFmtId="2" fontId="17" fillId="0" borderId="123" xfId="0" applyNumberFormat="1" applyFont="1" applyFill="1" applyBorder="1" applyAlignment="1" applyProtection="1">
      <alignment horizontal="right" vertical="center"/>
      <protection locked="0"/>
    </xf>
    <xf numFmtId="0" fontId="2" fillId="3" borderId="0" xfId="0" applyFont="1" applyFill="1" applyAlignment="1" applyProtection="1">
      <alignment horizontal="right" wrapText="1"/>
      <protection/>
    </xf>
    <xf numFmtId="0" fontId="0" fillId="3" borderId="0" xfId="0" applyFill="1" applyAlignment="1" applyProtection="1">
      <alignment horizontal="right" wrapText="1"/>
      <protection/>
    </xf>
    <xf numFmtId="0" fontId="16" fillId="3" borderId="71" xfId="0" applyFont="1" applyFill="1" applyBorder="1" applyAlignment="1" applyProtection="1">
      <alignment horizontal="center" vertical="center" textRotation="90" wrapText="1"/>
      <protection locked="0"/>
    </xf>
    <xf numFmtId="0" fontId="0" fillId="3" borderId="76" xfId="0" applyFill="1" applyBorder="1" applyAlignment="1" applyProtection="1">
      <alignment horizontal="center" vertical="center" textRotation="90" wrapText="1"/>
      <protection locked="0"/>
    </xf>
    <xf numFmtId="0" fontId="15" fillId="3" borderId="13" xfId="0" applyFont="1" applyFill="1" applyBorder="1" applyAlignment="1" applyProtection="1">
      <alignment horizontal="center" vertical="top"/>
      <protection locked="0"/>
    </xf>
    <xf numFmtId="0" fontId="15" fillId="3" borderId="2" xfId="0" applyFont="1" applyFill="1" applyBorder="1" applyAlignment="1" applyProtection="1">
      <alignment horizontal="center" vertical="top"/>
      <protection locked="0"/>
    </xf>
    <xf numFmtId="0" fontId="15" fillId="3" borderId="0" xfId="0" applyFont="1" applyFill="1" applyBorder="1" applyAlignment="1" applyProtection="1">
      <alignment horizontal="right"/>
      <protection/>
    </xf>
    <xf numFmtId="0" fontId="15" fillId="3" borderId="71" xfId="0" applyFont="1" applyFill="1" applyBorder="1" applyAlignment="1" applyProtection="1">
      <alignment horizontal="right"/>
      <protection/>
    </xf>
    <xf numFmtId="0" fontId="5" fillId="5" borderId="73" xfId="0" applyFont="1" applyFill="1" applyBorder="1" applyAlignment="1" applyProtection="1">
      <alignment horizontal="left" vertical="center"/>
      <protection locked="0"/>
    </xf>
    <xf numFmtId="0" fontId="5" fillId="5" borderId="74"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75" xfId="0" applyFont="1" applyFill="1" applyBorder="1" applyAlignment="1" applyProtection="1">
      <alignment horizontal="left" vertical="center"/>
      <protection locked="0"/>
    </xf>
    <xf numFmtId="0" fontId="0" fillId="3" borderId="146" xfId="0" applyFont="1" applyFill="1" applyBorder="1" applyAlignment="1" applyProtection="1">
      <alignment horizontal="left" vertical="center" wrapText="1"/>
      <protection/>
    </xf>
    <xf numFmtId="0" fontId="0" fillId="3" borderId="147" xfId="0" applyFont="1" applyFill="1" applyBorder="1" applyAlignment="1" applyProtection="1">
      <alignment horizontal="left" vertical="center" wrapText="1"/>
      <protection/>
    </xf>
    <xf numFmtId="0" fontId="0" fillId="3" borderId="148" xfId="0" applyFont="1" applyFill="1" applyBorder="1" applyAlignment="1" applyProtection="1">
      <alignment horizontal="left" vertical="center" wrapText="1"/>
      <protection/>
    </xf>
    <xf numFmtId="0" fontId="0" fillId="3" borderId="149" xfId="0" applyFont="1" applyFill="1" applyBorder="1" applyAlignment="1" applyProtection="1">
      <alignment horizontal="left" vertical="center" wrapText="1"/>
      <protection/>
    </xf>
    <xf numFmtId="0" fontId="0" fillId="3" borderId="0" xfId="0" applyFill="1" applyBorder="1" applyAlignment="1" applyProtection="1">
      <alignment horizontal="left" vertical="center" wrapText="1"/>
      <protection/>
    </xf>
    <xf numFmtId="0" fontId="0" fillId="3" borderId="150" xfId="0" applyFill="1" applyBorder="1" applyAlignment="1" applyProtection="1">
      <alignment horizontal="left" vertical="center" wrapText="1"/>
      <protection/>
    </xf>
    <xf numFmtId="0" fontId="1" fillId="8" borderId="42" xfId="0" applyFont="1" applyFill="1" applyBorder="1" applyAlignment="1" applyProtection="1">
      <alignment horizontal="center" vertical="center"/>
      <protection locked="0"/>
    </xf>
    <xf numFmtId="0" fontId="1" fillId="8" borderId="50" xfId="0" applyFont="1" applyFill="1" applyBorder="1" applyAlignment="1" applyProtection="1">
      <alignment horizontal="center" vertical="center"/>
      <protection locked="0"/>
    </xf>
    <xf numFmtId="0" fontId="1" fillId="8" borderId="77" xfId="0" applyFont="1" applyFill="1" applyBorder="1" applyAlignment="1" applyProtection="1">
      <alignment horizontal="center" vertical="center"/>
      <protection locked="0"/>
    </xf>
    <xf numFmtId="0" fontId="17" fillId="0" borderId="43" xfId="0" applyFont="1" applyFill="1" applyBorder="1" applyAlignment="1" applyProtection="1">
      <alignment horizontal="right" vertical="center"/>
      <protection/>
    </xf>
    <xf numFmtId="164" fontId="0" fillId="2" borderId="106" xfId="0" applyNumberFormat="1" applyFill="1" applyBorder="1" applyAlignment="1" applyProtection="1">
      <alignment horizontal="center" vertical="center"/>
      <protection locked="0"/>
    </xf>
    <xf numFmtId="164" fontId="0" fillId="2" borderId="50" xfId="0" applyNumberFormat="1" applyFill="1" applyBorder="1" applyAlignment="1" applyProtection="1">
      <alignment horizontal="center" vertical="center"/>
      <protection locked="0"/>
    </xf>
    <xf numFmtId="0" fontId="18" fillId="6" borderId="67" xfId="0" applyFont="1" applyFill="1" applyBorder="1" applyAlignment="1" applyProtection="1">
      <alignment horizontal="left" vertical="center" wrapText="1"/>
      <protection locked="0"/>
    </xf>
    <xf numFmtId="0" fontId="18" fillId="6" borderId="68" xfId="0" applyFont="1" applyFill="1" applyBorder="1" applyAlignment="1" applyProtection="1">
      <alignment horizontal="left" vertical="center" wrapText="1"/>
      <protection locked="0"/>
    </xf>
    <xf numFmtId="0" fontId="18" fillId="6" borderId="131"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xf>
    <xf numFmtId="0" fontId="0" fillId="3" borderId="151" xfId="0" applyFont="1" applyFill="1" applyBorder="1" applyAlignment="1" applyProtection="1">
      <alignment horizontal="left" vertical="center" wrapText="1"/>
      <protection/>
    </xf>
    <xf numFmtId="0" fontId="18" fillId="6" borderId="46" xfId="0" applyFont="1" applyFill="1" applyBorder="1" applyAlignment="1" applyProtection="1">
      <alignment horizontal="left" vertical="center" wrapText="1"/>
      <protection/>
    </xf>
    <xf numFmtId="0" fontId="18" fillId="6" borderId="22" xfId="0" applyFont="1" applyFill="1" applyBorder="1" applyAlignment="1" applyProtection="1">
      <alignment horizontal="left" vertical="center" wrapText="1"/>
      <protection/>
    </xf>
    <xf numFmtId="0" fontId="18" fillId="6" borderId="27" xfId="0" applyFont="1" applyFill="1" applyBorder="1" applyAlignment="1" applyProtection="1">
      <alignment horizontal="left" vertical="center" wrapText="1"/>
      <protection/>
    </xf>
    <xf numFmtId="0" fontId="8" fillId="3" borderId="42" xfId="0" applyFont="1" applyFill="1" applyBorder="1" applyAlignment="1" applyProtection="1">
      <alignment horizontal="right" vertical="center" wrapText="1"/>
      <protection/>
    </xf>
    <xf numFmtId="0" fontId="8" fillId="3" borderId="107" xfId="0" applyFont="1" applyFill="1" applyBorder="1" applyAlignment="1" applyProtection="1">
      <alignment horizontal="right" vertical="center" wrapText="1"/>
      <protection/>
    </xf>
    <xf numFmtId="0" fontId="8" fillId="3" borderId="62" xfId="0" applyFont="1" applyFill="1" applyBorder="1" applyAlignment="1" applyProtection="1">
      <alignment horizontal="right" vertical="center" wrapText="1"/>
      <protection/>
    </xf>
    <xf numFmtId="0" fontId="8" fillId="3" borderId="72" xfId="0" applyFont="1" applyFill="1" applyBorder="1" applyAlignment="1" applyProtection="1">
      <alignment horizontal="right" vertical="center" wrapText="1"/>
      <protection/>
    </xf>
    <xf numFmtId="0" fontId="8" fillId="3" borderId="55" xfId="0" applyFont="1" applyFill="1" applyBorder="1" applyAlignment="1" applyProtection="1">
      <alignment horizontal="right" vertical="center" wrapText="1"/>
      <protection/>
    </xf>
    <xf numFmtId="0" fontId="8" fillId="3" borderId="103" xfId="0" applyFont="1" applyFill="1" applyBorder="1" applyAlignment="1" applyProtection="1">
      <alignment horizontal="right" vertical="center" wrapText="1"/>
      <protection/>
    </xf>
    <xf numFmtId="0" fontId="0" fillId="2" borderId="25" xfId="0" applyFont="1" applyFill="1" applyBorder="1" applyAlignment="1" applyProtection="1">
      <alignment horizontal="left" vertical="center"/>
      <protection locked="0"/>
    </xf>
    <xf numFmtId="0" fontId="0" fillId="2" borderId="21" xfId="0" applyFont="1" applyFill="1" applyBorder="1" applyAlignment="1" applyProtection="1">
      <alignment horizontal="left" vertical="center"/>
      <protection locked="0"/>
    </xf>
    <xf numFmtId="0" fontId="0" fillId="2" borderId="88" xfId="0" applyFont="1" applyFill="1" applyBorder="1" applyAlignment="1" applyProtection="1">
      <alignment horizontal="left" vertical="center"/>
      <protection locked="0"/>
    </xf>
    <xf numFmtId="0" fontId="0" fillId="3" borderId="0" xfId="0" applyFill="1" applyBorder="1" applyAlignment="1" applyProtection="1">
      <alignment horizontal="left"/>
      <protection locked="0"/>
    </xf>
    <xf numFmtId="0" fontId="17" fillId="3" borderId="24"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2" fontId="0" fillId="3" borderId="24" xfId="0" applyNumberFormat="1" applyFill="1" applyBorder="1" applyAlignment="1" applyProtection="1">
      <alignment horizontal="left" vertical="center"/>
      <protection locked="0"/>
    </xf>
    <xf numFmtId="2" fontId="17" fillId="0" borderId="30" xfId="0" applyNumberFormat="1" applyFont="1" applyBorder="1" applyAlignment="1" applyProtection="1">
      <alignment horizontal="right" vertical="center"/>
      <protection/>
    </xf>
    <xf numFmtId="165" fontId="0" fillId="3" borderId="71" xfId="0" applyNumberFormat="1" applyFill="1" applyBorder="1" applyAlignment="1" applyProtection="1">
      <alignment horizontal="right" vertical="center"/>
      <protection/>
    </xf>
    <xf numFmtId="165" fontId="0" fillId="3" borderId="26" xfId="0" applyNumberFormat="1" applyFill="1" applyBorder="1" applyAlignment="1" applyProtection="1">
      <alignment horizontal="right" vertical="center"/>
      <protection/>
    </xf>
    <xf numFmtId="0" fontId="3" fillId="7" borderId="152" xfId="0" applyFont="1" applyFill="1" applyBorder="1" applyAlignment="1" applyProtection="1">
      <alignment horizontal="left" vertical="top" wrapText="1"/>
      <protection locked="0"/>
    </xf>
    <xf numFmtId="0" fontId="3" fillId="7" borderId="153" xfId="0" applyFont="1" applyFill="1" applyBorder="1" applyAlignment="1" applyProtection="1">
      <alignment horizontal="left" vertical="top" wrapText="1"/>
      <protection locked="0"/>
    </xf>
    <xf numFmtId="0" fontId="3" fillId="7" borderId="154" xfId="0" applyFont="1" applyFill="1" applyBorder="1" applyAlignment="1" applyProtection="1">
      <alignment horizontal="left" vertical="top" wrapText="1"/>
      <protection locked="0"/>
    </xf>
    <xf numFmtId="0" fontId="15" fillId="3" borderId="155" xfId="0" applyFont="1" applyFill="1" applyBorder="1" applyAlignment="1" applyProtection="1">
      <alignment horizontal="right" wrapText="1"/>
      <protection locked="0"/>
    </xf>
    <xf numFmtId="0" fontId="15" fillId="3" borderId="0" xfId="0" applyFont="1" applyFill="1" applyBorder="1" applyAlignment="1" applyProtection="1">
      <alignment horizontal="right" vertical="center" wrapText="1"/>
      <protection locked="0"/>
    </xf>
    <xf numFmtId="0" fontId="0" fillId="3" borderId="0" xfId="0" applyFill="1" applyBorder="1" applyAlignment="1" applyProtection="1">
      <alignment horizontal="center"/>
      <protection locked="0"/>
    </xf>
    <xf numFmtId="2" fontId="0" fillId="0" borderId="122" xfId="0" applyNumberFormat="1" applyFill="1" applyBorder="1" applyAlignment="1" applyProtection="1">
      <alignment horizontal="right" vertical="center"/>
      <protection/>
    </xf>
    <xf numFmtId="2" fontId="0" fillId="0" borderId="123" xfId="0" applyNumberFormat="1" applyFill="1" applyBorder="1" applyAlignment="1" applyProtection="1">
      <alignment horizontal="right" vertical="center"/>
      <protection/>
    </xf>
    <xf numFmtId="0" fontId="0" fillId="3" borderId="47" xfId="0" applyFill="1" applyBorder="1" applyAlignment="1" applyProtection="1">
      <alignment horizontal="right"/>
      <protection/>
    </xf>
    <xf numFmtId="0" fontId="0" fillId="3" borderId="0" xfId="0" applyFill="1" applyBorder="1" applyAlignment="1" applyProtection="1">
      <alignment horizontal="right"/>
      <protection/>
    </xf>
    <xf numFmtId="0" fontId="0" fillId="3" borderId="71" xfId="0" applyFill="1" applyBorder="1" applyAlignment="1" applyProtection="1">
      <alignment horizontal="right"/>
      <protection/>
    </xf>
    <xf numFmtId="2" fontId="0" fillId="3" borderId="0" xfId="0" applyNumberFormat="1" applyFont="1" applyFill="1" applyBorder="1" applyAlignment="1" applyProtection="1">
      <alignment horizontal="left" vertical="center"/>
      <protection/>
    </xf>
    <xf numFmtId="0" fontId="14" fillId="3" borderId="0" xfId="0" applyFont="1" applyFill="1" applyBorder="1" applyAlignment="1" applyProtection="1">
      <alignment horizontal="left" vertical="top" wrapText="1"/>
      <protection locked="0"/>
    </xf>
    <xf numFmtId="0" fontId="2" fillId="7" borderId="100" xfId="0" applyFont="1" applyFill="1" applyBorder="1" applyAlignment="1" applyProtection="1">
      <alignment horizontal="left" vertical="center"/>
      <protection/>
    </xf>
    <xf numFmtId="0" fontId="2" fillId="7" borderId="101" xfId="0" applyFont="1" applyFill="1" applyBorder="1" applyAlignment="1" applyProtection="1">
      <alignment horizontal="left" vertical="center"/>
      <protection/>
    </xf>
    <xf numFmtId="0" fontId="0" fillId="4" borderId="52" xfId="0" applyFill="1" applyBorder="1" applyAlignment="1" applyProtection="1">
      <alignment horizontal="center"/>
      <protection locked="0"/>
    </xf>
    <xf numFmtId="0" fontId="5" fillId="5" borderId="47" xfId="0" applyFont="1" applyFill="1" applyBorder="1" applyAlignment="1" applyProtection="1">
      <alignment horizontal="left" wrapText="1"/>
      <protection locked="0"/>
    </xf>
    <xf numFmtId="0" fontId="5" fillId="5" borderId="0" xfId="0" applyFont="1" applyFill="1" applyBorder="1" applyAlignment="1" applyProtection="1">
      <alignment horizontal="left" wrapText="1"/>
      <protection locked="0"/>
    </xf>
    <xf numFmtId="0" fontId="5" fillId="5" borderId="41" xfId="0" applyFont="1" applyFill="1" applyBorder="1" applyAlignment="1" applyProtection="1">
      <alignment horizontal="left" wrapText="1"/>
      <protection locked="0"/>
    </xf>
    <xf numFmtId="2" fontId="0" fillId="0" borderId="6" xfId="0" applyNumberFormat="1" applyFill="1" applyBorder="1" applyAlignment="1" applyProtection="1">
      <alignment horizontal="right" vertical="center"/>
      <protection hidden="1"/>
    </xf>
    <xf numFmtId="169" fontId="0" fillId="3" borderId="0" xfId="0" applyNumberFormat="1" applyFill="1" applyBorder="1" applyAlignment="1" applyProtection="1">
      <alignment horizontal="left"/>
      <protection locked="0"/>
    </xf>
    <xf numFmtId="0" fontId="0" fillId="3" borderId="13"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165" fontId="2" fillId="3" borderId="24" xfId="0" applyNumberFormat="1" applyFont="1" applyFill="1" applyBorder="1" applyAlignment="1" applyProtection="1">
      <alignment horizontal="right" vertical="center"/>
      <protection locked="0"/>
    </xf>
    <xf numFmtId="165" fontId="2" fillId="3" borderId="105" xfId="0" applyNumberFormat="1" applyFont="1" applyFill="1" applyBorder="1" applyAlignment="1" applyProtection="1">
      <alignment horizontal="right" vertical="center"/>
      <protection locked="0"/>
    </xf>
    <xf numFmtId="167" fontId="0" fillId="0" borderId="143" xfId="0" applyNumberFormat="1" applyFill="1" applyBorder="1" applyAlignment="1" applyProtection="1">
      <alignment horizontal="center" vertical="center"/>
      <protection hidden="1"/>
    </xf>
    <xf numFmtId="167" fontId="0" fillId="0" borderId="144" xfId="0" applyNumberFormat="1" applyFill="1" applyBorder="1" applyAlignment="1" applyProtection="1">
      <alignment horizontal="center" vertical="center"/>
      <protection hidden="1"/>
    </xf>
    <xf numFmtId="169" fontId="0" fillId="0" borderId="1" xfId="0" applyNumberFormat="1" applyFill="1" applyBorder="1" applyAlignment="1" applyProtection="1">
      <alignment horizontal="right"/>
      <protection/>
    </xf>
    <xf numFmtId="169" fontId="0" fillId="0" borderId="72" xfId="0" applyNumberFormat="1" applyFill="1" applyBorder="1" applyAlignment="1" applyProtection="1">
      <alignment horizontal="right"/>
      <protection/>
    </xf>
    <xf numFmtId="2" fontId="0" fillId="2" borderId="7" xfId="0" applyNumberFormat="1" applyFill="1" applyBorder="1" applyAlignment="1" applyProtection="1">
      <alignment horizontal="right"/>
      <protection locked="0"/>
    </xf>
    <xf numFmtId="2" fontId="0" fillId="2" borderId="84" xfId="0" applyNumberFormat="1" applyFill="1" applyBorder="1" applyAlignment="1" applyProtection="1">
      <alignment horizontal="right"/>
      <protection locked="0"/>
    </xf>
    <xf numFmtId="0" fontId="0" fillId="3" borderId="37" xfId="0" applyFill="1" applyBorder="1" applyAlignment="1" applyProtection="1">
      <alignment horizontal="right"/>
      <protection/>
    </xf>
    <xf numFmtId="0" fontId="0" fillId="3" borderId="156" xfId="0" applyFill="1" applyBorder="1" applyAlignment="1" applyProtection="1">
      <alignment horizontal="right"/>
      <protection/>
    </xf>
    <xf numFmtId="0" fontId="4" fillId="5" borderId="50" xfId="0" applyFont="1" applyFill="1" applyBorder="1" applyAlignment="1" applyProtection="1">
      <alignment horizontal="left" vertical="center"/>
      <protection locked="0"/>
    </xf>
    <xf numFmtId="0" fontId="4" fillId="5" borderId="77" xfId="0" applyFont="1" applyFill="1" applyBorder="1" applyAlignment="1" applyProtection="1">
      <alignment horizontal="left" vertical="center"/>
      <protection locked="0"/>
    </xf>
    <xf numFmtId="164" fontId="0" fillId="0" borderId="22" xfId="0" applyNumberFormat="1" applyFont="1" applyFill="1" applyBorder="1" applyAlignment="1" applyProtection="1">
      <alignment horizontal="right" vertical="center"/>
      <protection/>
    </xf>
    <xf numFmtId="166" fontId="15" fillId="0" borderId="7" xfId="0" applyNumberFormat="1" applyFont="1" applyFill="1" applyBorder="1" applyAlignment="1" applyProtection="1">
      <alignment horizontal="right" vertical="center"/>
      <protection/>
    </xf>
    <xf numFmtId="166" fontId="15" fillId="0" borderId="22" xfId="0" applyNumberFormat="1" applyFont="1" applyFill="1" applyBorder="1" applyAlignment="1" applyProtection="1">
      <alignment horizontal="right" vertical="center"/>
      <protection/>
    </xf>
    <xf numFmtId="166" fontId="15" fillId="0" borderId="84" xfId="0" applyNumberFormat="1" applyFont="1" applyFill="1" applyBorder="1" applyAlignment="1" applyProtection="1">
      <alignment horizontal="right" vertical="center"/>
      <protection/>
    </xf>
    <xf numFmtId="170" fontId="0" fillId="2" borderId="22" xfId="0" applyNumberFormat="1" applyFill="1" applyBorder="1" applyAlignment="1" applyProtection="1">
      <alignment horizontal="right" vertical="center"/>
      <protection locked="0"/>
    </xf>
    <xf numFmtId="2" fontId="0" fillId="2" borderId="157" xfId="0" applyNumberFormat="1" applyFill="1" applyBorder="1" applyAlignment="1" applyProtection="1">
      <alignment horizontal="right"/>
      <protection locked="0"/>
    </xf>
    <xf numFmtId="2" fontId="0" fillId="2" borderId="158" xfId="0" applyNumberFormat="1" applyFill="1" applyBorder="1" applyAlignment="1" applyProtection="1">
      <alignment horizontal="right"/>
      <protection locked="0"/>
    </xf>
    <xf numFmtId="165" fontId="0" fillId="3" borderId="71" xfId="0" applyNumberFormat="1" applyFill="1" applyBorder="1" applyAlignment="1" applyProtection="1">
      <alignment horizontal="right"/>
      <protection locked="0"/>
    </xf>
    <xf numFmtId="165" fontId="0" fillId="3" borderId="26" xfId="0" applyNumberFormat="1" applyFill="1" applyBorder="1" applyAlignment="1" applyProtection="1">
      <alignment horizontal="right"/>
      <protection locked="0"/>
    </xf>
    <xf numFmtId="0" fontId="14" fillId="3" borderId="47" xfId="0" applyFont="1" applyFill="1" applyBorder="1" applyAlignment="1" applyProtection="1">
      <alignment wrapText="1"/>
      <protection locked="0"/>
    </xf>
    <xf numFmtId="0" fontId="0" fillId="0" borderId="0" xfId="0" applyAlignment="1" applyProtection="1">
      <alignment wrapText="1"/>
      <protection locked="0"/>
    </xf>
    <xf numFmtId="0" fontId="0" fillId="0" borderId="48" xfId="0" applyBorder="1" applyAlignment="1" applyProtection="1">
      <alignment wrapText="1"/>
      <protection locked="0"/>
    </xf>
    <xf numFmtId="0" fontId="0" fillId="0" borderId="24" xfId="0" applyBorder="1" applyAlignment="1" applyProtection="1">
      <alignment wrapText="1"/>
      <protection locked="0"/>
    </xf>
    <xf numFmtId="0" fontId="4" fillId="5" borderId="50" xfId="0" applyFont="1" applyFill="1"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7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7" borderId="152" xfId="0" applyFont="1" applyFill="1" applyBorder="1" applyAlignment="1" applyProtection="1">
      <alignment horizontal="left" vertical="top" wrapText="1"/>
      <protection locked="0"/>
    </xf>
    <xf numFmtId="0" fontId="0" fillId="7" borderId="153" xfId="0" applyFont="1" applyFill="1" applyBorder="1" applyAlignment="1" applyProtection="1">
      <alignment horizontal="left" vertical="top" wrapText="1"/>
      <protection locked="0"/>
    </xf>
    <xf numFmtId="0" fontId="0" fillId="7" borderId="154" xfId="0" applyFont="1" applyFill="1" applyBorder="1" applyAlignment="1" applyProtection="1">
      <alignment horizontal="left" vertical="top" wrapText="1"/>
      <protection locked="0"/>
    </xf>
    <xf numFmtId="0" fontId="0" fillId="7" borderId="47" xfId="0"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wrapText="1"/>
      <protection locked="0"/>
    </xf>
    <xf numFmtId="0" fontId="0" fillId="7" borderId="41" xfId="0" applyFont="1" applyFill="1" applyBorder="1" applyAlignment="1" applyProtection="1">
      <alignment horizontal="left" vertical="top" wrapText="1"/>
      <protection locked="0"/>
    </xf>
    <xf numFmtId="0" fontId="0" fillId="7" borderId="48" xfId="0" applyFont="1" applyFill="1" applyBorder="1" applyAlignment="1" applyProtection="1">
      <alignment horizontal="left" vertical="top" wrapText="1"/>
      <protection locked="0"/>
    </xf>
    <xf numFmtId="0" fontId="0" fillId="7" borderId="24" xfId="0" applyFont="1" applyFill="1" applyBorder="1" applyAlignment="1" applyProtection="1">
      <alignment horizontal="left" vertical="top" wrapText="1"/>
      <protection locked="0"/>
    </xf>
    <xf numFmtId="0" fontId="0" fillId="7" borderId="10" xfId="0" applyFont="1" applyFill="1" applyBorder="1" applyAlignment="1" applyProtection="1">
      <alignment horizontal="left" vertical="top" wrapText="1"/>
      <protection locked="0"/>
    </xf>
    <xf numFmtId="165" fontId="0" fillId="3" borderId="0" xfId="0" applyNumberFormat="1" applyFill="1" applyBorder="1" applyAlignment="1" applyProtection="1">
      <alignment horizontal="right" vertical="center"/>
      <protection/>
    </xf>
    <xf numFmtId="0" fontId="2" fillId="4" borderId="159" xfId="0" applyFont="1" applyFill="1" applyBorder="1" applyAlignment="1" applyProtection="1">
      <alignment horizontal="right" wrapText="1"/>
      <protection locked="0"/>
    </xf>
    <xf numFmtId="0" fontId="2" fillId="4" borderId="29" xfId="0" applyFont="1" applyFill="1" applyBorder="1" applyAlignment="1" applyProtection="1">
      <alignment horizontal="right" wrapText="1"/>
      <protection locked="0"/>
    </xf>
    <xf numFmtId="0" fontId="2" fillId="4" borderId="160" xfId="0" applyFont="1" applyFill="1" applyBorder="1" applyAlignment="1" applyProtection="1">
      <alignment horizontal="right" wrapText="1"/>
      <protection locked="0"/>
    </xf>
    <xf numFmtId="0" fontId="15" fillId="3" borderId="0" xfId="0" applyFont="1" applyFill="1" applyBorder="1" applyAlignment="1" applyProtection="1">
      <alignment horizontal="right" vertical="center"/>
      <protection/>
    </xf>
    <xf numFmtId="0" fontId="15" fillId="3" borderId="71" xfId="0" applyFont="1" applyFill="1" applyBorder="1" applyAlignment="1" applyProtection="1">
      <alignment horizontal="right" vertical="center"/>
      <protection/>
    </xf>
    <xf numFmtId="0" fontId="15" fillId="3" borderId="47" xfId="0" applyFont="1" applyFill="1" applyBorder="1" applyAlignment="1" applyProtection="1">
      <alignment horizontal="right" vertical="center"/>
      <protection/>
    </xf>
    <xf numFmtId="0" fontId="17" fillId="3" borderId="49" xfId="0" applyFont="1" applyFill="1" applyBorder="1" applyAlignment="1" applyProtection="1">
      <alignment horizontal="left" vertical="center" wrapText="1"/>
      <protection locked="0"/>
    </xf>
    <xf numFmtId="0" fontId="17" fillId="3" borderId="37" xfId="0" applyFont="1" applyFill="1" applyBorder="1" applyAlignment="1" applyProtection="1">
      <alignment horizontal="left" vertical="center" wrapText="1"/>
      <protection locked="0"/>
    </xf>
    <xf numFmtId="0" fontId="17" fillId="3" borderId="47" xfId="0" applyFont="1" applyFill="1" applyBorder="1" applyAlignment="1" applyProtection="1">
      <alignment horizontal="left" vertical="center" wrapText="1"/>
      <protection locked="0"/>
    </xf>
    <xf numFmtId="0" fontId="17" fillId="3" borderId="0" xfId="0" applyFont="1" applyFill="1" applyBorder="1" applyAlignment="1" applyProtection="1">
      <alignment horizontal="left" vertical="center" wrapText="1"/>
      <protection locked="0"/>
    </xf>
    <xf numFmtId="0" fontId="2" fillId="3" borderId="28" xfId="0" applyFont="1" applyFill="1" applyBorder="1" applyAlignment="1" applyProtection="1">
      <alignment horizontal="right" vertical="center" wrapText="1"/>
      <protection/>
    </xf>
    <xf numFmtId="166" fontId="0" fillId="2" borderId="25" xfId="0" applyNumberFormat="1" applyFill="1" applyBorder="1" applyAlignment="1" applyProtection="1">
      <alignment horizontal="center" vertical="center"/>
      <protection locked="0"/>
    </xf>
    <xf numFmtId="166" fontId="0" fillId="2" borderId="103" xfId="0" applyNumberFormat="1" applyFill="1" applyBorder="1" applyAlignment="1" applyProtection="1">
      <alignment horizontal="center" vertical="center"/>
      <protection locked="0"/>
    </xf>
    <xf numFmtId="166" fontId="0" fillId="2" borderId="1" xfId="0" applyNumberFormat="1" applyFill="1" applyBorder="1" applyAlignment="1" applyProtection="1">
      <alignment horizontal="center" vertical="center"/>
      <protection locked="0"/>
    </xf>
    <xf numFmtId="166" fontId="0" fillId="2" borderId="72" xfId="0" applyNumberFormat="1" applyFill="1" applyBorder="1" applyAlignment="1" applyProtection="1">
      <alignment horizontal="center" vertical="center"/>
      <protection locked="0"/>
    </xf>
    <xf numFmtId="0" fontId="17" fillId="3" borderId="37" xfId="0" applyFont="1" applyFill="1" applyBorder="1" applyAlignment="1" applyProtection="1">
      <alignment horizontal="left" vertical="top" wrapText="1"/>
      <protection locked="0"/>
    </xf>
    <xf numFmtId="0" fontId="17" fillId="3" borderId="0" xfId="0" applyFont="1" applyFill="1" applyBorder="1" applyAlignment="1" applyProtection="1">
      <alignment horizontal="left" vertical="top" wrapText="1"/>
      <protection locked="0"/>
    </xf>
    <xf numFmtId="0" fontId="0" fillId="3" borderId="0" xfId="0" applyFont="1" applyFill="1" applyBorder="1" applyAlignment="1" applyProtection="1" quotePrefix="1">
      <alignment horizontal="left" vertical="top" wrapText="1"/>
      <protection locked="0"/>
    </xf>
    <xf numFmtId="0" fontId="0" fillId="3" borderId="41" xfId="0" applyFont="1" applyFill="1" applyBorder="1" applyAlignment="1" applyProtection="1">
      <alignment horizontal="left" vertical="top" wrapText="1"/>
      <protection locked="0"/>
    </xf>
    <xf numFmtId="0" fontId="0" fillId="7" borderId="49" xfId="0" applyFont="1" applyFill="1" applyBorder="1" applyAlignment="1" applyProtection="1">
      <alignment horizontal="left" vertical="top" wrapText="1"/>
      <protection/>
    </xf>
    <xf numFmtId="0" fontId="0" fillId="7" borderId="37" xfId="0" applyFont="1" applyFill="1" applyBorder="1" applyAlignment="1" applyProtection="1">
      <alignment horizontal="left" vertical="top" wrapText="1"/>
      <protection/>
    </xf>
    <xf numFmtId="0" fontId="0" fillId="7" borderId="93" xfId="0" applyFont="1" applyFill="1" applyBorder="1" applyAlignment="1" applyProtection="1">
      <alignment horizontal="left" vertical="top" wrapText="1"/>
      <protection/>
    </xf>
    <xf numFmtId="0" fontId="0" fillId="7" borderId="47" xfId="0" applyFont="1" applyFill="1" applyBorder="1" applyAlignment="1" applyProtection="1">
      <alignment horizontal="left" vertical="top" wrapText="1"/>
      <protection/>
    </xf>
    <xf numFmtId="0" fontId="0" fillId="7" borderId="0" xfId="0" applyFont="1" applyFill="1" applyBorder="1" applyAlignment="1" applyProtection="1">
      <alignment horizontal="left" vertical="top" wrapText="1"/>
      <protection/>
    </xf>
    <xf numFmtId="0" fontId="0" fillId="7" borderId="41" xfId="0" applyFont="1" applyFill="1" applyBorder="1" applyAlignment="1" applyProtection="1">
      <alignment horizontal="left" vertical="top" wrapText="1"/>
      <protection/>
    </xf>
    <xf numFmtId="0" fontId="0" fillId="7" borderId="161" xfId="0" applyFont="1" applyFill="1" applyBorder="1" applyAlignment="1" applyProtection="1">
      <alignment horizontal="left" vertical="top" wrapText="1"/>
      <protection/>
    </xf>
    <xf numFmtId="0" fontId="0" fillId="7" borderId="162" xfId="0" applyFont="1" applyFill="1" applyBorder="1" applyAlignment="1" applyProtection="1">
      <alignment horizontal="left" vertical="top" wrapText="1"/>
      <protection/>
    </xf>
    <xf numFmtId="0" fontId="0" fillId="7" borderId="163" xfId="0" applyFont="1" applyFill="1" applyBorder="1" applyAlignment="1" applyProtection="1">
      <alignment horizontal="left" vertical="top" wrapText="1"/>
      <protection/>
    </xf>
    <xf numFmtId="2" fontId="0" fillId="0" borderId="7" xfId="0" applyNumberFormat="1" applyBorder="1" applyAlignment="1" applyProtection="1">
      <alignment horizontal="right" vertical="center"/>
      <protection/>
    </xf>
    <xf numFmtId="2" fontId="0" fillId="0" borderId="84" xfId="0" applyNumberFormat="1" applyBorder="1" applyAlignment="1" applyProtection="1">
      <alignment horizontal="right" vertical="center"/>
      <protection/>
    </xf>
    <xf numFmtId="0" fontId="15" fillId="3" borderId="24" xfId="0" applyFont="1" applyFill="1" applyBorder="1" applyAlignment="1" applyProtection="1">
      <alignment horizontal="center" wrapText="1"/>
      <protection locked="0"/>
    </xf>
    <xf numFmtId="0" fontId="4" fillId="5" borderId="0" xfId="0" applyFont="1" applyFill="1" applyBorder="1" applyAlignment="1" applyProtection="1">
      <alignment horizontal="left" vertical="top" wrapText="1"/>
      <protection locked="0"/>
    </xf>
    <xf numFmtId="0" fontId="4" fillId="5" borderId="41" xfId="0" applyFont="1" applyFill="1" applyBorder="1" applyAlignment="1" applyProtection="1">
      <alignment horizontal="left" vertical="top" wrapText="1"/>
      <protection locked="0"/>
    </xf>
    <xf numFmtId="169" fontId="0" fillId="0" borderId="7" xfId="0" applyNumberFormat="1" applyFill="1" applyBorder="1" applyAlignment="1" applyProtection="1">
      <alignment horizontal="right"/>
      <protection hidden="1"/>
    </xf>
    <xf numFmtId="169" fontId="0" fillId="0" borderId="84" xfId="0" applyNumberFormat="1" applyFill="1" applyBorder="1" applyAlignment="1" applyProtection="1">
      <alignment horizontal="right"/>
      <protection hidden="1"/>
    </xf>
    <xf numFmtId="2" fontId="0" fillId="0" borderId="7" xfId="0" applyNumberFormat="1" applyFill="1" applyBorder="1" applyAlignment="1" applyProtection="1">
      <alignment horizontal="right" vertical="center"/>
      <protection/>
    </xf>
    <xf numFmtId="2" fontId="0" fillId="0" borderId="84" xfId="0" applyNumberFormat="1" applyFill="1" applyBorder="1" applyAlignment="1" applyProtection="1">
      <alignment horizontal="right" vertical="center"/>
      <protection/>
    </xf>
    <xf numFmtId="0" fontId="43" fillId="3" borderId="0" xfId="0" applyFont="1" applyFill="1" applyBorder="1" applyAlignment="1" applyProtection="1">
      <alignment horizontal="left" vertical="center"/>
      <protection locked="0"/>
    </xf>
    <xf numFmtId="2" fontId="32" fillId="0" borderId="30" xfId="0" applyNumberFormat="1" applyFont="1" applyBorder="1" applyAlignment="1" applyProtection="1">
      <alignment horizontal="right" vertical="center"/>
      <protection/>
    </xf>
    <xf numFmtId="1" fontId="0" fillId="0" borderId="7" xfId="0" applyNumberFormat="1" applyFill="1" applyBorder="1" applyAlignment="1" applyProtection="1">
      <alignment horizontal="right" vertical="center"/>
      <protection hidden="1"/>
    </xf>
    <xf numFmtId="1" fontId="0" fillId="0" borderId="84" xfId="0" applyNumberFormat="1" applyFill="1" applyBorder="1" applyAlignment="1" applyProtection="1">
      <alignment horizontal="right" vertical="center"/>
      <protection hidden="1"/>
    </xf>
    <xf numFmtId="0" fontId="0" fillId="4" borderId="47" xfId="0" applyFill="1" applyBorder="1" applyAlignment="1" applyProtection="1">
      <alignment horizontal="right"/>
      <protection locked="0"/>
    </xf>
    <xf numFmtId="0" fontId="0" fillId="4" borderId="41" xfId="0" applyFill="1" applyBorder="1" applyAlignment="1" applyProtection="1">
      <alignment horizontal="right"/>
      <protection locked="0"/>
    </xf>
    <xf numFmtId="0" fontId="2" fillId="3" borderId="37" xfId="0" applyFont="1" applyFill="1" applyBorder="1" applyAlignment="1" applyProtection="1">
      <alignment horizontal="left" wrapText="1"/>
      <protection locked="0"/>
    </xf>
    <xf numFmtId="0" fontId="2" fillId="3" borderId="93" xfId="0" applyFont="1" applyFill="1" applyBorder="1" applyAlignment="1" applyProtection="1">
      <alignment horizontal="left" wrapText="1"/>
      <protection locked="0"/>
    </xf>
    <xf numFmtId="0" fontId="0" fillId="2" borderId="0" xfId="0" applyFill="1" applyBorder="1" applyAlignment="1" applyProtection="1">
      <alignment horizontal="left"/>
      <protection locked="0"/>
    </xf>
    <xf numFmtId="0" fontId="2" fillId="3" borderId="47" xfId="0" applyFont="1" applyFill="1" applyBorder="1" applyAlignment="1" applyProtection="1">
      <alignment horizontal="left" wrapText="1"/>
      <protection locked="0"/>
    </xf>
    <xf numFmtId="0" fontId="17" fillId="3" borderId="47" xfId="0" applyFont="1" applyFill="1" applyBorder="1" applyAlignment="1" applyProtection="1">
      <alignment horizontal="right" vertical="center"/>
      <protection locked="0"/>
    </xf>
    <xf numFmtId="0" fontId="4" fillId="5" borderId="0" xfId="0" applyFont="1" applyFill="1" applyBorder="1" applyAlignment="1" applyProtection="1">
      <alignment horizontal="left" vertical="top" wrapText="1"/>
      <protection locked="0"/>
    </xf>
    <xf numFmtId="0" fontId="4" fillId="5" borderId="41" xfId="0" applyFont="1" applyFill="1" applyBorder="1" applyAlignment="1" applyProtection="1">
      <alignment horizontal="left" vertical="top" wrapText="1"/>
      <protection locked="0"/>
    </xf>
    <xf numFmtId="0" fontId="12" fillId="5" borderId="41" xfId="0" applyFont="1" applyFill="1" applyBorder="1" applyAlignment="1" applyProtection="1">
      <alignment horizontal="left" vertical="top" wrapText="1"/>
      <protection locked="0"/>
    </xf>
    <xf numFmtId="0" fontId="0" fillId="2" borderId="84" xfId="0" applyFont="1" applyFill="1" applyBorder="1" applyAlignment="1" applyProtection="1">
      <alignment horizontal="left" vertical="center"/>
      <protection locked="0"/>
    </xf>
    <xf numFmtId="2" fontId="0" fillId="2" borderId="7" xfId="0" applyNumberFormat="1" applyFill="1" applyBorder="1" applyAlignment="1" applyProtection="1">
      <alignment horizontal="right" vertical="center"/>
      <protection hidden="1" locked="0"/>
    </xf>
    <xf numFmtId="2" fontId="0" fillId="2" borderId="84" xfId="0" applyNumberFormat="1" applyFill="1" applyBorder="1" applyAlignment="1" applyProtection="1">
      <alignment horizontal="right" vertical="center"/>
      <protection hidden="1" locked="0"/>
    </xf>
    <xf numFmtId="2" fontId="0" fillId="0" borderId="6" xfId="0" applyNumberFormat="1" applyFill="1" applyBorder="1" applyAlignment="1" applyProtection="1">
      <alignment horizontal="right" vertical="center"/>
      <protection/>
    </xf>
    <xf numFmtId="0" fontId="8" fillId="3" borderId="47" xfId="0" applyFont="1" applyFill="1" applyBorder="1" applyAlignment="1" applyProtection="1">
      <alignment horizontal="right" wrapText="1"/>
      <protection locked="0"/>
    </xf>
    <xf numFmtId="0" fontId="8" fillId="3" borderId="0" xfId="0" applyFont="1" applyFill="1" applyBorder="1" applyAlignment="1" applyProtection="1">
      <alignment horizontal="right" wrapText="1"/>
      <protection locked="0"/>
    </xf>
    <xf numFmtId="0" fontId="27" fillId="3" borderId="47" xfId="0" applyFont="1" applyFill="1" applyBorder="1" applyAlignment="1" applyProtection="1">
      <alignment horizontal="right" wrapText="1"/>
      <protection locked="0"/>
    </xf>
    <xf numFmtId="0" fontId="12" fillId="3" borderId="0" xfId="0" applyFont="1" applyFill="1" applyBorder="1" applyAlignment="1" applyProtection="1">
      <alignment horizontal="left" vertical="top"/>
      <protection locked="0"/>
    </xf>
    <xf numFmtId="0" fontId="0" fillId="0" borderId="0" xfId="0" applyAlignment="1" applyProtection="1">
      <alignment horizontal="right" wrapText="1"/>
      <protection locked="0"/>
    </xf>
    <xf numFmtId="0" fontId="2" fillId="3" borderId="49" xfId="0" applyFont="1" applyFill="1" applyBorder="1" applyAlignment="1" applyProtection="1">
      <alignment horizontal="left" vertical="top" wrapText="1"/>
      <protection locked="0"/>
    </xf>
    <xf numFmtId="0" fontId="2" fillId="3" borderId="47" xfId="0" applyFont="1" applyFill="1" applyBorder="1" applyAlignment="1" applyProtection="1">
      <alignment horizontal="left" vertical="top" wrapText="1"/>
      <protection locked="0"/>
    </xf>
    <xf numFmtId="0" fontId="8" fillId="3" borderId="71" xfId="0" applyFont="1" applyFill="1" applyBorder="1" applyAlignment="1" applyProtection="1">
      <alignment horizontal="center" textRotation="90" wrapText="1"/>
      <protection locked="0"/>
    </xf>
    <xf numFmtId="0" fontId="0" fillId="3" borderId="6" xfId="0"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protection locked="0"/>
    </xf>
    <xf numFmtId="164" fontId="0" fillId="2" borderId="157" xfId="0" applyNumberFormat="1" applyFill="1" applyBorder="1" applyAlignment="1" applyProtection="1">
      <alignment horizontal="right"/>
      <protection locked="0"/>
    </xf>
    <xf numFmtId="164" fontId="0" fillId="2" borderId="158" xfId="0" applyNumberFormat="1" applyFill="1" applyBorder="1" applyAlignment="1" applyProtection="1">
      <alignment horizontal="right"/>
      <protection locked="0"/>
    </xf>
    <xf numFmtId="0" fontId="0" fillId="7" borderId="50" xfId="0" applyFill="1" applyBorder="1" applyAlignment="1" applyProtection="1">
      <alignment horizontal="left" vertical="top" wrapText="1"/>
      <protection/>
    </xf>
    <xf numFmtId="0" fontId="0" fillId="7" borderId="77" xfId="0" applyFill="1" applyBorder="1" applyAlignment="1" applyProtection="1">
      <alignment horizontal="left" vertical="top" wrapText="1"/>
      <protection/>
    </xf>
    <xf numFmtId="0" fontId="0" fillId="7" borderId="124" xfId="0" applyFill="1" applyBorder="1" applyAlignment="1" applyProtection="1">
      <alignment horizontal="left" vertical="top"/>
      <protection locked="0"/>
    </xf>
    <xf numFmtId="0" fontId="0" fillId="7" borderId="125" xfId="0" applyFill="1" applyBorder="1" applyAlignment="1" applyProtection="1">
      <alignment horizontal="left" vertical="top"/>
      <protection locked="0"/>
    </xf>
    <xf numFmtId="0" fontId="0" fillId="7" borderId="126" xfId="0" applyFill="1" applyBorder="1" applyAlignment="1" applyProtection="1">
      <alignment horizontal="left" vertical="top"/>
      <protection locked="0"/>
    </xf>
    <xf numFmtId="0" fontId="0" fillId="7" borderId="47"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41" xfId="0" applyFill="1" applyBorder="1" applyAlignment="1" applyProtection="1">
      <alignment horizontal="left" vertical="top"/>
      <protection locked="0"/>
    </xf>
    <xf numFmtId="0" fontId="0" fillId="7" borderId="48" xfId="0" applyFill="1" applyBorder="1" applyAlignment="1" applyProtection="1">
      <alignment horizontal="left" vertical="top"/>
      <protection locked="0"/>
    </xf>
    <xf numFmtId="0" fontId="0" fillId="7" borderId="24" xfId="0" applyFill="1" applyBorder="1" applyAlignment="1" applyProtection="1">
      <alignment horizontal="left" vertical="top"/>
      <protection locked="0"/>
    </xf>
    <xf numFmtId="0" fontId="0" fillId="7" borderId="10" xfId="0" applyFill="1" applyBorder="1" applyAlignment="1" applyProtection="1">
      <alignment horizontal="left" vertical="top"/>
      <protection locked="0"/>
    </xf>
    <xf numFmtId="0" fontId="0" fillId="2" borderId="7"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2" borderId="84" xfId="0" applyFill="1" applyBorder="1" applyAlignment="1" applyProtection="1">
      <alignment horizontal="left" vertical="center"/>
      <protection locked="0"/>
    </xf>
    <xf numFmtId="0" fontId="0" fillId="3" borderId="47" xfId="0" applyFont="1" applyFill="1" applyBorder="1" applyAlignment="1" applyProtection="1">
      <alignment horizontal="right" vertical="top" wrapText="1"/>
      <protection/>
    </xf>
    <xf numFmtId="0" fontId="0" fillId="3" borderId="0" xfId="0" applyFont="1" applyFill="1" applyBorder="1" applyAlignment="1" applyProtection="1">
      <alignment horizontal="right" vertical="top" wrapText="1"/>
      <protection/>
    </xf>
    <xf numFmtId="0" fontId="0" fillId="3" borderId="71" xfId="0" applyFont="1" applyFill="1" applyBorder="1" applyAlignment="1" applyProtection="1">
      <alignment horizontal="right" vertical="top" wrapText="1"/>
      <protection/>
    </xf>
    <xf numFmtId="169" fontId="0" fillId="0" borderId="7" xfId="0" applyNumberFormat="1" applyFill="1" applyBorder="1" applyAlignment="1" applyProtection="1">
      <alignment horizontal="right" vertical="center"/>
      <protection hidden="1"/>
    </xf>
    <xf numFmtId="169" fontId="0" fillId="0" borderId="84" xfId="0" applyNumberFormat="1" applyFill="1" applyBorder="1" applyAlignment="1" applyProtection="1">
      <alignment horizontal="right" vertical="center"/>
      <protection hidden="1"/>
    </xf>
    <xf numFmtId="2" fontId="0" fillId="2" borderId="7" xfId="0" applyNumberFormat="1" applyFill="1" applyBorder="1" applyAlignment="1" applyProtection="1">
      <alignment horizontal="right" vertical="center"/>
      <protection locked="0"/>
    </xf>
    <xf numFmtId="2" fontId="0" fillId="2" borderId="84" xfId="0" applyNumberFormat="1" applyFill="1" applyBorder="1" applyAlignment="1" applyProtection="1">
      <alignment horizontal="right" vertical="center"/>
      <protection locked="0"/>
    </xf>
    <xf numFmtId="0" fontId="0" fillId="3" borderId="47" xfId="0" applyFont="1" applyFill="1" applyBorder="1" applyAlignment="1" applyProtection="1">
      <alignment horizontal="right" vertical="center" wrapText="1"/>
      <protection/>
    </xf>
    <xf numFmtId="0" fontId="0" fillId="3" borderId="0" xfId="0" applyFont="1" applyFill="1" applyBorder="1" applyAlignment="1" applyProtection="1">
      <alignment horizontal="right" vertical="center" wrapText="1"/>
      <protection/>
    </xf>
    <xf numFmtId="164" fontId="15" fillId="0" borderId="7" xfId="0" applyNumberFormat="1" applyFont="1" applyFill="1" applyBorder="1" applyAlignment="1" applyProtection="1">
      <alignment horizontal="right" vertical="center"/>
      <protection/>
    </xf>
    <xf numFmtId="164" fontId="15" fillId="0" borderId="84" xfId="0" applyNumberFormat="1" applyFont="1" applyFill="1" applyBorder="1" applyAlignment="1" applyProtection="1">
      <alignment horizontal="right" vertical="center"/>
      <protection/>
    </xf>
    <xf numFmtId="0" fontId="15" fillId="3" borderId="49" xfId="0" applyFont="1" applyFill="1" applyBorder="1" applyAlignment="1" applyProtection="1">
      <alignment horizontal="right" wrapText="1"/>
      <protection locked="0"/>
    </xf>
    <xf numFmtId="0" fontId="15" fillId="3" borderId="37" xfId="0" applyFont="1" applyFill="1" applyBorder="1" applyAlignment="1" applyProtection="1">
      <alignment horizontal="right" wrapText="1"/>
      <protection locked="0"/>
    </xf>
    <xf numFmtId="166" fontId="0" fillId="2" borderId="7" xfId="0" applyNumberFormat="1" applyFill="1" applyBorder="1" applyAlignment="1" applyProtection="1">
      <alignment horizontal="right"/>
      <protection locked="0"/>
    </xf>
    <xf numFmtId="166" fontId="0" fillId="2" borderId="84" xfId="0" applyNumberFormat="1" applyFill="1" applyBorder="1" applyAlignment="1" applyProtection="1">
      <alignment horizontal="right"/>
      <protection locked="0"/>
    </xf>
    <xf numFmtId="0" fontId="0" fillId="3" borderId="7" xfId="0" applyFont="1" applyFill="1" applyBorder="1" applyAlignment="1" applyProtection="1">
      <alignment horizontal="left" vertical="top" wrapText="1"/>
      <protection locked="0"/>
    </xf>
    <xf numFmtId="0" fontId="0" fillId="3" borderId="22" xfId="0" applyFont="1" applyFill="1" applyBorder="1" applyAlignment="1" applyProtection="1">
      <alignment horizontal="left" vertical="top" wrapText="1"/>
      <protection locked="0"/>
    </xf>
    <xf numFmtId="0" fontId="0" fillId="3" borderId="84" xfId="0" applyFon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84" xfId="0" applyBorder="1" applyAlignment="1" applyProtection="1">
      <alignment horizontal="left" vertical="top" wrapText="1"/>
      <protection locked="0"/>
    </xf>
    <xf numFmtId="0" fontId="0" fillId="2" borderId="7" xfId="0" applyFont="1" applyFill="1" applyBorder="1" applyAlignment="1" applyProtection="1">
      <alignment horizontal="left" wrapText="1"/>
      <protection locked="0"/>
    </xf>
    <xf numFmtId="0" fontId="0" fillId="2" borderId="22" xfId="0" applyFont="1" applyFill="1" applyBorder="1" applyAlignment="1" applyProtection="1">
      <alignment horizontal="left" wrapText="1"/>
      <protection locked="0"/>
    </xf>
    <xf numFmtId="0" fontId="0" fillId="2" borderId="84" xfId="0" applyFont="1" applyFill="1" applyBorder="1" applyAlignment="1" applyProtection="1">
      <alignment horizontal="left" wrapText="1"/>
      <protection locked="0"/>
    </xf>
    <xf numFmtId="2" fontId="17" fillId="0" borderId="83" xfId="0" applyNumberFormat="1" applyFont="1" applyFill="1" applyBorder="1" applyAlignment="1" applyProtection="1">
      <alignment horizontal="right"/>
      <protection/>
    </xf>
    <xf numFmtId="2" fontId="17" fillId="0" borderId="43" xfId="0" applyNumberFormat="1" applyFont="1" applyFill="1" applyBorder="1" applyAlignment="1" applyProtection="1">
      <alignment horizontal="right"/>
      <protection/>
    </xf>
    <xf numFmtId="0" fontId="0" fillId="3" borderId="7"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84" xfId="0" applyFill="1" applyBorder="1" applyAlignment="1" applyProtection="1">
      <alignment horizontal="left" vertical="center"/>
      <protection locked="0"/>
    </xf>
    <xf numFmtId="0" fontId="38" fillId="3" borderId="25" xfId="0" applyFont="1" applyFill="1" applyBorder="1" applyAlignment="1" applyProtection="1">
      <alignment horizontal="left" vertical="center" wrapText="1"/>
      <protection locked="0"/>
    </xf>
    <xf numFmtId="0" fontId="38" fillId="3" borderId="21" xfId="0" applyFont="1" applyFill="1" applyBorder="1" applyAlignment="1" applyProtection="1">
      <alignment horizontal="left" vertical="center" wrapText="1"/>
      <protection locked="0"/>
    </xf>
    <xf numFmtId="0" fontId="38" fillId="3" borderId="103" xfId="0" applyFont="1" applyFill="1" applyBorder="1" applyAlignment="1" applyProtection="1">
      <alignment horizontal="left" vertical="center" wrapText="1"/>
      <protection locked="0"/>
    </xf>
    <xf numFmtId="0" fontId="38" fillId="3" borderId="26" xfId="0" applyFont="1" applyFill="1" applyBorder="1" applyAlignment="1" applyProtection="1">
      <alignment horizontal="left" vertical="center" wrapText="1"/>
      <protection locked="0"/>
    </xf>
    <xf numFmtId="0" fontId="38" fillId="3" borderId="0" xfId="0" applyFont="1" applyFill="1" applyBorder="1" applyAlignment="1" applyProtection="1">
      <alignment horizontal="left" vertical="center" wrapText="1"/>
      <protection locked="0"/>
    </xf>
    <xf numFmtId="0" fontId="38" fillId="3" borderId="71" xfId="0" applyFont="1" applyFill="1" applyBorder="1" applyAlignment="1" applyProtection="1">
      <alignment horizontal="left" vertical="center" wrapText="1"/>
      <protection locked="0"/>
    </xf>
    <xf numFmtId="0" fontId="38" fillId="3" borderId="1" xfId="0" applyFont="1" applyFill="1" applyBorder="1" applyAlignment="1" applyProtection="1">
      <alignment horizontal="left" vertical="center" wrapText="1"/>
      <protection locked="0"/>
    </xf>
    <xf numFmtId="0" fontId="38" fillId="3" borderId="28" xfId="0" applyFont="1" applyFill="1" applyBorder="1" applyAlignment="1" applyProtection="1">
      <alignment horizontal="left" vertical="center" wrapText="1"/>
      <protection locked="0"/>
    </xf>
    <xf numFmtId="0" fontId="38" fillId="3" borderId="72" xfId="0" applyFont="1" applyFill="1" applyBorder="1" applyAlignment="1" applyProtection="1">
      <alignment horizontal="left" vertical="center" wrapText="1"/>
      <protection locked="0"/>
    </xf>
    <xf numFmtId="0" fontId="3" fillId="3" borderId="25" xfId="0" applyFont="1" applyFill="1" applyBorder="1" applyAlignment="1" applyProtection="1">
      <alignment horizontal="left" vertical="center" wrapText="1"/>
      <protection locked="0"/>
    </xf>
    <xf numFmtId="0" fontId="3" fillId="3" borderId="21" xfId="0" applyFont="1" applyFill="1" applyBorder="1" applyAlignment="1" applyProtection="1">
      <alignment horizontal="left" vertical="center" wrapText="1"/>
      <protection locked="0"/>
    </xf>
    <xf numFmtId="0" fontId="3" fillId="3" borderId="103"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8"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2" fillId="3" borderId="13" xfId="0" applyFont="1" applyFill="1" applyBorder="1" applyAlignment="1" applyProtection="1">
      <alignment horizontal="center"/>
      <protection locked="0"/>
    </xf>
    <xf numFmtId="0" fontId="12" fillId="3" borderId="76" xfId="0" applyFont="1" applyFill="1" applyBorder="1" applyAlignment="1" applyProtection="1">
      <alignment horizontal="center"/>
      <protection locked="0"/>
    </xf>
    <xf numFmtId="0" fontId="12" fillId="3" borderId="2" xfId="0" applyFont="1" applyFill="1" applyBorder="1" applyAlignment="1" applyProtection="1">
      <alignment horizontal="center"/>
      <protection locked="0"/>
    </xf>
    <xf numFmtId="0" fontId="0" fillId="3" borderId="0" xfId="0" applyFill="1" applyBorder="1" applyAlignment="1" applyProtection="1">
      <alignment horizontal="left" vertical="center"/>
      <protection locked="0"/>
    </xf>
    <xf numFmtId="0" fontId="14" fillId="4" borderId="48" xfId="0" applyFont="1" applyFill="1" applyBorder="1" applyAlignment="1" applyProtection="1">
      <alignment horizontal="left"/>
      <protection locked="0"/>
    </xf>
    <xf numFmtId="0" fontId="14" fillId="4" borderId="10" xfId="0" applyFont="1" applyFill="1" applyBorder="1" applyAlignment="1" applyProtection="1">
      <alignment horizontal="left"/>
      <protection locked="0"/>
    </xf>
    <xf numFmtId="0" fontId="4" fillId="5" borderId="50" xfId="0" applyFont="1" applyFill="1" applyBorder="1" applyAlignment="1" applyProtection="1">
      <alignment horizontal="left" vertical="top"/>
      <protection locked="0"/>
    </xf>
    <xf numFmtId="0" fontId="4" fillId="5" borderId="77" xfId="0" applyFont="1" applyFill="1" applyBorder="1" applyAlignment="1" applyProtection="1">
      <alignment horizontal="left" vertical="top"/>
      <protection locked="0"/>
    </xf>
    <xf numFmtId="0" fontId="5" fillId="5" borderId="73" xfId="0" applyFont="1" applyFill="1" applyBorder="1" applyAlignment="1" applyProtection="1">
      <alignment horizontal="left"/>
      <protection locked="0"/>
    </xf>
    <xf numFmtId="0" fontId="5" fillId="5" borderId="74" xfId="0" applyFont="1" applyFill="1" applyBorder="1" applyAlignment="1" applyProtection="1">
      <alignment horizontal="left"/>
      <protection locked="0"/>
    </xf>
    <xf numFmtId="0" fontId="5" fillId="5" borderId="0" xfId="0" applyFont="1" applyFill="1" applyBorder="1" applyAlignment="1" applyProtection="1">
      <alignment horizontal="left"/>
      <protection locked="0"/>
    </xf>
    <xf numFmtId="0" fontId="5" fillId="5" borderId="41" xfId="0" applyFont="1" applyFill="1" applyBorder="1" applyAlignment="1" applyProtection="1">
      <alignment horizontal="left"/>
      <protection locked="0"/>
    </xf>
    <xf numFmtId="0" fontId="3" fillId="7" borderId="42" xfId="0" applyFont="1" applyFill="1" applyBorder="1" applyAlignment="1" applyProtection="1">
      <alignment horizontal="left" vertical="top" wrapText="1"/>
      <protection/>
    </xf>
    <xf numFmtId="0" fontId="0" fillId="0" borderId="47"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41" xfId="0" applyBorder="1" applyAlignment="1" applyProtection="1">
      <alignment horizontal="left" vertical="top" wrapText="1"/>
      <protection/>
    </xf>
    <xf numFmtId="165" fontId="2" fillId="3" borderId="68" xfId="0" applyNumberFormat="1" applyFont="1" applyFill="1" applyBorder="1" applyAlignment="1" applyProtection="1">
      <alignment horizontal="right" vertical="center"/>
      <protection locked="0"/>
    </xf>
    <xf numFmtId="165" fontId="2" fillId="3" borderId="118" xfId="0" applyNumberFormat="1" applyFont="1" applyFill="1" applyBorder="1" applyAlignment="1" applyProtection="1">
      <alignment horizontal="right" vertical="center"/>
      <protection locked="0"/>
    </xf>
    <xf numFmtId="167" fontId="0" fillId="0" borderId="139" xfId="0" applyNumberFormat="1" applyFill="1" applyBorder="1" applyAlignment="1" applyProtection="1">
      <alignment horizontal="center" vertical="center"/>
      <protection hidden="1"/>
    </xf>
    <xf numFmtId="167" fontId="0" fillId="0" borderId="164" xfId="0" applyNumberFormat="1" applyFill="1" applyBorder="1" applyAlignment="1" applyProtection="1">
      <alignment horizontal="center" vertical="center"/>
      <protection hidden="1"/>
    </xf>
    <xf numFmtId="0" fontId="2" fillId="3" borderId="115" xfId="0" applyFont="1" applyFill="1" applyBorder="1" applyAlignment="1" applyProtection="1">
      <alignment horizontal="right"/>
      <protection locked="0"/>
    </xf>
    <xf numFmtId="0" fontId="2" fillId="3" borderId="116" xfId="0" applyFont="1" applyFill="1" applyBorder="1" applyAlignment="1" applyProtection="1">
      <alignment horizontal="right"/>
      <protection locked="0"/>
    </xf>
    <xf numFmtId="0" fontId="2" fillId="3" borderId="117" xfId="0" applyFont="1" applyFill="1" applyBorder="1" applyAlignment="1" applyProtection="1">
      <alignment horizontal="right"/>
      <protection locked="0"/>
    </xf>
    <xf numFmtId="2" fontId="0" fillId="0" borderId="11" xfId="0" applyNumberFormat="1" applyBorder="1" applyAlignment="1" applyProtection="1">
      <alignment horizontal="center" vertical="center"/>
      <protection hidden="1"/>
    </xf>
    <xf numFmtId="2" fontId="0" fillId="0" borderId="131" xfId="0" applyNumberFormat="1" applyBorder="1" applyAlignment="1" applyProtection="1">
      <alignment horizontal="center" vertical="center"/>
      <protection hidden="1"/>
    </xf>
    <xf numFmtId="0" fontId="2" fillId="4" borderId="137" xfId="0" applyFont="1" applyFill="1" applyBorder="1" applyAlignment="1" applyProtection="1">
      <alignment horizontal="right" wrapText="1"/>
      <protection locked="0"/>
    </xf>
    <xf numFmtId="0" fontId="2" fillId="4" borderId="56" xfId="0" applyFont="1" applyFill="1" applyBorder="1" applyAlignment="1" applyProtection="1">
      <alignment horizontal="right" wrapText="1"/>
      <protection locked="0"/>
    </xf>
    <xf numFmtId="0" fontId="2" fillId="4" borderId="138" xfId="0" applyFont="1" applyFill="1" applyBorder="1" applyAlignment="1" applyProtection="1">
      <alignment horizontal="right" wrapText="1"/>
      <protection locked="0"/>
    </xf>
    <xf numFmtId="0" fontId="2" fillId="3" borderId="137" xfId="0" applyFont="1" applyFill="1" applyBorder="1" applyAlignment="1" applyProtection="1">
      <alignment horizontal="right" vertical="center"/>
      <protection locked="0"/>
    </xf>
    <xf numFmtId="0" fontId="2" fillId="3" borderId="138" xfId="0" applyFont="1" applyFill="1" applyBorder="1" applyAlignment="1" applyProtection="1">
      <alignment horizontal="right" vertical="center"/>
      <protection locked="0"/>
    </xf>
    <xf numFmtId="0" fontId="2" fillId="3" borderId="42" xfId="0" applyFont="1" applyFill="1" applyBorder="1" applyAlignment="1" applyProtection="1">
      <alignment horizontal="right" vertical="center" wrapText="1"/>
      <protection locked="0"/>
    </xf>
    <xf numFmtId="0" fontId="2" fillId="3" borderId="107" xfId="0" applyFont="1" applyFill="1" applyBorder="1" applyAlignment="1" applyProtection="1">
      <alignment horizontal="right" vertical="center" wrapText="1"/>
      <protection locked="0"/>
    </xf>
    <xf numFmtId="0" fontId="2" fillId="3" borderId="62" xfId="0" applyFont="1" applyFill="1" applyBorder="1" applyAlignment="1" applyProtection="1">
      <alignment horizontal="right" vertical="center" wrapText="1"/>
      <protection locked="0"/>
    </xf>
    <xf numFmtId="0" fontId="2" fillId="3" borderId="72" xfId="0" applyFont="1" applyFill="1" applyBorder="1" applyAlignment="1" applyProtection="1">
      <alignment horizontal="right" vertical="center" wrapText="1"/>
      <protection locked="0"/>
    </xf>
    <xf numFmtId="0" fontId="44" fillId="3" borderId="62" xfId="0" applyFont="1" applyFill="1" applyBorder="1" applyAlignment="1" applyProtection="1">
      <alignment horizontal="right" vertical="center" wrapText="1"/>
      <protection locked="0"/>
    </xf>
    <xf numFmtId="0" fontId="44" fillId="3" borderId="72" xfId="0" applyFont="1" applyFill="1" applyBorder="1" applyAlignment="1" applyProtection="1">
      <alignment horizontal="right" vertical="center" wrapText="1"/>
      <protection locked="0"/>
    </xf>
    <xf numFmtId="0" fontId="4" fillId="0" borderId="9"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0" fillId="3" borderId="28" xfId="0" applyFill="1" applyBorder="1" applyAlignment="1" applyProtection="1">
      <alignment horizontal="left" vertical="center" wrapText="1"/>
      <protection locked="0"/>
    </xf>
    <xf numFmtId="0" fontId="0" fillId="3" borderId="114" xfId="0" applyFill="1" applyBorder="1" applyAlignment="1" applyProtection="1">
      <alignment horizontal="left" vertical="center" wrapText="1"/>
      <protection locked="0"/>
    </xf>
    <xf numFmtId="0" fontId="0" fillId="3" borderId="132" xfId="0" applyFont="1" applyFill="1" applyBorder="1" applyAlignment="1" applyProtection="1">
      <alignment horizontal="left" vertical="top" wrapText="1"/>
      <protection locked="0"/>
    </xf>
    <xf numFmtId="0" fontId="0" fillId="3" borderId="133" xfId="0" applyFont="1" applyFill="1" applyBorder="1" applyAlignment="1" applyProtection="1">
      <alignment horizontal="left" vertical="top" wrapText="1"/>
      <protection locked="0"/>
    </xf>
    <xf numFmtId="0" fontId="0" fillId="3" borderId="134" xfId="0" applyFont="1" applyFill="1" applyBorder="1" applyAlignment="1" applyProtection="1">
      <alignment horizontal="left" vertical="center" wrapText="1"/>
      <protection locked="0"/>
    </xf>
    <xf numFmtId="0" fontId="0" fillId="3" borderId="135" xfId="0" applyFont="1" applyFill="1" applyBorder="1" applyAlignment="1" applyProtection="1">
      <alignment horizontal="left" vertical="center" wrapText="1"/>
      <protection locked="0"/>
    </xf>
    <xf numFmtId="0" fontId="18" fillId="6" borderId="46" xfId="0" applyFont="1" applyFill="1" applyBorder="1" applyAlignment="1" applyProtection="1">
      <alignment horizontal="left" wrapText="1"/>
      <protection locked="0"/>
    </xf>
    <xf numFmtId="0" fontId="18" fillId="6" borderId="22" xfId="0" applyFont="1" applyFill="1" applyBorder="1" applyAlignment="1" applyProtection="1">
      <alignment horizontal="left" wrapText="1"/>
      <protection locked="0"/>
    </xf>
    <xf numFmtId="0" fontId="18" fillId="6" borderId="27" xfId="0" applyFont="1" applyFill="1" applyBorder="1" applyAlignment="1" applyProtection="1">
      <alignment horizontal="left" wrapText="1"/>
      <protection locked="0"/>
    </xf>
    <xf numFmtId="0" fontId="0" fillId="3" borderId="13" xfId="0" applyFont="1" applyFill="1" applyBorder="1" applyAlignment="1" applyProtection="1">
      <alignment horizontal="center" vertical="center"/>
      <protection locked="0"/>
    </xf>
    <xf numFmtId="0" fontId="0" fillId="3" borderId="76"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2" borderId="7"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84" xfId="0" applyFont="1" applyFill="1" applyBorder="1" applyAlignment="1" applyProtection="1">
      <alignment horizontal="left" vertical="center" wrapText="1"/>
      <protection locked="0"/>
    </xf>
    <xf numFmtId="0" fontId="0" fillId="3" borderId="151" xfId="0" applyFont="1" applyFill="1" applyBorder="1" applyAlignment="1" applyProtection="1">
      <alignment horizontal="left" vertical="center" wrapText="1"/>
      <protection locked="0"/>
    </xf>
    <xf numFmtId="0" fontId="0" fillId="3" borderId="13" xfId="0" applyFill="1" applyBorder="1" applyAlignment="1" applyProtection="1">
      <alignment horizontal="center"/>
      <protection locked="0"/>
    </xf>
    <xf numFmtId="0" fontId="0" fillId="3" borderId="76"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14" fillId="2" borderId="7"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84"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wrapText="1"/>
      <protection locked="0"/>
    </xf>
    <xf numFmtId="0" fontId="16" fillId="3" borderId="41" xfId="0" applyFont="1" applyFill="1" applyBorder="1" applyAlignment="1" applyProtection="1">
      <alignment horizontal="left" wrapText="1"/>
      <protection locked="0"/>
    </xf>
    <xf numFmtId="0" fontId="8" fillId="3" borderId="103" xfId="0" applyFont="1" applyFill="1" applyBorder="1" applyAlignment="1" applyProtection="1">
      <alignment horizontal="right" vertical="center" wrapText="1"/>
      <protection locked="0"/>
    </xf>
    <xf numFmtId="0" fontId="8" fillId="3" borderId="71" xfId="0" applyFont="1" applyFill="1" applyBorder="1" applyAlignment="1" applyProtection="1">
      <alignment horizontal="right" vertical="center" wrapText="1"/>
      <protection locked="0"/>
    </xf>
    <xf numFmtId="0" fontId="8" fillId="3" borderId="62" xfId="0" applyFont="1" applyFill="1" applyBorder="1" applyAlignment="1" applyProtection="1">
      <alignment horizontal="right" vertical="center" wrapText="1"/>
      <protection locked="0"/>
    </xf>
    <xf numFmtId="0" fontId="8" fillId="3" borderId="72" xfId="0" applyFont="1" applyFill="1" applyBorder="1" applyAlignment="1" applyProtection="1">
      <alignment horizontal="right" vertical="center" wrapText="1"/>
      <protection locked="0"/>
    </xf>
    <xf numFmtId="164" fontId="0" fillId="2" borderId="7" xfId="0" applyNumberFormat="1" applyFont="1" applyFill="1" applyBorder="1" applyAlignment="1" applyProtection="1">
      <alignment horizontal="center" vertical="center" wrapText="1"/>
      <protection locked="0"/>
    </xf>
    <xf numFmtId="164" fontId="0" fillId="2" borderId="84" xfId="0" applyNumberFormat="1" applyFont="1" applyFill="1" applyBorder="1" applyAlignment="1" applyProtection="1">
      <alignment horizontal="center" vertical="center" wrapText="1"/>
      <protection locked="0"/>
    </xf>
    <xf numFmtId="0" fontId="2" fillId="3" borderId="46" xfId="0" applyFont="1" applyFill="1" applyBorder="1" applyAlignment="1" applyProtection="1">
      <alignment horizontal="right" vertical="center" wrapText="1"/>
      <protection locked="0"/>
    </xf>
    <xf numFmtId="0" fontId="2" fillId="3" borderId="22" xfId="0" applyFont="1" applyFill="1" applyBorder="1" applyAlignment="1" applyProtection="1">
      <alignment horizontal="right" vertical="center" wrapText="1"/>
      <protection locked="0"/>
    </xf>
    <xf numFmtId="0" fontId="2" fillId="3" borderId="84" xfId="0" applyFont="1" applyFill="1" applyBorder="1" applyAlignment="1" applyProtection="1">
      <alignment horizontal="right" vertical="center" wrapText="1"/>
      <protection locked="0"/>
    </xf>
    <xf numFmtId="0" fontId="2" fillId="3" borderId="55" xfId="0" applyFont="1" applyFill="1" applyBorder="1" applyAlignment="1" applyProtection="1">
      <alignment horizontal="right" vertical="center" wrapText="1"/>
      <protection locked="0"/>
    </xf>
    <xf numFmtId="0" fontId="2" fillId="3" borderId="21" xfId="0" applyFont="1" applyFill="1" applyBorder="1" applyAlignment="1" applyProtection="1">
      <alignment horizontal="right" vertical="center" wrapText="1"/>
      <protection locked="0"/>
    </xf>
    <xf numFmtId="0" fontId="2" fillId="3" borderId="103" xfId="0" applyFont="1" applyFill="1" applyBorder="1" applyAlignment="1" applyProtection="1">
      <alignment horizontal="right" vertical="center" wrapText="1"/>
      <protection locked="0"/>
    </xf>
    <xf numFmtId="0" fontId="2" fillId="3" borderId="28" xfId="0" applyFont="1" applyFill="1" applyBorder="1" applyAlignment="1" applyProtection="1">
      <alignment horizontal="right" vertical="center" wrapText="1"/>
      <protection locked="0"/>
    </xf>
    <xf numFmtId="0" fontId="2" fillId="3" borderId="46" xfId="0" applyFont="1" applyFill="1" applyBorder="1" applyAlignment="1" applyProtection="1">
      <alignment horizontal="right" vertical="center"/>
      <protection locked="0"/>
    </xf>
    <xf numFmtId="0" fontId="2" fillId="3" borderId="84" xfId="0" applyFont="1" applyFill="1" applyBorder="1" applyAlignment="1" applyProtection="1">
      <alignment horizontal="right" vertical="center"/>
      <protection locked="0"/>
    </xf>
    <xf numFmtId="1" fontId="0" fillId="2" borderId="13" xfId="0" applyNumberFormat="1" applyFill="1" applyBorder="1" applyAlignment="1" applyProtection="1">
      <alignment horizontal="center" vertical="center"/>
      <protection locked="0"/>
    </xf>
    <xf numFmtId="1" fontId="0" fillId="2" borderId="2" xfId="0" applyNumberFormat="1" applyFill="1" applyBorder="1" applyAlignment="1" applyProtection="1">
      <alignment horizontal="center" vertical="center"/>
      <protection locked="0"/>
    </xf>
    <xf numFmtId="0" fontId="0" fillId="2" borderId="26"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41" xfId="0" applyFont="1" applyFill="1" applyBorder="1" applyAlignment="1" applyProtection="1">
      <alignment horizontal="left" vertical="center"/>
      <protection locked="0"/>
    </xf>
    <xf numFmtId="0" fontId="2" fillId="3" borderId="25" xfId="0" applyFont="1" applyFill="1" applyBorder="1" applyAlignment="1" applyProtection="1">
      <alignment horizontal="right" vertical="center" wrapText="1"/>
      <protection locked="0"/>
    </xf>
    <xf numFmtId="0" fontId="2" fillId="3" borderId="1" xfId="0" applyFont="1" applyFill="1" applyBorder="1" applyAlignment="1" applyProtection="1">
      <alignment horizontal="right" vertical="center" wrapText="1"/>
      <protection locked="0"/>
    </xf>
    <xf numFmtId="170" fontId="0" fillId="2" borderId="7" xfId="0" applyNumberFormat="1" applyFont="1" applyFill="1" applyBorder="1" applyAlignment="1" applyProtection="1">
      <alignment horizontal="right" vertical="center"/>
      <protection locked="0"/>
    </xf>
    <xf numFmtId="170" fontId="0" fillId="2" borderId="84" xfId="0" applyNumberFormat="1" applyFont="1" applyFill="1" applyBorder="1" applyAlignment="1" applyProtection="1">
      <alignment horizontal="right" vertical="center"/>
      <protection locked="0"/>
    </xf>
    <xf numFmtId="0" fontId="5" fillId="5" borderId="73" xfId="0" applyFont="1" applyFill="1" applyBorder="1" applyAlignment="1" applyProtection="1">
      <alignment wrapText="1"/>
      <protection locked="0"/>
    </xf>
    <xf numFmtId="0" fontId="0" fillId="0" borderId="74" xfId="0" applyBorder="1" applyAlignment="1" applyProtection="1">
      <alignment wrapText="1"/>
      <protection locked="0"/>
    </xf>
    <xf numFmtId="0" fontId="0" fillId="0" borderId="75" xfId="0" applyBorder="1" applyAlignment="1" applyProtection="1">
      <alignment wrapText="1"/>
      <protection locked="0"/>
    </xf>
    <xf numFmtId="166" fontId="0" fillId="0" borderId="7" xfId="0" applyNumberFormat="1" applyFont="1" applyFill="1" applyBorder="1" applyAlignment="1" applyProtection="1">
      <alignment horizontal="right" vertical="center"/>
      <protection/>
    </xf>
    <xf numFmtId="166" fontId="0" fillId="0" borderId="84" xfId="0" applyNumberFormat="1" applyFont="1" applyFill="1" applyBorder="1" applyAlignment="1" applyProtection="1">
      <alignment horizontal="right" vertical="center"/>
      <protection/>
    </xf>
    <xf numFmtId="0" fontId="2"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right" vertical="center"/>
      <protection locked="0"/>
    </xf>
    <xf numFmtId="0" fontId="0" fillId="3" borderId="0" xfId="0" applyFont="1" applyFill="1" applyBorder="1" applyAlignment="1" applyProtection="1">
      <alignment horizontal="left" vertical="center"/>
      <protection locked="0"/>
    </xf>
    <xf numFmtId="0" fontId="12" fillId="2" borderId="7" xfId="0" applyFont="1" applyFill="1" applyBorder="1" applyAlignment="1" applyProtection="1">
      <alignment horizontal="left"/>
      <protection locked="0"/>
    </xf>
    <xf numFmtId="0" fontId="12" fillId="2" borderId="22" xfId="0" applyFont="1" applyFill="1" applyBorder="1" applyAlignment="1" applyProtection="1">
      <alignment horizontal="left"/>
      <protection locked="0"/>
    </xf>
    <xf numFmtId="0" fontId="12" fillId="2" borderId="84" xfId="0" applyFont="1" applyFill="1" applyBorder="1" applyAlignment="1" applyProtection="1">
      <alignment horizontal="left"/>
      <protection locked="0"/>
    </xf>
    <xf numFmtId="0" fontId="0" fillId="7" borderId="165" xfId="0" applyFill="1" applyBorder="1" applyAlignment="1" applyProtection="1">
      <alignment horizontal="left" vertical="center"/>
      <protection/>
    </xf>
    <xf numFmtId="0" fontId="0" fillId="7" borderId="166" xfId="0" applyFill="1" applyBorder="1" applyAlignment="1" applyProtection="1">
      <alignment horizontal="left" vertical="center"/>
      <protection/>
    </xf>
    <xf numFmtId="0" fontId="0" fillId="7" borderId="167" xfId="0" applyFill="1" applyBorder="1" applyAlignment="1" applyProtection="1">
      <alignment horizontal="left" vertical="center"/>
      <protection/>
    </xf>
    <xf numFmtId="0" fontId="0" fillId="7" borderId="152" xfId="0" applyFill="1" applyBorder="1" applyAlignment="1" applyProtection="1">
      <alignment horizontal="left" vertical="top" wrapText="1"/>
      <protection locked="0"/>
    </xf>
    <xf numFmtId="0" fontId="0" fillId="0" borderId="153" xfId="0" applyBorder="1" applyAlignment="1" applyProtection="1">
      <alignment horizontal="left" vertical="top" wrapText="1"/>
      <protection locked="0"/>
    </xf>
    <xf numFmtId="0" fontId="0" fillId="0" borderId="154" xfId="0" applyBorder="1" applyAlignment="1" applyProtection="1">
      <alignment horizontal="left" vertical="top" wrapText="1"/>
      <protection locked="0"/>
    </xf>
    <xf numFmtId="0" fontId="12" fillId="3" borderId="22" xfId="0" applyFont="1" applyFill="1" applyBorder="1" applyAlignment="1" applyProtection="1">
      <alignment horizontal="left" vertical="center" wrapText="1"/>
      <protection/>
    </xf>
    <xf numFmtId="0" fontId="12" fillId="3" borderId="151" xfId="0" applyFont="1" applyFill="1" applyBorder="1" applyAlignment="1" applyProtection="1">
      <alignment horizontal="left" vertical="center" wrapText="1"/>
      <protection/>
    </xf>
    <xf numFmtId="0" fontId="28" fillId="6" borderId="67" xfId="0" applyFont="1" applyFill="1" applyBorder="1" applyAlignment="1" applyProtection="1">
      <alignment horizontal="left" vertical="center"/>
      <protection locked="0"/>
    </xf>
    <xf numFmtId="0" fontId="28" fillId="6" borderId="68" xfId="0" applyFont="1" applyFill="1" applyBorder="1" applyAlignment="1" applyProtection="1">
      <alignment horizontal="left" vertical="center"/>
      <protection locked="0"/>
    </xf>
    <xf numFmtId="0" fontId="28" fillId="6" borderId="131" xfId="0" applyFont="1" applyFill="1" applyBorder="1" applyAlignment="1" applyProtection="1">
      <alignment horizontal="left" vertical="center"/>
      <protection locked="0"/>
    </xf>
    <xf numFmtId="3" fontId="24" fillId="2" borderId="26" xfId="0" applyNumberFormat="1" applyFont="1" applyFill="1" applyBorder="1" applyAlignment="1" applyProtection="1">
      <alignment horizontal="center" vertical="center"/>
      <protection locked="0"/>
    </xf>
    <xf numFmtId="3" fontId="24" fillId="2" borderId="71" xfId="0" applyNumberFormat="1" applyFont="1" applyFill="1" applyBorder="1" applyAlignment="1" applyProtection="1">
      <alignment horizontal="center" vertical="center"/>
      <protection locked="0"/>
    </xf>
    <xf numFmtId="3" fontId="24" fillId="2" borderId="1" xfId="0" applyNumberFormat="1" applyFont="1" applyFill="1" applyBorder="1" applyAlignment="1" applyProtection="1">
      <alignment horizontal="center" vertical="center"/>
      <protection locked="0"/>
    </xf>
    <xf numFmtId="3" fontId="24" fillId="2" borderId="72" xfId="0" applyNumberFormat="1" applyFont="1" applyFill="1" applyBorder="1" applyAlignment="1" applyProtection="1">
      <alignment horizontal="center" vertical="center"/>
      <protection locked="0"/>
    </xf>
    <xf numFmtId="0" fontId="26" fillId="3" borderId="47" xfId="0" applyFont="1" applyFill="1" applyBorder="1" applyAlignment="1" applyProtection="1">
      <alignment horizontal="right" vertical="center" wrapText="1"/>
      <protection/>
    </xf>
    <xf numFmtId="0" fontId="26" fillId="3" borderId="0" xfId="0" applyFont="1" applyFill="1" applyBorder="1" applyAlignment="1" applyProtection="1">
      <alignment horizontal="right" vertical="center" wrapText="1"/>
      <protection/>
    </xf>
    <xf numFmtId="0" fontId="26" fillId="3" borderId="71" xfId="0" applyFont="1" applyFill="1" applyBorder="1" applyAlignment="1" applyProtection="1">
      <alignment horizontal="right" vertical="center" wrapText="1"/>
      <protection/>
    </xf>
    <xf numFmtId="0" fontId="26" fillId="3" borderId="62" xfId="0" applyFont="1" applyFill="1" applyBorder="1" applyAlignment="1" applyProtection="1">
      <alignment horizontal="right" vertical="center" wrapText="1"/>
      <protection/>
    </xf>
    <xf numFmtId="0" fontId="26" fillId="3" borderId="28" xfId="0" applyFont="1" applyFill="1" applyBorder="1" applyAlignment="1" applyProtection="1">
      <alignment horizontal="right" vertical="center" wrapText="1"/>
      <protection/>
    </xf>
    <xf numFmtId="0" fontId="26" fillId="3" borderId="72" xfId="0" applyFont="1" applyFill="1" applyBorder="1" applyAlignment="1" applyProtection="1">
      <alignment horizontal="right" vertical="center" wrapText="1"/>
      <protection/>
    </xf>
    <xf numFmtId="0" fontId="12" fillId="2" borderId="139" xfId="0" applyFont="1" applyFill="1" applyBorder="1" applyAlignment="1" applyProtection="1">
      <alignment horizontal="left" vertical="center"/>
      <protection locked="0"/>
    </xf>
    <xf numFmtId="0" fontId="12" fillId="2" borderId="56" xfId="0" applyFont="1" applyFill="1" applyBorder="1" applyAlignment="1" applyProtection="1">
      <alignment horizontal="left" vertical="center"/>
      <protection locked="0"/>
    </xf>
    <xf numFmtId="0" fontId="12" fillId="2" borderId="138"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12" fillId="2" borderId="28"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24" fillId="3" borderId="46" xfId="0" applyFont="1" applyFill="1" applyBorder="1" applyAlignment="1" applyProtection="1">
      <alignment horizontal="right" vertical="center"/>
      <protection/>
    </xf>
    <xf numFmtId="0" fontId="24" fillId="3" borderId="84" xfId="0" applyFont="1" applyFill="1" applyBorder="1" applyAlignment="1" applyProtection="1">
      <alignment horizontal="right" vertical="center"/>
      <protection/>
    </xf>
    <xf numFmtId="0" fontId="24" fillId="3" borderId="137" xfId="0" applyFont="1" applyFill="1" applyBorder="1" applyAlignment="1" applyProtection="1">
      <alignment horizontal="right" vertical="center"/>
      <protection/>
    </xf>
    <xf numFmtId="0" fontId="24" fillId="3" borderId="138" xfId="0" applyFont="1" applyFill="1" applyBorder="1" applyAlignment="1" applyProtection="1">
      <alignment horizontal="right" vertical="center"/>
      <protection/>
    </xf>
    <xf numFmtId="0" fontId="30" fillId="5" borderId="73" xfId="0" applyFont="1" applyFill="1" applyBorder="1" applyAlignment="1" applyProtection="1">
      <alignment horizontal="left" vertical="center"/>
      <protection locked="0"/>
    </xf>
    <xf numFmtId="0" fontId="30" fillId="5" borderId="74" xfId="0" applyFont="1" applyFill="1" applyBorder="1" applyAlignment="1" applyProtection="1">
      <alignment horizontal="left" vertical="center"/>
      <protection locked="0"/>
    </xf>
    <xf numFmtId="0" fontId="30" fillId="5" borderId="75" xfId="0" applyFont="1" applyFill="1" applyBorder="1" applyAlignment="1" applyProtection="1">
      <alignment horizontal="left" vertical="center"/>
      <protection locked="0"/>
    </xf>
    <xf numFmtId="0" fontId="12" fillId="7" borderId="124" xfId="0" applyFont="1" applyFill="1" applyBorder="1" applyAlignment="1" applyProtection="1">
      <alignment horizontal="left" vertical="top" wrapText="1"/>
      <protection locked="0"/>
    </xf>
    <xf numFmtId="0" fontId="12" fillId="7" borderId="125" xfId="0" applyFont="1" applyFill="1" applyBorder="1" applyAlignment="1" applyProtection="1">
      <alignment horizontal="left" vertical="top" wrapText="1"/>
      <protection locked="0"/>
    </xf>
    <xf numFmtId="0" fontId="12" fillId="7" borderId="126" xfId="0" applyFont="1" applyFill="1" applyBorder="1" applyAlignment="1" applyProtection="1">
      <alignment horizontal="left" vertical="top" wrapText="1"/>
      <protection locked="0"/>
    </xf>
    <xf numFmtId="0" fontId="12" fillId="7" borderId="47" xfId="0" applyFont="1" applyFill="1" applyBorder="1" applyAlignment="1" applyProtection="1">
      <alignment horizontal="left" vertical="top" wrapText="1"/>
      <protection locked="0"/>
    </xf>
    <xf numFmtId="0" fontId="12" fillId="7" borderId="0" xfId="0" applyFont="1" applyFill="1" applyBorder="1" applyAlignment="1" applyProtection="1">
      <alignment horizontal="left" vertical="top" wrapText="1"/>
      <protection locked="0"/>
    </xf>
    <xf numFmtId="0" fontId="12" fillId="7" borderId="41" xfId="0" applyFont="1" applyFill="1" applyBorder="1" applyAlignment="1" applyProtection="1">
      <alignment horizontal="left" vertical="top" wrapText="1"/>
      <protection locked="0"/>
    </xf>
    <xf numFmtId="0" fontId="12" fillId="7" borderId="48" xfId="0" applyFont="1" applyFill="1" applyBorder="1" applyAlignment="1" applyProtection="1">
      <alignment horizontal="left" vertical="top" wrapText="1"/>
      <protection locked="0"/>
    </xf>
    <xf numFmtId="0" fontId="12" fillId="7" borderId="24" xfId="0" applyFont="1" applyFill="1" applyBorder="1" applyAlignment="1" applyProtection="1">
      <alignment horizontal="left" vertical="top" wrapText="1"/>
      <protection locked="0"/>
    </xf>
    <xf numFmtId="0" fontId="12" fillId="7" borderId="10" xfId="0" applyFont="1" applyFill="1" applyBorder="1" applyAlignment="1" applyProtection="1">
      <alignment horizontal="left" vertical="top" wrapText="1"/>
      <protection locked="0"/>
    </xf>
    <xf numFmtId="0" fontId="12" fillId="3" borderId="7" xfId="0" applyFont="1" applyFill="1" applyBorder="1" applyAlignment="1" applyProtection="1">
      <alignment horizontal="left" vertical="center" wrapText="1"/>
      <protection locked="0"/>
    </xf>
    <xf numFmtId="0" fontId="12" fillId="3" borderId="22" xfId="0" applyFont="1" applyFill="1" applyBorder="1" applyAlignment="1" applyProtection="1">
      <alignment horizontal="left" vertical="center" wrapText="1"/>
      <protection locked="0"/>
    </xf>
    <xf numFmtId="0" fontId="12" fillId="3" borderId="84" xfId="0" applyFont="1" applyFill="1" applyBorder="1" applyAlignment="1" applyProtection="1">
      <alignment horizontal="left" vertical="center" wrapText="1"/>
      <protection locked="0"/>
    </xf>
    <xf numFmtId="0" fontId="36" fillId="3" borderId="0" xfId="0" applyFont="1" applyFill="1" applyBorder="1" applyAlignment="1" applyProtection="1">
      <alignment horizontal="center" wrapText="1"/>
      <protection locked="0"/>
    </xf>
    <xf numFmtId="2" fontId="31" fillId="0" borderId="7" xfId="0" applyNumberFormat="1" applyFont="1" applyFill="1" applyBorder="1" applyAlignment="1" applyProtection="1">
      <alignment horizontal="center" vertical="center"/>
      <protection/>
    </xf>
    <xf numFmtId="2" fontId="31" fillId="0" borderId="84" xfId="0" applyNumberFormat="1" applyFont="1" applyFill="1" applyBorder="1" applyAlignment="1" applyProtection="1">
      <alignment horizontal="center" vertical="center"/>
      <protection/>
    </xf>
    <xf numFmtId="1" fontId="34" fillId="2" borderId="7" xfId="0" applyNumberFormat="1" applyFont="1" applyFill="1" applyBorder="1" applyAlignment="1" applyProtection="1">
      <alignment horizontal="right" wrapText="1"/>
      <protection locked="0"/>
    </xf>
    <xf numFmtId="1" fontId="0" fillId="0" borderId="84" xfId="0" applyNumberFormat="1" applyBorder="1" applyAlignment="1" applyProtection="1">
      <alignment/>
      <protection locked="0"/>
    </xf>
    <xf numFmtId="0" fontId="30" fillId="5" borderId="73" xfId="0" applyFont="1" applyFill="1" applyBorder="1" applyAlignment="1" applyProtection="1">
      <alignment horizontal="left" vertical="center" wrapText="1"/>
      <protection locked="0"/>
    </xf>
    <xf numFmtId="0" fontId="30" fillId="5" borderId="74" xfId="0" applyFont="1" applyFill="1" applyBorder="1" applyAlignment="1" applyProtection="1">
      <alignment horizontal="left" vertical="center" wrapText="1"/>
      <protection locked="0"/>
    </xf>
    <xf numFmtId="0" fontId="30" fillId="5" borderId="75" xfId="0" applyFont="1" applyFill="1" applyBorder="1" applyAlignment="1" applyProtection="1">
      <alignment horizontal="left" vertical="center" wrapText="1"/>
      <protection locked="0"/>
    </xf>
    <xf numFmtId="0" fontId="34" fillId="3" borderId="0" xfId="0" applyFont="1" applyFill="1" applyBorder="1" applyAlignment="1" applyProtection="1">
      <alignment horizontal="left" wrapText="1"/>
      <protection locked="0"/>
    </xf>
    <xf numFmtId="0" fontId="34" fillId="3" borderId="71" xfId="0" applyFont="1" applyFill="1" applyBorder="1" applyAlignment="1" applyProtection="1">
      <alignment horizontal="left" wrapText="1"/>
      <protection locked="0"/>
    </xf>
    <xf numFmtId="0" fontId="12" fillId="3" borderId="47" xfId="0" applyFont="1" applyFill="1" applyBorder="1" applyAlignment="1" applyProtection="1">
      <alignment horizontal="center"/>
      <protection locked="0"/>
    </xf>
    <xf numFmtId="0" fontId="12" fillId="3" borderId="71" xfId="0" applyFont="1" applyFill="1" applyBorder="1" applyAlignment="1" applyProtection="1">
      <alignment horizontal="center"/>
      <protection locked="0"/>
    </xf>
    <xf numFmtId="0" fontId="29" fillId="5" borderId="50" xfId="0" applyFont="1" applyFill="1" applyBorder="1" applyAlignment="1" applyProtection="1">
      <alignment horizontal="left"/>
      <protection locked="0"/>
    </xf>
    <xf numFmtId="0" fontId="29" fillId="5" borderId="77" xfId="0" applyFont="1" applyFill="1" applyBorder="1" applyAlignment="1" applyProtection="1">
      <alignment horizontal="left"/>
      <protection locked="0"/>
    </xf>
    <xf numFmtId="2" fontId="32" fillId="0" borderId="83" xfId="0" applyNumberFormat="1" applyFont="1" applyFill="1" applyBorder="1" applyAlignment="1" applyProtection="1">
      <alignment horizontal="right" vertical="center"/>
      <protection/>
    </xf>
    <xf numFmtId="2" fontId="32" fillId="0" borderId="43" xfId="0" applyNumberFormat="1" applyFont="1" applyFill="1" applyBorder="1" applyAlignment="1" applyProtection="1">
      <alignment horizontal="right" vertical="center"/>
      <protection/>
    </xf>
    <xf numFmtId="0" fontId="29" fillId="5" borderId="42" xfId="0" applyFont="1" applyFill="1" applyBorder="1" applyAlignment="1" applyProtection="1">
      <alignment horizontal="left"/>
      <protection locked="0"/>
    </xf>
    <xf numFmtId="0" fontId="32" fillId="0" borderId="43" xfId="0" applyFont="1" applyFill="1" applyBorder="1" applyAlignment="1" applyProtection="1">
      <alignment horizontal="right" vertical="center"/>
      <protection/>
    </xf>
    <xf numFmtId="170" fontId="12" fillId="2" borderId="7" xfId="0" applyNumberFormat="1" applyFont="1" applyFill="1" applyBorder="1" applyAlignment="1" applyProtection="1">
      <alignment horizontal="right" vertical="center"/>
      <protection locked="0"/>
    </xf>
    <xf numFmtId="170" fontId="12" fillId="2" borderId="84" xfId="0" applyNumberFormat="1" applyFont="1" applyFill="1" applyBorder="1" applyAlignment="1" applyProtection="1">
      <alignment horizontal="right" vertical="center"/>
      <protection locked="0"/>
    </xf>
    <xf numFmtId="0" fontId="12" fillId="7" borderId="42" xfId="0" applyFont="1" applyFill="1" applyBorder="1" applyAlignment="1" applyProtection="1">
      <alignment horizontal="left" vertical="top" wrapText="1"/>
      <protection/>
    </xf>
    <xf numFmtId="0" fontId="12" fillId="7" borderId="50" xfId="0" applyFont="1" applyFill="1" applyBorder="1" applyAlignment="1" applyProtection="1">
      <alignment horizontal="left" vertical="top" wrapText="1"/>
      <protection/>
    </xf>
    <xf numFmtId="0" fontId="12" fillId="7" borderId="77" xfId="0" applyFont="1" applyFill="1" applyBorder="1" applyAlignment="1" applyProtection="1">
      <alignment horizontal="left" vertical="top" wrapText="1"/>
      <protection/>
    </xf>
    <xf numFmtId="0" fontId="12" fillId="7" borderId="108" xfId="0" applyFont="1" applyFill="1" applyBorder="1" applyAlignment="1" applyProtection="1">
      <alignment horizontal="left" vertical="top" wrapText="1"/>
      <protection/>
    </xf>
    <xf numFmtId="0" fontId="12" fillId="7" borderId="109" xfId="0" applyFont="1" applyFill="1" applyBorder="1" applyAlignment="1" applyProtection="1">
      <alignment horizontal="left" vertical="top" wrapText="1"/>
      <protection/>
    </xf>
    <xf numFmtId="0" fontId="12" fillId="7" borderId="110" xfId="0" applyFont="1" applyFill="1" applyBorder="1" applyAlignment="1" applyProtection="1">
      <alignment horizontal="left" vertical="top" wrapText="1"/>
      <protection/>
    </xf>
    <xf numFmtId="0" fontId="12" fillId="3" borderId="7" xfId="0" applyFont="1" applyFill="1" applyBorder="1" applyAlignment="1" applyProtection="1">
      <alignment horizontal="left" wrapText="1"/>
      <protection locked="0"/>
    </xf>
    <xf numFmtId="0" fontId="12" fillId="3" borderId="22" xfId="0" applyFont="1" applyFill="1" applyBorder="1" applyAlignment="1" applyProtection="1">
      <alignment horizontal="left" wrapText="1"/>
      <protection locked="0"/>
    </xf>
    <xf numFmtId="0" fontId="12" fillId="3" borderId="84" xfId="0" applyFont="1" applyFill="1" applyBorder="1" applyAlignment="1" applyProtection="1">
      <alignment horizontal="left" wrapText="1"/>
      <protection locked="0"/>
    </xf>
    <xf numFmtId="0" fontId="12" fillId="3" borderId="0" xfId="0" applyFont="1" applyFill="1" applyBorder="1" applyAlignment="1" applyProtection="1">
      <alignment horizontal="left" vertical="center" wrapText="1"/>
      <protection locked="0"/>
    </xf>
    <xf numFmtId="0" fontId="26" fillId="3" borderId="55" xfId="0" applyFont="1" applyFill="1" applyBorder="1" applyAlignment="1" applyProtection="1">
      <alignment horizontal="right" vertical="center" wrapText="1"/>
      <protection/>
    </xf>
    <xf numFmtId="0" fontId="26" fillId="3" borderId="103" xfId="0" applyFont="1" applyFill="1" applyBorder="1" applyAlignment="1" applyProtection="1">
      <alignment horizontal="right" vertical="center" wrapText="1"/>
      <protection/>
    </xf>
    <xf numFmtId="0" fontId="12" fillId="3" borderId="7" xfId="0" applyFont="1" applyFill="1" applyBorder="1" applyAlignment="1" applyProtection="1">
      <alignment horizontal="left" vertical="center" wrapText="1"/>
      <protection locked="0"/>
    </xf>
    <xf numFmtId="0" fontId="12" fillId="3" borderId="22" xfId="0" applyFont="1" applyFill="1" applyBorder="1" applyAlignment="1" applyProtection="1">
      <alignment horizontal="left" vertical="center" wrapText="1"/>
      <protection locked="0"/>
    </xf>
    <xf numFmtId="0" fontId="12" fillId="3" borderId="84" xfId="0" applyFont="1" applyFill="1" applyBorder="1" applyAlignment="1" applyProtection="1">
      <alignment horizontal="left" vertical="center" wrapText="1"/>
      <protection locked="0"/>
    </xf>
    <xf numFmtId="0" fontId="24" fillId="3" borderId="55" xfId="0" applyFont="1" applyFill="1" applyBorder="1" applyAlignment="1" applyProtection="1">
      <alignment horizontal="right" vertical="center" wrapText="1"/>
      <protection locked="0"/>
    </xf>
    <xf numFmtId="0" fontId="24" fillId="3" borderId="21" xfId="0" applyFont="1" applyFill="1" applyBorder="1" applyAlignment="1" applyProtection="1">
      <alignment horizontal="right" vertical="center" wrapText="1"/>
      <protection locked="0"/>
    </xf>
    <xf numFmtId="0" fontId="24" fillId="3" borderId="103" xfId="0" applyFont="1" applyFill="1" applyBorder="1" applyAlignment="1" applyProtection="1">
      <alignment horizontal="right" vertical="center" wrapText="1"/>
      <protection locked="0"/>
    </xf>
    <xf numFmtId="0" fontId="24" fillId="3" borderId="48" xfId="0" applyFont="1" applyFill="1" applyBorder="1" applyAlignment="1" applyProtection="1">
      <alignment horizontal="right" vertical="center" wrapText="1"/>
      <protection locked="0"/>
    </xf>
    <xf numFmtId="0" fontId="24" fillId="3" borderId="24" xfId="0" applyFont="1" applyFill="1" applyBorder="1" applyAlignment="1" applyProtection="1">
      <alignment horizontal="right" vertical="center" wrapText="1"/>
      <protection locked="0"/>
    </xf>
    <xf numFmtId="0" fontId="24" fillId="3" borderId="105" xfId="0" applyFont="1" applyFill="1" applyBorder="1" applyAlignment="1" applyProtection="1">
      <alignment horizontal="right" vertical="center" wrapText="1"/>
      <protection locked="0"/>
    </xf>
    <xf numFmtId="166" fontId="12" fillId="2" borderId="25" xfId="0" applyNumberFormat="1" applyFont="1" applyFill="1" applyBorder="1" applyAlignment="1" applyProtection="1">
      <alignment horizontal="center" vertical="center"/>
      <protection locked="0"/>
    </xf>
    <xf numFmtId="166" fontId="12" fillId="2" borderId="103" xfId="0" applyNumberFormat="1" applyFont="1" applyFill="1" applyBorder="1" applyAlignment="1" applyProtection="1">
      <alignment horizontal="center" vertical="center"/>
      <protection locked="0"/>
    </xf>
    <xf numFmtId="166" fontId="12" fillId="2" borderId="9" xfId="0" applyNumberFormat="1" applyFont="1" applyFill="1" applyBorder="1" applyAlignment="1" applyProtection="1">
      <alignment horizontal="center" vertical="center"/>
      <protection locked="0"/>
    </xf>
    <xf numFmtId="166" fontId="12" fillId="2" borderId="105" xfId="0" applyNumberFormat="1" applyFont="1" applyFill="1" applyBorder="1" applyAlignment="1" applyProtection="1">
      <alignment horizontal="center" vertical="center"/>
      <protection locked="0"/>
    </xf>
    <xf numFmtId="165" fontId="24" fillId="3" borderId="21" xfId="0" applyNumberFormat="1" applyFont="1" applyFill="1" applyBorder="1" applyAlignment="1" applyProtection="1">
      <alignment horizontal="right" vertical="center" wrapText="1"/>
      <protection locked="0"/>
    </xf>
    <xf numFmtId="165" fontId="24" fillId="3" borderId="103" xfId="0" applyNumberFormat="1" applyFont="1" applyFill="1" applyBorder="1" applyAlignment="1" applyProtection="1">
      <alignment horizontal="right" vertical="center" wrapText="1"/>
      <protection locked="0"/>
    </xf>
    <xf numFmtId="165" fontId="24" fillId="3" borderId="24" xfId="0" applyNumberFormat="1" applyFont="1" applyFill="1" applyBorder="1" applyAlignment="1" applyProtection="1">
      <alignment horizontal="right" vertical="center" wrapText="1"/>
      <protection locked="0"/>
    </xf>
    <xf numFmtId="165" fontId="24" fillId="3" borderId="105" xfId="0" applyNumberFormat="1" applyFont="1" applyFill="1" applyBorder="1" applyAlignment="1" applyProtection="1">
      <alignment horizontal="right" vertical="center" wrapText="1"/>
      <protection locked="0"/>
    </xf>
    <xf numFmtId="0" fontId="25" fillId="8" borderId="83" xfId="0" applyFont="1" applyFill="1" applyBorder="1" applyAlignment="1" applyProtection="1">
      <alignment horizontal="center" vertical="center"/>
      <protection locked="0"/>
    </xf>
    <xf numFmtId="0" fontId="25" fillId="8" borderId="30" xfId="0" applyFont="1" applyFill="1" applyBorder="1" applyAlignment="1" applyProtection="1">
      <alignment horizontal="center" vertical="center"/>
      <protection locked="0"/>
    </xf>
    <xf numFmtId="0" fontId="25" fillId="8" borderId="43"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protection locked="0"/>
    </xf>
    <xf numFmtId="0" fontId="25" fillId="8" borderId="24" xfId="0" applyFont="1" applyFill="1" applyBorder="1" applyAlignment="1" applyProtection="1">
      <alignment horizontal="center" vertical="center"/>
      <protection locked="0"/>
    </xf>
    <xf numFmtId="0" fontId="0" fillId="3" borderId="168" xfId="0" applyFill="1" applyBorder="1" applyAlignment="1" applyProtection="1">
      <alignment horizontal="left" vertical="center" wrapText="1"/>
      <protection/>
    </xf>
    <xf numFmtId="0" fontId="12" fillId="3" borderId="50" xfId="0" applyFont="1" applyFill="1" applyBorder="1" applyAlignment="1" applyProtection="1">
      <alignment horizontal="left" vertical="center" wrapText="1"/>
      <protection/>
    </xf>
    <xf numFmtId="0" fontId="28" fillId="6" borderId="46" xfId="0" applyFont="1" applyFill="1" applyBorder="1" applyAlignment="1" applyProtection="1">
      <alignment horizontal="left" vertical="center" wrapText="1"/>
      <protection/>
    </xf>
    <xf numFmtId="0" fontId="28" fillId="6" borderId="22" xfId="0" applyFont="1" applyFill="1" applyBorder="1" applyAlignment="1" applyProtection="1">
      <alignment horizontal="left" vertical="center" wrapText="1"/>
      <protection/>
    </xf>
    <xf numFmtId="0" fontId="28" fillId="6" borderId="27" xfId="0" applyFont="1" applyFill="1" applyBorder="1" applyAlignment="1" applyProtection="1">
      <alignment horizontal="left" vertical="center" wrapText="1"/>
      <protection/>
    </xf>
    <xf numFmtId="0" fontId="29" fillId="0" borderId="1" xfId="0" applyFont="1" applyFill="1" applyBorder="1" applyAlignment="1" applyProtection="1">
      <alignment horizontal="left" vertical="center" wrapText="1"/>
      <protection/>
    </xf>
    <xf numFmtId="0" fontId="29" fillId="0" borderId="28" xfId="0" applyFont="1" applyFill="1" applyBorder="1" applyAlignment="1" applyProtection="1">
      <alignment horizontal="left" vertical="center" wrapText="1"/>
      <protection/>
    </xf>
    <xf numFmtId="0" fontId="29" fillId="0" borderId="8" xfId="0" applyFont="1" applyFill="1" applyBorder="1" applyAlignment="1" applyProtection="1">
      <alignment horizontal="left" vertical="center" wrapText="1"/>
      <protection/>
    </xf>
    <xf numFmtId="0" fontId="25" fillId="9" borderId="83" xfId="0" applyFont="1" applyFill="1" applyBorder="1" applyAlignment="1" applyProtection="1">
      <alignment horizontal="center" vertical="center"/>
      <protection locked="0"/>
    </xf>
    <xf numFmtId="0" fontId="25" fillId="9" borderId="30" xfId="0" applyFont="1" applyFill="1" applyBorder="1" applyAlignment="1" applyProtection="1">
      <alignment horizontal="center" vertical="center"/>
      <protection locked="0"/>
    </xf>
    <xf numFmtId="0" fontId="25" fillId="9" borderId="43" xfId="0" applyFont="1" applyFill="1" applyBorder="1" applyAlignment="1" applyProtection="1">
      <alignment horizontal="center" vertical="center"/>
      <protection locked="0"/>
    </xf>
    <xf numFmtId="0" fontId="24" fillId="3" borderId="71" xfId="0" applyFont="1" applyFill="1" applyBorder="1" applyAlignment="1" applyProtection="1">
      <alignment horizontal="center" vertical="center"/>
      <protection locked="0"/>
    </xf>
    <xf numFmtId="0" fontId="24" fillId="3" borderId="72" xfId="0" applyFont="1" applyFill="1" applyBorder="1" applyAlignment="1" applyProtection="1">
      <alignment horizontal="center" vertical="center"/>
      <protection locked="0"/>
    </xf>
    <xf numFmtId="0" fontId="26" fillId="3" borderId="62" xfId="0" applyFont="1" applyFill="1" applyBorder="1" applyAlignment="1" applyProtection="1">
      <alignment horizontal="right"/>
      <protection/>
    </xf>
    <xf numFmtId="0" fontId="26" fillId="3" borderId="28" xfId="0" applyFont="1" applyFill="1" applyBorder="1" applyAlignment="1" applyProtection="1">
      <alignment horizontal="right"/>
      <protection/>
    </xf>
    <xf numFmtId="0" fontId="26" fillId="3" borderId="72" xfId="0" applyFont="1" applyFill="1" applyBorder="1" applyAlignment="1" applyProtection="1">
      <alignment horizontal="right"/>
      <protection/>
    </xf>
    <xf numFmtId="0" fontId="12" fillId="2" borderId="22" xfId="0" applyFont="1" applyFill="1" applyBorder="1" applyAlignment="1" applyProtection="1">
      <alignment horizontal="left" vertical="center"/>
      <protection locked="0"/>
    </xf>
    <xf numFmtId="0" fontId="12" fillId="2" borderId="27" xfId="0" applyFont="1" applyFill="1" applyBorder="1" applyAlignment="1" applyProtection="1">
      <alignment horizontal="left" vertical="center"/>
      <protection locked="0"/>
    </xf>
    <xf numFmtId="0" fontId="12" fillId="2" borderId="26"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2" fontId="27" fillId="0" borderId="25" xfId="0" applyNumberFormat="1" applyFont="1" applyBorder="1" applyAlignment="1" applyProtection="1">
      <alignment horizontal="center" vertical="center"/>
      <protection/>
    </xf>
    <xf numFmtId="2" fontId="27" fillId="0" borderId="88" xfId="0" applyNumberFormat="1" applyFont="1" applyBorder="1" applyAlignment="1" applyProtection="1">
      <alignment horizontal="center" vertical="center"/>
      <protection/>
    </xf>
    <xf numFmtId="2" fontId="27" fillId="0" borderId="9" xfId="0" applyNumberFormat="1" applyFont="1" applyBorder="1" applyAlignment="1" applyProtection="1">
      <alignment horizontal="center" vertical="center"/>
      <protection/>
    </xf>
    <xf numFmtId="2" fontId="27" fillId="0" borderId="10" xfId="0" applyNumberFormat="1" applyFont="1" applyBorder="1" applyAlignment="1" applyProtection="1">
      <alignment horizontal="center" vertical="center"/>
      <protection/>
    </xf>
    <xf numFmtId="0" fontId="24" fillId="3" borderId="46" xfId="0" applyFont="1" applyFill="1" applyBorder="1" applyAlignment="1" applyProtection="1">
      <alignment horizontal="right"/>
      <protection/>
    </xf>
    <xf numFmtId="0" fontId="24" fillId="3" borderId="22" xfId="0" applyFont="1" applyFill="1" applyBorder="1" applyAlignment="1" applyProtection="1">
      <alignment horizontal="right"/>
      <protection/>
    </xf>
    <xf numFmtId="0" fontId="24" fillId="3" borderId="84" xfId="0" applyFont="1" applyFill="1" applyBorder="1" applyAlignment="1" applyProtection="1">
      <alignment horizontal="right"/>
      <protection/>
    </xf>
    <xf numFmtId="0" fontId="12" fillId="2" borderId="106"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77"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26" fillId="3" borderId="42" xfId="0" applyFont="1" applyFill="1" applyBorder="1" applyAlignment="1" applyProtection="1">
      <alignment horizontal="right" vertical="top" wrapText="1"/>
      <protection/>
    </xf>
    <xf numFmtId="0" fontId="26" fillId="3" borderId="107" xfId="0" applyFont="1" applyFill="1" applyBorder="1" applyAlignment="1" applyProtection="1">
      <alignment horizontal="right" vertical="top" wrapText="1"/>
      <protection/>
    </xf>
    <xf numFmtId="0" fontId="26" fillId="3" borderId="62" xfId="0" applyFont="1" applyFill="1" applyBorder="1" applyAlignment="1" applyProtection="1">
      <alignment horizontal="right" vertical="top" wrapText="1"/>
      <protection/>
    </xf>
    <xf numFmtId="0" fontId="26" fillId="3" borderId="72" xfId="0" applyFont="1" applyFill="1" applyBorder="1" applyAlignment="1" applyProtection="1">
      <alignment horizontal="right" vertical="top" wrapText="1"/>
      <protection/>
    </xf>
    <xf numFmtId="4" fontId="32" fillId="0" borderId="83" xfId="0" applyNumberFormat="1" applyFont="1" applyBorder="1" applyAlignment="1" applyProtection="1">
      <alignment horizontal="right" vertical="center"/>
      <protection/>
    </xf>
    <xf numFmtId="4" fontId="32" fillId="0" borderId="43" xfId="0" applyNumberFormat="1" applyFont="1" applyBorder="1" applyAlignment="1" applyProtection="1">
      <alignment horizontal="right" vertical="center"/>
      <protection/>
    </xf>
    <xf numFmtId="0" fontId="12" fillId="3" borderId="7" xfId="0" applyFont="1" applyFill="1" applyBorder="1" applyAlignment="1" applyProtection="1">
      <alignment horizontal="left" wrapText="1"/>
      <protection locked="0"/>
    </xf>
    <xf numFmtId="0" fontId="12" fillId="3" borderId="22" xfId="0" applyFont="1" applyFill="1" applyBorder="1" applyAlignment="1" applyProtection="1">
      <alignment horizontal="left" wrapText="1"/>
      <protection locked="0"/>
    </xf>
    <xf numFmtId="0" fontId="12" fillId="3" borderId="84" xfId="0" applyFont="1" applyFill="1" applyBorder="1" applyAlignment="1" applyProtection="1">
      <alignment horizontal="left" wrapText="1"/>
      <protection locked="0"/>
    </xf>
    <xf numFmtId="0" fontId="12" fillId="3" borderId="21" xfId="0" applyFont="1" applyFill="1" applyBorder="1" applyAlignment="1" applyProtection="1">
      <alignment horizontal="left" wrapText="1"/>
      <protection locked="0"/>
    </xf>
    <xf numFmtId="0" fontId="12" fillId="5" borderId="47" xfId="0" applyFont="1" applyFill="1" applyBorder="1" applyAlignment="1" applyProtection="1">
      <alignment horizontal="left" wrapText="1"/>
      <protection locked="0"/>
    </xf>
    <xf numFmtId="0" fontId="12" fillId="5" borderId="0" xfId="0" applyFont="1" applyFill="1" applyBorder="1" applyAlignment="1" applyProtection="1">
      <alignment horizontal="left" wrapText="1"/>
      <protection locked="0"/>
    </xf>
    <xf numFmtId="0" fontId="12" fillId="5" borderId="41" xfId="0" applyFont="1" applyFill="1" applyBorder="1" applyAlignment="1" applyProtection="1">
      <alignment horizontal="left" wrapText="1"/>
      <protection locked="0"/>
    </xf>
    <xf numFmtId="0" fontId="12" fillId="5" borderId="48" xfId="0" applyFont="1" applyFill="1" applyBorder="1" applyAlignment="1" applyProtection="1">
      <alignment horizontal="left" wrapText="1"/>
      <protection locked="0"/>
    </xf>
    <xf numFmtId="0" fontId="12" fillId="5" borderId="24" xfId="0" applyFont="1" applyFill="1" applyBorder="1" applyAlignment="1" applyProtection="1">
      <alignment horizontal="left" wrapText="1"/>
      <protection locked="0"/>
    </xf>
    <xf numFmtId="0" fontId="12" fillId="5" borderId="10" xfId="0" applyFont="1" applyFill="1" applyBorder="1" applyAlignment="1" applyProtection="1">
      <alignment horizontal="left" wrapText="1"/>
      <protection locked="0"/>
    </xf>
    <xf numFmtId="0" fontId="38" fillId="3" borderId="0" xfId="0" applyFont="1" applyFill="1" applyBorder="1" applyAlignment="1" applyProtection="1">
      <alignment horizontal="left" wrapText="1"/>
      <protection locked="0"/>
    </xf>
    <xf numFmtId="0" fontId="30" fillId="5" borderId="48" xfId="0" applyFont="1" applyFill="1" applyBorder="1" applyAlignment="1" applyProtection="1">
      <alignment horizontal="left" vertical="top" wrapText="1"/>
      <protection locked="0"/>
    </xf>
    <xf numFmtId="0" fontId="30" fillId="5" borderId="24" xfId="0" applyFont="1" applyFill="1" applyBorder="1" applyAlignment="1" applyProtection="1">
      <alignment horizontal="left" vertical="top" wrapText="1"/>
      <protection locked="0"/>
    </xf>
    <xf numFmtId="0" fontId="30" fillId="5" borderId="10" xfId="0" applyFont="1" applyFill="1" applyBorder="1" applyAlignment="1" applyProtection="1">
      <alignment horizontal="left" vertical="top" wrapText="1"/>
      <protection locked="0"/>
    </xf>
    <xf numFmtId="166" fontId="12" fillId="0" borderId="7" xfId="0" applyNumberFormat="1" applyFont="1" applyFill="1" applyBorder="1" applyAlignment="1" applyProtection="1">
      <alignment horizontal="center" vertical="center"/>
      <protection/>
    </xf>
    <xf numFmtId="166" fontId="12" fillId="0" borderId="84" xfId="0" applyNumberFormat="1" applyFont="1" applyFill="1" applyBorder="1" applyAlignment="1" applyProtection="1">
      <alignment horizontal="center" vertical="center"/>
      <protection/>
    </xf>
    <xf numFmtId="0" fontId="12" fillId="7" borderId="47" xfId="0" applyFont="1" applyFill="1" applyBorder="1" applyAlignment="1" applyProtection="1">
      <alignment horizontal="left" vertical="top" wrapText="1"/>
      <protection/>
    </xf>
    <xf numFmtId="0" fontId="12" fillId="7" borderId="0" xfId="0" applyFont="1" applyFill="1" applyBorder="1" applyAlignment="1" applyProtection="1">
      <alignment horizontal="left" vertical="top" wrapText="1"/>
      <protection/>
    </xf>
    <xf numFmtId="0" fontId="12" fillId="7" borderId="41" xfId="0" applyFont="1" applyFill="1" applyBorder="1" applyAlignment="1" applyProtection="1">
      <alignment horizontal="left" vertical="top" wrapText="1"/>
      <protection/>
    </xf>
    <xf numFmtId="0" fontId="12" fillId="3" borderId="116" xfId="0" applyFont="1" applyFill="1" applyBorder="1" applyAlignment="1" applyProtection="1">
      <alignment horizontal="center"/>
      <protection locked="0"/>
    </xf>
    <xf numFmtId="0" fontId="12" fillId="3" borderId="50" xfId="0" applyFont="1" applyFill="1" applyBorder="1" applyAlignment="1" applyProtection="1">
      <alignment horizontal="center" wrapText="1"/>
      <protection locked="0"/>
    </xf>
    <xf numFmtId="0" fontId="12" fillId="3" borderId="0" xfId="0" applyFont="1" applyFill="1" applyBorder="1" applyAlignment="1" applyProtection="1">
      <alignment horizontal="center" wrapText="1"/>
      <protection locked="0"/>
    </xf>
    <xf numFmtId="0" fontId="27" fillId="3" borderId="47" xfId="0" applyFont="1" applyFill="1" applyBorder="1" applyAlignment="1" applyProtection="1">
      <alignment horizontal="left" wrapText="1"/>
      <protection locked="0"/>
    </xf>
    <xf numFmtId="0" fontId="27" fillId="3" borderId="0" xfId="0" applyFont="1" applyFill="1" applyBorder="1" applyAlignment="1" applyProtection="1">
      <alignment horizontal="left" wrapText="1"/>
      <protection locked="0"/>
    </xf>
    <xf numFmtId="0" fontId="27" fillId="3" borderId="48" xfId="0" applyFont="1" applyFill="1" applyBorder="1" applyAlignment="1" applyProtection="1">
      <alignment horizontal="left" wrapText="1"/>
      <protection locked="0"/>
    </xf>
    <xf numFmtId="0" fontId="27" fillId="3" borderId="24" xfId="0" applyFont="1" applyFill="1" applyBorder="1" applyAlignment="1" applyProtection="1">
      <alignment horizontal="left" wrapText="1"/>
      <protection locked="0"/>
    </xf>
    <xf numFmtId="0" fontId="26" fillId="3" borderId="42" xfId="0" applyFont="1" applyFill="1" applyBorder="1" applyAlignment="1" applyProtection="1">
      <alignment horizontal="left" vertical="top" wrapText="1"/>
      <protection locked="0"/>
    </xf>
    <xf numFmtId="0" fontId="26" fillId="3" borderId="50" xfId="0" applyFont="1" applyFill="1" applyBorder="1" applyAlignment="1" applyProtection="1">
      <alignment horizontal="left" vertical="top" wrapText="1"/>
      <protection locked="0"/>
    </xf>
    <xf numFmtId="0" fontId="26" fillId="3" borderId="47" xfId="0" applyFont="1" applyFill="1" applyBorder="1" applyAlignment="1" applyProtection="1">
      <alignment horizontal="left" vertical="top" wrapText="1"/>
      <protection locked="0"/>
    </xf>
    <xf numFmtId="0" fontId="26" fillId="3" borderId="0" xfId="0" applyFont="1" applyFill="1" applyBorder="1" applyAlignment="1" applyProtection="1">
      <alignment horizontal="left" vertical="top" wrapText="1"/>
      <protection locked="0"/>
    </xf>
    <xf numFmtId="0" fontId="34" fillId="3" borderId="0" xfId="0" applyFont="1" applyFill="1" applyBorder="1" applyAlignment="1" applyProtection="1">
      <alignment horizontal="right" vertical="center"/>
      <protection locked="0"/>
    </xf>
    <xf numFmtId="0" fontId="34" fillId="3" borderId="71" xfId="0" applyFont="1" applyFill="1" applyBorder="1" applyAlignment="1" applyProtection="1">
      <alignment horizontal="right" vertical="center"/>
      <protection locked="0"/>
    </xf>
    <xf numFmtId="0" fontId="34" fillId="3" borderId="0" xfId="0" applyFont="1" applyFill="1" applyBorder="1" applyAlignment="1" applyProtection="1">
      <alignment horizontal="right" vertical="center" wrapText="1"/>
      <protection locked="0"/>
    </xf>
    <xf numFmtId="0" fontId="34" fillId="3" borderId="71" xfId="0" applyFont="1" applyFill="1" applyBorder="1" applyAlignment="1" applyProtection="1">
      <alignment horizontal="right" vertical="center" wrapText="1"/>
      <protection locked="0"/>
    </xf>
    <xf numFmtId="1" fontId="12" fillId="0" borderId="7" xfId="0" applyNumberFormat="1" applyFont="1" applyFill="1" applyBorder="1" applyAlignment="1" applyProtection="1">
      <alignment horizontal="right" vertical="center"/>
      <protection/>
    </xf>
    <xf numFmtId="1" fontId="12" fillId="0" borderId="84"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241"/>
  <sheetViews>
    <sheetView showGridLines="0" tabSelected="1" workbookViewId="0" topLeftCell="A1">
      <selection activeCell="P16" sqref="P16"/>
    </sheetView>
  </sheetViews>
  <sheetFormatPr defaultColWidth="9.140625" defaultRowHeight="12.75"/>
  <cols>
    <col min="1" max="1" width="9.7109375" style="0" customWidth="1"/>
    <col min="2" max="2" width="5.57421875" style="0" customWidth="1"/>
    <col min="4" max="4" width="8.28125" style="0" customWidth="1"/>
    <col min="5" max="5" width="7.7109375" style="0" customWidth="1"/>
    <col min="6" max="6" width="9.421875" style="0" customWidth="1"/>
    <col min="7" max="7" width="6.7109375" style="0" customWidth="1"/>
    <col min="8" max="8" width="5.00390625" style="0" customWidth="1"/>
    <col min="9" max="9" width="5.57421875" style="0" customWidth="1"/>
    <col min="10" max="10" width="3.8515625" style="0" customWidth="1"/>
    <col min="11" max="11" width="6.57421875" style="0" customWidth="1"/>
    <col min="12" max="16" width="6.00390625" style="0" customWidth="1"/>
    <col min="17" max="17" width="7.00390625" style="0" customWidth="1"/>
    <col min="18" max="18" width="4.7109375" style="0" customWidth="1"/>
    <col min="19" max="19" width="11.140625" style="30" customWidth="1"/>
    <col min="20" max="20" width="9.140625" style="29" customWidth="1"/>
    <col min="21" max="23" width="9.140625" style="23" customWidth="1"/>
  </cols>
  <sheetData>
    <row r="1" spans="1:21" ht="18.75" thickBot="1">
      <c r="A1" s="979" t="s">
        <v>515</v>
      </c>
      <c r="B1" s="980"/>
      <c r="C1" s="980"/>
      <c r="D1" s="980"/>
      <c r="E1" s="980"/>
      <c r="F1" s="980"/>
      <c r="G1" s="980"/>
      <c r="H1" s="980"/>
      <c r="I1" s="980"/>
      <c r="J1" s="980"/>
      <c r="K1" s="980"/>
      <c r="L1" s="980"/>
      <c r="M1" s="980"/>
      <c r="N1" s="980"/>
      <c r="O1" s="980"/>
      <c r="P1" s="980"/>
      <c r="Q1" s="981"/>
      <c r="S1" s="32"/>
      <c r="T1" s="31"/>
      <c r="U1" s="22"/>
    </row>
    <row r="2" spans="1:21" ht="15" customHeight="1">
      <c r="A2" s="886" t="s">
        <v>614</v>
      </c>
      <c r="B2" s="882"/>
      <c r="C2" s="881"/>
      <c r="D2" s="879"/>
      <c r="E2" s="879"/>
      <c r="F2" s="876"/>
      <c r="G2" s="997" t="s">
        <v>602</v>
      </c>
      <c r="H2" s="998"/>
      <c r="I2" s="998"/>
      <c r="J2" s="999"/>
      <c r="K2" s="245" t="s">
        <v>671</v>
      </c>
      <c r="L2" s="6"/>
      <c r="M2" s="7"/>
      <c r="N2" s="8"/>
      <c r="O2" s="9"/>
      <c r="P2" s="6"/>
      <c r="Q2" s="590"/>
      <c r="S2" s="32"/>
      <c r="T2" s="31"/>
      <c r="U2" s="22"/>
    </row>
    <row r="3" spans="1:21" ht="15" customHeight="1">
      <c r="A3" s="883"/>
      <c r="B3" s="884"/>
      <c r="C3" s="877"/>
      <c r="D3" s="878"/>
      <c r="E3" s="878"/>
      <c r="F3" s="875"/>
      <c r="G3" s="1000" t="s">
        <v>615</v>
      </c>
      <c r="H3" s="1001"/>
      <c r="I3" s="1001"/>
      <c r="J3" s="1002"/>
      <c r="K3" s="591" t="s">
        <v>672</v>
      </c>
      <c r="L3" s="10"/>
      <c r="M3" s="11"/>
      <c r="N3" s="11"/>
      <c r="O3" s="10"/>
      <c r="P3" s="11"/>
      <c r="Q3" s="592"/>
      <c r="S3" s="32"/>
      <c r="T3" s="31"/>
      <c r="U3" s="22"/>
    </row>
    <row r="4" spans="1:21" ht="27.75" customHeight="1">
      <c r="A4" s="885"/>
      <c r="B4" s="880"/>
      <c r="C4" s="944"/>
      <c r="D4" s="945"/>
      <c r="E4" s="945"/>
      <c r="F4" s="946"/>
      <c r="G4" s="958"/>
      <c r="H4" s="948"/>
      <c r="I4" s="948"/>
      <c r="J4" s="593"/>
      <c r="K4" s="594"/>
      <c r="L4" s="948" t="s">
        <v>537</v>
      </c>
      <c r="M4" s="948"/>
      <c r="N4" s="948"/>
      <c r="O4" s="595"/>
      <c r="P4" s="594" t="s">
        <v>661</v>
      </c>
      <c r="Q4" s="596"/>
      <c r="S4" s="32"/>
      <c r="T4" s="31"/>
      <c r="U4" s="22"/>
    </row>
    <row r="5" spans="1:21" ht="21" customHeight="1">
      <c r="A5" s="1003" t="s">
        <v>767</v>
      </c>
      <c r="B5" s="1004"/>
      <c r="C5" s="1009"/>
      <c r="D5" s="1010"/>
      <c r="E5" s="1010"/>
      <c r="F5" s="1011"/>
      <c r="G5" s="959"/>
      <c r="H5" s="949"/>
      <c r="I5" s="949"/>
      <c r="J5" s="597"/>
      <c r="K5" s="445"/>
      <c r="L5" s="949"/>
      <c r="M5" s="949"/>
      <c r="N5" s="949"/>
      <c r="O5" s="579"/>
      <c r="P5" s="445" t="s">
        <v>662</v>
      </c>
      <c r="Q5" s="598"/>
      <c r="S5" s="32"/>
      <c r="T5" s="31"/>
      <c r="U5" s="22"/>
    </row>
    <row r="6" spans="1:21" ht="24" customHeight="1">
      <c r="A6" s="1005"/>
      <c r="B6" s="1006"/>
      <c r="C6" s="955"/>
      <c r="D6" s="956"/>
      <c r="E6" s="956"/>
      <c r="F6" s="957"/>
      <c r="G6" s="247"/>
      <c r="H6" s="248"/>
      <c r="I6" s="962"/>
      <c r="J6" s="962"/>
      <c r="K6" s="119"/>
      <c r="L6" s="950" t="s">
        <v>536</v>
      </c>
      <c r="M6" s="950"/>
      <c r="N6" s="114">
        <v>0</v>
      </c>
      <c r="O6" s="1007" t="s">
        <v>540</v>
      </c>
      <c r="P6" s="1008"/>
      <c r="Q6" s="105">
        <v>0</v>
      </c>
      <c r="S6" s="32"/>
      <c r="T6" s="31"/>
      <c r="U6" s="22"/>
    </row>
    <row r="7" spans="1:21" ht="4.5" customHeight="1">
      <c r="A7" s="814"/>
      <c r="B7" s="815"/>
      <c r="C7" s="120"/>
      <c r="D7" s="599"/>
      <c r="E7" s="599"/>
      <c r="F7" s="600"/>
      <c r="G7" s="951" t="s">
        <v>538</v>
      </c>
      <c r="H7" s="952"/>
      <c r="I7" s="952"/>
      <c r="J7" s="601"/>
      <c r="K7" s="601"/>
      <c r="L7" s="303"/>
      <c r="M7" s="303"/>
      <c r="N7" s="292"/>
      <c r="O7" s="602"/>
      <c r="P7" s="293"/>
      <c r="Q7" s="603"/>
      <c r="S7" s="32"/>
      <c r="T7" s="31"/>
      <c r="U7" s="22"/>
    </row>
    <row r="8" spans="1:21" ht="24.75" customHeight="1">
      <c r="A8" s="960" t="s">
        <v>603</v>
      </c>
      <c r="B8" s="961"/>
      <c r="C8" s="955"/>
      <c r="D8" s="956"/>
      <c r="E8" s="956"/>
      <c r="F8" s="957"/>
      <c r="G8" s="953"/>
      <c r="H8" s="954"/>
      <c r="I8" s="954"/>
      <c r="J8" s="604"/>
      <c r="K8" s="102" t="s">
        <v>661</v>
      </c>
      <c r="L8" s="103" t="s">
        <v>662</v>
      </c>
      <c r="M8" s="947" t="s">
        <v>539</v>
      </c>
      <c r="N8" s="947"/>
      <c r="O8" s="114">
        <v>0</v>
      </c>
      <c r="P8" s="104"/>
      <c r="Q8" s="90">
        <v>2</v>
      </c>
      <c r="S8" s="32"/>
      <c r="T8" s="31"/>
      <c r="U8" s="22"/>
    </row>
    <row r="9" spans="1:21" ht="14.25" customHeight="1">
      <c r="A9" s="1013" t="s">
        <v>355</v>
      </c>
      <c r="B9" s="1014"/>
      <c r="C9" s="1014"/>
      <c r="D9" s="1014"/>
      <c r="E9" s="1015"/>
      <c r="F9" s="101">
        <v>0</v>
      </c>
      <c r="G9" s="967" t="s">
        <v>1</v>
      </c>
      <c r="H9" s="968"/>
      <c r="I9" s="968"/>
      <c r="J9" s="969"/>
      <c r="K9" s="982">
        <v>0</v>
      </c>
      <c r="L9" s="983"/>
      <c r="M9" s="120">
        <v>2</v>
      </c>
      <c r="N9" s="993" t="s">
        <v>700</v>
      </c>
      <c r="O9" s="994"/>
      <c r="P9" s="986">
        <f>SUM(P31,P42,P55,P63,P76,I87,I100,I107,I126,I140,I152,I183)</f>
        <v>0</v>
      </c>
      <c r="Q9" s="987"/>
      <c r="S9" s="50"/>
      <c r="T9" s="31"/>
      <c r="U9" s="22"/>
    </row>
    <row r="10" spans="1:21" ht="16.5" customHeight="1" thickBot="1">
      <c r="A10" s="1016" t="s">
        <v>604</v>
      </c>
      <c r="B10" s="1017"/>
      <c r="C10" s="1018"/>
      <c r="D10" s="1019"/>
      <c r="E10" s="605" t="s">
        <v>616</v>
      </c>
      <c r="F10" s="712">
        <f ca="1">IF(C10="","",NOW())</f>
      </c>
      <c r="G10" s="970"/>
      <c r="H10" s="971"/>
      <c r="I10" s="971"/>
      <c r="J10" s="972"/>
      <c r="K10" s="984"/>
      <c r="L10" s="985"/>
      <c r="M10" s="606"/>
      <c r="N10" s="995"/>
      <c r="O10" s="996"/>
      <c r="P10" s="988"/>
      <c r="Q10" s="989"/>
      <c r="S10" s="50"/>
      <c r="T10" s="31"/>
      <c r="U10" s="22"/>
    </row>
    <row r="11" spans="1:21" ht="16.5" customHeight="1" thickBot="1">
      <c r="A11" s="925" t="s">
        <v>823</v>
      </c>
      <c r="B11" s="924"/>
      <c r="C11" s="915">
        <f>IF(F10="","",IF(OR(P13="NO",P14="YES"),"LOW PRIORITY",IF(P16="NO","HIGH PRIORITY","MEDIUM PRIORITY")))</f>
      </c>
      <c r="D11" s="916"/>
      <c r="E11" s="916"/>
      <c r="F11" s="916"/>
      <c r="G11" s="607"/>
      <c r="H11" s="608"/>
      <c r="I11" s="608"/>
      <c r="J11" s="609"/>
      <c r="K11" s="108"/>
      <c r="L11" s="108"/>
      <c r="M11" s="610"/>
      <c r="N11" s="611"/>
      <c r="O11" s="611"/>
      <c r="P11" s="612"/>
      <c r="Q11" s="613"/>
      <c r="S11" s="50"/>
      <c r="T11" s="31"/>
      <c r="U11" s="22"/>
    </row>
    <row r="12" spans="1:21" ht="18.75" thickBot="1">
      <c r="A12" s="990" t="s">
        <v>516</v>
      </c>
      <c r="B12" s="991"/>
      <c r="C12" s="991"/>
      <c r="D12" s="991"/>
      <c r="E12" s="991"/>
      <c r="F12" s="991"/>
      <c r="G12" s="991"/>
      <c r="H12" s="991"/>
      <c r="I12" s="991"/>
      <c r="J12" s="991"/>
      <c r="K12" s="991"/>
      <c r="L12" s="991"/>
      <c r="M12" s="991"/>
      <c r="N12" s="991"/>
      <c r="O12" s="991"/>
      <c r="P12" s="991"/>
      <c r="Q12" s="992"/>
      <c r="S12" s="87"/>
      <c r="T12" s="31"/>
      <c r="U12" s="22"/>
    </row>
    <row r="13" spans="1:21" ht="25.5" customHeight="1" thickBot="1">
      <c r="A13" s="614" t="s">
        <v>541</v>
      </c>
      <c r="B13" s="1105" t="s">
        <v>572</v>
      </c>
      <c r="C13" s="1105"/>
      <c r="D13" s="1105"/>
      <c r="E13" s="1105"/>
      <c r="F13" s="1105"/>
      <c r="G13" s="1105"/>
      <c r="H13" s="1105"/>
      <c r="I13" s="1105"/>
      <c r="J13" s="1105"/>
      <c r="K13" s="1105"/>
      <c r="L13" s="1105"/>
      <c r="M13" s="1105"/>
      <c r="N13" s="1105"/>
      <c r="O13" s="1105"/>
      <c r="P13" s="109"/>
      <c r="Q13" s="615">
        <f>COUNTIF(P13,"NO")</f>
        <v>0</v>
      </c>
      <c r="S13" s="32"/>
      <c r="T13" s="31"/>
      <c r="U13" s="22"/>
    </row>
    <row r="14" spans="1:21" ht="28.5" customHeight="1" thickBot="1">
      <c r="A14" s="616" t="s">
        <v>542</v>
      </c>
      <c r="B14" s="917" t="s">
        <v>278</v>
      </c>
      <c r="C14" s="917"/>
      <c r="D14" s="917"/>
      <c r="E14" s="917"/>
      <c r="F14" s="917"/>
      <c r="G14" s="917"/>
      <c r="H14" s="917"/>
      <c r="I14" s="917"/>
      <c r="J14" s="917"/>
      <c r="K14" s="917"/>
      <c r="L14" s="917"/>
      <c r="M14" s="917"/>
      <c r="N14" s="917"/>
      <c r="O14" s="918"/>
      <c r="P14" s="110"/>
      <c r="Q14" s="617">
        <f>COUNTIF(P13:P14,"NO")</f>
        <v>0</v>
      </c>
      <c r="S14" s="32"/>
      <c r="T14" s="31"/>
      <c r="U14" s="22"/>
    </row>
    <row r="15" spans="1:21" ht="30" customHeight="1" thickBot="1">
      <c r="A15" s="1029" t="s">
        <v>280</v>
      </c>
      <c r="B15" s="1030"/>
      <c r="C15" s="1030"/>
      <c r="D15" s="1030"/>
      <c r="E15" s="1030"/>
      <c r="F15" s="1030"/>
      <c r="G15" s="1030"/>
      <c r="H15" s="1030"/>
      <c r="I15" s="1030"/>
      <c r="J15" s="1030"/>
      <c r="K15" s="1030"/>
      <c r="L15" s="1030"/>
      <c r="M15" s="1030"/>
      <c r="N15" s="1030"/>
      <c r="O15" s="1030"/>
      <c r="P15" s="1031"/>
      <c r="Q15" s="618"/>
      <c r="S15"/>
      <c r="T15" s="31"/>
      <c r="U15" s="22"/>
    </row>
    <row r="16" spans="1:21" ht="52.5" customHeight="1" thickBot="1">
      <c r="A16" s="619" t="s">
        <v>364</v>
      </c>
      <c r="B16" s="922" t="s">
        <v>72</v>
      </c>
      <c r="C16" s="920"/>
      <c r="D16" s="920"/>
      <c r="E16" s="920"/>
      <c r="F16" s="920"/>
      <c r="G16" s="920"/>
      <c r="H16" s="920"/>
      <c r="I16" s="920"/>
      <c r="J16" s="920"/>
      <c r="K16" s="920"/>
      <c r="L16" s="920"/>
      <c r="M16" s="920"/>
      <c r="N16" s="920"/>
      <c r="O16" s="921"/>
      <c r="P16" s="134"/>
      <c r="Q16" s="618"/>
      <c r="S16"/>
      <c r="T16" s="31"/>
      <c r="U16" s="22"/>
    </row>
    <row r="17" spans="1:21" ht="13.5" customHeight="1" thickBot="1">
      <c r="A17" s="620" t="s">
        <v>851</v>
      </c>
      <c r="B17" s="621"/>
      <c r="C17" s="621"/>
      <c r="D17" s="621"/>
      <c r="E17" s="621"/>
      <c r="F17" s="621"/>
      <c r="G17" s="621"/>
      <c r="H17" s="621"/>
      <c r="I17" s="621"/>
      <c r="J17" s="621"/>
      <c r="K17" s="621"/>
      <c r="L17" s="621"/>
      <c r="M17" s="621"/>
      <c r="N17" s="621"/>
      <c r="O17" s="621"/>
      <c r="P17" s="621"/>
      <c r="Q17" s="618"/>
      <c r="S17"/>
      <c r="T17" s="31"/>
      <c r="U17" s="22"/>
    </row>
    <row r="18" spans="1:21" ht="18.75" thickBot="1">
      <c r="A18" s="990" t="s">
        <v>520</v>
      </c>
      <c r="B18" s="991"/>
      <c r="C18" s="991"/>
      <c r="D18" s="991"/>
      <c r="E18" s="991"/>
      <c r="F18" s="991"/>
      <c r="G18" s="991"/>
      <c r="H18" s="991"/>
      <c r="I18" s="991"/>
      <c r="J18" s="991"/>
      <c r="K18" s="991"/>
      <c r="L18" s="991"/>
      <c r="M18" s="991"/>
      <c r="N18" s="991"/>
      <c r="O18" s="991"/>
      <c r="P18" s="991"/>
      <c r="Q18" s="992"/>
      <c r="S18" s="32"/>
      <c r="T18" s="31"/>
      <c r="U18" s="22"/>
    </row>
    <row r="19" spans="1:21" ht="15.75">
      <c r="A19" s="622" t="s">
        <v>798</v>
      </c>
      <c r="B19" s="412"/>
      <c r="C19" s="889" t="s">
        <v>573</v>
      </c>
      <c r="D19" s="889"/>
      <c r="E19" s="889"/>
      <c r="F19" s="889"/>
      <c r="G19" s="889"/>
      <c r="H19" s="889"/>
      <c r="I19" s="889"/>
      <c r="J19" s="889"/>
      <c r="K19" s="889"/>
      <c r="L19" s="889"/>
      <c r="M19" s="889"/>
      <c r="N19" s="889"/>
      <c r="O19" s="889"/>
      <c r="P19" s="889"/>
      <c r="Q19" s="887"/>
      <c r="S19" s="32"/>
      <c r="T19" s="31"/>
      <c r="U19" s="22"/>
    </row>
    <row r="20" spans="1:21" ht="12.75" customHeight="1" thickBot="1">
      <c r="A20" s="1026" t="s">
        <v>576</v>
      </c>
      <c r="B20" s="1027"/>
      <c r="C20" s="1027"/>
      <c r="D20" s="1027"/>
      <c r="E20" s="1027"/>
      <c r="F20" s="1027"/>
      <c r="G20" s="1027"/>
      <c r="H20" s="1027"/>
      <c r="I20" s="1027"/>
      <c r="J20" s="1027"/>
      <c r="K20" s="1027"/>
      <c r="L20" s="1027"/>
      <c r="M20" s="1027"/>
      <c r="N20" s="1027"/>
      <c r="O20" s="1027"/>
      <c r="P20" s="1027"/>
      <c r="Q20" s="1028"/>
      <c r="S20" s="32"/>
      <c r="T20" s="31"/>
      <c r="U20" s="22"/>
    </row>
    <row r="21" spans="1:21" ht="15" customHeight="1" thickTop="1">
      <c r="A21" s="623"/>
      <c r="B21" s="624"/>
      <c r="C21" s="624"/>
      <c r="D21" s="624"/>
      <c r="E21" s="624"/>
      <c r="F21" s="624"/>
      <c r="G21" s="624"/>
      <c r="H21" s="624"/>
      <c r="I21" s="624"/>
      <c r="J21" s="624"/>
      <c r="K21" s="624"/>
      <c r="L21" s="624"/>
      <c r="M21" s="624"/>
      <c r="N21" s="624"/>
      <c r="O21" s="624"/>
      <c r="P21" s="624"/>
      <c r="Q21" s="625"/>
      <c r="S21" s="32"/>
      <c r="T21" s="31"/>
      <c r="U21" s="22"/>
    </row>
    <row r="22" spans="1:21" ht="24" customHeight="1">
      <c r="A22" s="623"/>
      <c r="B22" s="626"/>
      <c r="C22" s="973" t="s">
        <v>44</v>
      </c>
      <c r="D22" s="974"/>
      <c r="E22" s="974"/>
      <c r="F22" s="974"/>
      <c r="G22" s="974"/>
      <c r="H22" s="974"/>
      <c r="I22" s="974"/>
      <c r="J22" s="974"/>
      <c r="K22" s="974"/>
      <c r="L22" s="974"/>
      <c r="M22" s="974"/>
      <c r="N22" s="974"/>
      <c r="O22" s="975"/>
      <c r="P22" s="624"/>
      <c r="Q22" s="627"/>
      <c r="S22" s="48"/>
      <c r="T22" s="31"/>
      <c r="U22" s="22"/>
    </row>
    <row r="23" spans="1:21" ht="27" customHeight="1">
      <c r="A23" s="623"/>
      <c r="B23" s="1106"/>
      <c r="C23" s="976" t="s">
        <v>38</v>
      </c>
      <c r="D23" s="977"/>
      <c r="E23" s="977"/>
      <c r="F23" s="977"/>
      <c r="G23" s="977"/>
      <c r="H23" s="977"/>
      <c r="I23" s="977"/>
      <c r="J23" s="977"/>
      <c r="K23" s="977"/>
      <c r="L23" s="977"/>
      <c r="M23" s="977"/>
      <c r="N23" s="977"/>
      <c r="O23" s="978"/>
      <c r="P23" s="624"/>
      <c r="Q23" s="627"/>
      <c r="S23" s="32"/>
      <c r="T23" s="31"/>
      <c r="U23" s="22"/>
    </row>
    <row r="24" spans="1:21" ht="14.25" customHeight="1">
      <c r="A24" s="623"/>
      <c r="B24" s="1107"/>
      <c r="C24" s="1020" t="s">
        <v>575</v>
      </c>
      <c r="D24" s="1021"/>
      <c r="E24" s="1021"/>
      <c r="F24" s="1022"/>
      <c r="G24" s="1109"/>
      <c r="H24" s="1110"/>
      <c r="I24" s="1110"/>
      <c r="J24" s="1110"/>
      <c r="K24" s="1111"/>
      <c r="L24" s="321"/>
      <c r="M24" s="1012"/>
      <c r="N24" s="1012"/>
      <c r="O24" s="630"/>
      <c r="P24" s="624"/>
      <c r="Q24" s="627"/>
      <c r="S24" s="32"/>
      <c r="T24" s="31"/>
      <c r="U24" s="22"/>
    </row>
    <row r="25" spans="1:21" ht="3.75" customHeight="1">
      <c r="A25" s="623"/>
      <c r="B25" s="1107"/>
      <c r="C25" s="628"/>
      <c r="D25" s="629"/>
      <c r="E25" s="629"/>
      <c r="F25" s="629"/>
      <c r="G25" s="248"/>
      <c r="H25" s="248"/>
      <c r="I25" s="248"/>
      <c r="J25" s="248"/>
      <c r="K25" s="248"/>
      <c r="L25" s="321"/>
      <c r="M25" s="299"/>
      <c r="N25" s="299"/>
      <c r="O25" s="630"/>
      <c r="P25" s="624"/>
      <c r="Q25" s="627"/>
      <c r="S25" s="32"/>
      <c r="T25" s="31"/>
      <c r="U25" s="22"/>
    </row>
    <row r="26" spans="1:21" ht="14.25" customHeight="1">
      <c r="A26" s="623"/>
      <c r="B26" s="1107"/>
      <c r="C26" s="1036" t="s">
        <v>597</v>
      </c>
      <c r="D26" s="1037"/>
      <c r="E26" s="1037"/>
      <c r="F26" s="1038"/>
      <c r="G26" s="1023"/>
      <c r="H26" s="1024"/>
      <c r="I26" s="1024"/>
      <c r="J26" s="1024"/>
      <c r="K26" s="1025"/>
      <c r="L26" s="321"/>
      <c r="M26" s="299"/>
      <c r="N26" s="299"/>
      <c r="O26" s="630"/>
      <c r="P26" s="624"/>
      <c r="Q26" s="627"/>
      <c r="T26" s="31"/>
      <c r="U26" s="22"/>
    </row>
    <row r="27" spans="1:21" ht="3.75" customHeight="1">
      <c r="A27" s="623"/>
      <c r="B27" s="1108"/>
      <c r="C27" s="631"/>
      <c r="D27" s="632"/>
      <c r="E27" s="632"/>
      <c r="F27" s="632"/>
      <c r="G27" s="633"/>
      <c r="H27" s="633"/>
      <c r="I27" s="633"/>
      <c r="J27" s="633"/>
      <c r="K27" s="633"/>
      <c r="L27" s="634"/>
      <c r="M27" s="634"/>
      <c r="N27" s="634"/>
      <c r="O27" s="635"/>
      <c r="P27" s="624"/>
      <c r="Q27" s="627"/>
      <c r="S27" s="32"/>
      <c r="T27" s="31"/>
      <c r="U27" s="22"/>
    </row>
    <row r="28" spans="1:21" ht="26.25" customHeight="1">
      <c r="A28" s="623"/>
      <c r="B28" s="636"/>
      <c r="C28" s="907" t="s">
        <v>535</v>
      </c>
      <c r="D28" s="906"/>
      <c r="E28" s="906"/>
      <c r="F28" s="906"/>
      <c r="G28" s="906"/>
      <c r="H28" s="906"/>
      <c r="I28" s="906"/>
      <c r="J28" s="906"/>
      <c r="K28" s="906"/>
      <c r="L28" s="906"/>
      <c r="M28" s="906"/>
      <c r="N28" s="906"/>
      <c r="O28" s="905"/>
      <c r="P28" s="624"/>
      <c r="Q28" s="637">
        <v>4</v>
      </c>
      <c r="S28" s="32"/>
      <c r="T28" s="31"/>
      <c r="U28" s="22"/>
    </row>
    <row r="29" spans="1:21" ht="17.25" customHeight="1">
      <c r="A29" s="623"/>
      <c r="B29" s="626"/>
      <c r="C29" s="907" t="s">
        <v>690</v>
      </c>
      <c r="D29" s="906"/>
      <c r="E29" s="906"/>
      <c r="F29" s="906"/>
      <c r="G29" s="906"/>
      <c r="H29" s="906"/>
      <c r="I29" s="906"/>
      <c r="J29" s="906"/>
      <c r="K29" s="906"/>
      <c r="L29" s="906"/>
      <c r="M29" s="906"/>
      <c r="N29" s="906"/>
      <c r="O29" s="905"/>
      <c r="P29" s="624"/>
      <c r="Q29" s="583"/>
      <c r="S29" s="32"/>
      <c r="T29" s="31"/>
      <c r="U29" s="22"/>
    </row>
    <row r="30" spans="1:21" ht="13.5" customHeight="1" thickBot="1">
      <c r="A30" s="247"/>
      <c r="B30" s="624"/>
      <c r="C30" s="299"/>
      <c r="D30" s="299"/>
      <c r="E30" s="299"/>
      <c r="F30" s="299"/>
      <c r="G30" s="299"/>
      <c r="H30" s="299"/>
      <c r="I30" s="299"/>
      <c r="J30" s="299"/>
      <c r="K30" s="299"/>
      <c r="L30" s="299"/>
      <c r="M30" s="299"/>
      <c r="N30" s="299"/>
      <c r="O30" s="299"/>
      <c r="P30" s="624"/>
      <c r="Q30" s="322"/>
      <c r="S30" s="32"/>
      <c r="T30" s="31"/>
      <c r="U30" s="22"/>
    </row>
    <row r="31" spans="1:21" ht="15.75" customHeight="1" thickBot="1">
      <c r="A31" s="638"/>
      <c r="B31" s="639"/>
      <c r="C31" s="299"/>
      <c r="D31" s="299"/>
      <c r="E31" s="299"/>
      <c r="F31" s="299"/>
      <c r="G31" s="299"/>
      <c r="H31" s="299"/>
      <c r="I31" s="299"/>
      <c r="J31" s="299"/>
      <c r="K31" s="299"/>
      <c r="L31" s="299"/>
      <c r="M31" s="299"/>
      <c r="N31" s="299"/>
      <c r="O31" s="454" t="s">
        <v>668</v>
      </c>
      <c r="P31" s="940">
        <f>IF(Q28=1,12,IF(Q28=2,10,IF(Q28=3,6,0)))</f>
        <v>0</v>
      </c>
      <c r="Q31" s="941"/>
      <c r="S31" s="32"/>
      <c r="T31" s="31"/>
      <c r="U31" s="22"/>
    </row>
    <row r="32" spans="1:21" ht="15.75" customHeight="1">
      <c r="A32" s="308" t="s">
        <v>799</v>
      </c>
      <c r="B32" s="309"/>
      <c r="C32" s="889" t="s">
        <v>852</v>
      </c>
      <c r="D32" s="889"/>
      <c r="E32" s="889"/>
      <c r="F32" s="889"/>
      <c r="G32" s="889"/>
      <c r="H32" s="889"/>
      <c r="I32" s="889"/>
      <c r="J32" s="889"/>
      <c r="K32" s="889"/>
      <c r="L32" s="889"/>
      <c r="M32" s="889"/>
      <c r="N32" s="889"/>
      <c r="O32" s="889"/>
      <c r="P32" s="889"/>
      <c r="Q32" s="887"/>
      <c r="S32" s="32"/>
      <c r="T32" s="31"/>
      <c r="U32" s="22"/>
    </row>
    <row r="33" spans="1:21" ht="14.25" customHeight="1" thickBot="1">
      <c r="A33" s="904" t="s">
        <v>551</v>
      </c>
      <c r="B33" s="903"/>
      <c r="C33" s="903"/>
      <c r="D33" s="903"/>
      <c r="E33" s="903"/>
      <c r="F33" s="903"/>
      <c r="G33" s="903"/>
      <c r="H33" s="903"/>
      <c r="I33" s="903"/>
      <c r="J33" s="903"/>
      <c r="K33" s="903"/>
      <c r="L33" s="903"/>
      <c r="M33" s="903"/>
      <c r="N33" s="903"/>
      <c r="O33" s="903"/>
      <c r="P33" s="903"/>
      <c r="Q33" s="900"/>
      <c r="S33" s="32"/>
      <c r="T33" s="31"/>
      <c r="U33" s="22"/>
    </row>
    <row r="34" spans="1:21" ht="17.25" customHeight="1" thickTop="1">
      <c r="A34" s="623"/>
      <c r="B34" s="624"/>
      <c r="C34" s="299"/>
      <c r="D34" s="299"/>
      <c r="E34" s="299"/>
      <c r="F34" s="299"/>
      <c r="G34" s="299"/>
      <c r="H34" s="299"/>
      <c r="I34" s="299"/>
      <c r="J34" s="299"/>
      <c r="K34" s="299"/>
      <c r="L34" s="299"/>
      <c r="M34" s="299"/>
      <c r="N34" s="299"/>
      <c r="O34" s="458"/>
      <c r="P34" s="640"/>
      <c r="Q34" s="641"/>
      <c r="S34" s="32"/>
      <c r="T34" s="31"/>
      <c r="U34" s="22"/>
    </row>
    <row r="35" spans="1:21" ht="27.75" customHeight="1">
      <c r="A35" s="623"/>
      <c r="B35" s="626"/>
      <c r="C35" s="907" t="s">
        <v>548</v>
      </c>
      <c r="D35" s="906"/>
      <c r="E35" s="906"/>
      <c r="F35" s="906"/>
      <c r="G35" s="906"/>
      <c r="H35" s="906"/>
      <c r="I35" s="906"/>
      <c r="J35" s="906"/>
      <c r="K35" s="906"/>
      <c r="L35" s="906"/>
      <c r="M35" s="906"/>
      <c r="N35" s="906"/>
      <c r="O35" s="905"/>
      <c r="P35" s="640"/>
      <c r="Q35" s="642">
        <f>IF($Q$41=1,12,"")</f>
      </c>
      <c r="S35" s="32"/>
      <c r="T35" s="31"/>
      <c r="U35" s="22"/>
    </row>
    <row r="36" spans="1:21" ht="41.25" customHeight="1">
      <c r="A36" s="623"/>
      <c r="B36" s="626"/>
      <c r="C36" s="907" t="s">
        <v>549</v>
      </c>
      <c r="D36" s="906"/>
      <c r="E36" s="906"/>
      <c r="F36" s="906"/>
      <c r="G36" s="906"/>
      <c r="H36" s="906"/>
      <c r="I36" s="906"/>
      <c r="J36" s="906"/>
      <c r="K36" s="906"/>
      <c r="L36" s="906"/>
      <c r="M36" s="906"/>
      <c r="N36" s="906"/>
      <c r="O36" s="905"/>
      <c r="P36" s="640"/>
      <c r="Q36" s="642">
        <f>IF($Q$41=2,10,"")</f>
      </c>
      <c r="S36" s="32"/>
      <c r="T36" s="31"/>
      <c r="U36" s="22"/>
    </row>
    <row r="37" spans="1:21" ht="43.5" customHeight="1">
      <c r="A37" s="623"/>
      <c r="B37" s="626"/>
      <c r="C37" s="907" t="s">
        <v>563</v>
      </c>
      <c r="D37" s="906"/>
      <c r="E37" s="906"/>
      <c r="F37" s="906"/>
      <c r="G37" s="906"/>
      <c r="H37" s="906"/>
      <c r="I37" s="906"/>
      <c r="J37" s="906"/>
      <c r="K37" s="906"/>
      <c r="L37" s="906"/>
      <c r="M37" s="906"/>
      <c r="N37" s="906"/>
      <c r="O37" s="905"/>
      <c r="P37" s="640"/>
      <c r="Q37" s="642">
        <f>IF($Q$41=3,7,"")</f>
      </c>
      <c r="S37" s="32"/>
      <c r="T37" s="31"/>
      <c r="U37" s="22"/>
    </row>
    <row r="38" spans="1:21" ht="25.5" customHeight="1">
      <c r="A38" s="623"/>
      <c r="B38" s="626"/>
      <c r="C38" s="907" t="s">
        <v>760</v>
      </c>
      <c r="D38" s="906"/>
      <c r="E38" s="906"/>
      <c r="F38" s="906"/>
      <c r="G38" s="906"/>
      <c r="H38" s="906"/>
      <c r="I38" s="906"/>
      <c r="J38" s="906"/>
      <c r="K38" s="906"/>
      <c r="L38" s="906"/>
      <c r="M38" s="906"/>
      <c r="N38" s="906"/>
      <c r="O38" s="905"/>
      <c r="P38" s="640"/>
      <c r="Q38" s="642">
        <f>IF($Q$41=4,5,"")</f>
      </c>
      <c r="S38" s="32"/>
      <c r="T38" s="31"/>
      <c r="U38" s="22"/>
    </row>
    <row r="39" spans="1:21" ht="25.5" customHeight="1">
      <c r="A39" s="623"/>
      <c r="B39" s="626"/>
      <c r="C39" s="907" t="s">
        <v>761</v>
      </c>
      <c r="D39" s="906"/>
      <c r="E39" s="906"/>
      <c r="F39" s="906"/>
      <c r="G39" s="906"/>
      <c r="H39" s="906"/>
      <c r="I39" s="906"/>
      <c r="J39" s="906"/>
      <c r="K39" s="906"/>
      <c r="L39" s="906"/>
      <c r="M39" s="906"/>
      <c r="N39" s="906"/>
      <c r="O39" s="905"/>
      <c r="P39" s="640"/>
      <c r="Q39" s="642">
        <f>IF($Q$41=5,2,"")</f>
      </c>
      <c r="S39" s="32"/>
      <c r="T39" s="31"/>
      <c r="U39" s="22"/>
    </row>
    <row r="40" spans="1:21" ht="18.75" customHeight="1">
      <c r="A40" s="623"/>
      <c r="B40" s="626"/>
      <c r="C40" s="907" t="s">
        <v>15</v>
      </c>
      <c r="D40" s="906"/>
      <c r="E40" s="906"/>
      <c r="F40" s="906"/>
      <c r="G40" s="906"/>
      <c r="H40" s="906"/>
      <c r="I40" s="906"/>
      <c r="J40" s="906"/>
      <c r="K40" s="906"/>
      <c r="L40" s="906"/>
      <c r="M40" s="906"/>
      <c r="N40" s="906"/>
      <c r="O40" s="905"/>
      <c r="P40" s="640"/>
      <c r="Q40" s="642">
        <f>IF($Q$41=6,0,"")</f>
        <v>0</v>
      </c>
      <c r="S40" s="32"/>
      <c r="T40" s="31"/>
      <c r="U40" s="22"/>
    </row>
    <row r="41" spans="1:21" ht="9.75" customHeight="1" thickBot="1">
      <c r="A41" s="623"/>
      <c r="B41" s="248"/>
      <c r="C41" s="299"/>
      <c r="D41" s="299"/>
      <c r="E41" s="299"/>
      <c r="F41" s="299"/>
      <c r="G41" s="643"/>
      <c r="H41" s="248"/>
      <c r="I41" s="248"/>
      <c r="J41" s="644"/>
      <c r="K41" s="299"/>
      <c r="L41" s="299"/>
      <c r="M41" s="299"/>
      <c r="N41" s="299"/>
      <c r="O41" s="458"/>
      <c r="P41" s="640"/>
      <c r="Q41" s="645">
        <v>6</v>
      </c>
      <c r="S41" s="32"/>
      <c r="T41" s="31"/>
      <c r="U41" s="22"/>
    </row>
    <row r="42" spans="1:21" ht="14.25" customHeight="1" thickBot="1">
      <c r="A42" s="638"/>
      <c r="B42" s="356"/>
      <c r="C42" s="646"/>
      <c r="D42" s="356"/>
      <c r="E42" s="356"/>
      <c r="F42" s="356"/>
      <c r="G42" s="356"/>
      <c r="H42" s="356"/>
      <c r="I42" s="356"/>
      <c r="J42" s="356"/>
      <c r="K42" s="646"/>
      <c r="L42" s="646"/>
      <c r="M42" s="646"/>
      <c r="N42" s="646"/>
      <c r="O42" s="454" t="s">
        <v>670</v>
      </c>
      <c r="P42" s="1033">
        <f>MAX(Q35:Q40)</f>
        <v>0</v>
      </c>
      <c r="Q42" s="1034"/>
      <c r="S42" s="32"/>
      <c r="T42" s="31"/>
      <c r="U42" s="22"/>
    </row>
    <row r="43" spans="1:21" ht="15.75">
      <c r="A43" s="308" t="s">
        <v>803</v>
      </c>
      <c r="B43" s="309"/>
      <c r="C43" s="889" t="s">
        <v>55</v>
      </c>
      <c r="D43" s="889"/>
      <c r="E43" s="889"/>
      <c r="F43" s="889"/>
      <c r="G43" s="889"/>
      <c r="H43" s="889"/>
      <c r="I43" s="889"/>
      <c r="J43" s="889"/>
      <c r="K43" s="889"/>
      <c r="L43" s="889"/>
      <c r="M43" s="889"/>
      <c r="N43" s="889"/>
      <c r="O43" s="889"/>
      <c r="P43" s="889"/>
      <c r="Q43" s="887"/>
      <c r="S43" s="32"/>
      <c r="T43" s="31"/>
      <c r="U43" s="22"/>
    </row>
    <row r="44" spans="1:21" ht="17.25" thickBot="1">
      <c r="A44" s="348" t="s">
        <v>669</v>
      </c>
      <c r="B44" s="349"/>
      <c r="C44" s="647"/>
      <c r="D44" s="349"/>
      <c r="E44" s="349"/>
      <c r="F44" s="349"/>
      <c r="G44" s="349"/>
      <c r="H44" s="349"/>
      <c r="I44" s="648"/>
      <c r="J44" s="648"/>
      <c r="K44" s="647"/>
      <c r="L44" s="349"/>
      <c r="M44" s="349"/>
      <c r="N44" s="349"/>
      <c r="O44" s="649"/>
      <c r="P44" s="650"/>
      <c r="Q44" s="651"/>
      <c r="S44" s="32"/>
      <c r="T44" s="31"/>
      <c r="U44" s="22"/>
    </row>
    <row r="45" spans="1:21" ht="14.25" customHeight="1" thickTop="1">
      <c r="A45" s="247"/>
      <c r="B45" s="652"/>
      <c r="C45" s="652"/>
      <c r="D45" s="652"/>
      <c r="E45" s="652"/>
      <c r="F45" s="652"/>
      <c r="G45" s="653"/>
      <c r="H45" s="654"/>
      <c r="I45" s="655"/>
      <c r="J45" s="655"/>
      <c r="K45" s="248"/>
      <c r="L45" s="329"/>
      <c r="M45" s="329"/>
      <c r="N45" s="329"/>
      <c r="O45" s="436"/>
      <c r="P45" s="437"/>
      <c r="Q45" s="576"/>
      <c r="S45" s="32"/>
      <c r="T45" s="31"/>
      <c r="U45" s="22"/>
    </row>
    <row r="46" spans="1:21" ht="15" customHeight="1">
      <c r="A46" s="247"/>
      <c r="B46" s="1123"/>
      <c r="C46" s="928" t="s">
        <v>457</v>
      </c>
      <c r="D46" s="929"/>
      <c r="E46" s="929"/>
      <c r="F46" s="929"/>
      <c r="G46" s="929"/>
      <c r="H46" s="929"/>
      <c r="I46" s="929"/>
      <c r="J46" s="930"/>
      <c r="K46" s="248"/>
      <c r="L46" s="1035" t="s">
        <v>61</v>
      </c>
      <c r="M46" s="1035"/>
      <c r="N46" s="1035"/>
      <c r="O46" s="1035"/>
      <c r="P46" s="437"/>
      <c r="Q46" s="439"/>
      <c r="S46" s="32"/>
      <c r="T46" s="31"/>
      <c r="U46" s="22"/>
    </row>
    <row r="47" spans="1:21" ht="15" customHeight="1">
      <c r="A47" s="441"/>
      <c r="B47" s="1124"/>
      <c r="C47" s="931"/>
      <c r="D47" s="932"/>
      <c r="E47" s="932"/>
      <c r="F47" s="932"/>
      <c r="G47" s="932"/>
      <c r="H47" s="932"/>
      <c r="I47" s="932"/>
      <c r="J47" s="933"/>
      <c r="K47" s="442"/>
      <c r="L47" s="1035"/>
      <c r="M47" s="1035"/>
      <c r="N47" s="1035"/>
      <c r="O47" s="1035"/>
      <c r="P47" s="437"/>
      <c r="Q47" s="344">
        <v>3</v>
      </c>
      <c r="S47" s="32"/>
      <c r="T47" s="31"/>
      <c r="U47" s="22"/>
    </row>
    <row r="48" spans="1:21" ht="15" customHeight="1">
      <c r="A48" s="441"/>
      <c r="B48" s="1121"/>
      <c r="C48" s="928" t="s">
        <v>458</v>
      </c>
      <c r="D48" s="929"/>
      <c r="E48" s="929"/>
      <c r="F48" s="929"/>
      <c r="G48" s="929"/>
      <c r="H48" s="929"/>
      <c r="I48" s="929"/>
      <c r="J48" s="930"/>
      <c r="K48" s="248"/>
      <c r="L48" s="1035"/>
      <c r="M48" s="1035"/>
      <c r="N48" s="1035"/>
      <c r="O48" s="1035"/>
      <c r="P48" s="437"/>
      <c r="Q48" s="439"/>
      <c r="S48" s="32"/>
      <c r="T48" s="31"/>
      <c r="U48" s="22"/>
    </row>
    <row r="49" spans="1:21" ht="15" customHeight="1">
      <c r="A49" s="441"/>
      <c r="B49" s="1122"/>
      <c r="C49" s="931"/>
      <c r="D49" s="932"/>
      <c r="E49" s="932"/>
      <c r="F49" s="932"/>
      <c r="G49" s="932"/>
      <c r="H49" s="932"/>
      <c r="I49" s="932"/>
      <c r="J49" s="933"/>
      <c r="K49" s="248"/>
      <c r="L49" s="519"/>
      <c r="M49" s="656" t="s">
        <v>661</v>
      </c>
      <c r="N49" s="519"/>
      <c r="O49" s="657" t="s">
        <v>662</v>
      </c>
      <c r="P49" s="658"/>
      <c r="Q49" s="439"/>
      <c r="S49" s="32"/>
      <c r="T49" s="31"/>
      <c r="U49" s="22"/>
    </row>
    <row r="50" spans="1:21" ht="15" customHeight="1">
      <c r="A50" s="441"/>
      <c r="B50" s="1121"/>
      <c r="C50" s="928" t="s">
        <v>586</v>
      </c>
      <c r="D50" s="929"/>
      <c r="E50" s="929"/>
      <c r="F50" s="929"/>
      <c r="G50" s="929"/>
      <c r="H50" s="929"/>
      <c r="I50" s="929"/>
      <c r="J50" s="930"/>
      <c r="K50" s="519"/>
      <c r="L50" s="248"/>
      <c r="M50" s="248"/>
      <c r="N50" s="248"/>
      <c r="O50" s="248"/>
      <c r="P50" s="248"/>
      <c r="Q50" s="344">
        <v>2</v>
      </c>
      <c r="S50" s="32"/>
      <c r="T50" s="31"/>
      <c r="U50" s="22"/>
    </row>
    <row r="51" spans="1:21" ht="15" customHeight="1" thickBot="1">
      <c r="A51" s="441"/>
      <c r="B51" s="1122"/>
      <c r="C51" s="931"/>
      <c r="D51" s="932"/>
      <c r="E51" s="932"/>
      <c r="F51" s="932"/>
      <c r="G51" s="932"/>
      <c r="H51" s="932"/>
      <c r="I51" s="932"/>
      <c r="J51" s="933"/>
      <c r="K51" s="519"/>
      <c r="L51" s="248"/>
      <c r="M51" s="248"/>
      <c r="N51" s="248"/>
      <c r="O51" s="248"/>
      <c r="P51" s="248"/>
      <c r="Q51" s="344"/>
      <c r="S51" s="32"/>
      <c r="T51" s="31"/>
      <c r="U51" s="22"/>
    </row>
    <row r="52" spans="1:21" ht="16.5" customHeight="1" thickBot="1" thickTop="1">
      <c r="A52" s="441"/>
      <c r="B52" s="340"/>
      <c r="C52" s="340"/>
      <c r="D52" s="340"/>
      <c r="E52" s="248"/>
      <c r="F52" s="421"/>
      <c r="G52" s="891"/>
      <c r="H52" s="891"/>
      <c r="I52" s="248"/>
      <c r="J52" s="248"/>
      <c r="K52" s="442"/>
      <c r="L52" s="1032" t="s">
        <v>56</v>
      </c>
      <c r="M52" s="1032"/>
      <c r="N52" s="1032"/>
      <c r="O52" s="132">
        <f>IF(Q50=1,5,0)</f>
        <v>0</v>
      </c>
      <c r="P52" s="449" t="s">
        <v>588</v>
      </c>
      <c r="Q52" s="439"/>
      <c r="S52" s="32"/>
      <c r="T52" s="31"/>
      <c r="U52" s="22"/>
    </row>
    <row r="53" spans="1:21" ht="15" customHeight="1" thickBot="1" thickTop="1">
      <c r="A53" s="441"/>
      <c r="B53" s="340"/>
      <c r="C53" s="340"/>
      <c r="D53" s="340"/>
      <c r="E53" s="248"/>
      <c r="F53" s="421" t="s">
        <v>589</v>
      </c>
      <c r="G53" s="130">
        <f>IF(Q47=1,5,IF(Q47=2,2,0))</f>
        <v>0</v>
      </c>
      <c r="H53" s="659" t="s">
        <v>587</v>
      </c>
      <c r="I53" s="248"/>
      <c r="J53" s="248"/>
      <c r="K53" s="442"/>
      <c r="L53" s="318"/>
      <c r="M53" s="318"/>
      <c r="N53" s="318"/>
      <c r="O53" s="660"/>
      <c r="P53" s="437"/>
      <c r="Q53" s="453"/>
      <c r="S53" s="32"/>
      <c r="T53" s="31"/>
      <c r="U53" s="22"/>
    </row>
    <row r="54" spans="1:21" ht="3.75" customHeight="1" thickBot="1" thickTop="1">
      <c r="A54" s="441"/>
      <c r="B54" s="340"/>
      <c r="C54" s="340"/>
      <c r="D54" s="340"/>
      <c r="E54" s="248"/>
      <c r="F54" s="421"/>
      <c r="G54" s="589"/>
      <c r="H54" s="589"/>
      <c r="I54" s="248"/>
      <c r="J54" s="248"/>
      <c r="K54" s="442"/>
      <c r="L54" s="318"/>
      <c r="M54" s="318"/>
      <c r="N54" s="318"/>
      <c r="O54" s="660"/>
      <c r="P54" s="437"/>
      <c r="Q54" s="661"/>
      <c r="S54" s="32"/>
      <c r="T54" s="31"/>
      <c r="U54" s="22"/>
    </row>
    <row r="55" spans="1:21" ht="15.75" thickBot="1">
      <c r="A55" s="345" t="s">
        <v>590</v>
      </c>
      <c r="B55" s="356"/>
      <c r="C55" s="356"/>
      <c r="D55" s="356"/>
      <c r="E55" s="356"/>
      <c r="F55" s="356"/>
      <c r="G55" s="356"/>
      <c r="H55" s="356"/>
      <c r="I55" s="356"/>
      <c r="J55" s="356"/>
      <c r="K55" s="356"/>
      <c r="L55" s="356"/>
      <c r="M55" s="356"/>
      <c r="N55" s="356"/>
      <c r="O55" s="454" t="s">
        <v>677</v>
      </c>
      <c r="P55" s="940">
        <f>G53+O52</f>
        <v>0</v>
      </c>
      <c r="Q55" s="941"/>
      <c r="S55" s="32"/>
      <c r="T55" s="31"/>
      <c r="U55" s="22"/>
    </row>
    <row r="56" spans="1:21" ht="15.75">
      <c r="A56" s="308" t="s">
        <v>804</v>
      </c>
      <c r="B56" s="309"/>
      <c r="C56" s="889" t="s">
        <v>676</v>
      </c>
      <c r="D56" s="889"/>
      <c r="E56" s="889"/>
      <c r="F56" s="889"/>
      <c r="G56" s="889"/>
      <c r="H56" s="889"/>
      <c r="I56" s="889"/>
      <c r="J56" s="889"/>
      <c r="K56" s="889"/>
      <c r="L56" s="889"/>
      <c r="M56" s="889"/>
      <c r="N56" s="889"/>
      <c r="O56" s="889"/>
      <c r="P56" s="889"/>
      <c r="Q56" s="887"/>
      <c r="S56" s="32"/>
      <c r="T56" s="31"/>
      <c r="U56" s="22"/>
    </row>
    <row r="57" spans="1:21" ht="25.5" customHeight="1" thickBot="1">
      <c r="A57" s="914" t="s">
        <v>20</v>
      </c>
      <c r="B57" s="908"/>
      <c r="C57" s="908"/>
      <c r="D57" s="908"/>
      <c r="E57" s="908"/>
      <c r="F57" s="908"/>
      <c r="G57" s="908"/>
      <c r="H57" s="908"/>
      <c r="I57" s="908"/>
      <c r="J57" s="908"/>
      <c r="K57" s="908"/>
      <c r="L57" s="908"/>
      <c r="M57" s="908"/>
      <c r="N57" s="908"/>
      <c r="O57" s="908"/>
      <c r="P57" s="908"/>
      <c r="Q57" s="909"/>
      <c r="S57" s="32"/>
      <c r="T57" s="31"/>
      <c r="U57" s="22"/>
    </row>
    <row r="58" spans="1:21" ht="9" customHeight="1" thickTop="1">
      <c r="A58" s="1053" t="s">
        <v>79</v>
      </c>
      <c r="B58" s="1054"/>
      <c r="C58" s="1054"/>
      <c r="D58" s="1054"/>
      <c r="E58" s="1054"/>
      <c r="F58" s="1054"/>
      <c r="G58" s="1054"/>
      <c r="H58" s="327"/>
      <c r="I58" s="327"/>
      <c r="J58" s="339"/>
      <c r="K58" s="338"/>
      <c r="L58" s="337"/>
      <c r="M58" s="337"/>
      <c r="N58" s="337"/>
      <c r="O58" s="574"/>
      <c r="P58" s="575"/>
      <c r="Q58" s="576"/>
      <c r="S58" s="32"/>
      <c r="T58" s="31"/>
      <c r="U58" s="22"/>
    </row>
    <row r="59" spans="1:21" ht="14.25" customHeight="1">
      <c r="A59" s="1055"/>
      <c r="B59" s="1056"/>
      <c r="C59" s="1056"/>
      <c r="D59" s="1056"/>
      <c r="E59" s="1056"/>
      <c r="F59" s="1056"/>
      <c r="G59" s="1056"/>
      <c r="H59" s="1060">
        <f>F9</f>
        <v>0</v>
      </c>
      <c r="I59" s="1061"/>
      <c r="J59" s="313" t="s">
        <v>375</v>
      </c>
      <c r="K59" s="362"/>
      <c r="L59" s="248"/>
      <c r="M59" s="362"/>
      <c r="N59" s="248"/>
      <c r="O59" s="458"/>
      <c r="P59" s="459"/>
      <c r="Q59" s="662"/>
      <c r="S59" s="32"/>
      <c r="T59" s="31"/>
      <c r="U59" s="22"/>
    </row>
    <row r="60" spans="1:21" ht="14.25" customHeight="1" thickBot="1">
      <c r="A60" s="1057" t="s">
        <v>76</v>
      </c>
      <c r="B60" s="1032"/>
      <c r="C60" s="1032"/>
      <c r="D60" s="1032"/>
      <c r="E60" s="1032"/>
      <c r="F60" s="1032"/>
      <c r="G60" s="1032"/>
      <c r="H60" s="912">
        <v>0</v>
      </c>
      <c r="I60" s="913"/>
      <c r="J60" s="317" t="s">
        <v>376</v>
      </c>
      <c r="K60" s="362"/>
      <c r="L60" s="248"/>
      <c r="M60" s="362"/>
      <c r="N60" s="248"/>
      <c r="O60" s="458"/>
      <c r="P60" s="459"/>
      <c r="Q60" s="662"/>
      <c r="S60" s="32"/>
      <c r="T60" s="31"/>
      <c r="U60" s="22"/>
    </row>
    <row r="61" spans="1:21" ht="15" customHeight="1" thickBot="1" thickTop="1">
      <c r="A61" s="247"/>
      <c r="B61" s="318"/>
      <c r="C61" s="248"/>
      <c r="D61" s="318"/>
      <c r="E61" s="318"/>
      <c r="F61" s="248"/>
      <c r="G61" s="315" t="s">
        <v>75</v>
      </c>
      <c r="H61" s="899">
        <f>IF(H60=0,0,H60/H59)</f>
        <v>0</v>
      </c>
      <c r="I61" s="890"/>
      <c r="J61" s="313" t="s">
        <v>377</v>
      </c>
      <c r="K61" s="362"/>
      <c r="L61" s="248"/>
      <c r="M61" s="362"/>
      <c r="N61" s="663" t="s">
        <v>42</v>
      </c>
      <c r="O61" s="713">
        <f>IF(H60=0,0,-3.4901*LN(H61)+28.206)</f>
        <v>0</v>
      </c>
      <c r="P61" s="294" t="s">
        <v>41</v>
      </c>
      <c r="Q61" s="662"/>
      <c r="S61" s="32"/>
      <c r="T61" s="31"/>
      <c r="U61" s="22"/>
    </row>
    <row r="62" spans="1:21" ht="6.75" customHeight="1" thickBot="1" thickTop="1">
      <c r="A62" s="247"/>
      <c r="B62" s="318"/>
      <c r="C62" s="248"/>
      <c r="D62" s="318"/>
      <c r="E62" s="318"/>
      <c r="F62" s="248"/>
      <c r="G62" s="315"/>
      <c r="H62" s="664"/>
      <c r="I62" s="664"/>
      <c r="J62" s="313"/>
      <c r="K62" s="362"/>
      <c r="L62" s="362"/>
      <c r="M62" s="362"/>
      <c r="N62" s="248"/>
      <c r="O62" s="458"/>
      <c r="P62" s="459"/>
      <c r="Q62" s="662"/>
      <c r="S62" s="32"/>
      <c r="T62" s="31"/>
      <c r="U62" s="22"/>
    </row>
    <row r="63" spans="1:21" ht="14.25" customHeight="1" thickBot="1">
      <c r="A63" s="1064" t="s">
        <v>17</v>
      </c>
      <c r="B63" s="1065"/>
      <c r="C63" s="1065"/>
      <c r="D63" s="1065"/>
      <c r="E63" s="1065"/>
      <c r="F63" s="1065"/>
      <c r="G63" s="1065"/>
      <c r="H63" s="1065"/>
      <c r="I63" s="1065"/>
      <c r="J63" s="1065"/>
      <c r="K63" s="356"/>
      <c r="L63" s="356"/>
      <c r="M63" s="356"/>
      <c r="N63" s="665"/>
      <c r="O63" s="454" t="s">
        <v>564</v>
      </c>
      <c r="P63" s="940">
        <f>IF(O61&lt;0,0,IF(O61&gt;20,20,O61))</f>
        <v>0</v>
      </c>
      <c r="Q63" s="941"/>
      <c r="S63" s="32"/>
      <c r="T63" s="31"/>
      <c r="U63" s="22"/>
    </row>
    <row r="64" spans="1:21" ht="15.75">
      <c r="A64" s="308" t="s">
        <v>568</v>
      </c>
      <c r="B64" s="309"/>
      <c r="C64" s="889" t="s">
        <v>359</v>
      </c>
      <c r="D64" s="889"/>
      <c r="E64" s="889"/>
      <c r="F64" s="889"/>
      <c r="G64" s="889"/>
      <c r="H64" s="889"/>
      <c r="I64" s="889"/>
      <c r="J64" s="889"/>
      <c r="K64" s="889"/>
      <c r="L64" s="889"/>
      <c r="M64" s="889"/>
      <c r="N64" s="889"/>
      <c r="O64" s="889"/>
      <c r="P64" s="1062"/>
      <c r="Q64" s="1063"/>
      <c r="S64" s="32"/>
      <c r="T64" s="31"/>
      <c r="U64" s="22"/>
    </row>
    <row r="65" spans="1:21" ht="27" customHeight="1" thickBot="1">
      <c r="A65" s="914" t="s">
        <v>715</v>
      </c>
      <c r="B65" s="908"/>
      <c r="C65" s="908"/>
      <c r="D65" s="908"/>
      <c r="E65" s="908"/>
      <c r="F65" s="908"/>
      <c r="G65" s="908"/>
      <c r="H65" s="908"/>
      <c r="I65" s="908"/>
      <c r="J65" s="908"/>
      <c r="K65" s="908"/>
      <c r="L65" s="908"/>
      <c r="M65" s="908"/>
      <c r="N65" s="908"/>
      <c r="O65" s="908"/>
      <c r="P65" s="908"/>
      <c r="Q65" s="909"/>
      <c r="S65" s="32"/>
      <c r="T65" s="31"/>
      <c r="U65" s="22"/>
    </row>
    <row r="66" spans="1:21" ht="9" customHeight="1" thickTop="1">
      <c r="A66" s="247"/>
      <c r="B66" s="318"/>
      <c r="C66" s="248"/>
      <c r="D66" s="318"/>
      <c r="E66" s="318"/>
      <c r="F66" s="248"/>
      <c r="G66" s="315"/>
      <c r="H66" s="664"/>
      <c r="I66" s="248"/>
      <c r="J66" s="248"/>
      <c r="K66" s="319"/>
      <c r="L66" s="666"/>
      <c r="M66" s="666"/>
      <c r="N66" s="248"/>
      <c r="O66" s="458"/>
      <c r="P66" s="459"/>
      <c r="Q66" s="662"/>
      <c r="S66" s="32"/>
      <c r="T66" s="31"/>
      <c r="U66" s="22"/>
    </row>
    <row r="67" spans="1:21" ht="27" customHeight="1">
      <c r="A67" s="1058" t="s">
        <v>574</v>
      </c>
      <c r="B67" s="1059"/>
      <c r="C67" s="1059"/>
      <c r="D67" s="1059"/>
      <c r="E67" s="1059"/>
      <c r="F67" s="1059"/>
      <c r="G67" s="1059"/>
      <c r="H67" s="714" t="str">
        <f>IF($Q$8=1,"YES","NO")</f>
        <v>NO</v>
      </c>
      <c r="I67" s="248"/>
      <c r="J67" s="248"/>
      <c r="K67" s="319"/>
      <c r="L67" s="354" t="s">
        <v>361</v>
      </c>
      <c r="M67" s="666"/>
      <c r="N67" s="248"/>
      <c r="O67" s="458"/>
      <c r="P67" s="459"/>
      <c r="Q67" s="662"/>
      <c r="S67" s="32"/>
      <c r="T67" s="31"/>
      <c r="U67" s="22"/>
    </row>
    <row r="68" spans="1:21" ht="15" customHeight="1" thickBot="1">
      <c r="A68" s="1058" t="s">
        <v>352</v>
      </c>
      <c r="B68" s="1059"/>
      <c r="C68" s="1059"/>
      <c r="D68" s="1059"/>
      <c r="E68" s="1059"/>
      <c r="F68" s="1059"/>
      <c r="G68" s="1059"/>
      <c r="H68" s="664"/>
      <c r="I68" s="248"/>
      <c r="J68" s="248"/>
      <c r="K68" s="319"/>
      <c r="L68" s="354" t="s">
        <v>275</v>
      </c>
      <c r="M68" s="666"/>
      <c r="N68" s="248"/>
      <c r="O68" s="458"/>
      <c r="P68" s="459"/>
      <c r="Q68" s="662"/>
      <c r="S68" s="32"/>
      <c r="T68" s="31"/>
      <c r="U68" s="22"/>
    </row>
    <row r="69" spans="1:21" ht="15" customHeight="1" thickBot="1">
      <c r="A69" s="1058"/>
      <c r="B69" s="1059"/>
      <c r="C69" s="1059"/>
      <c r="D69" s="1059"/>
      <c r="E69" s="1059"/>
      <c r="F69" s="1059"/>
      <c r="G69" s="1059"/>
      <c r="H69" s="942">
        <f>IF(Q8=1,Q6,0)</f>
        <v>0</v>
      </c>
      <c r="I69" s="943"/>
      <c r="J69" s="469" t="s">
        <v>379</v>
      </c>
      <c r="K69" s="319"/>
      <c r="L69" s="362"/>
      <c r="M69" s="248"/>
      <c r="N69" s="248" t="s">
        <v>353</v>
      </c>
      <c r="O69" s="248"/>
      <c r="P69" s="668"/>
      <c r="Q69" s="669">
        <f>IF(H$69&lt;0.01,0,IF(H$69&lt;0.25,5,(IF(H$69&lt;0.5,7,(IF(H$69&lt;0.75,15,20))))))</f>
        <v>0</v>
      </c>
      <c r="S69" s="85"/>
      <c r="T69" s="31"/>
      <c r="U69" s="22"/>
    </row>
    <row r="70" spans="1:21" ht="4.5" customHeight="1" thickBot="1">
      <c r="A70" s="667"/>
      <c r="B70" s="581"/>
      <c r="C70" s="581"/>
      <c r="D70" s="581"/>
      <c r="E70" s="581"/>
      <c r="F70" s="581"/>
      <c r="G70" s="581"/>
      <c r="H70" s="670"/>
      <c r="I70" s="670"/>
      <c r="J70" s="248"/>
      <c r="K70" s="319"/>
      <c r="L70" s="666"/>
      <c r="M70" s="315"/>
      <c r="N70" s="248"/>
      <c r="O70" s="458"/>
      <c r="P70" s="459"/>
      <c r="Q70" s="662"/>
      <c r="S70" s="85"/>
      <c r="T70" s="31"/>
      <c r="U70" s="22"/>
    </row>
    <row r="71" spans="1:21" ht="15" customHeight="1" thickBot="1" thickTop="1">
      <c r="A71" s="667"/>
      <c r="B71" s="581"/>
      <c r="C71" s="581"/>
      <c r="D71" s="581"/>
      <c r="E71" s="581"/>
      <c r="F71" s="581"/>
      <c r="G71" s="581"/>
      <c r="H71" s="248"/>
      <c r="I71" s="671"/>
      <c r="J71" s="248"/>
      <c r="K71" s="319" t="s">
        <v>357</v>
      </c>
      <c r="L71" s="1051">
        <f>Q69</f>
        <v>0</v>
      </c>
      <c r="M71" s="1052"/>
      <c r="N71" s="469" t="s">
        <v>73</v>
      </c>
      <c r="O71" s="458"/>
      <c r="P71" s="459"/>
      <c r="Q71" s="662"/>
      <c r="S71" s="85"/>
      <c r="T71" s="31"/>
      <c r="U71" s="22"/>
    </row>
    <row r="72" spans="1:21" ht="3.75" customHeight="1" thickBot="1" thickTop="1">
      <c r="A72" s="247"/>
      <c r="B72" s="318"/>
      <c r="C72" s="581"/>
      <c r="D72" s="581"/>
      <c r="E72" s="581"/>
      <c r="F72" s="581"/>
      <c r="G72" s="581"/>
      <c r="H72" s="672"/>
      <c r="I72" s="672"/>
      <c r="J72" s="248"/>
      <c r="K72" s="319"/>
      <c r="L72" s="666"/>
      <c r="M72" s="666"/>
      <c r="N72" s="469"/>
      <c r="O72" s="458"/>
      <c r="P72" s="459"/>
      <c r="Q72" s="662"/>
      <c r="S72" s="32"/>
      <c r="T72" s="31"/>
      <c r="U72" s="22"/>
    </row>
    <row r="73" spans="1:21" ht="15" customHeight="1" thickBot="1" thickTop="1">
      <c r="A73" s="247"/>
      <c r="B73" s="318"/>
      <c r="C73" s="248"/>
      <c r="D73" s="318"/>
      <c r="E73" s="318"/>
      <c r="F73" s="248"/>
      <c r="G73" s="315"/>
      <c r="H73" s="664"/>
      <c r="I73" s="248"/>
      <c r="J73" s="248"/>
      <c r="K73" s="319" t="s">
        <v>358</v>
      </c>
      <c r="L73" s="1051">
        <f>IF(M9=1,O8*2,0)</f>
        <v>0</v>
      </c>
      <c r="M73" s="1052"/>
      <c r="N73" s="469" t="s">
        <v>74</v>
      </c>
      <c r="O73" s="458"/>
      <c r="P73" s="459"/>
      <c r="Q73" s="662"/>
      <c r="S73" s="32"/>
      <c r="T73" s="31"/>
      <c r="U73" s="22"/>
    </row>
    <row r="74" spans="1:21" ht="3.75" customHeight="1" thickTop="1">
      <c r="A74" s="247"/>
      <c r="B74" s="318"/>
      <c r="C74" s="248"/>
      <c r="D74" s="318"/>
      <c r="E74" s="318"/>
      <c r="F74" s="248"/>
      <c r="G74" s="315"/>
      <c r="H74" s="664"/>
      <c r="I74" s="248"/>
      <c r="J74" s="248"/>
      <c r="K74" s="319"/>
      <c r="L74" s="582"/>
      <c r="M74" s="582"/>
      <c r="N74" s="469"/>
      <c r="O74" s="458"/>
      <c r="P74" s="459"/>
      <c r="Q74" s="662"/>
      <c r="S74" s="32"/>
      <c r="T74" s="31"/>
      <c r="U74" s="22"/>
    </row>
    <row r="75" spans="1:21" ht="15" customHeight="1" thickBot="1">
      <c r="A75" s="247"/>
      <c r="B75" s="248"/>
      <c r="C75" s="248"/>
      <c r="D75" s="248"/>
      <c r="E75" s="248"/>
      <c r="F75" s="248"/>
      <c r="G75" s="248"/>
      <c r="H75" s="248"/>
      <c r="I75" s="248"/>
      <c r="J75" s="248"/>
      <c r="K75" s="319"/>
      <c r="L75" s="888"/>
      <c r="M75" s="888"/>
      <c r="N75" s="469"/>
      <c r="O75" s="458"/>
      <c r="P75" s="459"/>
      <c r="Q75" s="673"/>
      <c r="S75" s="32"/>
      <c r="T75" s="31"/>
      <c r="U75" s="22"/>
    </row>
    <row r="76" spans="1:21" ht="14.25" customHeight="1" thickBot="1">
      <c r="A76" s="674" t="s">
        <v>140</v>
      </c>
      <c r="B76" s="356"/>
      <c r="C76" s="356"/>
      <c r="D76" s="356"/>
      <c r="E76" s="356"/>
      <c r="F76" s="356"/>
      <c r="G76" s="356"/>
      <c r="H76" s="356"/>
      <c r="I76" s="465"/>
      <c r="J76" s="675"/>
      <c r="K76" s="356"/>
      <c r="L76" s="356"/>
      <c r="M76" s="356"/>
      <c r="N76" s="356"/>
      <c r="O76" s="307" t="s">
        <v>360</v>
      </c>
      <c r="P76" s="940">
        <f>IF(L71+L73&gt;20,20,L71+L73)</f>
        <v>0</v>
      </c>
      <c r="Q76" s="941"/>
      <c r="S76" s="32"/>
      <c r="T76" s="31"/>
      <c r="U76" s="22"/>
    </row>
    <row r="77" spans="1:21" ht="18.75" thickBot="1">
      <c r="A77" s="937" t="s">
        <v>521</v>
      </c>
      <c r="B77" s="938"/>
      <c r="C77" s="938"/>
      <c r="D77" s="938"/>
      <c r="E77" s="938"/>
      <c r="F77" s="938"/>
      <c r="G77" s="938"/>
      <c r="H77" s="938"/>
      <c r="I77" s="938"/>
      <c r="J77" s="938"/>
      <c r="K77" s="938"/>
      <c r="L77" s="938"/>
      <c r="M77" s="938"/>
      <c r="N77" s="938"/>
      <c r="O77" s="938"/>
      <c r="P77" s="938"/>
      <c r="Q77" s="939"/>
      <c r="S77" s="32"/>
      <c r="T77" s="31"/>
      <c r="U77" s="22"/>
    </row>
    <row r="78" spans="1:21" ht="17.25" customHeight="1" thickBot="1">
      <c r="A78" s="411" t="s">
        <v>798</v>
      </c>
      <c r="B78" s="516"/>
      <c r="C78" s="910" t="s">
        <v>624</v>
      </c>
      <c r="D78" s="910"/>
      <c r="E78" s="910"/>
      <c r="F78" s="910"/>
      <c r="G78" s="910"/>
      <c r="H78" s="910"/>
      <c r="I78" s="910"/>
      <c r="J78" s="911"/>
      <c r="K78" s="858" t="s">
        <v>565</v>
      </c>
      <c r="L78" s="859"/>
      <c r="M78" s="859"/>
      <c r="N78" s="859"/>
      <c r="O78" s="860" t="s">
        <v>694</v>
      </c>
      <c r="P78" s="861"/>
      <c r="Q78" s="862"/>
      <c r="S78" s="32"/>
      <c r="T78" s="31"/>
      <c r="U78" s="22"/>
    </row>
    <row r="79" spans="1:21" ht="14.25" customHeight="1" thickBot="1" thickTop="1">
      <c r="A79" s="1070" t="s">
        <v>695</v>
      </c>
      <c r="B79" s="1071"/>
      <c r="C79" s="1071"/>
      <c r="D79" s="1071"/>
      <c r="E79" s="1071"/>
      <c r="F79" s="1071"/>
      <c r="G79" s="1071"/>
      <c r="H79" s="1071"/>
      <c r="I79" s="1071"/>
      <c r="J79" s="1072"/>
      <c r="K79" s="1112" t="s">
        <v>781</v>
      </c>
      <c r="L79" s="1113"/>
      <c r="M79" s="1113"/>
      <c r="N79" s="1113"/>
      <c r="O79" s="1113"/>
      <c r="P79" s="1113"/>
      <c r="Q79" s="1114"/>
      <c r="S79" s="32"/>
      <c r="T79" s="31"/>
      <c r="U79" s="22"/>
    </row>
    <row r="80" spans="1:21" ht="16.5" thickTop="1">
      <c r="A80" s="247"/>
      <c r="B80" s="248"/>
      <c r="C80" s="248"/>
      <c r="D80" s="248"/>
      <c r="E80" s="4" t="s">
        <v>627</v>
      </c>
      <c r="F80" s="133">
        <v>0</v>
      </c>
      <c r="G80" s="676" t="s">
        <v>772</v>
      </c>
      <c r="H80" s="367"/>
      <c r="I80" s="367"/>
      <c r="J80" s="353"/>
      <c r="K80" s="1115"/>
      <c r="L80" s="1116"/>
      <c r="M80" s="1116"/>
      <c r="N80" s="1116"/>
      <c r="O80" s="1116"/>
      <c r="P80" s="1116"/>
      <c r="Q80" s="1117"/>
      <c r="S80" s="32"/>
      <c r="T80" s="31"/>
      <c r="U80" s="22"/>
    </row>
    <row r="81" spans="1:21" ht="15.75">
      <c r="A81" s="247"/>
      <c r="B81" s="248"/>
      <c r="C81" s="248"/>
      <c r="D81" s="248"/>
      <c r="E81" s="4" t="s">
        <v>617</v>
      </c>
      <c r="F81" s="133">
        <v>0</v>
      </c>
      <c r="G81" s="677" t="s">
        <v>773</v>
      </c>
      <c r="H81" s="248"/>
      <c r="I81" s="248"/>
      <c r="J81" s="320"/>
      <c r="K81" s="1118"/>
      <c r="L81" s="1119"/>
      <c r="M81" s="1119"/>
      <c r="N81" s="1119"/>
      <c r="O81" s="1119"/>
      <c r="P81" s="1119"/>
      <c r="Q81" s="1120"/>
      <c r="S81" s="32"/>
      <c r="T81" s="31"/>
      <c r="U81" s="22"/>
    </row>
    <row r="82" spans="1:21" ht="3.75" customHeight="1">
      <c r="A82" s="247"/>
      <c r="B82" s="248"/>
      <c r="C82" s="248"/>
      <c r="D82" s="248"/>
      <c r="E82" s="4"/>
      <c r="F82" s="83"/>
      <c r="G82" s="469"/>
      <c r="H82" s="248"/>
      <c r="I82" s="248"/>
      <c r="J82" s="320"/>
      <c r="K82" s="1093"/>
      <c r="L82" s="1094"/>
      <c r="M82" s="1094"/>
      <c r="N82" s="1094"/>
      <c r="O82" s="1094"/>
      <c r="P82" s="1094"/>
      <c r="Q82" s="1095"/>
      <c r="S82" s="32"/>
      <c r="T82" s="31"/>
      <c r="U82" s="22"/>
    </row>
    <row r="83" spans="1:21" ht="12.75">
      <c r="A83" s="247"/>
      <c r="B83" s="248"/>
      <c r="C83" s="248"/>
      <c r="D83" s="248"/>
      <c r="E83" s="4" t="s">
        <v>233</v>
      </c>
      <c r="F83" s="716">
        <f>IF(F81=0,0,F81-F80)</f>
        <v>0</v>
      </c>
      <c r="G83" s="469" t="s">
        <v>774</v>
      </c>
      <c r="H83" s="248"/>
      <c r="I83" s="248"/>
      <c r="J83" s="320"/>
      <c r="K83" s="1096"/>
      <c r="L83" s="1097"/>
      <c r="M83" s="1097"/>
      <c r="N83" s="1097"/>
      <c r="O83" s="1097"/>
      <c r="P83" s="1097"/>
      <c r="Q83" s="1098"/>
      <c r="S83" s="32"/>
      <c r="T83" s="31"/>
      <c r="U83" s="22"/>
    </row>
    <row r="84" spans="1:21" ht="15.75">
      <c r="A84" s="247"/>
      <c r="B84" s="248"/>
      <c r="C84" s="248"/>
      <c r="D84" s="248"/>
      <c r="E84" s="4" t="s">
        <v>232</v>
      </c>
      <c r="F84" s="723">
        <v>1.5</v>
      </c>
      <c r="G84" s="469" t="s">
        <v>775</v>
      </c>
      <c r="H84" s="248"/>
      <c r="I84" s="248"/>
      <c r="J84" s="320"/>
      <c r="K84" s="1096"/>
      <c r="L84" s="1097"/>
      <c r="M84" s="1097"/>
      <c r="N84" s="1097"/>
      <c r="O84" s="1097"/>
      <c r="P84" s="1097"/>
      <c r="Q84" s="1098"/>
      <c r="S84" s="32"/>
      <c r="T84" s="31"/>
      <c r="U84" s="22"/>
    </row>
    <row r="85" spans="1:21" ht="6.75" customHeight="1">
      <c r="A85" s="247"/>
      <c r="B85" s="248"/>
      <c r="C85" s="248"/>
      <c r="D85" s="248"/>
      <c r="E85" s="362"/>
      <c r="F85" s="84"/>
      <c r="G85" s="469"/>
      <c r="H85" s="248"/>
      <c r="I85" s="248"/>
      <c r="J85" s="320"/>
      <c r="K85" s="1096"/>
      <c r="L85" s="1097"/>
      <c r="M85" s="1097"/>
      <c r="N85" s="1097"/>
      <c r="O85" s="1097"/>
      <c r="P85" s="1097"/>
      <c r="Q85" s="1098"/>
      <c r="S85" s="32"/>
      <c r="T85" s="31"/>
      <c r="U85" s="22"/>
    </row>
    <row r="86" spans="1:21" ht="40.5" customHeight="1" thickBot="1">
      <c r="A86" s="1140"/>
      <c r="B86" s="1141"/>
      <c r="C86" s="1141"/>
      <c r="D86" s="1138"/>
      <c r="E86" s="1139"/>
      <c r="F86" s="1139"/>
      <c r="G86" s="1139"/>
      <c r="H86" s="1139"/>
      <c r="I86" s="1139"/>
      <c r="J86" s="322"/>
      <c r="K86" s="1096"/>
      <c r="L86" s="1097"/>
      <c r="M86" s="1097"/>
      <c r="N86" s="1097"/>
      <c r="O86" s="1097"/>
      <c r="P86" s="1097"/>
      <c r="Q86" s="1098"/>
      <c r="S86" s="32"/>
      <c r="T86" s="31"/>
      <c r="U86" s="22"/>
    </row>
    <row r="87" spans="1:21" ht="15.75" thickBot="1">
      <c r="A87" s="345" t="s">
        <v>234</v>
      </c>
      <c r="B87" s="356"/>
      <c r="C87" s="356"/>
      <c r="D87" s="356"/>
      <c r="E87" s="356"/>
      <c r="F87" s="356"/>
      <c r="G87" s="356"/>
      <c r="H87" s="678" t="s">
        <v>678</v>
      </c>
      <c r="I87" s="1033">
        <f>F83*100*F84</f>
        <v>0</v>
      </c>
      <c r="J87" s="1034"/>
      <c r="K87" s="1099"/>
      <c r="L87" s="1100"/>
      <c r="M87" s="1100"/>
      <c r="N87" s="1100"/>
      <c r="O87" s="1100"/>
      <c r="P87" s="1100"/>
      <c r="Q87" s="1101"/>
      <c r="S87" s="32"/>
      <c r="T87" s="31"/>
      <c r="U87" s="22"/>
    </row>
    <row r="88" spans="1:21" ht="17.25" thickBot="1">
      <c r="A88" s="308" t="s">
        <v>799</v>
      </c>
      <c r="B88" s="357"/>
      <c r="C88" s="889" t="s">
        <v>618</v>
      </c>
      <c r="D88" s="889"/>
      <c r="E88" s="889"/>
      <c r="F88" s="889"/>
      <c r="G88" s="889"/>
      <c r="H88" s="889"/>
      <c r="I88" s="889"/>
      <c r="J88" s="887"/>
      <c r="K88" s="863" t="s">
        <v>565</v>
      </c>
      <c r="L88" s="859"/>
      <c r="M88" s="859"/>
      <c r="N88" s="859"/>
      <c r="O88" s="859"/>
      <c r="P88" s="859"/>
      <c r="Q88" s="862"/>
      <c r="S88" s="32"/>
      <c r="T88" s="31"/>
      <c r="U88" s="22"/>
    </row>
    <row r="89" spans="1:21" ht="36.75" customHeight="1" thickTop="1">
      <c r="A89" s="1084" t="s">
        <v>692</v>
      </c>
      <c r="B89" s="1085"/>
      <c r="C89" s="1085"/>
      <c r="D89" s="1085"/>
      <c r="E89" s="1085"/>
      <c r="F89" s="1085"/>
      <c r="G89" s="1085"/>
      <c r="H89" s="1085"/>
      <c r="I89" s="1085"/>
      <c r="J89" s="1086"/>
      <c r="K89" s="901" t="s">
        <v>681</v>
      </c>
      <c r="L89" s="902"/>
      <c r="M89" s="902"/>
      <c r="N89" s="902"/>
      <c r="O89" s="902"/>
      <c r="P89" s="902"/>
      <c r="Q89" s="892"/>
      <c r="S89" s="32"/>
      <c r="T89" s="31"/>
      <c r="U89" s="22"/>
    </row>
    <row r="90" spans="1:21" ht="3.75" customHeight="1">
      <c r="A90" s="679"/>
      <c r="B90" s="680"/>
      <c r="C90" s="680"/>
      <c r="D90" s="680"/>
      <c r="E90" s="412"/>
      <c r="F90" s="412"/>
      <c r="G90" s="412"/>
      <c r="H90" s="412"/>
      <c r="I90" s="412"/>
      <c r="J90" s="681"/>
      <c r="K90" s="893"/>
      <c r="L90" s="894"/>
      <c r="M90" s="894"/>
      <c r="N90" s="894"/>
      <c r="O90" s="894"/>
      <c r="P90" s="894"/>
      <c r="Q90" s="895"/>
      <c r="S90" s="32"/>
      <c r="T90" s="31"/>
      <c r="U90" s="22"/>
    </row>
    <row r="91" spans="1:21" ht="38.25" customHeight="1" thickBot="1">
      <c r="A91" s="896" t="s">
        <v>235</v>
      </c>
      <c r="B91" s="897"/>
      <c r="C91" s="897"/>
      <c r="D91" s="897"/>
      <c r="E91" s="897"/>
      <c r="F91" s="897"/>
      <c r="G91" s="897"/>
      <c r="H91" s="897"/>
      <c r="I91" s="897"/>
      <c r="J91" s="898"/>
      <c r="K91" s="1093"/>
      <c r="L91" s="1094"/>
      <c r="M91" s="1094"/>
      <c r="N91" s="1094"/>
      <c r="O91" s="1094"/>
      <c r="P91" s="1094"/>
      <c r="Q91" s="1095"/>
      <c r="S91" s="32"/>
      <c r="T91" s="31"/>
      <c r="U91" s="22"/>
    </row>
    <row r="92" spans="1:21" ht="13.5" thickTop="1">
      <c r="A92" s="247"/>
      <c r="B92" s="248"/>
      <c r="C92" s="248"/>
      <c r="D92" s="248"/>
      <c r="E92" s="4" t="s">
        <v>619</v>
      </c>
      <c r="F92" s="5">
        <v>0</v>
      </c>
      <c r="G92" s="469" t="s">
        <v>91</v>
      </c>
      <c r="H92" s="248"/>
      <c r="I92" s="248"/>
      <c r="J92" s="461"/>
      <c r="K92" s="1096"/>
      <c r="L92" s="1097"/>
      <c r="M92" s="1097"/>
      <c r="N92" s="1097"/>
      <c r="O92" s="1097"/>
      <c r="P92" s="1097"/>
      <c r="Q92" s="1098"/>
      <c r="S92" s="32"/>
      <c r="T92" s="31"/>
      <c r="U92" s="22"/>
    </row>
    <row r="93" spans="1:21" ht="13.5" customHeight="1">
      <c r="A93" s="247"/>
      <c r="B93" s="248"/>
      <c r="C93" s="248"/>
      <c r="D93" s="248"/>
      <c r="E93" s="4" t="s">
        <v>691</v>
      </c>
      <c r="F93" s="717">
        <f>IF(F9=0,0,F92/$F$9)</f>
        <v>0</v>
      </c>
      <c r="G93" s="469" t="s">
        <v>92</v>
      </c>
      <c r="H93" s="248"/>
      <c r="I93" s="248"/>
      <c r="J93" s="461"/>
      <c r="K93" s="1096"/>
      <c r="L93" s="1097"/>
      <c r="M93" s="1097"/>
      <c r="N93" s="1097"/>
      <c r="O93" s="1097"/>
      <c r="P93" s="1097"/>
      <c r="Q93" s="1098"/>
      <c r="S93" s="32"/>
      <c r="T93" s="31"/>
      <c r="U93" s="22"/>
    </row>
    <row r="94" spans="1:21" ht="17.25" customHeight="1">
      <c r="A94" s="247"/>
      <c r="B94" s="248"/>
      <c r="C94" s="248"/>
      <c r="D94" s="248"/>
      <c r="E94" s="362"/>
      <c r="F94" s="47"/>
      <c r="G94" s="248"/>
      <c r="H94" s="248"/>
      <c r="I94" s="248"/>
      <c r="J94" s="461"/>
      <c r="K94" s="1096"/>
      <c r="L94" s="1097"/>
      <c r="M94" s="1097"/>
      <c r="N94" s="1097"/>
      <c r="O94" s="1097"/>
      <c r="P94" s="1097"/>
      <c r="Q94" s="1098"/>
      <c r="S94" s="32"/>
      <c r="T94" s="31"/>
      <c r="U94" s="22"/>
    </row>
    <row r="95" spans="1:21" ht="26.25" customHeight="1">
      <c r="A95" s="247"/>
      <c r="B95" s="296"/>
      <c r="C95" s="1090" t="s">
        <v>486</v>
      </c>
      <c r="D95" s="1091"/>
      <c r="E95" s="1091"/>
      <c r="F95" s="1091"/>
      <c r="G95" s="1091"/>
      <c r="H95" s="1092"/>
      <c r="I95" s="248"/>
      <c r="J95" s="461"/>
      <c r="K95" s="1096"/>
      <c r="L95" s="1097"/>
      <c r="M95" s="1097"/>
      <c r="N95" s="1097"/>
      <c r="O95" s="1097"/>
      <c r="P95" s="1097"/>
      <c r="Q95" s="1098"/>
      <c r="S95" s="32"/>
      <c r="T95" s="31"/>
      <c r="U95" s="22"/>
    </row>
    <row r="96" spans="1:21" ht="27" customHeight="1">
      <c r="A96" s="247"/>
      <c r="B96" s="296"/>
      <c r="C96" s="1090" t="s">
        <v>485</v>
      </c>
      <c r="D96" s="1091"/>
      <c r="E96" s="1091"/>
      <c r="F96" s="1091"/>
      <c r="G96" s="1091"/>
      <c r="H96" s="1092"/>
      <c r="I96" s="248"/>
      <c r="J96" s="461"/>
      <c r="K96" s="1096"/>
      <c r="L96" s="1097"/>
      <c r="M96" s="1097"/>
      <c r="N96" s="1097"/>
      <c r="O96" s="1097"/>
      <c r="P96" s="1097"/>
      <c r="Q96" s="1098"/>
      <c r="S96" s="32"/>
      <c r="T96" s="31"/>
      <c r="U96" s="22"/>
    </row>
    <row r="97" spans="1:21" ht="38.25" customHeight="1">
      <c r="A97" s="247"/>
      <c r="B97" s="682"/>
      <c r="C97" s="934" t="s">
        <v>487</v>
      </c>
      <c r="D97" s="935"/>
      <c r="E97" s="935"/>
      <c r="F97" s="935"/>
      <c r="G97" s="935"/>
      <c r="H97" s="936"/>
      <c r="I97" s="248"/>
      <c r="J97" s="461"/>
      <c r="K97" s="1096"/>
      <c r="L97" s="1097"/>
      <c r="M97" s="1097"/>
      <c r="N97" s="1097"/>
      <c r="O97" s="1097"/>
      <c r="P97" s="1097"/>
      <c r="Q97" s="1098"/>
      <c r="S97" s="32"/>
      <c r="T97" s="31"/>
      <c r="U97" s="22"/>
    </row>
    <row r="98" spans="1:21" ht="13.5" customHeight="1">
      <c r="A98" s="247"/>
      <c r="B98" s="248"/>
      <c r="C98" s="248"/>
      <c r="D98" s="248"/>
      <c r="E98" s="362"/>
      <c r="F98" s="47"/>
      <c r="G98" s="248"/>
      <c r="H98" s="248"/>
      <c r="I98" s="248"/>
      <c r="J98" s="461"/>
      <c r="K98" s="1096"/>
      <c r="L98" s="1097"/>
      <c r="M98" s="1097"/>
      <c r="N98" s="1097"/>
      <c r="O98" s="1097"/>
      <c r="P98" s="1097"/>
      <c r="Q98" s="1098"/>
      <c r="S98" s="32"/>
      <c r="T98" s="31"/>
      <c r="U98" s="22"/>
    </row>
    <row r="99" spans="1:21" ht="13.5" thickBot="1">
      <c r="A99" s="247"/>
      <c r="B99" s="248"/>
      <c r="C99" s="248"/>
      <c r="D99" s="248"/>
      <c r="E99" s="248"/>
      <c r="F99" s="362" t="s">
        <v>693</v>
      </c>
      <c r="G99" s="718">
        <f>IF(J99=1,12,IF(J99=2,8,0))</f>
        <v>0</v>
      </c>
      <c r="H99" s="469" t="s">
        <v>93</v>
      </c>
      <c r="I99" s="248"/>
      <c r="J99" s="683">
        <v>3</v>
      </c>
      <c r="K99" s="1096"/>
      <c r="L99" s="1097"/>
      <c r="M99" s="1097"/>
      <c r="N99" s="1097"/>
      <c r="O99" s="1097"/>
      <c r="P99" s="1097"/>
      <c r="Q99" s="1098"/>
      <c r="S99" s="32"/>
      <c r="T99" s="31"/>
      <c r="U99" s="22"/>
    </row>
    <row r="100" spans="1:21" ht="15.75" thickBot="1">
      <c r="A100" s="674" t="s">
        <v>239</v>
      </c>
      <c r="B100" s="356"/>
      <c r="C100" s="356"/>
      <c r="D100" s="356"/>
      <c r="E100" s="356"/>
      <c r="F100" s="356"/>
      <c r="G100" s="356"/>
      <c r="H100" s="678" t="s">
        <v>679</v>
      </c>
      <c r="I100" s="1082">
        <f>F93*G99</f>
        <v>0</v>
      </c>
      <c r="J100" s="1083"/>
      <c r="K100" s="1099"/>
      <c r="L100" s="1100"/>
      <c r="M100" s="1100"/>
      <c r="N100" s="1100"/>
      <c r="O100" s="1100"/>
      <c r="P100" s="1100"/>
      <c r="Q100" s="1101"/>
      <c r="S100" s="32"/>
      <c r="T100" s="31"/>
      <c r="U100" s="22"/>
    </row>
    <row r="101" spans="1:21" ht="17.25" thickBot="1">
      <c r="A101" s="308" t="s">
        <v>803</v>
      </c>
      <c r="B101" s="357"/>
      <c r="C101" s="910" t="s">
        <v>625</v>
      </c>
      <c r="D101" s="910"/>
      <c r="E101" s="910"/>
      <c r="F101" s="910"/>
      <c r="G101" s="910"/>
      <c r="H101" s="910"/>
      <c r="I101" s="910"/>
      <c r="J101" s="911"/>
      <c r="K101" s="864" t="s">
        <v>565</v>
      </c>
      <c r="L101" s="859"/>
      <c r="M101" s="859"/>
      <c r="N101" s="859"/>
      <c r="O101" s="859"/>
      <c r="P101" s="859"/>
      <c r="Q101" s="862"/>
      <c r="S101" s="32"/>
      <c r="T101" s="31"/>
      <c r="U101" s="22"/>
    </row>
    <row r="102" spans="1:21" ht="27" customHeight="1" thickBot="1" thickTop="1">
      <c r="A102" s="1087" t="s">
        <v>488</v>
      </c>
      <c r="B102" s="1088"/>
      <c r="C102" s="1088"/>
      <c r="D102" s="1088"/>
      <c r="E102" s="1088"/>
      <c r="F102" s="1088"/>
      <c r="G102" s="1088"/>
      <c r="H102" s="1088"/>
      <c r="I102" s="1088"/>
      <c r="J102" s="1089"/>
      <c r="K102" s="1073"/>
      <c r="L102" s="1074"/>
      <c r="M102" s="1074"/>
      <c r="N102" s="1074"/>
      <c r="O102" s="1074"/>
      <c r="P102" s="1074"/>
      <c r="Q102" s="1075"/>
      <c r="S102" s="32"/>
      <c r="T102" s="31"/>
      <c r="U102" s="22"/>
    </row>
    <row r="103" spans="1:21" ht="15" customHeight="1" thickTop="1">
      <c r="A103" s="247"/>
      <c r="B103" s="248"/>
      <c r="C103" s="248"/>
      <c r="D103" s="248"/>
      <c r="E103" s="4" t="s">
        <v>620</v>
      </c>
      <c r="F103" s="115">
        <v>0</v>
      </c>
      <c r="G103" s="469" t="s">
        <v>77</v>
      </c>
      <c r="H103" s="248"/>
      <c r="I103" s="248"/>
      <c r="J103" s="353"/>
      <c r="K103" s="1076"/>
      <c r="L103" s="1077"/>
      <c r="M103" s="1077"/>
      <c r="N103" s="1077"/>
      <c r="O103" s="1077"/>
      <c r="P103" s="1077"/>
      <c r="Q103" s="1078"/>
      <c r="S103" s="32"/>
      <c r="T103" s="31"/>
      <c r="U103" s="22"/>
    </row>
    <row r="104" spans="1:21" ht="14.25" customHeight="1">
      <c r="A104" s="247"/>
      <c r="B104" s="248"/>
      <c r="C104" s="248"/>
      <c r="D104" s="248"/>
      <c r="E104" s="4" t="s">
        <v>691</v>
      </c>
      <c r="F104" s="719">
        <f>IF(F9=0,0,F103/$F$9)</f>
        <v>0</v>
      </c>
      <c r="G104" s="469" t="s">
        <v>78</v>
      </c>
      <c r="H104" s="248"/>
      <c r="I104" s="248"/>
      <c r="J104" s="320"/>
      <c r="K104" s="1076"/>
      <c r="L104" s="1077"/>
      <c r="M104" s="1077"/>
      <c r="N104" s="1077"/>
      <c r="O104" s="1077"/>
      <c r="P104" s="1077"/>
      <c r="Q104" s="1078"/>
      <c r="S104" s="32"/>
      <c r="T104" s="31"/>
      <c r="U104" s="22"/>
    </row>
    <row r="105" spans="1:21" ht="4.5" customHeight="1">
      <c r="A105" s="247"/>
      <c r="B105" s="248"/>
      <c r="C105" s="248"/>
      <c r="D105" s="248"/>
      <c r="E105" s="362"/>
      <c r="F105" s="49"/>
      <c r="G105" s="248"/>
      <c r="H105" s="248"/>
      <c r="I105" s="248"/>
      <c r="J105" s="320"/>
      <c r="K105" s="1076"/>
      <c r="L105" s="1077"/>
      <c r="M105" s="1077"/>
      <c r="N105" s="1077"/>
      <c r="O105" s="1077"/>
      <c r="P105" s="1077"/>
      <c r="Q105" s="1078"/>
      <c r="S105" s="32"/>
      <c r="T105" s="31"/>
      <c r="U105" s="22"/>
    </row>
    <row r="106" spans="1:21" ht="16.5" thickBot="1">
      <c r="A106" s="247"/>
      <c r="B106" s="248"/>
      <c r="C106" s="248"/>
      <c r="D106" s="248"/>
      <c r="E106" s="362" t="s">
        <v>628</v>
      </c>
      <c r="F106" s="722">
        <v>50</v>
      </c>
      <c r="G106" s="248"/>
      <c r="H106" s="248"/>
      <c r="I106" s="248"/>
      <c r="J106" s="322"/>
      <c r="K106" s="1076"/>
      <c r="L106" s="1077"/>
      <c r="M106" s="1077"/>
      <c r="N106" s="1077"/>
      <c r="O106" s="1077"/>
      <c r="P106" s="1077"/>
      <c r="Q106" s="1078"/>
      <c r="S106" s="32"/>
      <c r="T106" s="31"/>
      <c r="U106" s="22"/>
    </row>
    <row r="107" spans="1:21" ht="15.75" thickBot="1">
      <c r="A107" s="674" t="s">
        <v>200</v>
      </c>
      <c r="B107" s="356"/>
      <c r="C107" s="356"/>
      <c r="D107" s="356"/>
      <c r="E107" s="356"/>
      <c r="F107" s="356"/>
      <c r="G107" s="248"/>
      <c r="H107" s="678" t="s">
        <v>684</v>
      </c>
      <c r="I107" s="1033">
        <f>F104*F106</f>
        <v>0</v>
      </c>
      <c r="J107" s="1034"/>
      <c r="K107" s="1079"/>
      <c r="L107" s="1080"/>
      <c r="M107" s="1080"/>
      <c r="N107" s="1080"/>
      <c r="O107" s="1080"/>
      <c r="P107" s="1080"/>
      <c r="Q107" s="1081"/>
      <c r="S107" s="32"/>
      <c r="T107" s="31"/>
      <c r="U107" s="22"/>
    </row>
    <row r="108" spans="1:21" ht="17.25" thickBot="1">
      <c r="A108" s="308" t="s">
        <v>804</v>
      </c>
      <c r="B108" s="357"/>
      <c r="C108" s="1152" t="s">
        <v>626</v>
      </c>
      <c r="D108" s="1152"/>
      <c r="E108" s="1152"/>
      <c r="F108" s="1152"/>
      <c r="G108" s="1152"/>
      <c r="H108" s="1152"/>
      <c r="I108" s="1152"/>
      <c r="J108" s="1153"/>
      <c r="K108" s="858" t="s">
        <v>565</v>
      </c>
      <c r="L108" s="861"/>
      <c r="M108" s="861"/>
      <c r="N108" s="861"/>
      <c r="O108" s="865" t="s">
        <v>696</v>
      </c>
      <c r="P108" s="859"/>
      <c r="Q108" s="866"/>
      <c r="S108" s="32"/>
      <c r="T108" s="31"/>
      <c r="U108" s="22"/>
    </row>
    <row r="109" spans="1:21" ht="13.5" thickTop="1">
      <c r="A109" s="467"/>
      <c r="B109" s="412"/>
      <c r="C109" s="1154"/>
      <c r="D109" s="1154"/>
      <c r="E109" s="1154"/>
      <c r="F109" s="1154"/>
      <c r="G109" s="1154"/>
      <c r="H109" s="1154"/>
      <c r="I109" s="1154"/>
      <c r="J109" s="1155"/>
      <c r="K109" s="901" t="s">
        <v>354</v>
      </c>
      <c r="L109" s="902"/>
      <c r="M109" s="902"/>
      <c r="N109" s="902"/>
      <c r="O109" s="902"/>
      <c r="P109" s="902"/>
      <c r="Q109" s="892"/>
      <c r="S109" s="32"/>
      <c r="T109" s="31"/>
      <c r="U109" s="22"/>
    </row>
    <row r="110" spans="1:21" ht="25.5" customHeight="1" thickBot="1">
      <c r="A110" s="896" t="s">
        <v>561</v>
      </c>
      <c r="B110" s="897"/>
      <c r="C110" s="897"/>
      <c r="D110" s="897"/>
      <c r="E110" s="897"/>
      <c r="F110" s="897"/>
      <c r="G110" s="897"/>
      <c r="H110" s="897"/>
      <c r="I110" s="897"/>
      <c r="J110" s="898"/>
      <c r="K110" s="893"/>
      <c r="L110" s="894"/>
      <c r="M110" s="894"/>
      <c r="N110" s="894"/>
      <c r="O110" s="894"/>
      <c r="P110" s="894"/>
      <c r="Q110" s="895"/>
      <c r="S110" s="32"/>
      <c r="T110" s="31"/>
      <c r="U110" s="22"/>
    </row>
    <row r="111" spans="1:21" ht="15.75" customHeight="1" thickBot="1" thickTop="1">
      <c r="A111" s="1066" t="s">
        <v>552</v>
      </c>
      <c r="B111" s="1067"/>
      <c r="C111" s="1067"/>
      <c r="D111" s="1067"/>
      <c r="E111" s="1067"/>
      <c r="F111" s="311"/>
      <c r="G111" s="311"/>
      <c r="H111" s="685"/>
      <c r="I111" s="685"/>
      <c r="J111" s="312"/>
      <c r="K111" s="1179"/>
      <c r="L111" s="1180"/>
      <c r="M111" s="1180"/>
      <c r="N111" s="1180"/>
      <c r="O111" s="1180"/>
      <c r="P111" s="1180"/>
      <c r="Q111" s="1181"/>
      <c r="S111" s="32"/>
      <c r="T111" s="31"/>
      <c r="U111" s="22"/>
    </row>
    <row r="112" spans="1:21" ht="13.5" customHeight="1" thickTop="1">
      <c r="A112" s="1068"/>
      <c r="B112" s="1069"/>
      <c r="C112" s="1069"/>
      <c r="D112" s="1069"/>
      <c r="E112" s="1069"/>
      <c r="F112" s="122">
        <v>0</v>
      </c>
      <c r="G112" s="469" t="s">
        <v>556</v>
      </c>
      <c r="H112" s="248"/>
      <c r="I112" s="248"/>
      <c r="J112" s="353"/>
      <c r="K112" s="1179"/>
      <c r="L112" s="1180"/>
      <c r="M112" s="1180"/>
      <c r="N112" s="1180"/>
      <c r="O112" s="1180"/>
      <c r="P112" s="1180"/>
      <c r="Q112" s="1181"/>
      <c r="S112" s="32"/>
      <c r="T112" s="31"/>
      <c r="U112" s="22"/>
    </row>
    <row r="113" spans="1:21" ht="12" customHeight="1">
      <c r="A113" s="1068" t="s">
        <v>553</v>
      </c>
      <c r="B113" s="1069"/>
      <c r="C113" s="1069"/>
      <c r="D113" s="1069"/>
      <c r="E113" s="1069"/>
      <c r="F113" s="121"/>
      <c r="G113" s="469"/>
      <c r="H113" s="248"/>
      <c r="I113" s="248"/>
      <c r="J113" s="320"/>
      <c r="K113" s="1179"/>
      <c r="L113" s="1180"/>
      <c r="M113" s="1180"/>
      <c r="N113" s="1180"/>
      <c r="O113" s="1180"/>
      <c r="P113" s="1180"/>
      <c r="Q113" s="1181"/>
      <c r="S113" s="32"/>
      <c r="T113" s="31"/>
      <c r="U113" s="22"/>
    </row>
    <row r="114" spans="1:21" ht="15" customHeight="1">
      <c r="A114" s="1068"/>
      <c r="B114" s="1069"/>
      <c r="C114" s="1069"/>
      <c r="D114" s="1069"/>
      <c r="E114" s="1069"/>
      <c r="F114" s="123">
        <v>0</v>
      </c>
      <c r="G114" s="469" t="s">
        <v>557</v>
      </c>
      <c r="H114" s="248"/>
      <c r="I114" s="248"/>
      <c r="J114" s="320"/>
      <c r="K114" s="1179"/>
      <c r="L114" s="1180"/>
      <c r="M114" s="1180"/>
      <c r="N114" s="1180"/>
      <c r="O114" s="1180"/>
      <c r="P114" s="1180"/>
      <c r="Q114" s="1181"/>
      <c r="S114" s="32"/>
      <c r="T114" s="31"/>
      <c r="U114" s="22"/>
    </row>
    <row r="115" spans="1:21" ht="15.75" customHeight="1">
      <c r="A115" s="1186" t="s">
        <v>562</v>
      </c>
      <c r="B115" s="1187"/>
      <c r="C115" s="248"/>
      <c r="D115" s="919" t="s">
        <v>126</v>
      </c>
      <c r="E115" s="919"/>
      <c r="F115" s="919"/>
      <c r="G115" s="469"/>
      <c r="H115" s="248"/>
      <c r="I115" s="248"/>
      <c r="J115" s="320"/>
      <c r="K115" s="1179"/>
      <c r="L115" s="1180"/>
      <c r="M115" s="1180"/>
      <c r="N115" s="1180"/>
      <c r="O115" s="1180"/>
      <c r="P115" s="1180"/>
      <c r="Q115" s="1181"/>
      <c r="S115" s="32"/>
      <c r="T115" s="31"/>
      <c r="U115" s="22"/>
    </row>
    <row r="116" spans="1:21" ht="14.25" customHeight="1">
      <c r="A116" s="1186"/>
      <c r="B116" s="1187"/>
      <c r="C116" s="362"/>
      <c r="D116" s="919"/>
      <c r="E116" s="919"/>
      <c r="F116" s="919"/>
      <c r="G116" s="720">
        <f>F112-F114</f>
        <v>0</v>
      </c>
      <c r="H116" s="469" t="s">
        <v>558</v>
      </c>
      <c r="I116" s="248"/>
      <c r="J116" s="320"/>
      <c r="K116" s="1179"/>
      <c r="L116" s="1180"/>
      <c r="M116" s="1180"/>
      <c r="N116" s="1180"/>
      <c r="O116" s="1180"/>
      <c r="P116" s="1180"/>
      <c r="Q116" s="1181"/>
      <c r="S116" s="32"/>
      <c r="T116" s="31"/>
      <c r="U116" s="22"/>
    </row>
    <row r="117" spans="1:21" ht="14.25" customHeight="1">
      <c r="A117" s="1186"/>
      <c r="B117" s="1187"/>
      <c r="C117" s="352"/>
      <c r="D117" s="352"/>
      <c r="E117" s="352"/>
      <c r="F117" s="124"/>
      <c r="G117" s="469"/>
      <c r="H117" s="248"/>
      <c r="I117" s="248"/>
      <c r="J117" s="320"/>
      <c r="K117" s="1179"/>
      <c r="L117" s="1180"/>
      <c r="M117" s="1180"/>
      <c r="N117" s="1180"/>
      <c r="O117" s="1180"/>
      <c r="P117" s="1180"/>
      <c r="Q117" s="1181"/>
      <c r="S117" s="32"/>
      <c r="T117" s="31"/>
      <c r="U117" s="22"/>
    </row>
    <row r="118" spans="1:21" ht="12" customHeight="1">
      <c r="A118" s="1186"/>
      <c r="B118" s="1187"/>
      <c r="C118" s="354"/>
      <c r="D118" s="354"/>
      <c r="E118" s="354"/>
      <c r="F118" s="84"/>
      <c r="G118" s="248"/>
      <c r="H118" s="248"/>
      <c r="I118" s="248"/>
      <c r="J118" s="320"/>
      <c r="K118" s="1179"/>
      <c r="L118" s="1180"/>
      <c r="M118" s="1180"/>
      <c r="N118" s="1180"/>
      <c r="O118" s="1180"/>
      <c r="P118" s="1180"/>
      <c r="Q118" s="1181"/>
      <c r="S118" s="32"/>
      <c r="T118" s="31"/>
      <c r="U118" s="22"/>
    </row>
    <row r="119" spans="1:21" ht="12.75">
      <c r="A119" s="1185" t="s">
        <v>35</v>
      </c>
      <c r="B119" s="1037"/>
      <c r="C119" s="300"/>
      <c r="D119" s="919" t="s">
        <v>554</v>
      </c>
      <c r="E119" s="919"/>
      <c r="F119" s="919"/>
      <c r="G119" s="248"/>
      <c r="H119" s="248"/>
      <c r="I119" s="248"/>
      <c r="J119" s="320"/>
      <c r="K119" s="1179"/>
      <c r="L119" s="1180"/>
      <c r="M119" s="1180"/>
      <c r="N119" s="1180"/>
      <c r="O119" s="1180"/>
      <c r="P119" s="1180"/>
      <c r="Q119" s="1181"/>
      <c r="S119" s="32"/>
      <c r="T119" s="31"/>
      <c r="U119" s="22"/>
    </row>
    <row r="120" spans="1:21" ht="14.25" customHeight="1">
      <c r="A120" s="1185"/>
      <c r="B120" s="1037"/>
      <c r="C120" s="300"/>
      <c r="D120" s="919"/>
      <c r="E120" s="919"/>
      <c r="F120" s="919"/>
      <c r="G120" s="1156">
        <v>0</v>
      </c>
      <c r="H120" s="1157"/>
      <c r="I120" s="524" t="s">
        <v>559</v>
      </c>
      <c r="J120" s="320" t="b">
        <v>0</v>
      </c>
      <c r="K120" s="1179"/>
      <c r="L120" s="1180"/>
      <c r="M120" s="1180"/>
      <c r="N120" s="1180"/>
      <c r="O120" s="1180"/>
      <c r="P120" s="1180"/>
      <c r="Q120" s="1181"/>
      <c r="S120" s="32"/>
      <c r="T120" s="31"/>
      <c r="U120" s="22"/>
    </row>
    <row r="121" spans="1:21" ht="12.75">
      <c r="A121" s="247"/>
      <c r="B121" s="686"/>
      <c r="C121" s="686"/>
      <c r="D121" s="919" t="s">
        <v>555</v>
      </c>
      <c r="E121" s="919"/>
      <c r="F121" s="919"/>
      <c r="G121" s="248"/>
      <c r="H121" s="248"/>
      <c r="I121" s="248"/>
      <c r="J121" s="320"/>
      <c r="K121" s="1179"/>
      <c r="L121" s="1180"/>
      <c r="M121" s="1180"/>
      <c r="N121" s="1180"/>
      <c r="O121" s="1180"/>
      <c r="P121" s="1180"/>
      <c r="Q121" s="1181"/>
      <c r="S121" s="32"/>
      <c r="T121" s="31"/>
      <c r="U121" s="22"/>
    </row>
    <row r="122" spans="1:21" ht="13.5" customHeight="1">
      <c r="A122" s="247"/>
      <c r="B122" s="362"/>
      <c r="C122" s="362"/>
      <c r="D122" s="919"/>
      <c r="E122" s="919"/>
      <c r="F122" s="919"/>
      <c r="G122" s="1158">
        <f>IF(F9=0,"",G120/F9)</f>
      </c>
      <c r="H122" s="1159"/>
      <c r="I122" s="469" t="s">
        <v>129</v>
      </c>
      <c r="J122" s="320"/>
      <c r="K122" s="1179"/>
      <c r="L122" s="1180"/>
      <c r="M122" s="1180"/>
      <c r="N122" s="1180"/>
      <c r="O122" s="1180"/>
      <c r="P122" s="1180"/>
      <c r="Q122" s="1181"/>
      <c r="S122" s="32"/>
      <c r="T122" s="31"/>
      <c r="U122" s="22"/>
    </row>
    <row r="123" spans="1:21" ht="12.75">
      <c r="A123" s="477"/>
      <c r="B123" s="362"/>
      <c r="C123" s="362"/>
      <c r="D123" s="362"/>
      <c r="E123" s="362"/>
      <c r="F123" s="248"/>
      <c r="G123" s="248"/>
      <c r="H123" s="248"/>
      <c r="I123" s="248"/>
      <c r="J123" s="320"/>
      <c r="K123" s="1179"/>
      <c r="L123" s="1180"/>
      <c r="M123" s="1180"/>
      <c r="N123" s="1180"/>
      <c r="O123" s="1180"/>
      <c r="P123" s="1180"/>
      <c r="Q123" s="1181"/>
      <c r="S123" s="32"/>
      <c r="T123" s="31"/>
      <c r="U123" s="22"/>
    </row>
    <row r="124" spans="1:21" ht="15.75">
      <c r="A124" s="247"/>
      <c r="B124" s="248"/>
      <c r="C124" s="248"/>
      <c r="D124" s="248"/>
      <c r="E124" s="248"/>
      <c r="F124" s="362" t="s">
        <v>628</v>
      </c>
      <c r="G124" s="722">
        <v>4</v>
      </c>
      <c r="H124" s="248"/>
      <c r="I124" s="248"/>
      <c r="J124" s="320"/>
      <c r="K124" s="1179"/>
      <c r="L124" s="1180"/>
      <c r="M124" s="1180"/>
      <c r="N124" s="1180"/>
      <c r="O124" s="1180"/>
      <c r="P124" s="1180"/>
      <c r="Q124" s="1181"/>
      <c r="S124" s="32"/>
      <c r="T124" s="31"/>
      <c r="U124" s="22"/>
    </row>
    <row r="125" spans="1:21" ht="3.75" customHeight="1" thickBot="1">
      <c r="A125" s="247"/>
      <c r="B125" s="248"/>
      <c r="C125" s="248"/>
      <c r="D125" s="248"/>
      <c r="E125" s="362"/>
      <c r="F125" s="684"/>
      <c r="G125" s="248"/>
      <c r="H125" s="248"/>
      <c r="I125" s="248"/>
      <c r="J125" s="322"/>
      <c r="K125" s="1179"/>
      <c r="L125" s="1180"/>
      <c r="M125" s="1180"/>
      <c r="N125" s="1180"/>
      <c r="O125" s="1180"/>
      <c r="P125" s="1180"/>
      <c r="Q125" s="1181"/>
      <c r="S125" s="32"/>
      <c r="T125" s="31"/>
      <c r="U125" s="22"/>
    </row>
    <row r="126" spans="1:21" ht="15" customHeight="1" thickBot="1">
      <c r="A126" s="674" t="s">
        <v>560</v>
      </c>
      <c r="B126" s="356"/>
      <c r="C126" s="356"/>
      <c r="D126" s="356"/>
      <c r="E126" s="356"/>
      <c r="F126" s="356"/>
      <c r="G126" s="356"/>
      <c r="H126" s="687" t="s">
        <v>567</v>
      </c>
      <c r="I126" s="940">
        <f>IF(J120=TRUE,(F112-F114)*G124+G122*G124,0)</f>
        <v>0</v>
      </c>
      <c r="J126" s="941"/>
      <c r="K126" s="1182"/>
      <c r="L126" s="1183"/>
      <c r="M126" s="1183"/>
      <c r="N126" s="1183"/>
      <c r="O126" s="1183"/>
      <c r="P126" s="1183"/>
      <c r="Q126" s="1184"/>
      <c r="S126" s="32"/>
      <c r="T126" s="31"/>
      <c r="U126" s="22"/>
    </row>
    <row r="127" spans="1:21" ht="17.25" thickBot="1">
      <c r="A127" s="308" t="s">
        <v>568</v>
      </c>
      <c r="B127" s="357"/>
      <c r="C127" s="1165" t="s">
        <v>621</v>
      </c>
      <c r="D127" s="1165"/>
      <c r="E127" s="1165"/>
      <c r="F127" s="1165"/>
      <c r="G127" s="1165"/>
      <c r="H127" s="1165"/>
      <c r="I127" s="1165"/>
      <c r="J127" s="1166"/>
      <c r="K127" s="863" t="s">
        <v>565</v>
      </c>
      <c r="L127" s="859"/>
      <c r="M127" s="859"/>
      <c r="N127" s="859"/>
      <c r="O127" s="859"/>
      <c r="P127" s="859"/>
      <c r="Q127" s="862"/>
      <c r="S127" s="32"/>
      <c r="T127" s="31"/>
      <c r="U127" s="22"/>
    </row>
    <row r="128" spans="1:21" ht="28.5" customHeight="1" thickTop="1">
      <c r="A128" s="1162" t="s">
        <v>595</v>
      </c>
      <c r="B128" s="1163"/>
      <c r="C128" s="1163"/>
      <c r="D128" s="1163"/>
      <c r="E128" s="1163"/>
      <c r="F128" s="1163"/>
      <c r="G128" s="1163"/>
      <c r="H128" s="1163"/>
      <c r="I128" s="1163"/>
      <c r="J128" s="1164"/>
      <c r="K128" s="1042"/>
      <c r="L128" s="1043"/>
      <c r="M128" s="1043"/>
      <c r="N128" s="1043"/>
      <c r="O128" s="1043"/>
      <c r="P128" s="1043"/>
      <c r="Q128" s="1044"/>
      <c r="S128" s="32"/>
      <c r="T128" s="31"/>
      <c r="U128" s="22"/>
    </row>
    <row r="129" spans="1:21" ht="12.75">
      <c r="A129" s="1162"/>
      <c r="B129" s="1163"/>
      <c r="C129" s="1163"/>
      <c r="D129" s="1163"/>
      <c r="E129" s="1163"/>
      <c r="F129" s="1163"/>
      <c r="G129" s="1163"/>
      <c r="H129" s="1163"/>
      <c r="I129" s="1163"/>
      <c r="J129" s="1164"/>
      <c r="K129" s="1045"/>
      <c r="L129" s="1046"/>
      <c r="M129" s="1046"/>
      <c r="N129" s="1046"/>
      <c r="O129" s="1046"/>
      <c r="P129" s="1046"/>
      <c r="Q129" s="1047"/>
      <c r="S129" s="32"/>
      <c r="T129" s="31"/>
      <c r="U129" s="22"/>
    </row>
    <row r="130" spans="1:21" ht="13.5" thickBot="1">
      <c r="A130" s="914"/>
      <c r="B130" s="908"/>
      <c r="C130" s="908"/>
      <c r="D130" s="908"/>
      <c r="E130" s="908"/>
      <c r="F130" s="908"/>
      <c r="G130" s="908"/>
      <c r="H130" s="908"/>
      <c r="I130" s="908"/>
      <c r="J130" s="909"/>
      <c r="K130" s="1045"/>
      <c r="L130" s="1046"/>
      <c r="M130" s="1046"/>
      <c r="N130" s="1046"/>
      <c r="O130" s="1046"/>
      <c r="P130" s="1046"/>
      <c r="Q130" s="1047"/>
      <c r="S130" s="32"/>
      <c r="T130" s="31"/>
      <c r="U130" s="22"/>
    </row>
    <row r="131" spans="1:21" ht="18" customHeight="1" thickTop="1">
      <c r="A131" s="247"/>
      <c r="B131" s="248"/>
      <c r="C131" s="248"/>
      <c r="D131" s="248"/>
      <c r="E131" s="476"/>
      <c r="F131" s="131"/>
      <c r="G131" s="688"/>
      <c r="H131" s="248"/>
      <c r="I131" s="689"/>
      <c r="J131" s="320"/>
      <c r="K131" s="1045"/>
      <c r="L131" s="1046"/>
      <c r="M131" s="1046"/>
      <c r="N131" s="1046"/>
      <c r="O131" s="1046"/>
      <c r="P131" s="1046"/>
      <c r="Q131" s="1047"/>
      <c r="S131" s="32"/>
      <c r="T131" s="31"/>
      <c r="U131" s="22"/>
    </row>
    <row r="132" spans="1:21" ht="24.75" customHeight="1">
      <c r="A132" s="247"/>
      <c r="B132" s="296"/>
      <c r="C132" s="934" t="s">
        <v>451</v>
      </c>
      <c r="D132" s="935"/>
      <c r="E132" s="935"/>
      <c r="F132" s="935"/>
      <c r="G132" s="936"/>
      <c r="H132" s="248"/>
      <c r="I132" s="690"/>
      <c r="J132" s="691">
        <f>IF(J137=1,8,"")</f>
      </c>
      <c r="K132" s="1045"/>
      <c r="L132" s="1046"/>
      <c r="M132" s="1046"/>
      <c r="N132" s="1046"/>
      <c r="O132" s="1046"/>
      <c r="P132" s="1046"/>
      <c r="Q132" s="1047"/>
      <c r="S132" s="32"/>
      <c r="T132" s="31"/>
      <c r="U132" s="22"/>
    </row>
    <row r="133" spans="1:21" ht="24.75" customHeight="1">
      <c r="A133" s="247"/>
      <c r="B133" s="296"/>
      <c r="C133" s="934" t="s">
        <v>452</v>
      </c>
      <c r="D133" s="935"/>
      <c r="E133" s="935"/>
      <c r="F133" s="935"/>
      <c r="G133" s="936"/>
      <c r="H133" s="248"/>
      <c r="I133" s="248"/>
      <c r="J133" s="691">
        <f>IF(J137=2,5,"")</f>
      </c>
      <c r="K133" s="1045"/>
      <c r="L133" s="1046"/>
      <c r="M133" s="1046"/>
      <c r="N133" s="1046"/>
      <c r="O133" s="1046"/>
      <c r="P133" s="1046"/>
      <c r="Q133" s="1047"/>
      <c r="S133" s="32"/>
      <c r="T133" s="31"/>
      <c r="U133" s="22"/>
    </row>
    <row r="134" spans="1:21" ht="24.75" customHeight="1">
      <c r="A134" s="247"/>
      <c r="B134" s="296"/>
      <c r="C134" s="934" t="s">
        <v>453</v>
      </c>
      <c r="D134" s="935"/>
      <c r="E134" s="935"/>
      <c r="F134" s="935"/>
      <c r="G134" s="936"/>
      <c r="H134" s="248"/>
      <c r="I134" s="248"/>
      <c r="J134" s="691">
        <f>IF(J137=3,2.5,"")</f>
      </c>
      <c r="K134" s="1045"/>
      <c r="L134" s="1046"/>
      <c r="M134" s="1046"/>
      <c r="N134" s="1046"/>
      <c r="O134" s="1046"/>
      <c r="P134" s="1046"/>
      <c r="Q134" s="1047"/>
      <c r="S134" s="32"/>
      <c r="T134" s="31"/>
      <c r="U134" s="22"/>
    </row>
    <row r="135" spans="1:21" ht="24.75" customHeight="1">
      <c r="A135" s="247"/>
      <c r="B135" s="296"/>
      <c r="C135" s="934" t="s">
        <v>454</v>
      </c>
      <c r="D135" s="935"/>
      <c r="E135" s="935"/>
      <c r="F135" s="935"/>
      <c r="G135" s="936"/>
      <c r="H135" s="248"/>
      <c r="I135" s="248"/>
      <c r="J135" s="691">
        <f>IF(J137=4,1,"")</f>
      </c>
      <c r="K135" s="1045"/>
      <c r="L135" s="1046"/>
      <c r="M135" s="1046"/>
      <c r="N135" s="1046"/>
      <c r="O135" s="1046"/>
      <c r="P135" s="1046"/>
      <c r="Q135" s="1047"/>
      <c r="S135" s="32"/>
      <c r="T135" s="31"/>
      <c r="U135" s="22"/>
    </row>
    <row r="136" spans="1:21" ht="24" customHeight="1">
      <c r="A136" s="247"/>
      <c r="B136" s="296"/>
      <c r="C136" s="934" t="s">
        <v>455</v>
      </c>
      <c r="D136" s="935"/>
      <c r="E136" s="935"/>
      <c r="F136" s="935"/>
      <c r="G136" s="936"/>
      <c r="H136" s="248"/>
      <c r="I136" s="248"/>
      <c r="J136" s="691">
        <f>IF(J137=5,0,"")</f>
        <v>0</v>
      </c>
      <c r="K136" s="1045"/>
      <c r="L136" s="1046"/>
      <c r="M136" s="1046"/>
      <c r="N136" s="1046"/>
      <c r="O136" s="1046"/>
      <c r="P136" s="1046"/>
      <c r="Q136" s="1047"/>
      <c r="S136" s="32"/>
      <c r="T136" s="31"/>
      <c r="U136" s="22"/>
    </row>
    <row r="137" spans="1:21" ht="22.5" customHeight="1">
      <c r="A137" s="247"/>
      <c r="B137" s="248"/>
      <c r="C137" s="926" t="s">
        <v>566</v>
      </c>
      <c r="D137" s="926"/>
      <c r="E137" s="926"/>
      <c r="F137" s="926"/>
      <c r="G137" s="248"/>
      <c r="H137" s="657"/>
      <c r="I137" s="692"/>
      <c r="J137" s="693">
        <v>5</v>
      </c>
      <c r="K137" s="1045"/>
      <c r="L137" s="1046"/>
      <c r="M137" s="1046"/>
      <c r="N137" s="1046"/>
      <c r="O137" s="1046"/>
      <c r="P137" s="1046"/>
      <c r="Q137" s="1047"/>
      <c r="S137" s="32"/>
      <c r="T137" s="31"/>
      <c r="U137" s="22"/>
    </row>
    <row r="138" spans="1:21" ht="12.75">
      <c r="A138" s="694"/>
      <c r="B138" s="282"/>
      <c r="C138" s="927"/>
      <c r="D138" s="927"/>
      <c r="E138" s="927"/>
      <c r="F138" s="927"/>
      <c r="G138" s="657"/>
      <c r="H138" s="657"/>
      <c r="I138" s="692"/>
      <c r="J138" s="695"/>
      <c r="K138" s="1045"/>
      <c r="L138" s="1046"/>
      <c r="M138" s="1046"/>
      <c r="N138" s="1046"/>
      <c r="O138" s="1046"/>
      <c r="P138" s="1046"/>
      <c r="Q138" s="1047"/>
      <c r="S138" s="32"/>
      <c r="T138" s="31"/>
      <c r="U138" s="22"/>
    </row>
    <row r="139" spans="1:21" ht="6" customHeight="1" thickBot="1">
      <c r="A139" s="160"/>
      <c r="B139" s="248"/>
      <c r="C139" s="248"/>
      <c r="D139" s="248"/>
      <c r="E139" s="248"/>
      <c r="F139" s="248"/>
      <c r="G139" s="657"/>
      <c r="H139" s="657"/>
      <c r="I139" s="692"/>
      <c r="J139" s="695"/>
      <c r="K139" s="1045"/>
      <c r="L139" s="1046"/>
      <c r="M139" s="1046"/>
      <c r="N139" s="1046"/>
      <c r="O139" s="1046"/>
      <c r="P139" s="1046"/>
      <c r="Q139" s="1047"/>
      <c r="S139" s="32"/>
      <c r="T139" s="31"/>
      <c r="U139" s="22"/>
    </row>
    <row r="140" spans="1:21" ht="15.75" customHeight="1" thickBot="1">
      <c r="A140" s="345"/>
      <c r="B140" s="356"/>
      <c r="C140" s="356"/>
      <c r="D140" s="356"/>
      <c r="E140" s="356"/>
      <c r="F140" s="356"/>
      <c r="G140" s="356"/>
      <c r="H140" s="454" t="s">
        <v>569</v>
      </c>
      <c r="I140" s="1033">
        <f>IF(I100=0,0,MAX(J132:J136))</f>
        <v>0</v>
      </c>
      <c r="J140" s="1034"/>
      <c r="K140" s="1048"/>
      <c r="L140" s="1049"/>
      <c r="M140" s="1049"/>
      <c r="N140" s="1049"/>
      <c r="O140" s="1049"/>
      <c r="P140" s="1049"/>
      <c r="Q140" s="1050"/>
      <c r="S140" s="32"/>
      <c r="T140" s="31"/>
      <c r="U140" s="22"/>
    </row>
    <row r="141" spans="1:21" ht="17.25" thickBot="1">
      <c r="A141" s="308" t="s">
        <v>570</v>
      </c>
      <c r="B141" s="357"/>
      <c r="C141" s="1150" t="s">
        <v>629</v>
      </c>
      <c r="D141" s="1150"/>
      <c r="E141" s="1150"/>
      <c r="F141" s="1150"/>
      <c r="G141" s="1150"/>
      <c r="H141" s="1150"/>
      <c r="I141" s="1150"/>
      <c r="J141" s="1151"/>
      <c r="K141" s="863" t="s">
        <v>565</v>
      </c>
      <c r="L141" s="859"/>
      <c r="M141" s="859"/>
      <c r="N141" s="859"/>
      <c r="O141" s="859"/>
      <c r="P141" s="859"/>
      <c r="Q141" s="862"/>
      <c r="S141" s="32"/>
      <c r="T141" s="31"/>
      <c r="U141" s="22"/>
    </row>
    <row r="142" spans="1:21" ht="40.5" customHeight="1" thickBot="1" thickTop="1">
      <c r="A142" s="904" t="s">
        <v>713</v>
      </c>
      <c r="B142" s="903"/>
      <c r="C142" s="903"/>
      <c r="D142" s="903"/>
      <c r="E142" s="903"/>
      <c r="F142" s="903"/>
      <c r="G142" s="903"/>
      <c r="H142" s="903"/>
      <c r="I142" s="903"/>
      <c r="J142" s="900"/>
      <c r="K142" s="1039" t="s">
        <v>720</v>
      </c>
      <c r="L142" s="1040"/>
      <c r="M142" s="1040"/>
      <c r="N142" s="1040"/>
      <c r="O142" s="1040"/>
      <c r="P142" s="1040"/>
      <c r="Q142" s="1041"/>
      <c r="S142" s="32"/>
      <c r="T142" s="31"/>
      <c r="U142" s="22"/>
    </row>
    <row r="143" spans="1:21" ht="9" customHeight="1" thickTop="1">
      <c r="A143" s="696"/>
      <c r="B143" s="697"/>
      <c r="C143" s="697"/>
      <c r="D143" s="697"/>
      <c r="E143" s="697"/>
      <c r="F143" s="697"/>
      <c r="G143" s="697"/>
      <c r="H143" s="698"/>
      <c r="I143" s="699"/>
      <c r="J143" s="700"/>
      <c r="K143" s="1093"/>
      <c r="L143" s="1094"/>
      <c r="M143" s="1094"/>
      <c r="N143" s="1094"/>
      <c r="O143" s="1094"/>
      <c r="P143" s="1094"/>
      <c r="Q143" s="1095"/>
      <c r="S143" s="32"/>
      <c r="T143" s="31"/>
      <c r="U143" s="22"/>
    </row>
    <row r="144" spans="1:21" ht="29.25" customHeight="1">
      <c r="A144" s="247"/>
      <c r="B144" s="1012" t="s">
        <v>229</v>
      </c>
      <c r="C144" s="1012"/>
      <c r="D144" s="1012"/>
      <c r="E144" s="1012"/>
      <c r="F144" s="1012"/>
      <c r="G144" s="1012"/>
      <c r="H144" s="302"/>
      <c r="I144" s="475">
        <v>2</v>
      </c>
      <c r="J144" s="461"/>
      <c r="K144" s="1096"/>
      <c r="L144" s="1097"/>
      <c r="M144" s="1097"/>
      <c r="N144" s="1097"/>
      <c r="O144" s="1097"/>
      <c r="P144" s="1097"/>
      <c r="Q144" s="1098"/>
      <c r="S144" s="32"/>
      <c r="T144" s="31"/>
      <c r="U144" s="22"/>
    </row>
    <row r="145" spans="1:23" ht="15.75" customHeight="1">
      <c r="A145" s="667"/>
      <c r="B145" s="581"/>
      <c r="C145" s="701"/>
      <c r="D145" s="503" t="s">
        <v>671</v>
      </c>
      <c r="E145" s="503" t="s">
        <v>672</v>
      </c>
      <c r="F145" s="481" t="s">
        <v>697</v>
      </c>
      <c r="G145" s="721">
        <f>IF(I144=1,3,0)</f>
        <v>0</v>
      </c>
      <c r="H145" s="469" t="s">
        <v>109</v>
      </c>
      <c r="I145" s="475"/>
      <c r="J145" s="702"/>
      <c r="K145" s="1096"/>
      <c r="L145" s="1097"/>
      <c r="M145" s="1097"/>
      <c r="N145" s="1097"/>
      <c r="O145" s="1097"/>
      <c r="P145" s="1097"/>
      <c r="Q145" s="1098"/>
      <c r="R145" s="32"/>
      <c r="S145" s="31"/>
      <c r="T145" s="22"/>
      <c r="W145"/>
    </row>
    <row r="146" spans="1:23" ht="15.75" customHeight="1">
      <c r="A146" s="667"/>
      <c r="B146" s="581"/>
      <c r="C146" s="701"/>
      <c r="D146" s="503"/>
      <c r="E146" s="503"/>
      <c r="F146" s="481"/>
      <c r="G146" s="703"/>
      <c r="H146" s="469"/>
      <c r="I146" s="475"/>
      <c r="J146" s="702"/>
      <c r="K146" s="1096"/>
      <c r="L146" s="1097"/>
      <c r="M146" s="1097"/>
      <c r="N146" s="1097"/>
      <c r="O146" s="1097"/>
      <c r="P146" s="1097"/>
      <c r="Q146" s="1098"/>
      <c r="R146" s="32"/>
      <c r="S146" s="31"/>
      <c r="T146" s="22"/>
      <c r="W146"/>
    </row>
    <row r="147" spans="1:23" ht="23.25" customHeight="1">
      <c r="A147" s="247"/>
      <c r="B147" s="964" t="s">
        <v>699</v>
      </c>
      <c r="C147" s="964"/>
      <c r="D147" s="964"/>
      <c r="E147" s="964"/>
      <c r="F147" s="964"/>
      <c r="G147" s="964"/>
      <c r="H147" s="469"/>
      <c r="I147" s="475"/>
      <c r="J147" s="461"/>
      <c r="K147" s="1096"/>
      <c r="L147" s="1097"/>
      <c r="M147" s="1097"/>
      <c r="N147" s="1097"/>
      <c r="O147" s="1097"/>
      <c r="P147" s="1097"/>
      <c r="Q147" s="1098"/>
      <c r="R147" s="32"/>
      <c r="S147" s="31"/>
      <c r="T147" s="22"/>
      <c r="W147"/>
    </row>
    <row r="148" spans="1:21" ht="15" customHeight="1">
      <c r="A148" s="502"/>
      <c r="B148" s="503"/>
      <c r="C148" s="503"/>
      <c r="D148" s="503" t="s">
        <v>671</v>
      </c>
      <c r="E148" s="503" t="s">
        <v>672</v>
      </c>
      <c r="F148" s="481" t="s">
        <v>698</v>
      </c>
      <c r="G148" s="721">
        <f>IF(I148=1,1,0)</f>
        <v>0</v>
      </c>
      <c r="H148" s="469" t="s">
        <v>110</v>
      </c>
      <c r="I148" s="475">
        <v>2</v>
      </c>
      <c r="J148" s="702"/>
      <c r="K148" s="1096"/>
      <c r="L148" s="1097"/>
      <c r="M148" s="1097"/>
      <c r="N148" s="1097"/>
      <c r="O148" s="1097"/>
      <c r="P148" s="1097"/>
      <c r="Q148" s="1098"/>
      <c r="S148" s="32"/>
      <c r="T148" s="31"/>
      <c r="U148" s="22"/>
    </row>
    <row r="149" spans="1:21" ht="9" customHeight="1">
      <c r="A149" s="704"/>
      <c r="B149" s="503"/>
      <c r="C149" s="701"/>
      <c r="D149" s="248"/>
      <c r="E149" s="248"/>
      <c r="F149" s="248"/>
      <c r="G149" s="248"/>
      <c r="H149" s="469"/>
      <c r="I149" s="475"/>
      <c r="J149" s="702"/>
      <c r="K149" s="1096"/>
      <c r="L149" s="1097"/>
      <c r="M149" s="1097"/>
      <c r="N149" s="1097"/>
      <c r="O149" s="1097"/>
      <c r="P149" s="1097"/>
      <c r="Q149" s="1098"/>
      <c r="S149" s="32"/>
      <c r="T149" s="31"/>
      <c r="U149" s="22"/>
    </row>
    <row r="150" spans="1:21" ht="15.75" customHeight="1">
      <c r="A150" s="705"/>
      <c r="B150" s="706"/>
      <c r="C150" s="706"/>
      <c r="D150" s="503"/>
      <c r="E150" s="503"/>
      <c r="F150" s="362" t="s">
        <v>609</v>
      </c>
      <c r="G150" s="722">
        <v>2.25</v>
      </c>
      <c r="H150" s="86" t="s">
        <v>111</v>
      </c>
      <c r="I150" s="475"/>
      <c r="J150" s="461"/>
      <c r="K150" s="1096"/>
      <c r="L150" s="1097"/>
      <c r="M150" s="1097"/>
      <c r="N150" s="1097"/>
      <c r="O150" s="1097"/>
      <c r="P150" s="1097"/>
      <c r="Q150" s="1098"/>
      <c r="S150" s="32"/>
      <c r="T150" s="31"/>
      <c r="U150" s="22"/>
    </row>
    <row r="151" spans="1:21" ht="6.75" customHeight="1">
      <c r="A151" s="1146" t="s">
        <v>127</v>
      </c>
      <c r="B151" s="1147"/>
      <c r="C151" s="1147"/>
      <c r="D151" s="1147"/>
      <c r="E151" s="248"/>
      <c r="F151" s="248"/>
      <c r="G151" s="248"/>
      <c r="H151" s="684"/>
      <c r="I151" s="475"/>
      <c r="J151" s="461"/>
      <c r="K151" s="1096"/>
      <c r="L151" s="1097"/>
      <c r="M151" s="1097"/>
      <c r="N151" s="1097"/>
      <c r="O151" s="1097"/>
      <c r="P151" s="1097"/>
      <c r="Q151" s="1098"/>
      <c r="S151" s="32"/>
      <c r="T151" s="31"/>
      <c r="U151" s="22"/>
    </row>
    <row r="152" spans="1:21" ht="15.75" thickBot="1">
      <c r="A152" s="1148"/>
      <c r="B152" s="1149"/>
      <c r="C152" s="1149"/>
      <c r="D152" s="1149"/>
      <c r="E152" s="356"/>
      <c r="F152" s="356"/>
      <c r="G152" s="356"/>
      <c r="H152" s="454" t="s">
        <v>571</v>
      </c>
      <c r="I152" s="965">
        <f>(G145+G148)*G150</f>
        <v>0</v>
      </c>
      <c r="J152" s="966"/>
      <c r="K152" s="1099"/>
      <c r="L152" s="1100"/>
      <c r="M152" s="1100"/>
      <c r="N152" s="1100"/>
      <c r="O152" s="1100"/>
      <c r="P152" s="1100"/>
      <c r="Q152" s="1101"/>
      <c r="S152" s="32"/>
      <c r="T152" s="31"/>
      <c r="U152" s="22"/>
    </row>
    <row r="153" spans="1:19" ht="18.75" thickBot="1">
      <c r="A153" s="937" t="s">
        <v>519</v>
      </c>
      <c r="B153" s="938"/>
      <c r="C153" s="938"/>
      <c r="D153" s="938"/>
      <c r="E153" s="938"/>
      <c r="F153" s="938"/>
      <c r="G153" s="938"/>
      <c r="H153" s="938"/>
      <c r="I153" s="938"/>
      <c r="J153" s="938"/>
      <c r="K153" s="938"/>
      <c r="L153" s="938"/>
      <c r="M153" s="938"/>
      <c r="N153" s="938"/>
      <c r="O153" s="938"/>
      <c r="P153" s="938"/>
      <c r="Q153" s="939"/>
      <c r="S153"/>
    </row>
    <row r="154" spans="1:17" ht="32.25" customHeight="1">
      <c r="A154" s="531" t="s">
        <v>798</v>
      </c>
      <c r="B154" s="532"/>
      <c r="C154" s="963" t="s">
        <v>793</v>
      </c>
      <c r="D154" s="963"/>
      <c r="E154" s="963"/>
      <c r="F154" s="963"/>
      <c r="G154" s="963"/>
      <c r="H154" s="963"/>
      <c r="I154" s="963"/>
      <c r="J154" s="963"/>
      <c r="K154" s="1170" t="s">
        <v>405</v>
      </c>
      <c r="L154" s="1171"/>
      <c r="M154" s="1171"/>
      <c r="N154" s="1171"/>
      <c r="O154" s="1171"/>
      <c r="P154" s="1171"/>
      <c r="Q154" s="1172"/>
    </row>
    <row r="155" spans="1:17" ht="44.25" customHeight="1">
      <c r="A155" s="1128" t="s">
        <v>231</v>
      </c>
      <c r="B155" s="1129"/>
      <c r="C155" s="1129"/>
      <c r="D155" s="1129"/>
      <c r="E155" s="1129"/>
      <c r="F155" s="1129"/>
      <c r="G155" s="1129"/>
      <c r="H155" s="1129"/>
      <c r="I155" s="1129"/>
      <c r="J155" s="1129"/>
      <c r="K155" s="1173"/>
      <c r="L155" s="1174"/>
      <c r="M155" s="1174"/>
      <c r="N155" s="1174"/>
      <c r="O155" s="1174"/>
      <c r="P155" s="1174"/>
      <c r="Q155" s="1175"/>
    </row>
    <row r="156" spans="1:17" ht="24" customHeight="1" thickBot="1">
      <c r="A156" s="1130"/>
      <c r="B156" s="1131"/>
      <c r="C156" s="1131"/>
      <c r="D156" s="1131"/>
      <c r="E156" s="1131"/>
      <c r="F156" s="1131"/>
      <c r="G156" s="1131"/>
      <c r="H156" s="1131"/>
      <c r="I156" s="1131"/>
      <c r="J156" s="1131"/>
      <c r="K156" s="1167"/>
      <c r="L156" s="1168"/>
      <c r="M156" s="1168"/>
      <c r="N156" s="1168"/>
      <c r="O156" s="1168"/>
      <c r="P156" s="1168"/>
      <c r="Q156" s="1169"/>
    </row>
    <row r="157" spans="1:17" ht="21.75" customHeight="1" thickTop="1">
      <c r="A157" s="533"/>
      <c r="B157" s="534"/>
      <c r="C157" s="534"/>
      <c r="D157" s="534"/>
      <c r="E157" s="534"/>
      <c r="F157" s="534"/>
      <c r="G157" s="534"/>
      <c r="H157" s="534"/>
      <c r="I157" s="534"/>
      <c r="J157" s="707"/>
      <c r="K157" s="1076"/>
      <c r="L157" s="1077"/>
      <c r="M157" s="1077"/>
      <c r="N157" s="1077"/>
      <c r="O157" s="1077"/>
      <c r="P157" s="1077"/>
      <c r="Q157" s="1078"/>
    </row>
    <row r="158" spans="1:17" ht="24.75" customHeight="1">
      <c r="A158" s="533"/>
      <c r="B158" s="1144" t="s">
        <v>201</v>
      </c>
      <c r="C158" s="1145"/>
      <c r="D158" s="1145"/>
      <c r="E158" s="1145"/>
      <c r="F158" s="1145"/>
      <c r="G158" s="198"/>
      <c r="H158" s="198"/>
      <c r="I158" s="534"/>
      <c r="J158" s="707"/>
      <c r="K158" s="1076"/>
      <c r="L158" s="1077"/>
      <c r="M158" s="1077"/>
      <c r="N158" s="1077"/>
      <c r="O158" s="1077"/>
      <c r="P158" s="1077"/>
      <c r="Q158" s="1078"/>
    </row>
    <row r="159" spans="1:17" ht="13.5" customHeight="1">
      <c r="A159" s="533"/>
      <c r="B159" s="1145"/>
      <c r="C159" s="1145"/>
      <c r="D159" s="1145"/>
      <c r="E159" s="1145"/>
      <c r="F159" s="1145"/>
      <c r="G159" s="1142">
        <v>0</v>
      </c>
      <c r="H159" s="1143"/>
      <c r="I159" s="536" t="s">
        <v>399</v>
      </c>
      <c r="J159" s="707"/>
      <c r="K159" s="1076"/>
      <c r="L159" s="1077"/>
      <c r="M159" s="1077"/>
      <c r="N159" s="1077"/>
      <c r="O159" s="1077"/>
      <c r="P159" s="1077"/>
      <c r="Q159" s="1078"/>
    </row>
    <row r="160" spans="1:17" ht="14.25" customHeight="1">
      <c r="A160" s="533"/>
      <c r="B160" s="1125" t="s">
        <v>543</v>
      </c>
      <c r="C160" s="1125"/>
      <c r="D160" s="1125"/>
      <c r="E160" s="1125"/>
      <c r="F160" s="1125"/>
      <c r="G160" s="1142">
        <v>0</v>
      </c>
      <c r="H160" s="1143"/>
      <c r="I160" s="536" t="s">
        <v>400</v>
      </c>
      <c r="J160" s="707"/>
      <c r="K160" s="1076"/>
      <c r="L160" s="1077"/>
      <c r="M160" s="1077"/>
      <c r="N160" s="1077"/>
      <c r="O160" s="1077"/>
      <c r="P160" s="1077"/>
      <c r="Q160" s="1078"/>
    </row>
    <row r="161" spans="1:17" ht="4.5" customHeight="1" thickBot="1">
      <c r="A161" s="533"/>
      <c r="B161" s="537"/>
      <c r="C161" s="537"/>
      <c r="D161" s="537"/>
      <c r="E161" s="537"/>
      <c r="F161" s="537"/>
      <c r="G161" s="537"/>
      <c r="H161" s="537"/>
      <c r="I161" s="538"/>
      <c r="J161" s="707"/>
      <c r="K161" s="1076"/>
      <c r="L161" s="1077"/>
      <c r="M161" s="1077"/>
      <c r="N161" s="1077"/>
      <c r="O161" s="1077"/>
      <c r="P161" s="1077"/>
      <c r="Q161" s="1078"/>
    </row>
    <row r="162" spans="1:17" ht="15.75" customHeight="1" thickTop="1">
      <c r="A162" s="160"/>
      <c r="B162" s="169"/>
      <c r="C162" s="169"/>
      <c r="D162" s="169"/>
      <c r="E162" s="169"/>
      <c r="F162" s="198" t="s">
        <v>128</v>
      </c>
      <c r="G162" s="1160">
        <f>IF(G159=0,0,G160/G159)</f>
        <v>0</v>
      </c>
      <c r="H162" s="1161"/>
      <c r="I162" s="199" t="s">
        <v>401</v>
      </c>
      <c r="J162" s="708"/>
      <c r="K162" s="1076"/>
      <c r="L162" s="1077"/>
      <c r="M162" s="1077"/>
      <c r="N162" s="1077"/>
      <c r="O162" s="1077"/>
      <c r="P162" s="1077"/>
      <c r="Q162" s="1078"/>
    </row>
    <row r="163" spans="1:17" ht="5.25" customHeight="1">
      <c r="A163" s="160"/>
      <c r="B163" s="169"/>
      <c r="C163" s="384"/>
      <c r="D163" s="384"/>
      <c r="E163" s="384"/>
      <c r="F163" s="384"/>
      <c r="G163" s="384"/>
      <c r="H163" s="384"/>
      <c r="I163" s="384"/>
      <c r="J163" s="209"/>
      <c r="K163" s="1076"/>
      <c r="L163" s="1077"/>
      <c r="M163" s="1077"/>
      <c r="N163" s="1077"/>
      <c r="O163" s="1077"/>
      <c r="P163" s="1077"/>
      <c r="Q163" s="1078"/>
    </row>
    <row r="164" spans="1:17" ht="12.75" customHeight="1" thickBot="1">
      <c r="A164" s="247"/>
      <c r="B164" s="1137" t="s">
        <v>230</v>
      </c>
      <c r="C164" s="1137"/>
      <c r="D164" s="1137"/>
      <c r="E164" s="1137"/>
      <c r="F164" s="1137"/>
      <c r="G164" s="540"/>
      <c r="H164" s="248"/>
      <c r="I164" s="248"/>
      <c r="J164" s="209"/>
      <c r="K164" s="1076"/>
      <c r="L164" s="1077"/>
      <c r="M164" s="1077"/>
      <c r="N164" s="1077"/>
      <c r="O164" s="1077"/>
      <c r="P164" s="1077"/>
      <c r="Q164" s="1078"/>
    </row>
    <row r="165" spans="1:17" ht="15.75" thickBot="1" thickTop="1">
      <c r="A165" s="541"/>
      <c r="B165" s="1137"/>
      <c r="C165" s="1137"/>
      <c r="D165" s="1137"/>
      <c r="E165" s="1137"/>
      <c r="F165" s="1137"/>
      <c r="G165" s="1135">
        <f>G162*5</f>
        <v>0</v>
      </c>
      <c r="H165" s="1136"/>
      <c r="I165" s="709" t="s">
        <v>402</v>
      </c>
      <c r="J165" s="209"/>
      <c r="K165" s="1076"/>
      <c r="L165" s="1077"/>
      <c r="M165" s="1077"/>
      <c r="N165" s="1077"/>
      <c r="O165" s="1077"/>
      <c r="P165" s="1077"/>
      <c r="Q165" s="1078"/>
    </row>
    <row r="166" spans="1:17" ht="8.25" customHeight="1" thickTop="1">
      <c r="A166" s="541"/>
      <c r="B166" s="539"/>
      <c r="C166" s="539"/>
      <c r="D166" s="539"/>
      <c r="E166" s="539"/>
      <c r="F166" s="539"/>
      <c r="G166" s="542"/>
      <c r="H166" s="542"/>
      <c r="I166" s="199"/>
      <c r="J166" s="209"/>
      <c r="K166" s="1076"/>
      <c r="L166" s="1077"/>
      <c r="M166" s="1077"/>
      <c r="N166" s="1077"/>
      <c r="O166" s="1077"/>
      <c r="P166" s="1077"/>
      <c r="Q166" s="1078"/>
    </row>
    <row r="167" spans="1:17" ht="12.75">
      <c r="A167" s="160"/>
      <c r="B167" s="169"/>
      <c r="C167" s="169"/>
      <c r="D167" s="169"/>
      <c r="E167" s="169"/>
      <c r="F167" s="169"/>
      <c r="G167" s="198"/>
      <c r="H167" s="236"/>
      <c r="I167" s="169"/>
      <c r="J167" s="209"/>
      <c r="K167" s="1076"/>
      <c r="L167" s="1077"/>
      <c r="M167" s="1077"/>
      <c r="N167" s="1077"/>
      <c r="O167" s="1077"/>
      <c r="P167" s="1077"/>
      <c r="Q167" s="1078"/>
    </row>
    <row r="168" spans="1:17" ht="49.5" customHeight="1">
      <c r="A168" s="160"/>
      <c r="B168" s="238"/>
      <c r="C168" s="1102" t="s">
        <v>356</v>
      </c>
      <c r="D168" s="1103"/>
      <c r="E168" s="1103"/>
      <c r="F168" s="1103"/>
      <c r="G168" s="1103"/>
      <c r="H168" s="1104"/>
      <c r="I168" s="710"/>
      <c r="J168" s="209">
        <f>IF(J174=1,5,"")</f>
      </c>
      <c r="K168" s="1076"/>
      <c r="L168" s="1077"/>
      <c r="M168" s="1077"/>
      <c r="N168" s="1077"/>
      <c r="O168" s="1077"/>
      <c r="P168" s="1077"/>
      <c r="Q168" s="1078"/>
    </row>
    <row r="169" spans="1:17" ht="36" customHeight="1">
      <c r="A169" s="160"/>
      <c r="B169" s="238"/>
      <c r="C169" s="1102" t="s">
        <v>366</v>
      </c>
      <c r="D169" s="1103"/>
      <c r="E169" s="1103"/>
      <c r="F169" s="1103"/>
      <c r="G169" s="1103"/>
      <c r="H169" s="1104"/>
      <c r="I169" s="710"/>
      <c r="J169" s="209">
        <f>IF($J$174=2,4,"")</f>
      </c>
      <c r="K169" s="1076"/>
      <c r="L169" s="1077"/>
      <c r="M169" s="1077"/>
      <c r="N169" s="1077"/>
      <c r="O169" s="1077"/>
      <c r="P169" s="1077"/>
      <c r="Q169" s="1078"/>
    </row>
    <row r="170" spans="1:17" ht="41.25" customHeight="1">
      <c r="A170" s="160"/>
      <c r="B170" s="238"/>
      <c r="C170" s="1102" t="s">
        <v>367</v>
      </c>
      <c r="D170" s="1103"/>
      <c r="E170" s="1103"/>
      <c r="F170" s="1103"/>
      <c r="G170" s="1103"/>
      <c r="H170" s="1104"/>
      <c r="I170" s="710"/>
      <c r="J170" s="209">
        <f>IF($J$174=3,3,"")</f>
      </c>
      <c r="K170" s="1076"/>
      <c r="L170" s="1077"/>
      <c r="M170" s="1077"/>
      <c r="N170" s="1077"/>
      <c r="O170" s="1077"/>
      <c r="P170" s="1077"/>
      <c r="Q170" s="1078"/>
    </row>
    <row r="171" spans="1:17" ht="42" customHeight="1">
      <c r="A171" s="160"/>
      <c r="B171" s="238"/>
      <c r="C171" s="1102" t="s">
        <v>368</v>
      </c>
      <c r="D171" s="1103"/>
      <c r="E171" s="1103"/>
      <c r="F171" s="1103"/>
      <c r="G171" s="1103"/>
      <c r="H171" s="1104"/>
      <c r="I171" s="710"/>
      <c r="J171" s="209">
        <f>IF($J$174=4,2,"")</f>
      </c>
      <c r="K171" s="1076"/>
      <c r="L171" s="1077"/>
      <c r="M171" s="1077"/>
      <c r="N171" s="1077"/>
      <c r="O171" s="1077"/>
      <c r="P171" s="1077"/>
      <c r="Q171" s="1078"/>
    </row>
    <row r="172" spans="1:17" ht="40.5" customHeight="1">
      <c r="A172" s="160"/>
      <c r="B172" s="238"/>
      <c r="C172" s="1102" t="s">
        <v>719</v>
      </c>
      <c r="D172" s="1103"/>
      <c r="E172" s="1103"/>
      <c r="F172" s="1103"/>
      <c r="G172" s="1103"/>
      <c r="H172" s="1104"/>
      <c r="I172" s="215"/>
      <c r="J172" s="209">
        <f>IF($J$174=5,0,"")</f>
        <v>0</v>
      </c>
      <c r="K172" s="1076"/>
      <c r="L172" s="1077"/>
      <c r="M172" s="1077"/>
      <c r="N172" s="1077"/>
      <c r="O172" s="1077"/>
      <c r="P172" s="1077"/>
      <c r="Q172" s="1078"/>
    </row>
    <row r="173" spans="1:17" ht="9.75" customHeight="1" thickBot="1">
      <c r="A173" s="160"/>
      <c r="B173" s="169"/>
      <c r="C173" s="215"/>
      <c r="D173" s="215"/>
      <c r="E173" s="215"/>
      <c r="F173" s="215"/>
      <c r="G173" s="215"/>
      <c r="H173" s="215"/>
      <c r="I173" s="215"/>
      <c r="J173" s="209"/>
      <c r="K173" s="1076"/>
      <c r="L173" s="1077"/>
      <c r="M173" s="1077"/>
      <c r="N173" s="1077"/>
      <c r="O173" s="1077"/>
      <c r="P173" s="1077"/>
      <c r="Q173" s="1078"/>
    </row>
    <row r="174" spans="1:17" ht="15.75" thickBot="1" thickTop="1">
      <c r="A174" s="160"/>
      <c r="B174" s="169"/>
      <c r="C174" s="169"/>
      <c r="D174" s="169"/>
      <c r="E174" s="248"/>
      <c r="F174" s="540" t="s">
        <v>547</v>
      </c>
      <c r="G174" s="1135">
        <f>MAX(J168:J172)</f>
        <v>0</v>
      </c>
      <c r="H174" s="1136"/>
      <c r="I174" s="199" t="s">
        <v>403</v>
      </c>
      <c r="J174" s="209">
        <v>5</v>
      </c>
      <c r="K174" s="1076"/>
      <c r="L174" s="1077"/>
      <c r="M174" s="1077"/>
      <c r="N174" s="1077"/>
      <c r="O174" s="1077"/>
      <c r="P174" s="1077"/>
      <c r="Q174" s="1078"/>
    </row>
    <row r="175" spans="1:17" ht="13.5" thickTop="1">
      <c r="A175" s="160"/>
      <c r="B175" s="169"/>
      <c r="C175" s="169"/>
      <c r="D175" s="248"/>
      <c r="E175" s="248"/>
      <c r="F175" s="248"/>
      <c r="G175" s="248"/>
      <c r="H175" s="248"/>
      <c r="I175" s="248"/>
      <c r="J175" s="209"/>
      <c r="K175" s="1076"/>
      <c r="L175" s="1077"/>
      <c r="M175" s="1077"/>
      <c r="N175" s="1077"/>
      <c r="O175" s="1077"/>
      <c r="P175" s="1077"/>
      <c r="Q175" s="1078"/>
    </row>
    <row r="176" spans="1:17" ht="12.75">
      <c r="A176" s="160"/>
      <c r="B176" s="169"/>
      <c r="C176" s="384" t="s">
        <v>763</v>
      </c>
      <c r="D176" s="248"/>
      <c r="E176" s="384"/>
      <c r="F176" s="384"/>
      <c r="G176" s="384"/>
      <c r="H176" s="384"/>
      <c r="I176" s="384"/>
      <c r="J176" s="209"/>
      <c r="K176" s="1076"/>
      <c r="L176" s="1077"/>
      <c r="M176" s="1077"/>
      <c r="N176" s="1077"/>
      <c r="O176" s="1077"/>
      <c r="P176" s="1077"/>
      <c r="Q176" s="1078"/>
    </row>
    <row r="177" spans="1:17" ht="6" customHeight="1">
      <c r="A177" s="160"/>
      <c r="B177" s="169"/>
      <c r="C177" s="169"/>
      <c r="D177" s="384"/>
      <c r="E177" s="384"/>
      <c r="F177" s="384"/>
      <c r="G177" s="384"/>
      <c r="H177" s="384"/>
      <c r="I177" s="384"/>
      <c r="J177" s="209"/>
      <c r="K177" s="1076"/>
      <c r="L177" s="1077"/>
      <c r="M177" s="1077"/>
      <c r="N177" s="1077"/>
      <c r="O177" s="1077"/>
      <c r="P177" s="1077"/>
      <c r="Q177" s="1078"/>
    </row>
    <row r="178" spans="1:17" ht="14.25">
      <c r="A178" s="160"/>
      <c r="B178" s="169"/>
      <c r="C178" s="169"/>
      <c r="D178" s="1132" t="s">
        <v>596</v>
      </c>
      <c r="E178" s="1133"/>
      <c r="F178" s="1133"/>
      <c r="G178" s="1134"/>
      <c r="H178" s="248"/>
      <c r="I178" s="248"/>
      <c r="J178" s="209"/>
      <c r="K178" s="1076"/>
      <c r="L178" s="1077"/>
      <c r="M178" s="1077"/>
      <c r="N178" s="1077"/>
      <c r="O178" s="1077"/>
      <c r="P178" s="1077"/>
      <c r="Q178" s="1078"/>
    </row>
    <row r="179" spans="1:17" ht="14.25">
      <c r="A179" s="160"/>
      <c r="B179" s="169"/>
      <c r="C179" s="923" t="s">
        <v>830</v>
      </c>
      <c r="D179" s="923"/>
      <c r="E179" s="923"/>
      <c r="F179" s="923"/>
      <c r="G179" s="923"/>
      <c r="H179" s="88"/>
      <c r="I179" s="88"/>
      <c r="J179" s="209"/>
      <c r="K179" s="1076"/>
      <c r="L179" s="1077"/>
      <c r="M179" s="1077"/>
      <c r="N179" s="1077"/>
      <c r="O179" s="1077"/>
      <c r="P179" s="1077"/>
      <c r="Q179" s="1078"/>
    </row>
    <row r="180" spans="1:17" ht="15.75" customHeight="1">
      <c r="A180" s="160"/>
      <c r="B180" s="169"/>
      <c r="C180" s="169"/>
      <c r="D180" s="1176"/>
      <c r="E180" s="1177"/>
      <c r="F180" s="1177"/>
      <c r="G180" s="1178"/>
      <c r="H180" s="711"/>
      <c r="I180" s="373"/>
      <c r="J180" s="209"/>
      <c r="K180" s="1076"/>
      <c r="L180" s="1077"/>
      <c r="M180" s="1077"/>
      <c r="N180" s="1077"/>
      <c r="O180" s="1077"/>
      <c r="P180" s="1077"/>
      <c r="Q180" s="1078"/>
    </row>
    <row r="181" spans="1:17" ht="12.75">
      <c r="A181" s="160"/>
      <c r="B181" s="169"/>
      <c r="C181" s="169"/>
      <c r="D181" s="169"/>
      <c r="E181" s="169"/>
      <c r="F181" s="169"/>
      <c r="G181" s="198"/>
      <c r="H181" s="386"/>
      <c r="I181" s="169"/>
      <c r="J181" s="209"/>
      <c r="K181" s="1076"/>
      <c r="L181" s="1077"/>
      <c r="M181" s="1077"/>
      <c r="N181" s="1077"/>
      <c r="O181" s="1077"/>
      <c r="P181" s="1077"/>
      <c r="Q181" s="1078"/>
    </row>
    <row r="182" spans="1:17" ht="7.5" customHeight="1" thickBot="1">
      <c r="A182" s="160"/>
      <c r="B182" s="169"/>
      <c r="C182" s="169"/>
      <c r="D182" s="169"/>
      <c r="E182" s="169"/>
      <c r="F182" s="169"/>
      <c r="G182" s="198"/>
      <c r="H182" s="386"/>
      <c r="I182" s="169"/>
      <c r="J182" s="209"/>
      <c r="K182" s="1076"/>
      <c r="L182" s="1077"/>
      <c r="M182" s="1077"/>
      <c r="N182" s="1077"/>
      <c r="O182" s="1077"/>
      <c r="P182" s="1077"/>
      <c r="Q182" s="1078"/>
    </row>
    <row r="183" spans="1:17" ht="15.75" thickBot="1">
      <c r="A183" s="228" t="s">
        <v>236</v>
      </c>
      <c r="B183" s="164"/>
      <c r="C183" s="164"/>
      <c r="D183" s="164"/>
      <c r="E183" s="164"/>
      <c r="F183" s="164"/>
      <c r="G183" s="164"/>
      <c r="H183" s="387" t="s">
        <v>770</v>
      </c>
      <c r="I183" s="1126">
        <f>G165+G174</f>
        <v>0</v>
      </c>
      <c r="J183" s="1127"/>
      <c r="K183" s="1079"/>
      <c r="L183" s="1080"/>
      <c r="M183" s="1080"/>
      <c r="N183" s="1080"/>
      <c r="O183" s="1080"/>
      <c r="P183" s="1080"/>
      <c r="Q183" s="1081"/>
    </row>
    <row r="186" ht="12.75">
      <c r="A186" s="46"/>
    </row>
    <row r="187" spans="1:9" ht="12.75">
      <c r="A187" s="117" t="str">
        <f>Sheet1!A1</f>
        <v>Canon City, CO Field Office</v>
      </c>
      <c r="B187" s="117"/>
      <c r="C187" s="117"/>
      <c r="D187" s="117"/>
      <c r="E187" s="29"/>
      <c r="F187" s="29" t="str">
        <f>Sheet1!E1</f>
        <v>B. Gohlke</v>
      </c>
      <c r="G187" s="29"/>
      <c r="H187" s="29"/>
      <c r="I187" s="29" t="str">
        <f>Sheet1!L1</f>
        <v>Not Applicable</v>
      </c>
    </row>
    <row r="188" spans="1:9" ht="12.75">
      <c r="A188" s="117" t="str">
        <f>Sheet1!A2</f>
        <v>Cheyenne Wells, CO Field Office</v>
      </c>
      <c r="B188" s="117"/>
      <c r="C188" s="117"/>
      <c r="D188" s="117"/>
      <c r="E188" s="29"/>
      <c r="F188" s="29" t="str">
        <f>Sheet1!E2</f>
        <v>G. Langer</v>
      </c>
      <c r="G188" s="29"/>
      <c r="H188" s="29"/>
      <c r="I188" s="29" t="str">
        <f>Sheet1!L2</f>
        <v>A.B.S. Company East Farm</v>
      </c>
    </row>
    <row r="189" spans="1:9" ht="12.75">
      <c r="A189" s="117" t="str">
        <f>Sheet1!A3</f>
        <v>Colorado Springs, CO Field Office</v>
      </c>
      <c r="B189" s="117"/>
      <c r="C189" s="117"/>
      <c r="D189" s="117"/>
      <c r="E189" s="29"/>
      <c r="F189" s="29" t="str">
        <f>Sheet1!E3</f>
        <v>J. Valentine</v>
      </c>
      <c r="G189" s="29"/>
      <c r="H189" s="29"/>
      <c r="I189" s="29" t="str">
        <f>Sheet1!L3</f>
        <v>A.B.S. Company No. 1</v>
      </c>
    </row>
    <row r="190" spans="1:9" ht="12.75">
      <c r="A190" s="117" t="str">
        <f>Sheet1!A4</f>
        <v>Eads, CO Field Office</v>
      </c>
      <c r="B190" s="117"/>
      <c r="C190" s="117"/>
      <c r="D190" s="117"/>
      <c r="E190" s="29"/>
      <c r="F190" s="29" t="str">
        <f>Sheet1!E4</f>
        <v>R. Castle</v>
      </c>
      <c r="G190" s="29"/>
      <c r="H190" s="29"/>
      <c r="I190" s="29" t="str">
        <f>Sheet1!L4</f>
        <v>A.B.S. Company No. 2</v>
      </c>
    </row>
    <row r="191" spans="1:9" ht="12.75">
      <c r="A191" s="117" t="str">
        <f>Sheet1!A5</f>
        <v>Holly, CO Northeast Prowers SCD</v>
      </c>
      <c r="B191" s="117"/>
      <c r="C191" s="117"/>
      <c r="D191" s="117"/>
      <c r="E191" s="29"/>
      <c r="F191" s="29" t="str">
        <f>Sheet1!E5</f>
        <v>R. Rhoades</v>
      </c>
      <c r="G191" s="29"/>
      <c r="H191" s="29"/>
      <c r="I191" s="29" t="str">
        <f>Sheet1!L5</f>
        <v>Arbor</v>
      </c>
    </row>
    <row r="192" spans="1:9" ht="12.75">
      <c r="A192" s="117" t="str">
        <f>Sheet1!A6</f>
        <v>Hugo, CO Field Office</v>
      </c>
      <c r="B192" s="117"/>
      <c r="C192" s="117"/>
      <c r="D192" s="117"/>
      <c r="E192" s="29"/>
      <c r="F192" s="29" t="str">
        <f>Sheet1!E6</f>
        <v>B. Fortman</v>
      </c>
      <c r="G192" s="29"/>
      <c r="H192" s="29"/>
      <c r="I192" s="29" t="str">
        <f>Sheet1!L6</f>
        <v>Consolidated Extension</v>
      </c>
    </row>
    <row r="193" spans="1:9" ht="12.75">
      <c r="A193" s="117" t="str">
        <f>Sheet1!A7</f>
        <v>Lamar, CO  Field Office</v>
      </c>
      <c r="B193" s="117"/>
      <c r="C193" s="117"/>
      <c r="D193" s="117"/>
      <c r="E193" s="29"/>
      <c r="F193" s="29" t="str">
        <f>Sheet1!E7</f>
        <v>L. Borrego</v>
      </c>
      <c r="G193" s="29"/>
      <c r="H193" s="29"/>
      <c r="I193" s="29" t="str">
        <f>Sheet1!L7</f>
        <v>Crowley</v>
      </c>
    </row>
    <row r="194" spans="1:9" ht="12.75">
      <c r="A194" s="117" t="str">
        <f>Sheet1!A8</f>
        <v>Las Animas, CO Field Office</v>
      </c>
      <c r="B194" s="117"/>
      <c r="C194" s="117"/>
      <c r="D194" s="117"/>
      <c r="E194" s="29"/>
      <c r="F194" s="29" t="str">
        <f>Sheet1!E8</f>
        <v>M. Clark</v>
      </c>
      <c r="G194" s="29"/>
      <c r="H194" s="29"/>
      <c r="I194" s="29" t="str">
        <f>Sheet1!L8</f>
        <v>Deadman</v>
      </c>
    </row>
    <row r="195" spans="1:9" ht="12.75">
      <c r="A195" s="117" t="str">
        <f>Sheet1!A9</f>
        <v>Pueblo, CO Field Office</v>
      </c>
      <c r="B195" s="117"/>
      <c r="C195" s="117"/>
      <c r="D195" s="117"/>
      <c r="E195" s="29"/>
      <c r="F195" s="29" t="str">
        <f>Sheet1!E9</f>
        <v>B. Klinkerman</v>
      </c>
      <c r="G195" s="29"/>
      <c r="H195" s="29"/>
      <c r="I195" s="29" t="str">
        <f>Sheet1!L9</f>
        <v>Easy May Valley</v>
      </c>
    </row>
    <row r="196" spans="1:9" ht="12.75">
      <c r="A196" s="117" t="str">
        <f>Sheet1!A10</f>
        <v>Rocky Ford, CO Field Office</v>
      </c>
      <c r="B196" s="117"/>
      <c r="C196" s="117"/>
      <c r="D196" s="117"/>
      <c r="E196" s="29"/>
      <c r="F196" s="29" t="str">
        <f>Sheet1!E10</f>
        <v>D. Miller</v>
      </c>
      <c r="G196" s="29"/>
      <c r="H196" s="29"/>
      <c r="I196" s="29" t="str">
        <f>Sheet1!L10</f>
        <v>Granada</v>
      </c>
    </row>
    <row r="197" spans="1:9" ht="12.75">
      <c r="A197" s="117" t="str">
        <f>Sheet1!A11</f>
        <v>Salida, CO Field Office</v>
      </c>
      <c r="B197" s="117"/>
      <c r="C197" s="117"/>
      <c r="D197" s="117"/>
      <c r="E197" s="29"/>
      <c r="F197" s="29" t="str">
        <f>Sheet1!E11</f>
        <v>D. Russell</v>
      </c>
      <c r="G197" s="29"/>
      <c r="H197" s="29"/>
      <c r="I197" s="29" t="str">
        <f>Sheet1!L11</f>
        <v>Grand View</v>
      </c>
    </row>
    <row r="198" spans="1:9" ht="12.75">
      <c r="A198" s="117" t="str">
        <f>Sheet1!A12</f>
        <v>Silver Cliff, CO Field Office</v>
      </c>
      <c r="B198" s="117"/>
      <c r="C198" s="117"/>
      <c r="D198" s="117"/>
      <c r="E198" s="29"/>
      <c r="F198" s="29" t="str">
        <f>Sheet1!E12</f>
        <v>M. Williams</v>
      </c>
      <c r="G198" s="29"/>
      <c r="H198" s="29"/>
      <c r="I198" s="29" t="str">
        <f>Sheet1!L12</f>
        <v>Hasty</v>
      </c>
    </row>
    <row r="199" spans="1:9" ht="12.75">
      <c r="A199" s="117" t="str">
        <f>Sheet1!A13</f>
        <v>Simla, CO Field Office</v>
      </c>
      <c r="B199" s="117"/>
      <c r="C199" s="117"/>
      <c r="D199" s="117"/>
      <c r="E199" s="29"/>
      <c r="F199" s="29" t="str">
        <f>Sheet1!E13</f>
        <v>F. Edens</v>
      </c>
      <c r="G199" s="29"/>
      <c r="H199" s="29"/>
      <c r="I199" s="29" t="str">
        <f>Sheet1!L13</f>
        <v>Holbrook</v>
      </c>
    </row>
    <row r="200" spans="1:9" ht="12.75">
      <c r="A200" s="117" t="str">
        <f>Sheet1!A14</f>
        <v>Springfield, CO Field Office</v>
      </c>
      <c r="B200" s="117"/>
      <c r="C200" s="117"/>
      <c r="D200" s="117"/>
      <c r="E200" s="29"/>
      <c r="F200" s="29" t="str">
        <f>Sheet1!E14</f>
        <v>J. "Wade" Sigler</v>
      </c>
      <c r="G200" s="29"/>
      <c r="H200" s="29"/>
      <c r="I200" s="29" t="str">
        <f>Sheet1!L14</f>
        <v>Holly</v>
      </c>
    </row>
    <row r="201" spans="1:9" ht="12.75">
      <c r="A201" s="117" t="str">
        <f>Sheet1!A15</f>
        <v>Trinidad, CO Field Office</v>
      </c>
      <c r="B201" s="117"/>
      <c r="C201" s="117"/>
      <c r="D201" s="117"/>
      <c r="E201" s="29"/>
      <c r="F201" s="29" t="str">
        <f>Sheet1!E15</f>
        <v>C. Waugh</v>
      </c>
      <c r="G201" s="29"/>
      <c r="H201" s="29"/>
      <c r="I201" s="29" t="str">
        <f>Sheet1!L15</f>
        <v>King Center</v>
      </c>
    </row>
    <row r="202" spans="1:9" ht="12.75">
      <c r="A202" s="117" t="str">
        <f>Sheet1!A16</f>
        <v>Walsenburg, CO Field Office</v>
      </c>
      <c r="B202" s="117"/>
      <c r="C202" s="117"/>
      <c r="D202" s="117"/>
      <c r="E202" s="29"/>
      <c r="F202" s="29" t="str">
        <f>Sheet1!E16</f>
        <v>S. Smith</v>
      </c>
      <c r="G202" s="29"/>
      <c r="H202" s="29"/>
      <c r="I202" s="29" t="str">
        <f>Sheet1!L16</f>
        <v>Kornman</v>
      </c>
    </row>
    <row r="203" spans="1:9" ht="12.75">
      <c r="A203" s="117" t="str">
        <f>Sheet1!A17</f>
        <v>Woodland Park, CO Teller/Park SCD</v>
      </c>
      <c r="B203" s="117"/>
      <c r="C203" s="117"/>
      <c r="D203" s="117"/>
      <c r="E203" s="29"/>
      <c r="F203" s="29" t="str">
        <f>Sheet1!E17</f>
        <v>J. Nelson</v>
      </c>
      <c r="G203" s="29"/>
      <c r="H203" s="29"/>
      <c r="I203" s="29" t="str">
        <f>Sheet1!L17</f>
        <v>Las Animas Consolidated</v>
      </c>
    </row>
    <row r="204" spans="1:9" ht="12.75">
      <c r="A204" s="117"/>
      <c r="B204" s="117"/>
      <c r="C204" s="117"/>
      <c r="D204" s="117"/>
      <c r="E204" s="29"/>
      <c r="F204" s="29" t="str">
        <f>Sheet1!E18</f>
        <v>J. Sperry</v>
      </c>
      <c r="G204" s="29"/>
      <c r="H204" s="29"/>
      <c r="I204" s="29" t="str">
        <f>Sheet1!L18</f>
        <v>Lubers</v>
      </c>
    </row>
    <row r="205" spans="1:9" ht="12.75">
      <c r="A205" s="117"/>
      <c r="B205" s="117"/>
      <c r="C205" s="117"/>
      <c r="D205" s="117"/>
      <c r="E205" s="29"/>
      <c r="F205" s="29" t="str">
        <f>Sheet1!E19</f>
        <v>R. Romano</v>
      </c>
      <c r="G205" s="29"/>
      <c r="H205" s="29"/>
      <c r="I205" s="29" t="str">
        <f>Sheet1!L19</f>
        <v>May Valley</v>
      </c>
    </row>
    <row r="206" spans="1:9" ht="12.75">
      <c r="A206" s="117"/>
      <c r="B206" s="117"/>
      <c r="C206" s="117"/>
      <c r="D206" s="117"/>
      <c r="E206" s="29"/>
      <c r="F206" s="29" t="str">
        <f>Sheet1!E20</f>
        <v>R. Fontaine</v>
      </c>
      <c r="G206" s="29"/>
      <c r="H206" s="29"/>
      <c r="I206" s="29" t="str">
        <f>Sheet1!L20</f>
        <v>McClave</v>
      </c>
    </row>
    <row r="207" spans="1:9" ht="12.75">
      <c r="A207" s="117" t="str">
        <f>Sheet1!A21</f>
        <v>Individual</v>
      </c>
      <c r="B207" s="117"/>
      <c r="C207" s="117"/>
      <c r="D207" s="117"/>
      <c r="E207" s="29"/>
      <c r="F207" s="29" t="str">
        <f>Sheet1!E21</f>
        <v>M. Watson</v>
      </c>
      <c r="G207" s="29"/>
      <c r="H207" s="29"/>
      <c r="I207" s="29" t="str">
        <f>Sheet1!L21</f>
        <v>Numa</v>
      </c>
    </row>
    <row r="208" spans="1:9" ht="12.75">
      <c r="A208" s="117" t="str">
        <f>Sheet1!A22</f>
        <v>General Partnership</v>
      </c>
      <c r="B208" s="117"/>
      <c r="C208" s="117"/>
      <c r="D208" s="117"/>
      <c r="E208" s="29"/>
      <c r="F208" s="29" t="str">
        <f>Sheet1!E22</f>
        <v>M. Miller</v>
      </c>
      <c r="G208" s="29"/>
      <c r="H208" s="29"/>
      <c r="I208" s="29" t="str">
        <f>Sheet1!L22</f>
        <v>Olney Springs</v>
      </c>
    </row>
    <row r="209" spans="1:9" ht="12.75">
      <c r="A209" s="117" t="str">
        <f>Sheet1!A23</f>
        <v>Joint Venture</v>
      </c>
      <c r="B209" s="117"/>
      <c r="C209" s="117"/>
      <c r="D209" s="117"/>
      <c r="E209" s="29"/>
      <c r="F209" s="29" t="str">
        <f>Sheet1!E23</f>
        <v>C. Sheley</v>
      </c>
      <c r="G209" s="29"/>
      <c r="H209" s="29"/>
      <c r="I209" s="29" t="str">
        <f>Sheet1!L23</f>
        <v>Ordway #1</v>
      </c>
    </row>
    <row r="210" spans="1:9" ht="12.75">
      <c r="A210" s="117" t="str">
        <f>Sheet1!A24</f>
        <v>Limited Liability Partnership</v>
      </c>
      <c r="B210" s="117"/>
      <c r="C210" s="117"/>
      <c r="D210" s="117"/>
      <c r="E210" s="29"/>
      <c r="F210" s="29" t="str">
        <f>Sheet1!E24</f>
        <v>D. Sanchez</v>
      </c>
      <c r="G210" s="29"/>
      <c r="H210" s="29"/>
      <c r="I210" s="29" t="str">
        <f>Sheet1!L24</f>
        <v>Patterson Hollow</v>
      </c>
    </row>
    <row r="211" spans="1:9" ht="12.75">
      <c r="A211" s="117" t="str">
        <f>Sheet1!A25</f>
        <v>Limited Liability Limited Partnership</v>
      </c>
      <c r="B211" s="117"/>
      <c r="C211" s="117"/>
      <c r="D211" s="117"/>
      <c r="E211" s="29"/>
      <c r="F211" s="29" t="str">
        <f>Sheet1!E25</f>
        <v>L.G. "Smitty" Smith</v>
      </c>
      <c r="G211" s="29"/>
      <c r="H211" s="29"/>
      <c r="I211" s="29" t="str">
        <f>Sheet1!L25</f>
        <v>Pleasant Valley</v>
      </c>
    </row>
    <row r="212" spans="1:9" ht="12.75">
      <c r="A212" s="117" t="str">
        <f>Sheet1!A26</f>
        <v>Limited Partnership Association</v>
      </c>
      <c r="B212" s="117"/>
      <c r="C212" s="117"/>
      <c r="D212" s="117"/>
      <c r="E212" s="29"/>
      <c r="F212" s="29" t="str">
        <f>Sheet1!E26</f>
        <v>C. Regnier</v>
      </c>
      <c r="G212" s="29"/>
      <c r="H212" s="29"/>
      <c r="I212" s="29" t="str">
        <f>Sheet1!L26</f>
        <v>Prowers</v>
      </c>
    </row>
    <row r="213" spans="1:9" ht="12.75">
      <c r="A213" s="117" t="str">
        <f>Sheet1!A27</f>
        <v>Limited Liability Company</v>
      </c>
      <c r="B213" s="117"/>
      <c r="C213" s="117"/>
      <c r="D213" s="117"/>
      <c r="E213" s="29"/>
      <c r="F213" s="29" t="str">
        <f>Sheet1!E27</f>
        <v>C. Melcher</v>
      </c>
      <c r="G213" s="29"/>
      <c r="H213" s="29"/>
      <c r="I213" s="29" t="str">
        <f>Sheet1!L27</f>
        <v>Riverview</v>
      </c>
    </row>
    <row r="214" spans="1:9" ht="12.75">
      <c r="A214" s="117" t="str">
        <f>Sheet1!A28</f>
        <v>Limited Partnership  </v>
      </c>
      <c r="B214" s="117"/>
      <c r="C214" s="117"/>
      <c r="D214" s="117"/>
      <c r="E214" s="29"/>
      <c r="F214" s="29" t="str">
        <f>Sheet1!E28</f>
        <v>W. "Ted" Lonnberg</v>
      </c>
      <c r="G214" s="29"/>
      <c r="H214" s="29"/>
      <c r="I214" s="29" t="str">
        <f>Sheet1!L28</f>
        <v>Valley View</v>
      </c>
    </row>
    <row r="215" spans="1:9" ht="12.75">
      <c r="A215" s="117" t="str">
        <f>Sheet1!A29</f>
        <v>Corporation</v>
      </c>
      <c r="B215" s="117"/>
      <c r="C215" s="117"/>
      <c r="D215" s="117"/>
      <c r="E215" s="29"/>
      <c r="F215" s="29" t="str">
        <f>Sheet1!E29</f>
        <v>B. Johnson</v>
      </c>
      <c r="G215" s="29"/>
      <c r="H215" s="29"/>
      <c r="I215" s="29" t="str">
        <f>Sheet1!L29</f>
        <v>Vista Del Rio</v>
      </c>
    </row>
    <row r="216" spans="1:9" ht="12.75">
      <c r="A216" s="117" t="str">
        <f>Sheet1!A30</f>
        <v>Trust</v>
      </c>
      <c r="B216" s="29"/>
      <c r="C216" s="29"/>
      <c r="D216" s="29"/>
      <c r="E216" s="29"/>
      <c r="F216" s="29" t="str">
        <f>Sheet1!E30</f>
        <v>A. White</v>
      </c>
      <c r="G216" s="29"/>
      <c r="H216" s="29"/>
      <c r="I216" s="29" t="str">
        <f>Sheet1!L30</f>
        <v>Wiley of Big Bend</v>
      </c>
    </row>
    <row r="217" spans="1:9" ht="12.75">
      <c r="A217" s="117" t="str">
        <f>Sheet1!A31</f>
        <v>Estate</v>
      </c>
      <c r="B217" s="29"/>
      <c r="C217" s="29"/>
      <c r="D217" s="29"/>
      <c r="E217" s="29"/>
      <c r="F217" s="29" t="str">
        <f>Sheet1!E31</f>
        <v>W. Bland</v>
      </c>
      <c r="G217" s="29"/>
      <c r="H217" s="29"/>
      <c r="I217" s="29"/>
    </row>
    <row r="218" spans="1:9" ht="12.75">
      <c r="A218" s="117"/>
      <c r="B218" s="29"/>
      <c r="C218" s="29"/>
      <c r="D218" s="29"/>
      <c r="E218" s="29"/>
      <c r="F218" s="29" t="str">
        <f>Sheet1!E32</f>
        <v>S. Hansen</v>
      </c>
      <c r="G218" s="29"/>
      <c r="H218" s="29"/>
      <c r="I218" s="29"/>
    </row>
    <row r="219" spans="1:9" ht="12.75">
      <c r="A219" s="117"/>
      <c r="B219" s="29"/>
      <c r="C219" s="29"/>
      <c r="D219" s="29"/>
      <c r="E219" s="29"/>
      <c r="F219" s="29" t="str">
        <f>Sheet1!E33</f>
        <v>K. Conrad</v>
      </c>
      <c r="G219" s="29"/>
      <c r="H219" s="29"/>
      <c r="I219" s="29"/>
    </row>
    <row r="220" spans="1:9" ht="12.75">
      <c r="A220" s="117" t="str">
        <f>Sheet1!A34</f>
        <v>Colorado Division of Wildlife</v>
      </c>
      <c r="B220" s="29"/>
      <c r="C220" s="29"/>
      <c r="D220" s="29"/>
      <c r="E220" s="29"/>
      <c r="F220" s="29" t="str">
        <f>Sheet1!E34</f>
        <v>M. Martin</v>
      </c>
      <c r="G220" s="29"/>
      <c r="H220" s="29"/>
      <c r="I220" s="29"/>
    </row>
    <row r="221" spans="1:9" ht="12.75">
      <c r="A221" s="117" t="str">
        <f>Sheet1!A35</f>
        <v>U.S. Fish and Wildlife Service</v>
      </c>
      <c r="B221" s="29"/>
      <c r="C221" s="29"/>
      <c r="D221" s="29"/>
      <c r="E221" s="29"/>
      <c r="F221" s="29" t="str">
        <f>Sheet1!E35</f>
        <v>E. Kilpatrick</v>
      </c>
      <c r="G221" s="29"/>
      <c r="H221" s="29"/>
      <c r="I221" s="29"/>
    </row>
    <row r="222" spans="1:9" ht="12.75">
      <c r="A222" s="117" t="str">
        <f>Sheet1!A36</f>
        <v>Colorado Elk Foundation</v>
      </c>
      <c r="B222" s="29"/>
      <c r="C222" s="29"/>
      <c r="D222" s="29"/>
      <c r="E222" s="29"/>
      <c r="F222" s="29" t="str">
        <f>Sheet1!E36</f>
        <v>C. Schleining</v>
      </c>
      <c r="G222" s="29"/>
      <c r="H222" s="29"/>
      <c r="I222" s="29"/>
    </row>
    <row r="223" spans="1:9" ht="12.75">
      <c r="A223" s="117" t="str">
        <f>Sheet1!A37</f>
        <v>Pheasants Forever</v>
      </c>
      <c r="B223" s="29"/>
      <c r="C223" s="29"/>
      <c r="D223" s="29"/>
      <c r="E223" s="29"/>
      <c r="F223" s="29" t="str">
        <f>Sheet1!E37</f>
        <v>B. "B.J." Jones</v>
      </c>
      <c r="G223" s="29"/>
      <c r="H223" s="29"/>
      <c r="I223" s="29"/>
    </row>
    <row r="224" spans="1:9" ht="12.75">
      <c r="A224" s="117" t="str">
        <f>Sheet1!A38</f>
        <v>Ducks Unlimited</v>
      </c>
      <c r="B224" s="29"/>
      <c r="C224" s="29"/>
      <c r="D224" s="29"/>
      <c r="E224" s="29"/>
      <c r="F224" s="29" t="str">
        <f>Sheet1!E38</f>
        <v>J. Hamilton</v>
      </c>
      <c r="G224" s="29"/>
      <c r="H224" s="29"/>
      <c r="I224" s="29"/>
    </row>
    <row r="225" spans="1:9" ht="12.75">
      <c r="A225" s="117" t="str">
        <f>Sheet1!A39</f>
        <v>Other</v>
      </c>
      <c r="B225" s="29"/>
      <c r="C225" s="29"/>
      <c r="D225" s="29"/>
      <c r="E225" s="29"/>
      <c r="F225" s="29" t="str">
        <f>Sheet1!E39</f>
        <v>J. Moffett</v>
      </c>
      <c r="G225" s="29"/>
      <c r="H225" s="29"/>
      <c r="I225" s="29"/>
    </row>
    <row r="226" spans="1:9" ht="12.75">
      <c r="A226" s="117" t="str">
        <f>Sheet1!A40</f>
        <v>Not Applicable</v>
      </c>
      <c r="B226" s="29"/>
      <c r="C226" s="29"/>
      <c r="D226" s="29"/>
      <c r="E226" s="29"/>
      <c r="F226" s="29" t="str">
        <f>Sheet1!E40</f>
        <v>R. Grigat</v>
      </c>
      <c r="G226" s="29"/>
      <c r="H226" s="29"/>
      <c r="I226" s="29"/>
    </row>
    <row r="227" spans="1:9" ht="12.75">
      <c r="A227" s="117"/>
      <c r="B227" s="29"/>
      <c r="C227" s="29"/>
      <c r="D227" s="29"/>
      <c r="E227" s="29"/>
      <c r="F227" s="29" t="str">
        <f>Sheet1!E41</f>
        <v>J. Dukes</v>
      </c>
      <c r="G227" s="29"/>
      <c r="H227" s="29"/>
      <c r="I227" s="29"/>
    </row>
    <row r="228" spans="1:9" ht="12.75">
      <c r="A228" s="29"/>
      <c r="B228" s="29"/>
      <c r="C228" s="29"/>
      <c r="D228" s="29"/>
      <c r="E228" s="29"/>
      <c r="F228" s="29" t="str">
        <f>Sheet1!E42</f>
        <v>T. Werner</v>
      </c>
      <c r="G228" s="29"/>
      <c r="H228" s="29"/>
      <c r="I228" s="29"/>
    </row>
    <row r="229" spans="1:9" ht="12.75">
      <c r="A229" s="29"/>
      <c r="B229" s="29"/>
      <c r="C229" s="29"/>
      <c r="D229" s="29"/>
      <c r="E229" s="29"/>
      <c r="F229" s="29" t="str">
        <f>Sheet1!E43</f>
        <v>K. Falen</v>
      </c>
      <c r="G229" s="29"/>
      <c r="H229" s="29"/>
      <c r="I229" s="29"/>
    </row>
    <row r="230" spans="1:9" ht="12.75">
      <c r="A230" s="29"/>
      <c r="B230" s="29"/>
      <c r="C230" s="29"/>
      <c r="D230" s="29"/>
      <c r="E230" s="29"/>
      <c r="F230" s="29" t="str">
        <f>Sheet1!E44</f>
        <v>M. "Storm" Casper</v>
      </c>
      <c r="G230" s="29"/>
      <c r="H230" s="29"/>
      <c r="I230" s="29"/>
    </row>
    <row r="231" spans="1:9" ht="12.75">
      <c r="A231" s="29"/>
      <c r="B231" s="29"/>
      <c r="C231" s="29"/>
      <c r="D231" s="29"/>
      <c r="E231" s="29"/>
      <c r="F231" s="29" t="str">
        <f>Sheet1!E45</f>
        <v>M. Gigante</v>
      </c>
      <c r="G231" s="29"/>
      <c r="H231" s="29"/>
      <c r="I231" s="29"/>
    </row>
    <row r="232" spans="1:9" ht="12.75">
      <c r="A232" s="29"/>
      <c r="B232" s="29"/>
      <c r="C232" s="29"/>
      <c r="D232" s="29"/>
      <c r="E232" s="29"/>
      <c r="F232" s="29" t="str">
        <f>Sheet1!E46</f>
        <v>T. Arnhold</v>
      </c>
      <c r="G232" s="29"/>
      <c r="H232" s="29"/>
      <c r="I232" s="29"/>
    </row>
    <row r="233" spans="1:9" ht="12.75">
      <c r="A233" s="29"/>
      <c r="B233" s="29"/>
      <c r="C233" s="29"/>
      <c r="D233" s="29"/>
      <c r="E233" s="29"/>
      <c r="F233" s="29" t="str">
        <f>Sheet1!E47</f>
        <v>K. Lutz</v>
      </c>
      <c r="G233" s="29"/>
      <c r="H233" s="29"/>
      <c r="I233" s="29"/>
    </row>
    <row r="234" spans="1:9" ht="12.75">
      <c r="A234" s="29"/>
      <c r="B234" s="29"/>
      <c r="C234" s="29"/>
      <c r="D234" s="29"/>
      <c r="E234" s="29"/>
      <c r="F234" s="29" t="str">
        <f>Sheet1!E48</f>
        <v>D. Lane</v>
      </c>
      <c r="G234" s="29"/>
      <c r="H234" s="29"/>
      <c r="I234" s="29"/>
    </row>
    <row r="235" spans="1:9" ht="12.75">
      <c r="A235" s="29"/>
      <c r="B235" s="29"/>
      <c r="C235" s="29"/>
      <c r="D235" s="29"/>
      <c r="E235" s="29"/>
      <c r="F235" s="29" t="str">
        <f>Sheet1!E49</f>
        <v>L."Pete" Ward, Jr.</v>
      </c>
      <c r="G235" s="29"/>
      <c r="H235" s="29"/>
      <c r="I235" s="29"/>
    </row>
    <row r="236" spans="1:9" ht="12.75">
      <c r="A236" s="29"/>
      <c r="B236" s="29"/>
      <c r="C236" s="29"/>
      <c r="D236" s="29"/>
      <c r="E236" s="29"/>
      <c r="F236" s="29" t="str">
        <f>Sheet1!E50</f>
        <v>L. Kot</v>
      </c>
      <c r="G236" s="29"/>
      <c r="H236" s="29"/>
      <c r="I236" s="29"/>
    </row>
    <row r="237" spans="1:9" ht="12.75">
      <c r="A237" s="29"/>
      <c r="B237" s="29"/>
      <c r="C237" s="29"/>
      <c r="D237" s="29"/>
      <c r="E237" s="29"/>
      <c r="F237" s="29" t="str">
        <f>Sheet1!E51</f>
        <v>L. Pearson</v>
      </c>
      <c r="G237" s="29"/>
      <c r="H237" s="29"/>
      <c r="I237" s="29"/>
    </row>
    <row r="238" spans="1:9" ht="12.75">
      <c r="A238" s="29"/>
      <c r="B238" s="29"/>
      <c r="C238" s="29"/>
      <c r="D238" s="29"/>
      <c r="E238" s="29"/>
      <c r="F238" s="29" t="str">
        <f>Sheet1!E52</f>
        <v>B. Kitten</v>
      </c>
      <c r="G238" s="29"/>
      <c r="H238" s="29"/>
      <c r="I238" s="29"/>
    </row>
    <row r="239" spans="1:9" ht="12.75">
      <c r="A239" s="29"/>
      <c r="B239" s="29"/>
      <c r="C239" s="29"/>
      <c r="D239" s="29"/>
      <c r="E239" s="29"/>
      <c r="F239" s="29" t="str">
        <f>Sheet1!E53</f>
        <v>L. Sutherland</v>
      </c>
      <c r="G239" s="29"/>
      <c r="H239" s="29"/>
      <c r="I239" s="29"/>
    </row>
    <row r="240" spans="1:9" ht="12.75">
      <c r="A240" s="29"/>
      <c r="B240" s="29"/>
      <c r="C240" s="29"/>
      <c r="D240" s="29"/>
      <c r="E240" s="29"/>
      <c r="F240" s="29" t="str">
        <f>Sheet1!E54</f>
        <v>C. Pannebaker</v>
      </c>
      <c r="G240" s="29"/>
      <c r="H240" s="29"/>
      <c r="I240" s="29"/>
    </row>
    <row r="241" spans="1:9" ht="12.75">
      <c r="A241" s="29"/>
      <c r="B241" s="29"/>
      <c r="C241" s="29"/>
      <c r="D241" s="29"/>
      <c r="E241" s="29"/>
      <c r="F241" s="29" t="str">
        <f>Sheet1!E55</f>
        <v>B. Berlinger</v>
      </c>
      <c r="G241" s="29"/>
      <c r="H241" s="29"/>
      <c r="I241" s="29"/>
    </row>
  </sheetData>
  <sheetProtection sheet="1" objects="1" scenarios="1"/>
  <mergeCells count="157">
    <mergeCell ref="K156:Q183"/>
    <mergeCell ref="D115:F116"/>
    <mergeCell ref="C97:H97"/>
    <mergeCell ref="B144:G144"/>
    <mergeCell ref="K154:Q155"/>
    <mergeCell ref="D180:G180"/>
    <mergeCell ref="K109:Q110"/>
    <mergeCell ref="K111:Q126"/>
    <mergeCell ref="A119:B120"/>
    <mergeCell ref="A115:B118"/>
    <mergeCell ref="G120:H120"/>
    <mergeCell ref="G122:H122"/>
    <mergeCell ref="D121:F122"/>
    <mergeCell ref="G162:H162"/>
    <mergeCell ref="G160:H160"/>
    <mergeCell ref="A128:J130"/>
    <mergeCell ref="A142:J142"/>
    <mergeCell ref="C127:J127"/>
    <mergeCell ref="C132:G132"/>
    <mergeCell ref="C133:G133"/>
    <mergeCell ref="D86:I86"/>
    <mergeCell ref="A86:C86"/>
    <mergeCell ref="K143:Q152"/>
    <mergeCell ref="G159:H159"/>
    <mergeCell ref="B158:F159"/>
    <mergeCell ref="A151:D152"/>
    <mergeCell ref="I140:J140"/>
    <mergeCell ref="C141:J141"/>
    <mergeCell ref="I126:J126"/>
    <mergeCell ref="C108:J109"/>
    <mergeCell ref="I183:J183"/>
    <mergeCell ref="A155:J156"/>
    <mergeCell ref="D178:G178"/>
    <mergeCell ref="G174:H174"/>
    <mergeCell ref="C172:H172"/>
    <mergeCell ref="B164:F165"/>
    <mergeCell ref="G165:H165"/>
    <mergeCell ref="C168:H168"/>
    <mergeCell ref="C169:H169"/>
    <mergeCell ref="C170:H170"/>
    <mergeCell ref="C171:H171"/>
    <mergeCell ref="B13:O13"/>
    <mergeCell ref="B23:B27"/>
    <mergeCell ref="G24:K24"/>
    <mergeCell ref="K79:Q81"/>
    <mergeCell ref="B50:B51"/>
    <mergeCell ref="B46:B47"/>
    <mergeCell ref="B48:B49"/>
    <mergeCell ref="K91:Q100"/>
    <mergeCell ref="B160:F160"/>
    <mergeCell ref="A79:J79"/>
    <mergeCell ref="K102:Q107"/>
    <mergeCell ref="I100:J100"/>
    <mergeCell ref="I87:J87"/>
    <mergeCell ref="I107:J107"/>
    <mergeCell ref="A89:J89"/>
    <mergeCell ref="A102:J102"/>
    <mergeCell ref="C95:H95"/>
    <mergeCell ref="K82:Q87"/>
    <mergeCell ref="C96:H96"/>
    <mergeCell ref="A110:J110"/>
    <mergeCell ref="C101:J101"/>
    <mergeCell ref="A111:E112"/>
    <mergeCell ref="A113:E114"/>
    <mergeCell ref="H59:I59"/>
    <mergeCell ref="A68:G69"/>
    <mergeCell ref="C64:Q64"/>
    <mergeCell ref="A63:J63"/>
    <mergeCell ref="K142:Q142"/>
    <mergeCell ref="K128:Q140"/>
    <mergeCell ref="L73:M73"/>
    <mergeCell ref="P55:Q55"/>
    <mergeCell ref="C56:Q56"/>
    <mergeCell ref="P76:Q76"/>
    <mergeCell ref="L71:M71"/>
    <mergeCell ref="A58:G59"/>
    <mergeCell ref="A60:G60"/>
    <mergeCell ref="A67:G67"/>
    <mergeCell ref="G26:K26"/>
    <mergeCell ref="A20:Q20"/>
    <mergeCell ref="A15:P15"/>
    <mergeCell ref="L52:N52"/>
    <mergeCell ref="P42:Q42"/>
    <mergeCell ref="C36:O36"/>
    <mergeCell ref="C32:Q32"/>
    <mergeCell ref="C35:O35"/>
    <mergeCell ref="L46:O48"/>
    <mergeCell ref="C26:F26"/>
    <mergeCell ref="A5:B6"/>
    <mergeCell ref="O6:P6"/>
    <mergeCell ref="C5:F6"/>
    <mergeCell ref="M24:N24"/>
    <mergeCell ref="A9:E9"/>
    <mergeCell ref="A10:B10"/>
    <mergeCell ref="C10:D10"/>
    <mergeCell ref="C24:F24"/>
    <mergeCell ref="A18:Q18"/>
    <mergeCell ref="C19:Q19"/>
    <mergeCell ref="G9:J10"/>
    <mergeCell ref="C22:O22"/>
    <mergeCell ref="C23:O23"/>
    <mergeCell ref="A1:Q1"/>
    <mergeCell ref="K9:L10"/>
    <mergeCell ref="P9:Q10"/>
    <mergeCell ref="A12:Q12"/>
    <mergeCell ref="N9:O10"/>
    <mergeCell ref="G2:J2"/>
    <mergeCell ref="G3:J3"/>
    <mergeCell ref="C154:J154"/>
    <mergeCell ref="B147:G147"/>
    <mergeCell ref="A153:Q153"/>
    <mergeCell ref="I152:J152"/>
    <mergeCell ref="A2:B4"/>
    <mergeCell ref="C2:F4"/>
    <mergeCell ref="M8:N8"/>
    <mergeCell ref="L4:N5"/>
    <mergeCell ref="L6:M6"/>
    <mergeCell ref="G7:I8"/>
    <mergeCell ref="C8:F8"/>
    <mergeCell ref="G4:I5"/>
    <mergeCell ref="A8:B8"/>
    <mergeCell ref="I6:J6"/>
    <mergeCell ref="K89:Q90"/>
    <mergeCell ref="A91:J91"/>
    <mergeCell ref="H61:I61"/>
    <mergeCell ref="C39:O39"/>
    <mergeCell ref="G52:H52"/>
    <mergeCell ref="C40:O40"/>
    <mergeCell ref="C43:Q43"/>
    <mergeCell ref="C88:J88"/>
    <mergeCell ref="A65:Q65"/>
    <mergeCell ref="L75:M75"/>
    <mergeCell ref="P31:Q31"/>
    <mergeCell ref="C28:O28"/>
    <mergeCell ref="C37:O37"/>
    <mergeCell ref="A33:Q33"/>
    <mergeCell ref="C29:O29"/>
    <mergeCell ref="A11:B11"/>
    <mergeCell ref="C179:G179"/>
    <mergeCell ref="B16:O16"/>
    <mergeCell ref="C11:F11"/>
    <mergeCell ref="B14:O14"/>
    <mergeCell ref="D119:F120"/>
    <mergeCell ref="A57:Q57"/>
    <mergeCell ref="C78:J78"/>
    <mergeCell ref="H60:I60"/>
    <mergeCell ref="C38:O38"/>
    <mergeCell ref="C137:F138"/>
    <mergeCell ref="C46:J47"/>
    <mergeCell ref="C48:J49"/>
    <mergeCell ref="C50:J51"/>
    <mergeCell ref="C134:G134"/>
    <mergeCell ref="C135:G135"/>
    <mergeCell ref="C136:G136"/>
    <mergeCell ref="A77:Q77"/>
    <mergeCell ref="P63:Q63"/>
    <mergeCell ref="H69:I69"/>
  </mergeCells>
  <dataValidations count="8">
    <dataValidation type="list" allowBlank="1" showInputMessage="1" showErrorMessage="1" sqref="G27:K27">
      <formula1>$A$187:$A$215</formula1>
    </dataValidation>
    <dataValidation type="list" allowBlank="1" showInputMessage="1" showErrorMessage="1" sqref="P13:P14 P16">
      <formula1>$K$2:$K$3</formula1>
    </dataValidation>
    <dataValidation type="list" allowBlank="1" showInputMessage="1" showErrorMessage="1" sqref="G24:K24">
      <formula1>$I$187:$I$216</formula1>
    </dataValidation>
    <dataValidation type="list" showInputMessage="1" showErrorMessage="1" sqref="C10:D10">
      <formula1>$F$187:$F$241</formula1>
    </dataValidation>
    <dataValidation type="list" allowBlank="1" showInputMessage="1" showErrorMessage="1" sqref="C5:F6">
      <formula1>$A$207:$A$217</formula1>
    </dataValidation>
    <dataValidation type="list" allowBlank="1" showInputMessage="1" showErrorMessage="1" sqref="C8:F8">
      <formula1>$A$187:$A$203</formula1>
    </dataValidation>
    <dataValidation type="list" allowBlank="1" showInputMessage="1" showErrorMessage="1" sqref="H179:I179">
      <formula1>$A$203:$A$204</formula1>
    </dataValidation>
    <dataValidation type="list" allowBlank="1" showInputMessage="1" showErrorMessage="1" sqref="D178:G178">
      <formula1>$A$220:$A$226</formula1>
    </dataValidation>
  </dataValidations>
  <printOptions/>
  <pageMargins left="0.66" right="0.34" top="0.8" bottom="0.52" header="0.32" footer="0.3"/>
  <pageSetup horizontalDpi="600" verticalDpi="600" orientation="portrait" scale="83" r:id="rId3"/>
  <headerFooter alignWithMargins="0">
    <oddHeader>&amp;L&amp;N&amp;C&amp;"Comic Sans MS,Regular"&amp;14Environmental Quality Incentives Program (EQIP)
Lower Arkansas River Watershed-Water Quality/Water Quantity Ranking Worksheet (C1)</oddHeader>
    <oddFooter>&amp;L&amp;12February 02, 2004&amp;C&amp;12Page &amp;P of &amp;N&amp;R&amp;12USDA-NRCS, Area 3, La Junta, CO</oddFooter>
  </headerFooter>
  <rowBreaks count="4" manualBreakCount="4">
    <brk id="42" max="16" man="1"/>
    <brk id="87" max="16" man="1"/>
    <brk id="126" max="16" man="1"/>
    <brk id="140" max="16" man="1"/>
  </rowBreaks>
  <legacyDrawing r:id="rId2"/>
</worksheet>
</file>

<file path=xl/worksheets/sheet2.xml><?xml version="1.0" encoding="utf-8"?>
<worksheet xmlns="http://schemas.openxmlformats.org/spreadsheetml/2006/main" xmlns:r="http://schemas.openxmlformats.org/officeDocument/2006/relationships">
  <dimension ref="A1:V208"/>
  <sheetViews>
    <sheetView showGridLines="0" workbookViewId="0" topLeftCell="A1">
      <selection activeCell="A1" sqref="A1:S1"/>
    </sheetView>
  </sheetViews>
  <sheetFormatPr defaultColWidth="9.140625" defaultRowHeight="12.75"/>
  <cols>
    <col min="1" max="1" width="5.140625" style="0" customWidth="1"/>
    <col min="2" max="2" width="8.421875" style="0" customWidth="1"/>
    <col min="3" max="3" width="3.140625" style="0" customWidth="1"/>
    <col min="4" max="4" width="4.140625" style="0" customWidth="1"/>
    <col min="5" max="5" width="5.00390625" style="0" customWidth="1"/>
    <col min="6" max="6" width="6.140625" style="0" customWidth="1"/>
    <col min="7" max="7" width="7.00390625" style="0" customWidth="1"/>
    <col min="8" max="8" width="6.00390625" style="0" customWidth="1"/>
    <col min="9" max="9" width="6.421875" style="0" customWidth="1"/>
    <col min="10" max="10" width="3.8515625" style="0" customWidth="1"/>
    <col min="11" max="11" width="6.28125" style="0" customWidth="1"/>
    <col min="12" max="12" width="6.421875" style="0" customWidth="1"/>
    <col min="13" max="13" width="9.28125" style="0" customWidth="1"/>
    <col min="14" max="14" width="6.28125" style="0" customWidth="1"/>
    <col min="15" max="15" width="6.140625" style="0" customWidth="1"/>
    <col min="16" max="17" width="6.421875" style="0" customWidth="1"/>
    <col min="18" max="18" width="6.140625" style="0" customWidth="1"/>
    <col min="19" max="19" width="6.421875" style="0" customWidth="1"/>
    <col min="20" max="20" width="6.00390625" style="0" customWidth="1"/>
    <col min="21" max="21" width="12.7109375" style="23" customWidth="1"/>
    <col min="22" max="22" width="16.57421875" style="23" customWidth="1"/>
    <col min="23" max="27" width="9.140625" style="23" customWidth="1"/>
  </cols>
  <sheetData>
    <row r="1" spans="1:22" ht="18.75" thickBot="1">
      <c r="A1" s="1288" t="s">
        <v>515</v>
      </c>
      <c r="B1" s="1289"/>
      <c r="C1" s="1289"/>
      <c r="D1" s="1289"/>
      <c r="E1" s="1289"/>
      <c r="F1" s="1289"/>
      <c r="G1" s="1289"/>
      <c r="H1" s="1289"/>
      <c r="I1" s="1289"/>
      <c r="J1" s="1289"/>
      <c r="K1" s="1289"/>
      <c r="L1" s="1289"/>
      <c r="M1" s="1289"/>
      <c r="N1" s="1289"/>
      <c r="O1" s="1289"/>
      <c r="P1" s="1289"/>
      <c r="Q1" s="1289"/>
      <c r="R1" s="1289"/>
      <c r="S1" s="1290"/>
      <c r="U1" s="30"/>
      <c r="V1" s="30"/>
    </row>
    <row r="2" spans="1:22" ht="14.25" customHeight="1">
      <c r="A2" s="1259" t="s">
        <v>614</v>
      </c>
      <c r="B2" s="1260"/>
      <c r="C2" s="1299"/>
      <c r="D2" s="1300"/>
      <c r="E2" s="1300"/>
      <c r="F2" s="1300"/>
      <c r="G2" s="1300"/>
      <c r="H2" s="1300"/>
      <c r="I2" s="1301"/>
      <c r="J2" s="1259" t="s">
        <v>602</v>
      </c>
      <c r="K2" s="1293"/>
      <c r="L2" s="1260"/>
      <c r="M2" s="844" t="s">
        <v>671</v>
      </c>
      <c r="N2" s="554"/>
      <c r="O2" s="35"/>
      <c r="P2" s="36"/>
      <c r="Q2" s="37"/>
      <c r="R2" s="38"/>
      <c r="S2" s="39"/>
      <c r="U2" s="30"/>
      <c r="V2" s="30"/>
    </row>
    <row r="3" spans="1:22" ht="14.25" customHeight="1" thickBot="1">
      <c r="A3" s="1261"/>
      <c r="B3" s="1262"/>
      <c r="C3" s="1302"/>
      <c r="D3" s="1303"/>
      <c r="E3" s="1303"/>
      <c r="F3" s="1303"/>
      <c r="G3" s="1303"/>
      <c r="H3" s="1303"/>
      <c r="I3" s="1304"/>
      <c r="J3" s="1294"/>
      <c r="K3" s="1295"/>
      <c r="L3" s="1296"/>
      <c r="M3" s="845" t="s">
        <v>672</v>
      </c>
      <c r="N3" s="555"/>
      <c r="O3" s="40"/>
      <c r="P3" s="40"/>
      <c r="Q3" s="41"/>
      <c r="R3" s="42"/>
      <c r="S3" s="43"/>
      <c r="U3" s="30"/>
      <c r="V3" s="30"/>
    </row>
    <row r="4" spans="1:22" ht="15" customHeight="1" thickBot="1">
      <c r="A4" s="1263"/>
      <c r="B4" s="1264"/>
      <c r="C4" s="1305"/>
      <c r="D4" s="1306"/>
      <c r="E4" s="1306"/>
      <c r="F4" s="1306"/>
      <c r="G4" s="1306"/>
      <c r="H4" s="1306"/>
      <c r="I4" s="1307"/>
      <c r="J4" s="1265" t="s">
        <v>615</v>
      </c>
      <c r="K4" s="1266"/>
      <c r="L4" s="1267"/>
      <c r="M4" s="873">
        <v>2</v>
      </c>
      <c r="N4" s="33"/>
      <c r="O4" s="15"/>
      <c r="P4" s="15"/>
      <c r="Q4" s="33"/>
      <c r="R4" s="34"/>
      <c r="S4" s="16"/>
      <c r="U4" s="30"/>
      <c r="V4" s="30"/>
    </row>
    <row r="5" spans="1:22" ht="25.5" customHeight="1">
      <c r="A5" s="1274" t="s">
        <v>767</v>
      </c>
      <c r="B5" s="1275"/>
      <c r="C5" s="1242"/>
      <c r="D5" s="1243"/>
      <c r="E5" s="1243"/>
      <c r="F5" s="1243"/>
      <c r="G5" s="1243"/>
      <c r="H5" s="1243"/>
      <c r="I5" s="1244"/>
      <c r="J5" s="1297" t="s">
        <v>660</v>
      </c>
      <c r="K5" s="1298"/>
      <c r="L5" s="1298"/>
      <c r="M5" s="1298"/>
      <c r="N5" s="1298"/>
      <c r="O5" s="556" t="s">
        <v>661</v>
      </c>
      <c r="P5" s="557" t="s">
        <v>662</v>
      </c>
      <c r="Q5" s="1291" t="s">
        <v>9</v>
      </c>
      <c r="R5" s="1292"/>
      <c r="S5" s="558">
        <v>0</v>
      </c>
      <c r="U5" s="111"/>
      <c r="V5" s="30"/>
    </row>
    <row r="6" spans="1:22" ht="27.75" customHeight="1">
      <c r="A6" s="1249" t="s">
        <v>828</v>
      </c>
      <c r="B6" s="1250"/>
      <c r="C6" s="1251">
        <v>0</v>
      </c>
      <c r="D6" s="1252"/>
      <c r="E6" s="1252"/>
      <c r="F6" s="1253" t="s">
        <v>829</v>
      </c>
      <c r="G6" s="1250"/>
      <c r="H6" s="1247">
        <v>0</v>
      </c>
      <c r="I6" s="1248"/>
      <c r="J6" s="559"/>
      <c r="K6" s="560"/>
      <c r="L6" s="560"/>
      <c r="M6" s="252"/>
      <c r="N6" s="252"/>
      <c r="O6" s="252"/>
      <c r="P6" s="248"/>
      <c r="Q6" s="848" t="s">
        <v>513</v>
      </c>
      <c r="R6" s="1270">
        <f>C6+H6</f>
        <v>0</v>
      </c>
      <c r="S6" s="1271"/>
      <c r="T6" s="874"/>
      <c r="U6" s="30"/>
      <c r="V6" s="30"/>
    </row>
    <row r="7" spans="1:22" ht="16.5" customHeight="1">
      <c r="A7" s="1013" t="s">
        <v>603</v>
      </c>
      <c r="B7" s="1015"/>
      <c r="C7" s="1308"/>
      <c r="D7" s="1309"/>
      <c r="E7" s="1309"/>
      <c r="F7" s="1309"/>
      <c r="G7" s="1309"/>
      <c r="H7" s="1309"/>
      <c r="I7" s="1310"/>
      <c r="J7" s="967" t="s">
        <v>1</v>
      </c>
      <c r="K7" s="968"/>
      <c r="L7" s="968"/>
      <c r="M7" s="969"/>
      <c r="N7" s="1190">
        <v>0</v>
      </c>
      <c r="O7" s="1191"/>
      <c r="P7" s="1272" t="s">
        <v>605</v>
      </c>
      <c r="Q7" s="994"/>
      <c r="R7" s="986">
        <f>SUM(R30,R39,R45,R72,K105,R122,K152)</f>
        <v>0</v>
      </c>
      <c r="S7" s="987"/>
      <c r="U7" s="30"/>
      <c r="V7" s="30"/>
    </row>
    <row r="8" spans="1:22" ht="15" customHeight="1" thickBot="1">
      <c r="A8" s="1245" t="s">
        <v>604</v>
      </c>
      <c r="B8" s="1246"/>
      <c r="C8" s="1254"/>
      <c r="D8" s="1255"/>
      <c r="E8" s="1255"/>
      <c r="F8" s="1256"/>
      <c r="G8" s="392" t="s">
        <v>616</v>
      </c>
      <c r="H8" s="1268">
        <f ca="1">IF(C8="","",NOW())</f>
      </c>
      <c r="I8" s="1269"/>
      <c r="J8" s="970"/>
      <c r="K8" s="971"/>
      <c r="L8" s="971"/>
      <c r="M8" s="972"/>
      <c r="N8" s="1192"/>
      <c r="O8" s="1193"/>
      <c r="P8" s="1273"/>
      <c r="Q8" s="996"/>
      <c r="R8" s="988"/>
      <c r="S8" s="989"/>
      <c r="U8" s="30"/>
      <c r="V8" s="30"/>
    </row>
    <row r="9" spans="1:22" ht="17.25" customHeight="1" thickBot="1">
      <c r="A9" s="925" t="s">
        <v>823</v>
      </c>
      <c r="B9" s="924"/>
      <c r="C9" s="1204">
        <f>IF(H8="","",IF(OR(S12&gt;1,R12="NO",R13="YES"),"LOW PRIORITY",IF(AND(R15="YES",R11="NO"),"HIGH PRIORITY","MEDIUM PRIORITY")))</f>
      </c>
      <c r="D9" s="1205"/>
      <c r="E9" s="1205"/>
      <c r="F9" s="1205"/>
      <c r="G9" s="1205"/>
      <c r="H9" s="1205"/>
      <c r="I9" s="1206"/>
      <c r="J9" s="561"/>
      <c r="K9" s="562"/>
      <c r="L9" s="562"/>
      <c r="M9" s="562"/>
      <c r="N9" s="107"/>
      <c r="O9" s="107"/>
      <c r="P9" s="563"/>
      <c r="Q9" s="563"/>
      <c r="R9" s="564"/>
      <c r="S9" s="565"/>
      <c r="U9" s="30"/>
      <c r="V9" s="30"/>
    </row>
    <row r="10" spans="1:22" ht="18.75" customHeight="1" thickBot="1">
      <c r="A10" s="937" t="s">
        <v>516</v>
      </c>
      <c r="B10" s="938"/>
      <c r="C10" s="938"/>
      <c r="D10" s="938"/>
      <c r="E10" s="938"/>
      <c r="F10" s="938"/>
      <c r="G10" s="938"/>
      <c r="H10" s="938"/>
      <c r="I10" s="938"/>
      <c r="J10" s="938"/>
      <c r="K10" s="938"/>
      <c r="L10" s="938"/>
      <c r="M10" s="938"/>
      <c r="N10" s="938"/>
      <c r="O10" s="938"/>
      <c r="P10" s="938"/>
      <c r="Q10" s="938"/>
      <c r="R10" s="938"/>
      <c r="S10" s="939"/>
      <c r="U10" s="30"/>
      <c r="V10" s="30"/>
    </row>
    <row r="11" spans="1:22" ht="27" customHeight="1">
      <c r="A11" s="566" t="s">
        <v>541</v>
      </c>
      <c r="B11" s="1223" t="s">
        <v>21</v>
      </c>
      <c r="C11" s="1223"/>
      <c r="D11" s="1223"/>
      <c r="E11" s="1223"/>
      <c r="F11" s="1223"/>
      <c r="G11" s="1223"/>
      <c r="H11" s="1223"/>
      <c r="I11" s="1223"/>
      <c r="J11" s="1223"/>
      <c r="K11" s="1223"/>
      <c r="L11" s="1223"/>
      <c r="M11" s="1223"/>
      <c r="N11" s="1223"/>
      <c r="O11" s="1223"/>
      <c r="P11" s="1223"/>
      <c r="Q11" s="1224"/>
      <c r="R11" s="264"/>
      <c r="S11" s="265"/>
      <c r="U11" s="30"/>
      <c r="V11" s="30"/>
    </row>
    <row r="12" spans="1:22" ht="17.25" customHeight="1" thickBot="1">
      <c r="A12" s="567" t="s">
        <v>542</v>
      </c>
      <c r="B12" s="1225" t="s">
        <v>714</v>
      </c>
      <c r="C12" s="1225"/>
      <c r="D12" s="1225"/>
      <c r="E12" s="1225"/>
      <c r="F12" s="1225"/>
      <c r="G12" s="1225"/>
      <c r="H12" s="1225"/>
      <c r="I12" s="1225"/>
      <c r="J12" s="1225"/>
      <c r="K12" s="1225"/>
      <c r="L12" s="1225"/>
      <c r="M12" s="1225"/>
      <c r="N12" s="1225"/>
      <c r="O12" s="1225"/>
      <c r="P12" s="1225"/>
      <c r="Q12" s="1226"/>
      <c r="R12" s="568"/>
      <c r="S12" s="569">
        <f>COUNTIF(R11:R12,"NO")</f>
        <v>0</v>
      </c>
      <c r="U12" s="30"/>
      <c r="V12" s="30"/>
    </row>
    <row r="13" spans="1:22" ht="25.5" customHeight="1">
      <c r="A13" s="570" t="s">
        <v>364</v>
      </c>
      <c r="B13" s="1257" t="s">
        <v>279</v>
      </c>
      <c r="C13" s="1257"/>
      <c r="D13" s="1257"/>
      <c r="E13" s="1257"/>
      <c r="F13" s="1257"/>
      <c r="G13" s="1257"/>
      <c r="H13" s="1257"/>
      <c r="I13" s="1257"/>
      <c r="J13" s="1257"/>
      <c r="K13" s="1257"/>
      <c r="L13" s="1257"/>
      <c r="M13" s="1257"/>
      <c r="N13" s="1257"/>
      <c r="O13" s="1257"/>
      <c r="P13" s="1257"/>
      <c r="Q13" s="1258"/>
      <c r="R13" s="571"/>
      <c r="S13" s="569"/>
      <c r="U13" s="30"/>
      <c r="V13" s="30"/>
    </row>
    <row r="14" spans="1:22" ht="30.75" customHeight="1" thickBot="1">
      <c r="A14" s="1230" t="s">
        <v>371</v>
      </c>
      <c r="B14" s="1231"/>
      <c r="C14" s="1231"/>
      <c r="D14" s="1231"/>
      <c r="E14" s="1231"/>
      <c r="F14" s="1231"/>
      <c r="G14" s="1231"/>
      <c r="H14" s="1231"/>
      <c r="I14" s="1231"/>
      <c r="J14" s="1231"/>
      <c r="K14" s="1231"/>
      <c r="L14" s="1231"/>
      <c r="M14" s="1231"/>
      <c r="N14" s="1231"/>
      <c r="O14" s="1231"/>
      <c r="P14" s="1231"/>
      <c r="Q14" s="1231"/>
      <c r="R14" s="1231"/>
      <c r="S14" s="278"/>
      <c r="U14" s="30"/>
      <c r="V14" s="30"/>
    </row>
    <row r="15" spans="1:22" ht="28.5" customHeight="1">
      <c r="A15" s="572" t="s">
        <v>365</v>
      </c>
      <c r="B15" s="1227" t="s">
        <v>137</v>
      </c>
      <c r="C15" s="1228"/>
      <c r="D15" s="1228"/>
      <c r="E15" s="1228"/>
      <c r="F15" s="1228"/>
      <c r="G15" s="1228"/>
      <c r="H15" s="1228"/>
      <c r="I15" s="1228"/>
      <c r="J15" s="1228"/>
      <c r="K15" s="1228"/>
      <c r="L15" s="1228"/>
      <c r="M15" s="1228"/>
      <c r="N15" s="1228"/>
      <c r="O15" s="1228"/>
      <c r="P15" s="1228"/>
      <c r="Q15" s="1229"/>
      <c r="R15" s="571"/>
      <c r="S15" s="573"/>
      <c r="U15" s="30"/>
      <c r="V15" s="30"/>
    </row>
    <row r="16" spans="1:22" ht="17.25" customHeight="1" thickBot="1">
      <c r="A16" s="1209" t="s">
        <v>179</v>
      </c>
      <c r="B16" s="1210"/>
      <c r="C16" s="1210"/>
      <c r="D16" s="1210"/>
      <c r="E16" s="1210"/>
      <c r="F16" s="1210"/>
      <c r="G16" s="1210"/>
      <c r="H16" s="1210"/>
      <c r="I16" s="1210"/>
      <c r="J16" s="1210"/>
      <c r="K16" s="1210"/>
      <c r="L16" s="1210"/>
      <c r="M16" s="1210"/>
      <c r="N16" s="1210"/>
      <c r="O16" s="1210"/>
      <c r="P16" s="1210"/>
      <c r="Q16" s="1210"/>
      <c r="R16" s="1211"/>
      <c r="S16" s="278"/>
      <c r="U16" s="30"/>
      <c r="V16" s="30"/>
    </row>
    <row r="17" spans="1:22" ht="18.75" customHeight="1" thickBot="1">
      <c r="A17" s="937" t="s">
        <v>517</v>
      </c>
      <c r="B17" s="938"/>
      <c r="C17" s="938"/>
      <c r="D17" s="938"/>
      <c r="E17" s="938"/>
      <c r="F17" s="938"/>
      <c r="G17" s="938"/>
      <c r="H17" s="938"/>
      <c r="I17" s="938"/>
      <c r="J17" s="938"/>
      <c r="K17" s="938"/>
      <c r="L17" s="938"/>
      <c r="M17" s="938"/>
      <c r="N17" s="938"/>
      <c r="O17" s="938"/>
      <c r="P17" s="938"/>
      <c r="Q17" s="938"/>
      <c r="R17" s="938"/>
      <c r="S17" s="939"/>
      <c r="U17" s="30"/>
      <c r="V17" s="30"/>
    </row>
    <row r="18" spans="1:22" ht="15" customHeight="1">
      <c r="A18" s="308" t="s">
        <v>798</v>
      </c>
      <c r="B18" s="309"/>
      <c r="C18" s="309"/>
      <c r="D18" s="309"/>
      <c r="E18" s="889" t="s">
        <v>55</v>
      </c>
      <c r="F18" s="889"/>
      <c r="G18" s="889"/>
      <c r="H18" s="889"/>
      <c r="I18" s="889"/>
      <c r="J18" s="889"/>
      <c r="K18" s="889"/>
      <c r="L18" s="889"/>
      <c r="M18" s="889"/>
      <c r="N18" s="889"/>
      <c r="O18" s="889"/>
      <c r="P18" s="889"/>
      <c r="Q18" s="889"/>
      <c r="R18" s="889"/>
      <c r="S18" s="887"/>
      <c r="U18" s="30"/>
      <c r="V18" s="30"/>
    </row>
    <row r="19" spans="1:22" ht="28.5" customHeight="1" thickBot="1">
      <c r="A19" s="914" t="s">
        <v>57</v>
      </c>
      <c r="B19" s="908"/>
      <c r="C19" s="908"/>
      <c r="D19" s="908"/>
      <c r="E19" s="908"/>
      <c r="F19" s="908"/>
      <c r="G19" s="908"/>
      <c r="H19" s="908"/>
      <c r="I19" s="908"/>
      <c r="J19" s="908"/>
      <c r="K19" s="908"/>
      <c r="L19" s="908"/>
      <c r="M19" s="908"/>
      <c r="N19" s="908"/>
      <c r="O19" s="908"/>
      <c r="P19" s="908"/>
      <c r="Q19" s="908"/>
      <c r="R19" s="908"/>
      <c r="S19" s="909"/>
      <c r="U19" s="30"/>
      <c r="V19" s="30"/>
    </row>
    <row r="20" spans="1:22" ht="17.25" customHeight="1" thickTop="1">
      <c r="A20" s="336"/>
      <c r="B20" s="337"/>
      <c r="C20" s="337"/>
      <c r="D20" s="338"/>
      <c r="E20" s="337"/>
      <c r="F20" s="337"/>
      <c r="G20" s="337"/>
      <c r="H20" s="337"/>
      <c r="I20" s="337"/>
      <c r="J20" s="339"/>
      <c r="K20" s="339"/>
      <c r="L20" s="339"/>
      <c r="M20" s="338"/>
      <c r="N20" s="337"/>
      <c r="O20" s="337"/>
      <c r="P20" s="337"/>
      <c r="Q20" s="574"/>
      <c r="R20" s="575"/>
      <c r="S20" s="576"/>
      <c r="U20" s="30"/>
      <c r="V20" s="30"/>
    </row>
    <row r="21" spans="1:22" ht="15" customHeight="1">
      <c r="A21" s="247"/>
      <c r="B21" s="1121"/>
      <c r="C21" s="928" t="s">
        <v>460</v>
      </c>
      <c r="D21" s="929"/>
      <c r="E21" s="929"/>
      <c r="F21" s="929"/>
      <c r="G21" s="929"/>
      <c r="H21" s="929"/>
      <c r="I21" s="929"/>
      <c r="J21" s="929"/>
      <c r="K21" s="929"/>
      <c r="L21" s="930"/>
      <c r="M21" s="248"/>
      <c r="N21" s="1214" t="s">
        <v>60</v>
      </c>
      <c r="O21" s="1214"/>
      <c r="P21" s="1214"/>
      <c r="Q21" s="1214"/>
      <c r="R21" s="577"/>
      <c r="S21" s="573"/>
      <c r="U21" s="30"/>
      <c r="V21" s="30"/>
    </row>
    <row r="22" spans="1:22" ht="15" customHeight="1">
      <c r="A22" s="341"/>
      <c r="B22" s="1122"/>
      <c r="C22" s="931"/>
      <c r="D22" s="932"/>
      <c r="E22" s="932"/>
      <c r="F22" s="932"/>
      <c r="G22" s="932"/>
      <c r="H22" s="932"/>
      <c r="I22" s="932"/>
      <c r="J22" s="932"/>
      <c r="K22" s="932"/>
      <c r="L22" s="933"/>
      <c r="M22" s="248"/>
      <c r="N22" s="1214"/>
      <c r="O22" s="1214"/>
      <c r="P22" s="1214"/>
      <c r="Q22" s="1214"/>
      <c r="R22" s="577"/>
      <c r="S22" s="578">
        <v>3</v>
      </c>
      <c r="U22" s="30"/>
      <c r="V22" s="30"/>
    </row>
    <row r="23" spans="1:22" ht="23.25" customHeight="1">
      <c r="A23" s="341"/>
      <c r="B23" s="1202"/>
      <c r="C23" s="928" t="s">
        <v>458</v>
      </c>
      <c r="D23" s="929"/>
      <c r="E23" s="929"/>
      <c r="F23" s="929"/>
      <c r="G23" s="929"/>
      <c r="H23" s="929"/>
      <c r="I23" s="929"/>
      <c r="J23" s="929"/>
      <c r="K23" s="929"/>
      <c r="L23" s="930"/>
      <c r="M23" s="343"/>
      <c r="N23" s="1214"/>
      <c r="O23" s="1214"/>
      <c r="P23" s="1214"/>
      <c r="Q23" s="1214"/>
      <c r="R23" s="577"/>
      <c r="S23" s="573"/>
      <c r="U23" s="30"/>
      <c r="V23" s="30"/>
    </row>
    <row r="24" spans="1:22" ht="12.75" customHeight="1">
      <c r="A24" s="342"/>
      <c r="B24" s="1203"/>
      <c r="C24" s="931"/>
      <c r="D24" s="932"/>
      <c r="E24" s="932"/>
      <c r="F24" s="932"/>
      <c r="G24" s="932"/>
      <c r="H24" s="932"/>
      <c r="I24" s="932"/>
      <c r="J24" s="932"/>
      <c r="K24" s="932"/>
      <c r="L24" s="933"/>
      <c r="M24" s="248"/>
      <c r="N24" s="1214"/>
      <c r="O24" s="1214"/>
      <c r="P24" s="1214"/>
      <c r="Q24" s="1214"/>
      <c r="R24" s="577"/>
      <c r="S24" s="573"/>
      <c r="U24" s="30"/>
      <c r="V24" s="30"/>
    </row>
    <row r="25" spans="1:22" ht="15" customHeight="1">
      <c r="A25" s="342"/>
      <c r="B25" s="1311"/>
      <c r="C25" s="928" t="s">
        <v>461</v>
      </c>
      <c r="D25" s="929"/>
      <c r="E25" s="929"/>
      <c r="F25" s="929"/>
      <c r="G25" s="929"/>
      <c r="H25" s="929"/>
      <c r="I25" s="929"/>
      <c r="J25" s="929"/>
      <c r="K25" s="929"/>
      <c r="L25" s="930"/>
      <c r="M25" s="248"/>
      <c r="N25" s="579" t="s">
        <v>661</v>
      </c>
      <c r="O25" s="375"/>
      <c r="P25" s="303" t="s">
        <v>662</v>
      </c>
      <c r="Q25" s="248"/>
      <c r="R25" s="248"/>
      <c r="S25" s="320"/>
      <c r="U25" s="30"/>
      <c r="V25" s="30"/>
    </row>
    <row r="26" spans="1:22" ht="15" customHeight="1" thickBot="1">
      <c r="A26" s="342"/>
      <c r="B26" s="1312"/>
      <c r="C26" s="931"/>
      <c r="D26" s="932"/>
      <c r="E26" s="932"/>
      <c r="F26" s="932"/>
      <c r="G26" s="932"/>
      <c r="H26" s="932"/>
      <c r="I26" s="932"/>
      <c r="J26" s="932"/>
      <c r="K26" s="932"/>
      <c r="L26" s="933"/>
      <c r="M26" s="248"/>
      <c r="N26" s="248"/>
      <c r="O26" s="580"/>
      <c r="P26" s="580"/>
      <c r="Q26" s="581"/>
      <c r="R26" s="343"/>
      <c r="S26" s="578">
        <v>2</v>
      </c>
      <c r="U26" s="30"/>
      <c r="V26" s="30"/>
    </row>
    <row r="27" spans="1:22" ht="15" customHeight="1" thickBot="1" thickTop="1">
      <c r="A27" s="342"/>
      <c r="B27" s="343"/>
      <c r="C27" s="343"/>
      <c r="D27" s="343"/>
      <c r="E27" s="343"/>
      <c r="F27" s="343"/>
      <c r="G27" s="343"/>
      <c r="H27" s="343"/>
      <c r="I27" s="315"/>
      <c r="J27" s="582"/>
      <c r="K27" s="582"/>
      <c r="L27" s="294"/>
      <c r="M27" s="248"/>
      <c r="N27" s="1032" t="s">
        <v>56</v>
      </c>
      <c r="O27" s="1032"/>
      <c r="P27" s="1032"/>
      <c r="Q27" s="132">
        <f>IF(S26=1,5,0)</f>
        <v>0</v>
      </c>
      <c r="R27" s="524" t="s">
        <v>588</v>
      </c>
      <c r="S27" s="583"/>
      <c r="U27" s="30"/>
      <c r="V27" s="30"/>
    </row>
    <row r="28" spans="1:22" ht="16.5" customHeight="1" thickBot="1" thickTop="1">
      <c r="A28" s="342"/>
      <c r="B28" s="343"/>
      <c r="C28" s="343"/>
      <c r="D28" s="343"/>
      <c r="E28" s="343"/>
      <c r="F28" s="343"/>
      <c r="G28" s="343"/>
      <c r="H28" s="343"/>
      <c r="I28" s="248"/>
      <c r="J28" s="315" t="s">
        <v>589</v>
      </c>
      <c r="K28" s="812">
        <f>IF(S22=1,5,IF(S22=2,2,0))</f>
        <v>0</v>
      </c>
      <c r="L28" s="294" t="s">
        <v>587</v>
      </c>
      <c r="M28" s="315"/>
      <c r="N28" s="315"/>
      <c r="O28" s="315"/>
      <c r="P28" s="315"/>
      <c r="Q28" s="315"/>
      <c r="R28" s="584"/>
      <c r="S28" s="573"/>
      <c r="U28" s="30"/>
      <c r="V28" s="30"/>
    </row>
    <row r="29" spans="1:22" ht="2.25" customHeight="1" thickBot="1" thickTop="1">
      <c r="A29" s="342"/>
      <c r="B29" s="343"/>
      <c r="C29" s="343"/>
      <c r="D29" s="343"/>
      <c r="E29" s="343"/>
      <c r="F29" s="343"/>
      <c r="G29" s="343"/>
      <c r="H29" s="343"/>
      <c r="I29" s="343"/>
      <c r="J29" s="343"/>
      <c r="K29" s="343"/>
      <c r="L29" s="340"/>
      <c r="M29" s="343"/>
      <c r="N29" s="343"/>
      <c r="O29" s="343"/>
      <c r="P29" s="343"/>
      <c r="Q29" s="343"/>
      <c r="R29" s="343"/>
      <c r="S29" s="585"/>
      <c r="U29" s="30"/>
      <c r="V29" s="30"/>
    </row>
    <row r="30" spans="1:22" ht="15" customHeight="1" thickBot="1">
      <c r="A30" s="345" t="s">
        <v>590</v>
      </c>
      <c r="B30" s="335"/>
      <c r="C30" s="335"/>
      <c r="D30" s="335"/>
      <c r="E30" s="335"/>
      <c r="F30" s="335"/>
      <c r="G30" s="335"/>
      <c r="H30" s="335"/>
      <c r="I30" s="335"/>
      <c r="J30" s="335"/>
      <c r="K30" s="335"/>
      <c r="L30" s="586"/>
      <c r="M30" s="335"/>
      <c r="N30" s="335"/>
      <c r="O30" s="335"/>
      <c r="P30" s="335"/>
      <c r="Q30" s="454" t="s">
        <v>668</v>
      </c>
      <c r="R30" s="940">
        <f>K28+Q27</f>
        <v>0</v>
      </c>
      <c r="S30" s="941"/>
      <c r="U30" s="30"/>
      <c r="V30" s="30"/>
    </row>
    <row r="31" spans="1:22" ht="15" customHeight="1">
      <c r="A31" s="308" t="s">
        <v>799</v>
      </c>
      <c r="B31" s="309"/>
      <c r="C31" s="309"/>
      <c r="D31" s="889" t="s">
        <v>676</v>
      </c>
      <c r="E31" s="889"/>
      <c r="F31" s="889"/>
      <c r="G31" s="889"/>
      <c r="H31" s="889"/>
      <c r="I31" s="889"/>
      <c r="J31" s="889"/>
      <c r="K31" s="889"/>
      <c r="L31" s="889"/>
      <c r="M31" s="889"/>
      <c r="N31" s="889"/>
      <c r="O31" s="889"/>
      <c r="P31" s="889"/>
      <c r="Q31" s="889"/>
      <c r="R31" s="889"/>
      <c r="S31" s="887"/>
      <c r="U31" s="30"/>
      <c r="V31" s="30"/>
    </row>
    <row r="32" spans="1:22" ht="24" customHeight="1" thickBot="1">
      <c r="A32" s="1087" t="s">
        <v>19</v>
      </c>
      <c r="B32" s="1088"/>
      <c r="C32" s="1088"/>
      <c r="D32" s="1088"/>
      <c r="E32" s="1088"/>
      <c r="F32" s="1088"/>
      <c r="G32" s="1088"/>
      <c r="H32" s="1088"/>
      <c r="I32" s="1088"/>
      <c r="J32" s="1088"/>
      <c r="K32" s="1088"/>
      <c r="L32" s="1088"/>
      <c r="M32" s="1088"/>
      <c r="N32" s="1088"/>
      <c r="O32" s="1088"/>
      <c r="P32" s="1088"/>
      <c r="Q32" s="1088"/>
      <c r="R32" s="1088"/>
      <c r="S32" s="1089"/>
      <c r="U32" s="30"/>
      <c r="V32" s="30"/>
    </row>
    <row r="33" spans="1:22" ht="6.75" customHeight="1" thickTop="1">
      <c r="A33" s="724"/>
      <c r="B33" s="725"/>
      <c r="C33" s="725"/>
      <c r="D33" s="725"/>
      <c r="E33" s="725"/>
      <c r="F33" s="725"/>
      <c r="G33" s="725"/>
      <c r="H33" s="725"/>
      <c r="I33" s="725"/>
      <c r="J33" s="725"/>
      <c r="K33" s="725"/>
      <c r="L33" s="725"/>
      <c r="M33" s="725"/>
      <c r="N33" s="725"/>
      <c r="O33" s="725"/>
      <c r="P33" s="725"/>
      <c r="Q33" s="725"/>
      <c r="R33" s="725"/>
      <c r="S33" s="726"/>
      <c r="U33" s="30"/>
      <c r="V33" s="30"/>
    </row>
    <row r="34" spans="1:22" ht="15" customHeight="1">
      <c r="A34" s="1055" t="s">
        <v>373</v>
      </c>
      <c r="B34" s="1056"/>
      <c r="C34" s="1056"/>
      <c r="D34" s="1056"/>
      <c r="E34" s="1056"/>
      <c r="F34" s="1056"/>
      <c r="G34" s="1056"/>
      <c r="H34" s="1056"/>
      <c r="I34" s="1056"/>
      <c r="J34" s="1056"/>
      <c r="K34" s="1056"/>
      <c r="L34" s="1056"/>
      <c r="M34" s="126">
        <f>C6+H6</f>
        <v>0</v>
      </c>
      <c r="N34" s="313" t="s">
        <v>375</v>
      </c>
      <c r="O34" s="343"/>
      <c r="P34" s="343"/>
      <c r="Q34" s="343"/>
      <c r="R34" s="343"/>
      <c r="S34" s="573"/>
      <c r="U34" s="30"/>
      <c r="V34" s="30"/>
    </row>
    <row r="35" spans="1:22" ht="15" customHeight="1" thickBot="1">
      <c r="A35" s="247"/>
      <c r="B35" s="1032" t="s">
        <v>372</v>
      </c>
      <c r="C35" s="1032"/>
      <c r="D35" s="1032"/>
      <c r="E35" s="1032"/>
      <c r="F35" s="1032"/>
      <c r="G35" s="1032"/>
      <c r="H35" s="1032"/>
      <c r="I35" s="1032"/>
      <c r="J35" s="1032"/>
      <c r="K35" s="1032"/>
      <c r="L35" s="1316"/>
      <c r="M35" s="727">
        <v>0</v>
      </c>
      <c r="N35" s="317" t="s">
        <v>376</v>
      </c>
      <c r="O35" s="1032" t="s">
        <v>42</v>
      </c>
      <c r="P35" s="1032"/>
      <c r="Q35" s="318"/>
      <c r="R35" s="318"/>
      <c r="S35" s="728"/>
      <c r="U35" s="30"/>
      <c r="V35" s="30"/>
    </row>
    <row r="36" spans="1:22" ht="15" customHeight="1" thickBot="1" thickTop="1">
      <c r="A36" s="342"/>
      <c r="B36" s="343"/>
      <c r="C36" s="343"/>
      <c r="D36" s="343"/>
      <c r="E36" s="343"/>
      <c r="F36" s="343"/>
      <c r="G36" s="343"/>
      <c r="H36" s="343"/>
      <c r="I36" s="343"/>
      <c r="J36" s="343"/>
      <c r="K36" s="248"/>
      <c r="L36" s="315" t="s">
        <v>374</v>
      </c>
      <c r="M36" s="125">
        <f>IF(M35=0,0,M35/M34)</f>
        <v>0</v>
      </c>
      <c r="N36" s="313" t="s">
        <v>377</v>
      </c>
      <c r="O36" s="1032"/>
      <c r="P36" s="1032"/>
      <c r="Q36" s="138">
        <f>IF(M35=0,0,-6.3898*LN(M36)+29.188)</f>
        <v>0</v>
      </c>
      <c r="R36" s="294" t="s">
        <v>41</v>
      </c>
      <c r="S36" s="573"/>
      <c r="U36" s="30"/>
      <c r="V36" s="30"/>
    </row>
    <row r="37" spans="1:22" ht="8.25" customHeight="1" thickTop="1">
      <c r="A37" s="342"/>
      <c r="B37" s="343"/>
      <c r="C37" s="343"/>
      <c r="D37" s="343"/>
      <c r="E37" s="343"/>
      <c r="F37" s="343"/>
      <c r="G37" s="343"/>
      <c r="H37" s="343"/>
      <c r="I37" s="343"/>
      <c r="J37" s="343"/>
      <c r="K37" s="315"/>
      <c r="L37" s="729"/>
      <c r="M37" s="729"/>
      <c r="N37" s="343"/>
      <c r="O37" s="343"/>
      <c r="P37" s="343"/>
      <c r="Q37" s="343"/>
      <c r="R37" s="343"/>
      <c r="S37" s="573"/>
      <c r="U37" s="30"/>
      <c r="V37" s="30"/>
    </row>
    <row r="38" spans="1:22" ht="15" customHeight="1" thickBot="1">
      <c r="A38" s="1146" t="s">
        <v>18</v>
      </c>
      <c r="B38" s="1147"/>
      <c r="C38" s="1147"/>
      <c r="D38" s="1147"/>
      <c r="E38" s="1147"/>
      <c r="F38" s="1147"/>
      <c r="G38" s="1147"/>
      <c r="H38" s="1147"/>
      <c r="I38" s="1147"/>
      <c r="J38" s="1147"/>
      <c r="K38" s="1147"/>
      <c r="L38" s="729"/>
      <c r="M38" s="729"/>
      <c r="N38" s="343"/>
      <c r="O38" s="343"/>
      <c r="P38" s="343"/>
      <c r="Q38" s="343"/>
      <c r="R38" s="343"/>
      <c r="S38" s="585"/>
      <c r="U38" s="30"/>
      <c r="V38" s="30"/>
    </row>
    <row r="39" spans="1:22" ht="15" customHeight="1" thickBot="1">
      <c r="A39" s="1148"/>
      <c r="B39" s="1149"/>
      <c r="C39" s="1149"/>
      <c r="D39" s="1149"/>
      <c r="E39" s="1149"/>
      <c r="F39" s="1149"/>
      <c r="G39" s="1149"/>
      <c r="H39" s="1149"/>
      <c r="I39" s="1149"/>
      <c r="J39" s="1149"/>
      <c r="K39" s="1149"/>
      <c r="L39" s="248"/>
      <c r="M39" s="319"/>
      <c r="N39" s="248"/>
      <c r="O39" s="248"/>
      <c r="P39" s="313"/>
      <c r="Q39" s="454" t="s">
        <v>670</v>
      </c>
      <c r="R39" s="1033">
        <f>IF(Q36&lt;0,0,IF(Q36&gt;15,15,Q36))</f>
        <v>0</v>
      </c>
      <c r="S39" s="1034"/>
      <c r="U39" s="30"/>
      <c r="V39" s="30"/>
    </row>
    <row r="40" spans="1:22" ht="15" customHeight="1">
      <c r="A40" s="308" t="s">
        <v>803</v>
      </c>
      <c r="B40" s="309"/>
      <c r="C40" s="309"/>
      <c r="D40" s="889" t="s">
        <v>71</v>
      </c>
      <c r="E40" s="889"/>
      <c r="F40" s="889"/>
      <c r="G40" s="889"/>
      <c r="H40" s="889"/>
      <c r="I40" s="889"/>
      <c r="J40" s="889"/>
      <c r="K40" s="889"/>
      <c r="L40" s="889"/>
      <c r="M40" s="889"/>
      <c r="N40" s="889"/>
      <c r="O40" s="889"/>
      <c r="P40" s="889"/>
      <c r="Q40" s="889"/>
      <c r="R40" s="1062"/>
      <c r="S40" s="1063"/>
      <c r="U40" s="30"/>
      <c r="V40" s="30"/>
    </row>
    <row r="41" spans="1:22" ht="27.75" customHeight="1" thickBot="1">
      <c r="A41" s="914" t="s">
        <v>378</v>
      </c>
      <c r="B41" s="908"/>
      <c r="C41" s="908"/>
      <c r="D41" s="908"/>
      <c r="E41" s="908"/>
      <c r="F41" s="908"/>
      <c r="G41" s="908"/>
      <c r="H41" s="908"/>
      <c r="I41" s="908"/>
      <c r="J41" s="908"/>
      <c r="K41" s="908"/>
      <c r="L41" s="908"/>
      <c r="M41" s="908"/>
      <c r="N41" s="908"/>
      <c r="O41" s="908"/>
      <c r="P41" s="908"/>
      <c r="Q41" s="908"/>
      <c r="R41" s="908"/>
      <c r="S41" s="909"/>
      <c r="U41" s="30"/>
      <c r="V41" s="30"/>
    </row>
    <row r="42" spans="1:22" ht="6" customHeight="1" thickBot="1" thickTop="1">
      <c r="A42" s="730"/>
      <c r="B42" s="731"/>
      <c r="C42" s="731"/>
      <c r="D42" s="731"/>
      <c r="E42" s="731"/>
      <c r="F42" s="731"/>
      <c r="G42" s="731"/>
      <c r="H42" s="731"/>
      <c r="I42" s="731"/>
      <c r="J42" s="731"/>
      <c r="K42" s="731"/>
      <c r="L42" s="731"/>
      <c r="M42" s="731"/>
      <c r="N42" s="731"/>
      <c r="O42" s="731"/>
      <c r="P42" s="731"/>
      <c r="Q42" s="731"/>
      <c r="R42" s="731"/>
      <c r="S42" s="732"/>
      <c r="U42" s="30"/>
      <c r="V42" s="30"/>
    </row>
    <row r="43" spans="1:22" ht="15" customHeight="1" thickBot="1" thickTop="1">
      <c r="A43" s="342"/>
      <c r="B43" s="343"/>
      <c r="C43" s="343"/>
      <c r="D43" s="343"/>
      <c r="E43" s="343"/>
      <c r="F43" s="343"/>
      <c r="G43" s="343"/>
      <c r="H43" s="343"/>
      <c r="I43" s="343"/>
      <c r="J43" s="343"/>
      <c r="K43" s="319"/>
      <c r="L43" s="248"/>
      <c r="M43" s="319" t="s">
        <v>532</v>
      </c>
      <c r="N43" s="1207">
        <f>IF(M4&gt;1,0,S5*2)</f>
        <v>0</v>
      </c>
      <c r="O43" s="1208"/>
      <c r="P43" s="294" t="s">
        <v>379</v>
      </c>
      <c r="Q43" s="343"/>
      <c r="R43" s="343"/>
      <c r="S43" s="573"/>
      <c r="U43" s="30"/>
      <c r="V43" s="30"/>
    </row>
    <row r="44" spans="1:22" ht="5.25" customHeight="1" thickBot="1" thickTop="1">
      <c r="A44" s="247"/>
      <c r="B44" s="343"/>
      <c r="C44" s="343"/>
      <c r="D44" s="343"/>
      <c r="E44" s="343"/>
      <c r="F44" s="343"/>
      <c r="G44" s="343"/>
      <c r="H44" s="343"/>
      <c r="I44" s="343"/>
      <c r="J44" s="343"/>
      <c r="K44" s="319"/>
      <c r="L44" s="1199"/>
      <c r="M44" s="1199"/>
      <c r="N44" s="343"/>
      <c r="O44" s="343"/>
      <c r="P44" s="343"/>
      <c r="Q44" s="343"/>
      <c r="R44" s="343"/>
      <c r="S44" s="585"/>
      <c r="U44" s="30"/>
      <c r="V44" s="30"/>
    </row>
    <row r="45" spans="1:22" ht="16.5" customHeight="1" thickBot="1">
      <c r="A45" s="345" t="s">
        <v>139</v>
      </c>
      <c r="B45" s="356"/>
      <c r="C45" s="356"/>
      <c r="D45" s="356"/>
      <c r="E45" s="356"/>
      <c r="F45" s="356"/>
      <c r="G45" s="356"/>
      <c r="H45" s="356"/>
      <c r="I45" s="356"/>
      <c r="J45" s="356"/>
      <c r="K45" s="356"/>
      <c r="L45" s="356"/>
      <c r="M45" s="356"/>
      <c r="N45" s="356"/>
      <c r="O45" s="356"/>
      <c r="P45" s="356"/>
      <c r="Q45" s="454" t="s">
        <v>677</v>
      </c>
      <c r="R45" s="1033">
        <f>IF(N43&gt;10,10,N43)</f>
        <v>0</v>
      </c>
      <c r="S45" s="1198"/>
      <c r="U45" s="30"/>
      <c r="V45" s="30"/>
    </row>
    <row r="46" spans="1:22" ht="15.75" customHeight="1">
      <c r="A46" s="308" t="s">
        <v>804</v>
      </c>
      <c r="B46" s="357"/>
      <c r="C46" s="357"/>
      <c r="D46" s="889" t="s">
        <v>599</v>
      </c>
      <c r="E46" s="889"/>
      <c r="F46" s="889"/>
      <c r="G46" s="889"/>
      <c r="H46" s="889"/>
      <c r="I46" s="889"/>
      <c r="J46" s="889"/>
      <c r="K46" s="889"/>
      <c r="L46" s="889"/>
      <c r="M46" s="889"/>
      <c r="N46" s="889"/>
      <c r="O46" s="889"/>
      <c r="P46" s="889"/>
      <c r="Q46" s="889"/>
      <c r="R46" s="889"/>
      <c r="S46" s="887"/>
      <c r="U46" s="30"/>
      <c r="V46" s="30"/>
    </row>
    <row r="47" spans="1:22" ht="14.25" customHeight="1" thickBot="1">
      <c r="A47" s="1070" t="s">
        <v>241</v>
      </c>
      <c r="B47" s="1071"/>
      <c r="C47" s="1071"/>
      <c r="D47" s="1071"/>
      <c r="E47" s="1071"/>
      <c r="F47" s="1071"/>
      <c r="G47" s="1071"/>
      <c r="H47" s="1071"/>
      <c r="I47" s="1071"/>
      <c r="J47" s="1071"/>
      <c r="K47" s="1071"/>
      <c r="L47" s="1071"/>
      <c r="M47" s="1071"/>
      <c r="N47" s="1071"/>
      <c r="O47" s="1071"/>
      <c r="P47" s="1071"/>
      <c r="Q47" s="1071"/>
      <c r="R47" s="1071"/>
      <c r="S47" s="1072"/>
      <c r="T47" s="24"/>
      <c r="U47" s="30"/>
      <c r="V47" s="30"/>
    </row>
    <row r="48" spans="1:22" ht="3.75" customHeight="1" thickBot="1" thickTop="1">
      <c r="A48" s="311"/>
      <c r="B48" s="311"/>
      <c r="C48" s="311"/>
      <c r="D48" s="311"/>
      <c r="E48" s="311"/>
      <c r="F48" s="311"/>
      <c r="G48" s="311"/>
      <c r="H48" s="311"/>
      <c r="I48" s="311"/>
      <c r="J48" s="311"/>
      <c r="K48" s="311"/>
      <c r="L48" s="311"/>
      <c r="M48" s="311"/>
      <c r="N48" s="311"/>
      <c r="O48" s="311"/>
      <c r="P48" s="311"/>
      <c r="Q48" s="311"/>
      <c r="R48" s="733"/>
      <c r="S48" s="734"/>
      <c r="T48" s="24"/>
      <c r="U48" s="30"/>
      <c r="V48" s="30"/>
    </row>
    <row r="49" spans="1:22" ht="15" customHeight="1" thickTop="1">
      <c r="A49" s="1282" t="s">
        <v>204</v>
      </c>
      <c r="B49" s="1283"/>
      <c r="C49" s="1283"/>
      <c r="D49" s="1283"/>
      <c r="E49" s="735"/>
      <c r="F49" s="735"/>
      <c r="G49" s="735"/>
      <c r="H49" s="735"/>
      <c r="I49" s="1284" t="s">
        <v>205</v>
      </c>
      <c r="J49" s="1284"/>
      <c r="K49" s="1284"/>
      <c r="L49" s="1284"/>
      <c r="M49" s="1285"/>
      <c r="N49" s="1194">
        <v>0</v>
      </c>
      <c r="O49" s="1195"/>
      <c r="P49" s="311" t="s">
        <v>91</v>
      </c>
      <c r="Q49" s="311"/>
      <c r="R49" s="736"/>
      <c r="S49" s="737"/>
      <c r="T49" s="24"/>
      <c r="U49" s="30"/>
      <c r="V49" s="30"/>
    </row>
    <row r="50" spans="1:22" ht="12" customHeight="1">
      <c r="A50" s="738"/>
      <c r="B50" s="629"/>
      <c r="C50" s="629"/>
      <c r="D50" s="629"/>
      <c r="E50" s="629"/>
      <c r="F50" s="629"/>
      <c r="G50" s="629"/>
      <c r="H50" s="629"/>
      <c r="I50" s="581"/>
      <c r="J50" s="1219" t="s">
        <v>46</v>
      </c>
      <c r="K50" s="1219"/>
      <c r="L50" s="1219"/>
      <c r="M50" s="1219"/>
      <c r="N50" s="315"/>
      <c r="O50" s="311"/>
      <c r="P50" s="311"/>
      <c r="Q50" s="311"/>
      <c r="R50" s="739"/>
      <c r="S50" s="740"/>
      <c r="T50" s="24"/>
      <c r="U50" s="30"/>
      <c r="V50" s="30"/>
    </row>
    <row r="51" spans="1:22" ht="15" customHeight="1">
      <c r="A51" s="477" t="s">
        <v>242</v>
      </c>
      <c r="B51" s="362" t="s">
        <v>248</v>
      </c>
      <c r="C51" s="1221" t="s">
        <v>259</v>
      </c>
      <c r="D51" s="354" t="s">
        <v>643</v>
      </c>
      <c r="E51" s="1281" t="s">
        <v>642</v>
      </c>
      <c r="F51" s="82"/>
      <c r="G51" s="1286" t="s">
        <v>649</v>
      </c>
      <c r="H51" s="1287"/>
      <c r="I51" s="742"/>
      <c r="J51" s="1219"/>
      <c r="K51" s="1219"/>
      <c r="L51" s="1219"/>
      <c r="M51" s="1219"/>
      <c r="N51" s="315"/>
      <c r="O51" s="370"/>
      <c r="P51" s="370"/>
      <c r="Q51" s="370"/>
      <c r="R51" s="378"/>
      <c r="S51" s="461">
        <f>IF(F51="","",F51*I51)</f>
      </c>
      <c r="U51" s="30"/>
      <c r="V51" s="30"/>
    </row>
    <row r="52" spans="1:22" ht="15" customHeight="1">
      <c r="A52" s="743" t="s">
        <v>243</v>
      </c>
      <c r="B52" s="248"/>
      <c r="C52" s="1221"/>
      <c r="D52" s="354" t="s">
        <v>644</v>
      </c>
      <c r="E52" s="1281"/>
      <c r="F52" s="82"/>
      <c r="G52" s="1286"/>
      <c r="H52" s="1287"/>
      <c r="I52" s="742"/>
      <c r="J52" s="1219"/>
      <c r="K52" s="1219"/>
      <c r="L52" s="1219"/>
      <c r="M52" s="1219"/>
      <c r="N52" s="1200">
        <f>IF($H$6=0,0,N49/$H$6)</f>
        <v>0</v>
      </c>
      <c r="O52" s="1201"/>
      <c r="P52" s="449" t="s">
        <v>92</v>
      </c>
      <c r="Q52" s="744"/>
      <c r="R52" s="745"/>
      <c r="S52" s="461">
        <f>IF(F52="","",F52*I52)</f>
      </c>
      <c r="U52" s="30"/>
      <c r="V52" s="30"/>
    </row>
    <row r="53" spans="1:22" ht="15" customHeight="1">
      <c r="A53" s="743" t="s">
        <v>244</v>
      </c>
      <c r="B53" s="248"/>
      <c r="C53" s="1221"/>
      <c r="D53" s="354" t="s">
        <v>645</v>
      </c>
      <c r="E53" s="1281"/>
      <c r="F53" s="82"/>
      <c r="G53" s="1286"/>
      <c r="H53" s="1287"/>
      <c r="I53" s="742"/>
      <c r="J53" s="746"/>
      <c r="K53" s="1219" t="s">
        <v>240</v>
      </c>
      <c r="L53" s="1219"/>
      <c r="M53" s="1219"/>
      <c r="N53" s="443"/>
      <c r="O53" s="248"/>
      <c r="P53" s="443"/>
      <c r="Q53" s="443"/>
      <c r="R53" s="747"/>
      <c r="S53" s="461">
        <f>IF(F53="","",F53*I53)</f>
      </c>
      <c r="U53" s="30"/>
      <c r="V53" s="30"/>
    </row>
    <row r="54" spans="1:22" ht="15" customHeight="1">
      <c r="A54" s="743" t="s">
        <v>245</v>
      </c>
      <c r="B54" s="248"/>
      <c r="C54" s="1221"/>
      <c r="D54" s="374" t="s">
        <v>646</v>
      </c>
      <c r="E54" s="1281"/>
      <c r="F54" s="82"/>
      <c r="G54" s="1286"/>
      <c r="H54" s="1287"/>
      <c r="I54" s="742"/>
      <c r="J54" s="443"/>
      <c r="K54" s="1219"/>
      <c r="L54" s="1219"/>
      <c r="M54" s="1219"/>
      <c r="N54" s="813">
        <f>IF(I58&lt;25,20,(IF(I58&lt;50,10,(IF(I58&lt;75,5,0)))))</f>
        <v>0</v>
      </c>
      <c r="O54" s="470" t="s">
        <v>93</v>
      </c>
      <c r="P54" s="748"/>
      <c r="Q54" s="744"/>
      <c r="R54" s="745"/>
      <c r="S54" s="461">
        <f>IF(F54="","",F54*I54)</f>
      </c>
      <c r="U54" s="30"/>
      <c r="V54" s="30"/>
    </row>
    <row r="55" spans="1:22" ht="13.5" customHeight="1">
      <c r="A55" s="743" t="s">
        <v>246</v>
      </c>
      <c r="B55" s="481"/>
      <c r="C55" s="1221"/>
      <c r="D55" s="354" t="s">
        <v>647</v>
      </c>
      <c r="E55" s="1281"/>
      <c r="F55" s="82"/>
      <c r="G55" s="1286"/>
      <c r="H55" s="1287"/>
      <c r="I55" s="742"/>
      <c r="J55" s="749"/>
      <c r="K55" s="750"/>
      <c r="L55" s="750"/>
      <c r="M55" s="248"/>
      <c r="N55" s="751"/>
      <c r="O55" s="748"/>
      <c r="P55" s="748"/>
      <c r="Q55" s="443"/>
      <c r="R55" s="745"/>
      <c r="S55" s="461">
        <f>IF(F55="","",F55*I55)</f>
      </c>
      <c r="U55" s="30"/>
      <c r="V55" s="30"/>
    </row>
    <row r="56" spans="1:22" ht="5.25" customHeight="1" thickBot="1">
      <c r="A56" s="752"/>
      <c r="B56" s="481"/>
      <c r="C56" s="741"/>
      <c r="D56" s="354"/>
      <c r="E56" s="753"/>
      <c r="F56" s="79"/>
      <c r="G56" s="753"/>
      <c r="H56" s="753"/>
      <c r="I56" s="754"/>
      <c r="J56" s="755"/>
      <c r="K56" s="47"/>
      <c r="L56" s="248"/>
      <c r="M56" s="358"/>
      <c r="N56" s="248"/>
      <c r="O56" s="248"/>
      <c r="P56" s="248"/>
      <c r="Q56" s="744"/>
      <c r="R56" s="745"/>
      <c r="S56" s="461"/>
      <c r="U56" s="30"/>
      <c r="V56" s="30"/>
    </row>
    <row r="57" spans="1:22" ht="15" customHeight="1" thickBot="1" thickTop="1">
      <c r="A57" s="752"/>
      <c r="B57" s="443"/>
      <c r="C57" s="1021" t="s">
        <v>550</v>
      </c>
      <c r="D57" s="1021"/>
      <c r="E57" s="1021"/>
      <c r="F57" s="1021"/>
      <c r="G57" s="1021"/>
      <c r="H57" s="1021"/>
      <c r="I57" s="755"/>
      <c r="J57" s="755"/>
      <c r="K57" s="47"/>
      <c r="L57" s="248"/>
      <c r="M57" s="358"/>
      <c r="N57" s="248"/>
      <c r="O57" s="319" t="s">
        <v>247</v>
      </c>
      <c r="P57" s="137">
        <f>N54*N52</f>
        <v>0</v>
      </c>
      <c r="Q57" s="449" t="s">
        <v>785</v>
      </c>
      <c r="R57" s="745"/>
      <c r="S57" s="461"/>
      <c r="U57" s="30"/>
      <c r="V57" s="30"/>
    </row>
    <row r="58" spans="1:22" ht="15" customHeight="1" thickTop="1">
      <c r="A58" s="752"/>
      <c r="B58" s="748"/>
      <c r="C58" s="1021"/>
      <c r="D58" s="1021"/>
      <c r="E58" s="1021"/>
      <c r="F58" s="1021"/>
      <c r="G58" s="1021"/>
      <c r="H58" s="1021"/>
      <c r="I58" s="1319">
        <f>IF(SUM(I51:I55)=0,"",SUM(S51:S55)/SUM(I51:I55))</f>
      </c>
      <c r="J58" s="1320"/>
      <c r="K58" s="140" t="s">
        <v>94</v>
      </c>
      <c r="L58" s="248"/>
      <c r="M58" s="358"/>
      <c r="N58" s="248"/>
      <c r="O58" s="248"/>
      <c r="P58" s="248"/>
      <c r="Q58" s="744"/>
      <c r="R58" s="745"/>
      <c r="S58" s="461"/>
      <c r="U58" s="30"/>
      <c r="V58" s="30"/>
    </row>
    <row r="59" spans="1:22" ht="6" customHeight="1" thickBot="1">
      <c r="A59" s="756"/>
      <c r="B59" s="757"/>
      <c r="C59" s="758"/>
      <c r="D59" s="759"/>
      <c r="E59" s="760"/>
      <c r="F59" s="136"/>
      <c r="G59" s="760"/>
      <c r="H59" s="760"/>
      <c r="I59" s="761"/>
      <c r="J59" s="761"/>
      <c r="K59" s="762"/>
      <c r="L59" s="763"/>
      <c r="M59" s="764"/>
      <c r="N59" s="763"/>
      <c r="O59" s="763"/>
      <c r="P59" s="763"/>
      <c r="Q59" s="765"/>
      <c r="R59" s="745"/>
      <c r="S59" s="461"/>
      <c r="U59" s="30"/>
      <c r="V59" s="30"/>
    </row>
    <row r="60" spans="1:22" ht="6" customHeight="1">
      <c r="A60" s="752"/>
      <c r="B60" s="481"/>
      <c r="C60" s="741"/>
      <c r="D60" s="354"/>
      <c r="E60" s="753"/>
      <c r="F60" s="135"/>
      <c r="G60" s="753"/>
      <c r="H60" s="753"/>
      <c r="I60" s="755"/>
      <c r="J60" s="755"/>
      <c r="K60" s="47"/>
      <c r="L60" s="248"/>
      <c r="M60" s="358"/>
      <c r="N60" s="248"/>
      <c r="O60" s="248"/>
      <c r="P60" s="248"/>
      <c r="Q60" s="744"/>
      <c r="R60" s="745"/>
      <c r="S60" s="461"/>
      <c r="U60" s="30"/>
      <c r="V60" s="30"/>
    </row>
    <row r="61" spans="1:22" ht="15" customHeight="1">
      <c r="A61" s="1338" t="s">
        <v>206</v>
      </c>
      <c r="B61" s="1339"/>
      <c r="C61" s="1339"/>
      <c r="D61" s="1339"/>
      <c r="E61" s="767"/>
      <c r="F61" s="767"/>
      <c r="G61" s="767"/>
      <c r="H61" s="767"/>
      <c r="I61" s="1196" t="s">
        <v>207</v>
      </c>
      <c r="J61" s="1196"/>
      <c r="K61" s="1196"/>
      <c r="L61" s="1196"/>
      <c r="M61" s="1196"/>
      <c r="N61" s="1197"/>
      <c r="O61" s="1194">
        <v>0</v>
      </c>
      <c r="P61" s="1195"/>
      <c r="Q61" s="140" t="s">
        <v>98</v>
      </c>
      <c r="R61" s="745"/>
      <c r="S61" s="461"/>
      <c r="U61" s="30"/>
      <c r="V61" s="30"/>
    </row>
    <row r="62" spans="1:22" ht="10.5" customHeight="1" thickBot="1">
      <c r="A62" s="766"/>
      <c r="B62" s="767"/>
      <c r="C62" s="767"/>
      <c r="D62" s="767"/>
      <c r="E62" s="767"/>
      <c r="F62" s="767"/>
      <c r="G62" s="767"/>
      <c r="H62" s="767"/>
      <c r="I62" s="768"/>
      <c r="J62" s="768"/>
      <c r="K62" s="768"/>
      <c r="L62" s="768"/>
      <c r="M62" s="768"/>
      <c r="N62" s="768"/>
      <c r="O62" s="769"/>
      <c r="P62" s="769"/>
      <c r="Q62" s="140"/>
      <c r="R62" s="745"/>
      <c r="S62" s="461"/>
      <c r="U62" s="30"/>
      <c r="V62" s="30"/>
    </row>
    <row r="63" spans="1:22" ht="15" customHeight="1" thickTop="1">
      <c r="A63" s="477" t="s">
        <v>49</v>
      </c>
      <c r="B63" s="362" t="s">
        <v>248</v>
      </c>
      <c r="C63" s="1221" t="s">
        <v>203</v>
      </c>
      <c r="D63" s="354" t="s">
        <v>643</v>
      </c>
      <c r="E63" s="1344" t="s">
        <v>650</v>
      </c>
      <c r="F63" s="80"/>
      <c r="G63" s="1286" t="s">
        <v>651</v>
      </c>
      <c r="H63" s="1287"/>
      <c r="I63" s="80"/>
      <c r="J63" s="1345" t="s">
        <v>652</v>
      </c>
      <c r="K63" s="770"/>
      <c r="L63" s="1218" t="s">
        <v>47</v>
      </c>
      <c r="M63" s="1219"/>
      <c r="N63" s="1219"/>
      <c r="O63" s="744"/>
      <c r="P63" s="744"/>
      <c r="Q63" s="744"/>
      <c r="R63" s="771">
        <f aca="true" t="shared" si="0" ref="R63:R71">IF(I63="","",IF(I63=0,"",F63/I63*100))</f>
      </c>
      <c r="S63" s="772">
        <f>IF(R63="","",IF(R63=0,"",R63*K63))</f>
      </c>
      <c r="U63" s="30"/>
      <c r="V63" s="30"/>
    </row>
    <row r="64" spans="1:22" ht="15" customHeight="1">
      <c r="A64" s="743" t="s">
        <v>526</v>
      </c>
      <c r="B64" s="248"/>
      <c r="C64" s="1221"/>
      <c r="D64" s="354" t="s">
        <v>644</v>
      </c>
      <c r="E64" s="1344"/>
      <c r="F64" s="28"/>
      <c r="G64" s="1286"/>
      <c r="H64" s="1287"/>
      <c r="I64" s="74"/>
      <c r="J64" s="1345"/>
      <c r="K64" s="770"/>
      <c r="L64" s="1218"/>
      <c r="M64" s="1219"/>
      <c r="N64" s="1219"/>
      <c r="O64" s="443"/>
      <c r="P64" s="744"/>
      <c r="Q64" s="744"/>
      <c r="R64" s="773">
        <f t="shared" si="0"/>
      </c>
      <c r="S64" s="774">
        <f>IF(R64="","",R64*K64)</f>
      </c>
      <c r="U64" s="30"/>
      <c r="V64" s="30"/>
    </row>
    <row r="65" spans="1:22" ht="15" customHeight="1">
      <c r="A65" s="743" t="s">
        <v>524</v>
      </c>
      <c r="B65" s="248"/>
      <c r="C65" s="1221"/>
      <c r="D65" s="354" t="s">
        <v>645</v>
      </c>
      <c r="E65" s="1344"/>
      <c r="F65" s="28"/>
      <c r="G65" s="1286"/>
      <c r="H65" s="1287"/>
      <c r="I65" s="74"/>
      <c r="J65" s="1345"/>
      <c r="K65" s="770"/>
      <c r="L65" s="1218"/>
      <c r="M65" s="1219"/>
      <c r="N65" s="1219"/>
      <c r="O65" s="1212">
        <f>IF($C$6=0,0,O61/$C$6)</f>
        <v>0</v>
      </c>
      <c r="P65" s="1213"/>
      <c r="Q65" s="775" t="s">
        <v>99</v>
      </c>
      <c r="R65" s="773">
        <f t="shared" si="0"/>
      </c>
      <c r="S65" s="774">
        <f>IF(R65="","",R65*K65)</f>
      </c>
      <c r="U65" s="30"/>
      <c r="V65" s="30"/>
    </row>
    <row r="66" spans="1:22" ht="15" customHeight="1">
      <c r="A66" s="743" t="s">
        <v>523</v>
      </c>
      <c r="B66" s="248"/>
      <c r="C66" s="1221"/>
      <c r="D66" s="354" t="s">
        <v>646</v>
      </c>
      <c r="E66" s="1344"/>
      <c r="F66" s="28"/>
      <c r="G66" s="1286"/>
      <c r="H66" s="1287"/>
      <c r="I66" s="74"/>
      <c r="J66" s="1345"/>
      <c r="K66" s="770"/>
      <c r="L66" s="1222" t="s">
        <v>50</v>
      </c>
      <c r="M66" s="1069"/>
      <c r="N66" s="1069"/>
      <c r="O66" s="748"/>
      <c r="P66" s="748"/>
      <c r="Q66" s="744"/>
      <c r="R66" s="773">
        <f t="shared" si="0"/>
      </c>
      <c r="S66" s="774">
        <f>IF(R66="","",R66*K66)</f>
      </c>
      <c r="U66" s="30"/>
      <c r="V66" s="30"/>
    </row>
    <row r="67" spans="1:22" ht="15" customHeight="1">
      <c r="A67" s="743" t="s">
        <v>525</v>
      </c>
      <c r="B67" s="248"/>
      <c r="C67" s="1221"/>
      <c r="D67" s="354" t="s">
        <v>647</v>
      </c>
      <c r="E67" s="1344"/>
      <c r="F67" s="28"/>
      <c r="G67" s="1286"/>
      <c r="H67" s="1287"/>
      <c r="I67" s="74"/>
      <c r="J67" s="1345"/>
      <c r="K67" s="770"/>
      <c r="L67" s="1222"/>
      <c r="M67" s="1069"/>
      <c r="N67" s="1069"/>
      <c r="O67" s="813">
        <f>IF(I70&lt;25,20,(IF(I70&lt;50,10,(IF(I70&lt;75,5,0)))))</f>
        <v>0</v>
      </c>
      <c r="P67" s="294" t="s">
        <v>100</v>
      </c>
      <c r="Q67" s="443"/>
      <c r="R67" s="773">
        <f t="shared" si="0"/>
      </c>
      <c r="S67" s="774">
        <f>IF(R67="","",R67*K67)</f>
      </c>
      <c r="U67" s="30"/>
      <c r="V67" s="30"/>
    </row>
    <row r="68" spans="1:22" ht="6.75" customHeight="1" thickBot="1">
      <c r="A68" s="743"/>
      <c r="B68" s="248"/>
      <c r="C68" s="741"/>
      <c r="D68" s="354"/>
      <c r="E68" s="776"/>
      <c r="F68" s="139"/>
      <c r="G68" s="753"/>
      <c r="H68" s="753"/>
      <c r="I68" s="139"/>
      <c r="J68" s="777"/>
      <c r="K68" s="778"/>
      <c r="L68" s="362"/>
      <c r="M68" s="779"/>
      <c r="N68" s="698"/>
      <c r="O68" s="629"/>
      <c r="P68" s="629"/>
      <c r="Q68" s="780"/>
      <c r="R68" s="773"/>
      <c r="S68" s="774"/>
      <c r="U68" s="30"/>
      <c r="V68" s="30"/>
    </row>
    <row r="69" spans="1:22" ht="15" customHeight="1" thickBot="1" thickTop="1">
      <c r="A69" s="743"/>
      <c r="B69" s="248"/>
      <c r="C69" s="781"/>
      <c r="D69" s="443"/>
      <c r="E69" s="1342" t="s">
        <v>45</v>
      </c>
      <c r="F69" s="1343"/>
      <c r="G69" s="1343"/>
      <c r="H69" s="1343"/>
      <c r="I69" s="443"/>
      <c r="J69" s="443"/>
      <c r="K69" s="782"/>
      <c r="L69" s="362"/>
      <c r="M69" s="779"/>
      <c r="N69" s="698"/>
      <c r="O69" s="319" t="s">
        <v>746</v>
      </c>
      <c r="P69" s="137">
        <f>O67*O65</f>
        <v>0</v>
      </c>
      <c r="Q69" s="449" t="s">
        <v>103</v>
      </c>
      <c r="R69" s="773"/>
      <c r="S69" s="774"/>
      <c r="U69" s="30"/>
      <c r="V69" s="30"/>
    </row>
    <row r="70" spans="1:22" ht="15" customHeight="1" thickTop="1">
      <c r="A70" s="743"/>
      <c r="B70" s="248"/>
      <c r="C70" s="741"/>
      <c r="D70" s="783"/>
      <c r="E70" s="1343"/>
      <c r="F70" s="1343"/>
      <c r="G70" s="1343"/>
      <c r="H70" s="1343"/>
      <c r="I70" s="1188">
        <f>IF(SUM(S63:S67)=0,"",SUM(S63:S67)/SUM(K63:K67))</f>
      </c>
      <c r="J70" s="1189"/>
      <c r="K70" s="140" t="s">
        <v>101</v>
      </c>
      <c r="L70" s="362"/>
      <c r="M70" s="779"/>
      <c r="N70" s="698"/>
      <c r="O70" s="629"/>
      <c r="P70" s="629"/>
      <c r="Q70" s="780"/>
      <c r="R70" s="773"/>
      <c r="S70" s="774"/>
      <c r="U70" s="30"/>
      <c r="V70" s="30"/>
    </row>
    <row r="71" spans="1:22" ht="3.75" customHeight="1" thickBot="1">
      <c r="A71" s="247"/>
      <c r="B71" s="248"/>
      <c r="C71" s="248"/>
      <c r="D71" s="362"/>
      <c r="E71" s="777"/>
      <c r="F71" s="139"/>
      <c r="G71" s="741"/>
      <c r="H71" s="741"/>
      <c r="I71" s="139"/>
      <c r="J71" s="777"/>
      <c r="K71" s="248"/>
      <c r="L71" s="248"/>
      <c r="M71" s="358"/>
      <c r="N71" s="368"/>
      <c r="O71" s="744"/>
      <c r="P71" s="744"/>
      <c r="Q71" s="744"/>
      <c r="R71" s="784">
        <f t="shared" si="0"/>
      </c>
      <c r="S71" s="785">
        <f>IF(R71="","",R71*K71)</f>
      </c>
      <c r="U71" s="30"/>
      <c r="V71" s="30"/>
    </row>
    <row r="72" spans="1:22" ht="15.75" thickBot="1">
      <c r="A72" s="345" t="s">
        <v>48</v>
      </c>
      <c r="B72" s="356"/>
      <c r="C72" s="356"/>
      <c r="D72" s="356"/>
      <c r="E72" s="356"/>
      <c r="F72" s="356"/>
      <c r="G72" s="786"/>
      <c r="H72" s="786"/>
      <c r="I72" s="786"/>
      <c r="J72" s="786"/>
      <c r="K72" s="786"/>
      <c r="L72" s="786"/>
      <c r="M72" s="786"/>
      <c r="N72" s="365"/>
      <c r="O72" s="365"/>
      <c r="P72" s="356"/>
      <c r="Q72" s="454" t="s">
        <v>363</v>
      </c>
      <c r="R72" s="1033">
        <f>P57+P69</f>
        <v>0</v>
      </c>
      <c r="S72" s="1034"/>
      <c r="U72" s="30"/>
      <c r="V72" s="30"/>
    </row>
    <row r="73" spans="1:22" ht="18.75" thickBot="1">
      <c r="A73" s="937" t="s">
        <v>518</v>
      </c>
      <c r="B73" s="938"/>
      <c r="C73" s="938"/>
      <c r="D73" s="938"/>
      <c r="E73" s="938"/>
      <c r="F73" s="938"/>
      <c r="G73" s="938"/>
      <c r="H73" s="938"/>
      <c r="I73" s="938"/>
      <c r="J73" s="938"/>
      <c r="K73" s="938"/>
      <c r="L73" s="938"/>
      <c r="M73" s="938"/>
      <c r="N73" s="938"/>
      <c r="O73" s="938"/>
      <c r="P73" s="938"/>
      <c r="Q73" s="938"/>
      <c r="R73" s="938"/>
      <c r="S73" s="939"/>
      <c r="U73" s="30"/>
      <c r="V73" s="30"/>
    </row>
    <row r="74" spans="1:22" ht="16.5" customHeight="1" thickBot="1">
      <c r="A74" s="308" t="s">
        <v>798</v>
      </c>
      <c r="B74" s="357"/>
      <c r="C74" s="357"/>
      <c r="D74" s="910" t="s">
        <v>648</v>
      </c>
      <c r="E74" s="910"/>
      <c r="F74" s="910"/>
      <c r="G74" s="910"/>
      <c r="H74" s="910"/>
      <c r="I74" s="910"/>
      <c r="J74" s="910"/>
      <c r="K74" s="910"/>
      <c r="L74" s="911"/>
      <c r="M74" s="787" t="s">
        <v>565</v>
      </c>
      <c r="N74" s="788"/>
      <c r="O74" s="788"/>
      <c r="P74" s="788"/>
      <c r="Q74" s="789" t="s">
        <v>512</v>
      </c>
      <c r="R74" s="789"/>
      <c r="S74" s="790"/>
      <c r="U74" s="30"/>
      <c r="V74" s="30"/>
    </row>
    <row r="75" spans="1:22" ht="24" customHeight="1" thickBot="1" thickTop="1">
      <c r="A75" s="896" t="s">
        <v>664</v>
      </c>
      <c r="B75" s="897"/>
      <c r="C75" s="897"/>
      <c r="D75" s="897"/>
      <c r="E75" s="897"/>
      <c r="F75" s="897"/>
      <c r="G75" s="897"/>
      <c r="H75" s="897"/>
      <c r="I75" s="897"/>
      <c r="J75" s="897"/>
      <c r="K75" s="897"/>
      <c r="L75" s="898"/>
      <c r="M75" s="1321" t="s">
        <v>781</v>
      </c>
      <c r="N75" s="1322"/>
      <c r="O75" s="1322"/>
      <c r="P75" s="1322"/>
      <c r="Q75" s="1322"/>
      <c r="R75" s="1322"/>
      <c r="S75" s="1323"/>
      <c r="U75" s="30"/>
      <c r="V75" s="30"/>
    </row>
    <row r="76" spans="1:22" ht="15" customHeight="1" thickTop="1">
      <c r="A76" s="1220"/>
      <c r="B76" s="919"/>
      <c r="C76" s="919"/>
      <c r="D76" s="919"/>
      <c r="E76" s="248"/>
      <c r="F76" s="248"/>
      <c r="G76" s="248"/>
      <c r="H76" s="248"/>
      <c r="I76" s="248"/>
      <c r="J76" s="248"/>
      <c r="K76" s="248"/>
      <c r="L76" s="353"/>
      <c r="M76" s="1324"/>
      <c r="N76" s="1325"/>
      <c r="O76" s="1325"/>
      <c r="P76" s="1325"/>
      <c r="Q76" s="1325"/>
      <c r="R76" s="1325"/>
      <c r="S76" s="1326"/>
      <c r="U76" s="30"/>
      <c r="V76" s="30"/>
    </row>
    <row r="77" spans="1:22" ht="18.75" customHeight="1">
      <c r="A77" s="247"/>
      <c r="B77" s="248" t="s">
        <v>13</v>
      </c>
      <c r="C77" s="248"/>
      <c r="D77" s="248"/>
      <c r="E77" s="248"/>
      <c r="F77" s="248"/>
      <c r="G77" s="362"/>
      <c r="H77" s="248"/>
      <c r="I77" s="248"/>
      <c r="J77" s="248"/>
      <c r="K77" s="248"/>
      <c r="L77" s="320">
        <f>IF($L$87=1,5,"")</f>
      </c>
      <c r="M77" s="1327"/>
      <c r="N77" s="1328"/>
      <c r="O77" s="1328"/>
      <c r="P77" s="1328"/>
      <c r="Q77" s="1328"/>
      <c r="R77" s="1328"/>
      <c r="S77" s="1329"/>
      <c r="U77" s="30"/>
      <c r="V77" s="30"/>
    </row>
    <row r="78" spans="1:22" ht="16.5" customHeight="1">
      <c r="A78" s="247"/>
      <c r="B78" s="248" t="s">
        <v>14</v>
      </c>
      <c r="C78" s="248"/>
      <c r="D78" s="248"/>
      <c r="E78" s="248"/>
      <c r="F78" s="248"/>
      <c r="G78" s="362"/>
      <c r="H78" s="248"/>
      <c r="I78" s="248"/>
      <c r="J78" s="248"/>
      <c r="K78" s="248"/>
      <c r="L78" s="320">
        <f>IF($L$87=2,10,"")</f>
      </c>
      <c r="M78" s="1330"/>
      <c r="N78" s="1331"/>
      <c r="O78" s="1331"/>
      <c r="P78" s="1331"/>
      <c r="Q78" s="1331"/>
      <c r="R78" s="1331"/>
      <c r="S78" s="1332"/>
      <c r="U78" s="30"/>
      <c r="V78" s="30"/>
    </row>
    <row r="79" spans="1:22" ht="16.5" customHeight="1">
      <c r="A79" s="247"/>
      <c r="B79" s="248" t="s">
        <v>24</v>
      </c>
      <c r="C79" s="248"/>
      <c r="D79" s="248"/>
      <c r="E79" s="248"/>
      <c r="F79" s="248"/>
      <c r="G79" s="362"/>
      <c r="H79" s="248"/>
      <c r="I79" s="248"/>
      <c r="J79" s="248"/>
      <c r="K79" s="248"/>
      <c r="L79" s="320">
        <f>IF($L$87=3,15,"")</f>
      </c>
      <c r="M79" s="1330"/>
      <c r="N79" s="1331"/>
      <c r="O79" s="1331"/>
      <c r="P79" s="1331"/>
      <c r="Q79" s="1331"/>
      <c r="R79" s="1331"/>
      <c r="S79" s="1332"/>
      <c r="U79" s="30"/>
      <c r="V79" s="30"/>
    </row>
    <row r="80" spans="1:22" ht="12.75">
      <c r="A80" s="247"/>
      <c r="B80" s="248"/>
      <c r="C80" s="248"/>
      <c r="D80" s="248"/>
      <c r="E80" s="248"/>
      <c r="F80" s="248"/>
      <c r="G80" s="362"/>
      <c r="H80" s="248"/>
      <c r="I80" s="248"/>
      <c r="J80" s="248"/>
      <c r="K80" s="248"/>
      <c r="L80" s="320"/>
      <c r="M80" s="1330"/>
      <c r="N80" s="1331"/>
      <c r="O80" s="1331"/>
      <c r="P80" s="1331"/>
      <c r="Q80" s="1331"/>
      <c r="R80" s="1331"/>
      <c r="S80" s="1332"/>
      <c r="U80" s="30"/>
      <c r="V80" s="30"/>
    </row>
    <row r="81" spans="1:22" ht="12.75">
      <c r="A81" s="247"/>
      <c r="B81" s="248" t="s">
        <v>663</v>
      </c>
      <c r="C81" s="248"/>
      <c r="D81" s="248"/>
      <c r="E81" s="248"/>
      <c r="F81" s="248"/>
      <c r="G81" s="362"/>
      <c r="H81" s="248"/>
      <c r="I81" s="248"/>
      <c r="J81" s="248"/>
      <c r="K81" s="248"/>
      <c r="L81" s="320"/>
      <c r="M81" s="1330"/>
      <c r="N81" s="1331"/>
      <c r="O81" s="1331"/>
      <c r="P81" s="1331"/>
      <c r="Q81" s="1331"/>
      <c r="R81" s="1331"/>
      <c r="S81" s="1332"/>
      <c r="U81" s="30"/>
      <c r="V81" s="30"/>
    </row>
    <row r="82" spans="1:22" ht="15" customHeight="1">
      <c r="A82" s="247"/>
      <c r="B82" s="248"/>
      <c r="C82" s="248" t="s">
        <v>25</v>
      </c>
      <c r="D82" s="248"/>
      <c r="E82" s="248"/>
      <c r="F82" s="248"/>
      <c r="G82" s="362"/>
      <c r="H82" s="248"/>
      <c r="I82" s="248"/>
      <c r="J82" s="248"/>
      <c r="K82" s="248"/>
      <c r="L82" s="320">
        <f>IF($L$87=4,17,"")</f>
      </c>
      <c r="M82" s="1330"/>
      <c r="N82" s="1331"/>
      <c r="O82" s="1331"/>
      <c r="P82" s="1331"/>
      <c r="Q82" s="1331"/>
      <c r="R82" s="1331"/>
      <c r="S82" s="1332"/>
      <c r="U82" s="30"/>
      <c r="V82" s="30"/>
    </row>
    <row r="83" spans="1:22" ht="16.5" customHeight="1">
      <c r="A83" s="247"/>
      <c r="B83" s="248"/>
      <c r="C83" s="248" t="s">
        <v>26</v>
      </c>
      <c r="D83" s="248"/>
      <c r="E83" s="248"/>
      <c r="F83" s="248"/>
      <c r="G83" s="362"/>
      <c r="H83" s="248"/>
      <c r="I83" s="248"/>
      <c r="J83" s="248"/>
      <c r="K83" s="248"/>
      <c r="L83" s="320">
        <f>IF($L$87=5,19,"")</f>
      </c>
      <c r="M83" s="1330"/>
      <c r="N83" s="1331"/>
      <c r="O83" s="1331"/>
      <c r="P83" s="1331"/>
      <c r="Q83" s="1331"/>
      <c r="R83" s="1331"/>
      <c r="S83" s="1332"/>
      <c r="U83" s="30"/>
      <c r="V83" s="30"/>
    </row>
    <row r="84" spans="1:22" ht="16.5" customHeight="1">
      <c r="A84" s="247"/>
      <c r="B84" s="248"/>
      <c r="C84" s="248" t="s">
        <v>27</v>
      </c>
      <c r="D84" s="248"/>
      <c r="E84" s="248"/>
      <c r="F84" s="248"/>
      <c r="G84" s="362"/>
      <c r="H84" s="248"/>
      <c r="I84" s="248"/>
      <c r="J84" s="248"/>
      <c r="K84" s="248"/>
      <c r="L84" s="320">
        <f>IF($L$87=6,21,"")</f>
      </c>
      <c r="M84" s="1330"/>
      <c r="N84" s="1331"/>
      <c r="O84" s="1331"/>
      <c r="P84" s="1331"/>
      <c r="Q84" s="1331"/>
      <c r="R84" s="1331"/>
      <c r="S84" s="1332"/>
      <c r="U84" s="30"/>
      <c r="V84" s="30"/>
    </row>
    <row r="85" spans="1:22" ht="16.5" customHeight="1">
      <c r="A85" s="247"/>
      <c r="B85" s="248"/>
      <c r="C85" s="354" t="s">
        <v>28</v>
      </c>
      <c r="D85" s="248"/>
      <c r="E85" s="354"/>
      <c r="F85" s="354"/>
      <c r="G85" s="354"/>
      <c r="H85" s="354"/>
      <c r="I85" s="354"/>
      <c r="J85" s="354"/>
      <c r="K85" s="690"/>
      <c r="L85" s="320">
        <f>IF($L$87=7,23,"")</f>
      </c>
      <c r="M85" s="1330"/>
      <c r="N85" s="1331"/>
      <c r="O85" s="1331"/>
      <c r="P85" s="1331"/>
      <c r="Q85" s="1331"/>
      <c r="R85" s="1331"/>
      <c r="S85" s="1332"/>
      <c r="U85" s="30"/>
      <c r="V85" s="30"/>
    </row>
    <row r="86" spans="1:22" ht="19.5" customHeight="1">
      <c r="A86" s="247"/>
      <c r="B86" s="248" t="s">
        <v>29</v>
      </c>
      <c r="C86" s="248"/>
      <c r="D86" s="248"/>
      <c r="E86" s="248"/>
      <c r="F86" s="248"/>
      <c r="G86" s="362"/>
      <c r="H86" s="482"/>
      <c r="I86" s="482"/>
      <c r="J86" s="248"/>
      <c r="K86" s="690"/>
      <c r="L86" s="320">
        <f>IF($L$87=8,0,"")</f>
        <v>0</v>
      </c>
      <c r="M86" s="1330"/>
      <c r="N86" s="1331"/>
      <c r="O86" s="1331"/>
      <c r="P86" s="1331"/>
      <c r="Q86" s="1331"/>
      <c r="R86" s="1331"/>
      <c r="S86" s="1332"/>
      <c r="U86" s="30"/>
      <c r="V86" s="30"/>
    </row>
    <row r="87" spans="1:22" ht="16.5" customHeight="1" thickBot="1">
      <c r="A87" s="247"/>
      <c r="B87" s="248"/>
      <c r="C87" s="248"/>
      <c r="D87" s="248"/>
      <c r="E87" s="248"/>
      <c r="F87" s="248"/>
      <c r="G87" s="362"/>
      <c r="H87" s="482"/>
      <c r="I87" s="248"/>
      <c r="J87" s="248"/>
      <c r="K87" s="690"/>
      <c r="L87" s="322">
        <v>8</v>
      </c>
      <c r="M87" s="1330"/>
      <c r="N87" s="1331"/>
      <c r="O87" s="1331"/>
      <c r="P87" s="1331"/>
      <c r="Q87" s="1331"/>
      <c r="R87" s="1331"/>
      <c r="S87" s="1332"/>
      <c r="U87" s="30"/>
      <c r="V87" s="30"/>
    </row>
    <row r="88" spans="1:22" ht="16.5" customHeight="1" thickBot="1" thickTop="1">
      <c r="A88" s="247"/>
      <c r="B88" s="248"/>
      <c r="C88" s="248"/>
      <c r="D88" s="248"/>
      <c r="E88" s="248"/>
      <c r="F88" s="248"/>
      <c r="G88" s="362"/>
      <c r="H88" s="791" t="s">
        <v>544</v>
      </c>
      <c r="I88" s="1279">
        <f>MAX(L77:L86)</f>
        <v>0</v>
      </c>
      <c r="J88" s="1280"/>
      <c r="K88" s="792" t="s">
        <v>380</v>
      </c>
      <c r="L88" s="320"/>
      <c r="M88" s="1330"/>
      <c r="N88" s="1331"/>
      <c r="O88" s="1331"/>
      <c r="P88" s="1331"/>
      <c r="Q88" s="1331"/>
      <c r="R88" s="1331"/>
      <c r="S88" s="1332"/>
      <c r="U88" s="30"/>
      <c r="V88" s="30"/>
    </row>
    <row r="89" spans="1:22" ht="16.5" customHeight="1" thickTop="1">
      <c r="A89" s="247"/>
      <c r="B89" s="248"/>
      <c r="C89" s="248"/>
      <c r="D89" s="248"/>
      <c r="E89" s="248"/>
      <c r="F89" s="248"/>
      <c r="G89" s="362"/>
      <c r="H89" s="482"/>
      <c r="I89" s="482"/>
      <c r="J89" s="248"/>
      <c r="K89" s="690"/>
      <c r="L89" s="320"/>
      <c r="M89" s="1330"/>
      <c r="N89" s="1331"/>
      <c r="O89" s="1331"/>
      <c r="P89" s="1331"/>
      <c r="Q89" s="1331"/>
      <c r="R89" s="1331"/>
      <c r="S89" s="1332"/>
      <c r="U89" s="30"/>
      <c r="V89" s="30"/>
    </row>
    <row r="90" spans="1:22" ht="42.75" customHeight="1">
      <c r="A90" s="247"/>
      <c r="B90" s="1278" t="s">
        <v>23</v>
      </c>
      <c r="C90" s="1278"/>
      <c r="D90" s="1278"/>
      <c r="E90" s="1278"/>
      <c r="F90" s="1278"/>
      <c r="G90" s="1278"/>
      <c r="H90" s="1278"/>
      <c r="I90" s="1278"/>
      <c r="J90" s="1278"/>
      <c r="K90" s="690"/>
      <c r="L90" s="320"/>
      <c r="M90" s="1330"/>
      <c r="N90" s="1331"/>
      <c r="O90" s="1331"/>
      <c r="P90" s="1331"/>
      <c r="Q90" s="1331"/>
      <c r="R90" s="1331"/>
      <c r="S90" s="1332"/>
      <c r="U90" s="30"/>
      <c r="V90" s="30"/>
    </row>
    <row r="91" spans="1:22" ht="54" customHeight="1">
      <c r="A91" s="247"/>
      <c r="B91" s="1139" t="s">
        <v>16</v>
      </c>
      <c r="C91" s="1139"/>
      <c r="D91" s="1139"/>
      <c r="E91" s="1139"/>
      <c r="F91" s="1139"/>
      <c r="G91" s="1139"/>
      <c r="H91" s="1139"/>
      <c r="I91" s="1139"/>
      <c r="J91" s="1139"/>
      <c r="K91" s="690"/>
      <c r="L91" s="320"/>
      <c r="M91" s="1330"/>
      <c r="N91" s="1331"/>
      <c r="O91" s="1331"/>
      <c r="P91" s="1331"/>
      <c r="Q91" s="1331"/>
      <c r="R91" s="1331"/>
      <c r="S91" s="1332"/>
      <c r="U91" s="30"/>
      <c r="V91" s="30"/>
    </row>
    <row r="92" spans="1:22" ht="28.5" customHeight="1" thickBot="1">
      <c r="A92" s="247"/>
      <c r="B92" s="1139" t="s">
        <v>631</v>
      </c>
      <c r="C92" s="1139"/>
      <c r="D92" s="1139"/>
      <c r="E92" s="1139"/>
      <c r="F92" s="1139"/>
      <c r="G92" s="1139"/>
      <c r="H92" s="1139"/>
      <c r="I92" s="1139"/>
      <c r="J92" s="1139"/>
      <c r="K92" s="690"/>
      <c r="L92" s="322">
        <v>3</v>
      </c>
      <c r="M92" s="1330"/>
      <c r="N92" s="1331"/>
      <c r="O92" s="1331"/>
      <c r="P92" s="1331"/>
      <c r="Q92" s="1331"/>
      <c r="R92" s="1331"/>
      <c r="S92" s="1332"/>
      <c r="U92" s="30"/>
      <c r="V92" s="30"/>
    </row>
    <row r="93" spans="1:22" ht="5.25" customHeight="1" thickBot="1">
      <c r="A93" s="247"/>
      <c r="B93" s="248"/>
      <c r="C93" s="248"/>
      <c r="D93" s="248"/>
      <c r="E93" s="248"/>
      <c r="F93" s="248"/>
      <c r="G93" s="362"/>
      <c r="H93" s="482"/>
      <c r="I93" s="482"/>
      <c r="J93" s="248"/>
      <c r="K93" s="690"/>
      <c r="L93" s="320"/>
      <c r="M93" s="1330"/>
      <c r="N93" s="1331"/>
      <c r="O93" s="1331"/>
      <c r="P93" s="1331"/>
      <c r="Q93" s="1331"/>
      <c r="R93" s="1331"/>
      <c r="S93" s="1332"/>
      <c r="U93" s="30"/>
      <c r="V93" s="30"/>
    </row>
    <row r="94" spans="1:22" ht="16.5" customHeight="1" thickBot="1" thickTop="1">
      <c r="A94" s="247"/>
      <c r="B94" s="248"/>
      <c r="C94" s="248"/>
      <c r="D94" s="248"/>
      <c r="E94" s="248"/>
      <c r="F94" s="248"/>
      <c r="G94" s="362"/>
      <c r="H94" s="791" t="s">
        <v>545</v>
      </c>
      <c r="I94" s="1336">
        <f>IF(L92=1,9,IF(L92=2,5,0))</f>
        <v>0</v>
      </c>
      <c r="J94" s="1337"/>
      <c r="K94" s="792" t="s">
        <v>381</v>
      </c>
      <c r="L94" s="320"/>
      <c r="M94" s="1330"/>
      <c r="N94" s="1331"/>
      <c r="O94" s="1331"/>
      <c r="P94" s="1331"/>
      <c r="Q94" s="1331"/>
      <c r="R94" s="1331"/>
      <c r="S94" s="1332"/>
      <c r="U94" s="30"/>
      <c r="V94" s="30"/>
    </row>
    <row r="95" spans="1:22" ht="16.5" customHeight="1" thickTop="1">
      <c r="A95" s="247"/>
      <c r="B95" s="248"/>
      <c r="C95" s="248"/>
      <c r="D95" s="248"/>
      <c r="E95" s="248"/>
      <c r="F95" s="248"/>
      <c r="G95" s="362"/>
      <c r="H95" s="482"/>
      <c r="I95" s="248"/>
      <c r="J95" s="248"/>
      <c r="K95" s="690"/>
      <c r="L95" s="320"/>
      <c r="M95" s="1330"/>
      <c r="N95" s="1331"/>
      <c r="O95" s="1331"/>
      <c r="P95" s="1331"/>
      <c r="Q95" s="1331"/>
      <c r="R95" s="1331"/>
      <c r="S95" s="1332"/>
      <c r="U95" s="30"/>
      <c r="V95" s="30"/>
    </row>
    <row r="96" spans="1:22" ht="16.5" customHeight="1">
      <c r="A96" s="247"/>
      <c r="B96" s="375" t="s">
        <v>30</v>
      </c>
      <c r="C96" s="375"/>
      <c r="D96" s="375"/>
      <c r="E96" s="375"/>
      <c r="F96" s="374" t="s">
        <v>32</v>
      </c>
      <c r="G96" s="375"/>
      <c r="H96" s="793"/>
      <c r="I96" s="482"/>
      <c r="J96" s="248"/>
      <c r="K96" s="690"/>
      <c r="L96" s="320"/>
      <c r="M96" s="1330"/>
      <c r="N96" s="1331"/>
      <c r="O96" s="1331"/>
      <c r="P96" s="1331"/>
      <c r="Q96" s="1331"/>
      <c r="R96" s="1331"/>
      <c r="S96" s="1332"/>
      <c r="U96" s="30"/>
      <c r="V96" s="30"/>
    </row>
    <row r="97" spans="1:22" ht="16.5" customHeight="1">
      <c r="A97" s="247"/>
      <c r="B97" s="374" t="s">
        <v>31</v>
      </c>
      <c r="C97" s="374"/>
      <c r="D97" s="375"/>
      <c r="E97" s="375"/>
      <c r="F97" s="375" t="s">
        <v>527</v>
      </c>
      <c r="G97" s="248"/>
      <c r="H97" s="793"/>
      <c r="I97" s="482"/>
      <c r="J97" s="248"/>
      <c r="K97" s="690"/>
      <c r="L97" s="320"/>
      <c r="M97" s="1330"/>
      <c r="N97" s="1331"/>
      <c r="O97" s="1331"/>
      <c r="P97" s="1331"/>
      <c r="Q97" s="1331"/>
      <c r="R97" s="1331"/>
      <c r="S97" s="1332"/>
      <c r="U97" s="30"/>
      <c r="V97" s="30"/>
    </row>
    <row r="98" spans="1:22" ht="16.5" customHeight="1" thickBot="1">
      <c r="A98" s="247"/>
      <c r="B98" s="375" t="s">
        <v>598</v>
      </c>
      <c r="C98" s="375"/>
      <c r="D98" s="375"/>
      <c r="E98" s="375"/>
      <c r="F98" s="375"/>
      <c r="G98" s="375"/>
      <c r="H98" s="793"/>
      <c r="I98" s="482"/>
      <c r="J98" s="248"/>
      <c r="K98" s="690"/>
      <c r="L98" s="322">
        <v>1</v>
      </c>
      <c r="M98" s="1330"/>
      <c r="N98" s="1331"/>
      <c r="O98" s="1331"/>
      <c r="P98" s="1331"/>
      <c r="Q98" s="1331"/>
      <c r="R98" s="1331"/>
      <c r="S98" s="1332"/>
      <c r="U98" s="30"/>
      <c r="V98" s="30"/>
    </row>
    <row r="99" spans="1:22" ht="10.5" customHeight="1" thickBot="1">
      <c r="A99" s="247"/>
      <c r="B99" s="248"/>
      <c r="C99" s="248"/>
      <c r="D99" s="248"/>
      <c r="E99" s="248"/>
      <c r="F99" s="248"/>
      <c r="G99" s="362"/>
      <c r="H99" s="482"/>
      <c r="I99" s="482"/>
      <c r="J99" s="248"/>
      <c r="K99" s="248"/>
      <c r="L99" s="794"/>
      <c r="M99" s="1330"/>
      <c r="N99" s="1331"/>
      <c r="O99" s="1331"/>
      <c r="P99" s="1331"/>
      <c r="Q99" s="1331"/>
      <c r="R99" s="1331"/>
      <c r="S99" s="1332"/>
      <c r="U99" s="30"/>
      <c r="V99" s="30"/>
    </row>
    <row r="100" spans="1:22" ht="16.5" customHeight="1" thickBot="1" thickTop="1">
      <c r="A100" s="247"/>
      <c r="B100" s="248"/>
      <c r="C100" s="248"/>
      <c r="D100" s="248"/>
      <c r="E100" s="248"/>
      <c r="F100" s="248"/>
      <c r="G100" s="362"/>
      <c r="H100" s="791" t="s">
        <v>546</v>
      </c>
      <c r="I100" s="1340">
        <f>IF(L98&lt;2,0,IF(L98&lt;3,2,(IF(L98&lt;4,3,(IF(L98&lt;5,4,5))))))</f>
        <v>0</v>
      </c>
      <c r="J100" s="1341"/>
      <c r="K100" s="524" t="s">
        <v>382</v>
      </c>
      <c r="L100" s="320"/>
      <c r="M100" s="1330"/>
      <c r="N100" s="1331"/>
      <c r="O100" s="1331"/>
      <c r="P100" s="1331"/>
      <c r="Q100" s="1331"/>
      <c r="R100" s="1331"/>
      <c r="S100" s="1332"/>
      <c r="U100" s="30"/>
      <c r="V100" s="30"/>
    </row>
    <row r="101" spans="1:22" ht="3.75" customHeight="1" thickTop="1">
      <c r="A101" s="247"/>
      <c r="B101" s="248"/>
      <c r="C101" s="248"/>
      <c r="D101" s="248"/>
      <c r="E101" s="248"/>
      <c r="F101" s="248"/>
      <c r="G101" s="362"/>
      <c r="H101" s="482"/>
      <c r="I101" s="482"/>
      <c r="J101" s="248"/>
      <c r="K101" s="248"/>
      <c r="L101" s="320"/>
      <c r="M101" s="1330"/>
      <c r="N101" s="1331"/>
      <c r="O101" s="1331"/>
      <c r="P101" s="1331"/>
      <c r="Q101" s="1331"/>
      <c r="R101" s="1331"/>
      <c r="S101" s="1332"/>
      <c r="U101" s="30"/>
      <c r="V101" s="30"/>
    </row>
    <row r="102" spans="1:22" ht="22.5" customHeight="1">
      <c r="A102" s="1220" t="s">
        <v>272</v>
      </c>
      <c r="B102" s="919"/>
      <c r="C102" s="919"/>
      <c r="D102" s="919"/>
      <c r="E102" s="919"/>
      <c r="F102" s="919"/>
      <c r="G102" s="919"/>
      <c r="H102" s="919"/>
      <c r="I102" s="482"/>
      <c r="J102" s="248"/>
      <c r="K102" s="248"/>
      <c r="L102" s="320"/>
      <c r="M102" s="1330"/>
      <c r="N102" s="1331"/>
      <c r="O102" s="1331"/>
      <c r="P102" s="1331"/>
      <c r="Q102" s="1331"/>
      <c r="R102" s="1331"/>
      <c r="S102" s="1332"/>
      <c r="U102" s="30"/>
      <c r="V102" s="30"/>
    </row>
    <row r="103" spans="1:22" ht="15.75" customHeight="1">
      <c r="A103" s="1220"/>
      <c r="B103" s="919"/>
      <c r="C103" s="919"/>
      <c r="D103" s="919"/>
      <c r="E103" s="919"/>
      <c r="F103" s="919"/>
      <c r="G103" s="919"/>
      <c r="H103" s="919"/>
      <c r="I103" s="1276">
        <v>0</v>
      </c>
      <c r="J103" s="1277"/>
      <c r="K103" s="469" t="s">
        <v>383</v>
      </c>
      <c r="L103" s="320"/>
      <c r="M103" s="1330"/>
      <c r="N103" s="1331"/>
      <c r="O103" s="1331"/>
      <c r="P103" s="1331"/>
      <c r="Q103" s="1331"/>
      <c r="R103" s="1331"/>
      <c r="S103" s="1332"/>
      <c r="U103" s="30"/>
      <c r="V103" s="30"/>
    </row>
    <row r="104" spans="1:22" ht="14.25" customHeight="1" thickBot="1">
      <c r="A104" s="1146" t="s">
        <v>384</v>
      </c>
      <c r="B104" s="1147"/>
      <c r="C104" s="1147"/>
      <c r="D104" s="1147"/>
      <c r="E104" s="1147"/>
      <c r="F104" s="352"/>
      <c r="G104" s="352"/>
      <c r="H104" s="352"/>
      <c r="I104" s="482"/>
      <c r="J104" s="482"/>
      <c r="K104" s="248"/>
      <c r="L104" s="322"/>
      <c r="M104" s="1330"/>
      <c r="N104" s="1331"/>
      <c r="O104" s="1331"/>
      <c r="P104" s="1331"/>
      <c r="Q104" s="1331"/>
      <c r="R104" s="1331"/>
      <c r="S104" s="1332"/>
      <c r="U104" s="30"/>
      <c r="V104" s="30"/>
    </row>
    <row r="105" spans="1:22" ht="15" customHeight="1" thickBot="1">
      <c r="A105" s="1148"/>
      <c r="B105" s="1149"/>
      <c r="C105" s="1149"/>
      <c r="D105" s="1149"/>
      <c r="E105" s="1149"/>
      <c r="F105" s="356"/>
      <c r="G105" s="356"/>
      <c r="H105" s="356"/>
      <c r="I105" s="356"/>
      <c r="J105" s="382" t="s">
        <v>678</v>
      </c>
      <c r="K105" s="1033">
        <f>SUM(I88,I94,I100)*I103</f>
        <v>0</v>
      </c>
      <c r="L105" s="1198"/>
      <c r="M105" s="1333"/>
      <c r="N105" s="1334"/>
      <c r="O105" s="1334"/>
      <c r="P105" s="1334"/>
      <c r="Q105" s="1334"/>
      <c r="R105" s="1334"/>
      <c r="S105" s="1335"/>
      <c r="U105" s="30"/>
      <c r="V105" s="30"/>
    </row>
    <row r="106" spans="1:22" ht="15.75" customHeight="1">
      <c r="A106" s="795" t="s">
        <v>799</v>
      </c>
      <c r="B106" s="357"/>
      <c r="C106" s="357"/>
      <c r="D106" s="910" t="s">
        <v>58</v>
      </c>
      <c r="E106" s="910"/>
      <c r="F106" s="910"/>
      <c r="G106" s="910"/>
      <c r="H106" s="910"/>
      <c r="I106" s="910"/>
      <c r="J106" s="910"/>
      <c r="K106" s="910"/>
      <c r="L106" s="910"/>
      <c r="M106" s="910"/>
      <c r="N106" s="910"/>
      <c r="O106" s="910"/>
      <c r="P106" s="910"/>
      <c r="Q106" s="910"/>
      <c r="R106" s="910"/>
      <c r="S106" s="911"/>
      <c r="U106" s="30"/>
      <c r="V106" s="30"/>
    </row>
    <row r="107" spans="1:22" ht="36.75" customHeight="1" thickBot="1">
      <c r="A107" s="896" t="s">
        <v>390</v>
      </c>
      <c r="B107" s="897"/>
      <c r="C107" s="897"/>
      <c r="D107" s="897"/>
      <c r="E107" s="897"/>
      <c r="F107" s="897"/>
      <c r="G107" s="897"/>
      <c r="H107" s="897"/>
      <c r="I107" s="897"/>
      <c r="J107" s="897"/>
      <c r="K107" s="897"/>
      <c r="L107" s="897"/>
      <c r="M107" s="897"/>
      <c r="N107" s="897"/>
      <c r="O107" s="897"/>
      <c r="P107" s="897"/>
      <c r="Q107" s="897"/>
      <c r="R107" s="897"/>
      <c r="S107" s="898"/>
      <c r="U107" s="30"/>
      <c r="V107" s="30"/>
    </row>
    <row r="108" spans="1:22" ht="18" customHeight="1" thickTop="1">
      <c r="A108" s="1338" t="s">
        <v>11</v>
      </c>
      <c r="B108" s="1339"/>
      <c r="C108" s="1339"/>
      <c r="D108" s="1339"/>
      <c r="E108" s="1339"/>
      <c r="F108" s="1339"/>
      <c r="G108" s="1339"/>
      <c r="H108" s="1339"/>
      <c r="I108" s="1339"/>
      <c r="J108" s="1339"/>
      <c r="K108" s="1339"/>
      <c r="L108" s="796"/>
      <c r="M108" s="248"/>
      <c r="N108" s="248"/>
      <c r="O108" s="248"/>
      <c r="P108" s="248"/>
      <c r="Q108" s="248"/>
      <c r="R108" s="248"/>
      <c r="S108" s="353"/>
      <c r="U108" s="30"/>
      <c r="V108" s="30"/>
    </row>
    <row r="109" spans="1:22" ht="15" customHeight="1">
      <c r="A109" s="823" t="s">
        <v>528</v>
      </c>
      <c r="B109" s="829"/>
      <c r="C109" s="829"/>
      <c r="D109" s="829"/>
      <c r="E109" s="829"/>
      <c r="F109" s="829"/>
      <c r="G109" s="797"/>
      <c r="H109" s="294" t="s">
        <v>385</v>
      </c>
      <c r="I109" s="375"/>
      <c r="J109" s="248"/>
      <c r="K109" s="248"/>
      <c r="L109" s="423"/>
      <c r="M109" s="423"/>
      <c r="N109" s="423"/>
      <c r="O109" s="423"/>
      <c r="P109" s="423"/>
      <c r="Q109" s="423"/>
      <c r="R109" s="248"/>
      <c r="S109" s="320"/>
      <c r="U109" s="30"/>
      <c r="V109" s="30"/>
    </row>
    <row r="110" spans="1:22" ht="15" customHeight="1">
      <c r="A110" s="823"/>
      <c r="B110" s="829"/>
      <c r="C110" s="829"/>
      <c r="D110" s="829"/>
      <c r="E110" s="829"/>
      <c r="F110" s="850" t="s">
        <v>59</v>
      </c>
      <c r="G110" s="719">
        <f>IF(G109="","",G109/$R$6)</f>
      </c>
      <c r="H110" s="798" t="s">
        <v>386</v>
      </c>
      <c r="I110" s="124"/>
      <c r="J110" s="524"/>
      <c r="K110" s="49"/>
      <c r="L110" s="423"/>
      <c r="M110" s="423"/>
      <c r="N110" s="423"/>
      <c r="O110" s="423"/>
      <c r="P110" s="423"/>
      <c r="Q110" s="423"/>
      <c r="R110" s="248"/>
      <c r="S110" s="320"/>
      <c r="U110" s="30"/>
      <c r="V110" s="30"/>
    </row>
    <row r="111" spans="1:22" ht="4.5" customHeight="1" thickBot="1">
      <c r="A111" s="247"/>
      <c r="B111" s="248"/>
      <c r="C111" s="248"/>
      <c r="D111" s="248"/>
      <c r="E111" s="248"/>
      <c r="F111" s="248"/>
      <c r="G111" s="375"/>
      <c r="H111" s="248"/>
      <c r="I111" s="248"/>
      <c r="J111" s="248"/>
      <c r="K111" s="248"/>
      <c r="L111" s="796"/>
      <c r="M111" s="248"/>
      <c r="N111" s="248"/>
      <c r="O111" s="248"/>
      <c r="P111" s="248"/>
      <c r="Q111" s="248"/>
      <c r="R111" s="248"/>
      <c r="S111" s="320"/>
      <c r="U111" s="30"/>
      <c r="V111" s="30"/>
    </row>
    <row r="112" spans="1:22" ht="16.5" customHeight="1" thickBot="1" thickTop="1">
      <c r="A112" s="247"/>
      <c r="B112" s="248"/>
      <c r="C112" s="248"/>
      <c r="D112" s="248"/>
      <c r="E112" s="248"/>
      <c r="F112" s="248"/>
      <c r="G112" s="375"/>
      <c r="H112" s="443"/>
      <c r="I112" s="443"/>
      <c r="J112" s="443"/>
      <c r="K112" s="443"/>
      <c r="L112" s="796"/>
      <c r="M112" s="849" t="s">
        <v>391</v>
      </c>
      <c r="N112" s="1051">
        <f>IF(G109="","",$G110*100*0.675)</f>
      </c>
      <c r="O112" s="1052"/>
      <c r="P112" s="524" t="s">
        <v>387</v>
      </c>
      <c r="Q112" s="248"/>
      <c r="R112" s="248"/>
      <c r="S112" s="320"/>
      <c r="U112" s="30"/>
      <c r="V112" s="30"/>
    </row>
    <row r="113" spans="1:22" ht="17.25" customHeight="1" thickTop="1">
      <c r="A113" s="799" t="s">
        <v>12</v>
      </c>
      <c r="B113" s="800"/>
      <c r="C113" s="800"/>
      <c r="D113" s="800"/>
      <c r="E113" s="800"/>
      <c r="F113" s="800"/>
      <c r="G113" s="801"/>
      <c r="H113" s="248"/>
      <c r="I113" s="248"/>
      <c r="J113" s="248"/>
      <c r="K113" s="248"/>
      <c r="L113" s="796"/>
      <c r="M113" s="248"/>
      <c r="N113" s="248"/>
      <c r="O113" s="248"/>
      <c r="P113" s="248"/>
      <c r="Q113" s="248"/>
      <c r="R113" s="248"/>
      <c r="S113" s="320"/>
      <c r="U113" s="30"/>
      <c r="V113" s="30"/>
    </row>
    <row r="114" spans="1:22" ht="15" customHeight="1">
      <c r="A114" s="823" t="s">
        <v>529</v>
      </c>
      <c r="B114" s="829"/>
      <c r="C114" s="829"/>
      <c r="D114" s="829"/>
      <c r="E114" s="829"/>
      <c r="F114" s="829"/>
      <c r="G114" s="797"/>
      <c r="H114" s="802" t="s">
        <v>388</v>
      </c>
      <c r="I114" s="375"/>
      <c r="J114" s="248"/>
      <c r="K114" s="852" t="s">
        <v>531</v>
      </c>
      <c r="L114" s="829"/>
      <c r="M114" s="829"/>
      <c r="N114" s="829"/>
      <c r="O114" s="797"/>
      <c r="P114" s="294" t="s">
        <v>394</v>
      </c>
      <c r="Q114" s="375"/>
      <c r="R114" s="690"/>
      <c r="S114" s="320"/>
      <c r="U114" s="30"/>
      <c r="V114" s="30"/>
    </row>
    <row r="115" spans="1:22" ht="15" customHeight="1">
      <c r="A115" s="823"/>
      <c r="B115" s="829"/>
      <c r="C115" s="829"/>
      <c r="D115" s="829"/>
      <c r="E115" s="829"/>
      <c r="F115" s="850" t="s">
        <v>59</v>
      </c>
      <c r="G115" s="715">
        <f>IF(G114="","",G114/$R$6)</f>
      </c>
      <c r="H115" s="803" t="s">
        <v>389</v>
      </c>
      <c r="I115" s="124"/>
      <c r="J115" s="469"/>
      <c r="K115" s="853"/>
      <c r="L115" s="854"/>
      <c r="M115" s="829"/>
      <c r="N115" s="850" t="s">
        <v>59</v>
      </c>
      <c r="O115" s="719">
        <f>IF(O114="","",O114/$R$6)</f>
      </c>
      <c r="P115" s="294" t="s">
        <v>395</v>
      </c>
      <c r="Q115" s="124"/>
      <c r="R115" s="804"/>
      <c r="S115" s="320"/>
      <c r="U115" s="30"/>
      <c r="V115" s="30"/>
    </row>
    <row r="116" spans="1:22" ht="6" customHeight="1">
      <c r="A116" s="823"/>
      <c r="B116" s="829"/>
      <c r="C116" s="829"/>
      <c r="D116" s="829"/>
      <c r="E116" s="829"/>
      <c r="F116" s="829"/>
      <c r="G116" s="375"/>
      <c r="H116" s="248"/>
      <c r="I116" s="248"/>
      <c r="J116" s="294"/>
      <c r="K116" s="248"/>
      <c r="L116" s="84"/>
      <c r="M116" s="248"/>
      <c r="N116" s="248"/>
      <c r="O116" s="248"/>
      <c r="P116" s="248"/>
      <c r="Q116" s="248"/>
      <c r="R116" s="248"/>
      <c r="S116" s="320"/>
      <c r="U116" s="30"/>
      <c r="V116" s="30"/>
    </row>
    <row r="117" spans="1:22" ht="15" customHeight="1">
      <c r="A117" s="1215" t="s">
        <v>530</v>
      </c>
      <c r="B117" s="1216"/>
      <c r="C117" s="1216"/>
      <c r="D117" s="1216"/>
      <c r="E117" s="1216"/>
      <c r="F117" s="1217"/>
      <c r="G117" s="797"/>
      <c r="H117" s="294" t="s">
        <v>392</v>
      </c>
      <c r="I117" s="375"/>
      <c r="J117" s="469"/>
      <c r="K117" s="248"/>
      <c r="L117" s="84"/>
      <c r="M117" s="248"/>
      <c r="N117" s="248"/>
      <c r="O117" s="248"/>
      <c r="P117" s="248"/>
      <c r="Q117" s="248"/>
      <c r="R117" s="248"/>
      <c r="S117" s="320"/>
      <c r="U117" s="30"/>
      <c r="V117" s="30"/>
    </row>
    <row r="118" spans="1:22" ht="15" customHeight="1">
      <c r="A118" s="823"/>
      <c r="B118" s="851"/>
      <c r="C118" s="851"/>
      <c r="D118" s="851"/>
      <c r="E118" s="851"/>
      <c r="F118" s="850" t="s">
        <v>59</v>
      </c>
      <c r="G118" s="719">
        <f>IF(G117="","",G117/$R$6)</f>
      </c>
      <c r="H118" s="294" t="s">
        <v>393</v>
      </c>
      <c r="I118" s="124"/>
      <c r="J118" s="469"/>
      <c r="K118" s="248"/>
      <c r="L118" s="796"/>
      <c r="M118" s="248"/>
      <c r="N118" s="248"/>
      <c r="O118" s="248"/>
      <c r="P118" s="248"/>
      <c r="Q118" s="248"/>
      <c r="R118" s="248"/>
      <c r="S118" s="320"/>
      <c r="U118" s="30"/>
      <c r="V118" s="30"/>
    </row>
    <row r="119" spans="1:22" ht="7.5" customHeight="1" thickBot="1">
      <c r="A119" s="247"/>
      <c r="B119" s="373"/>
      <c r="C119" s="373"/>
      <c r="D119" s="373"/>
      <c r="E119" s="373"/>
      <c r="F119" s="373"/>
      <c r="G119" s="805"/>
      <c r="H119" s="805"/>
      <c r="I119" s="248"/>
      <c r="J119" s="294"/>
      <c r="K119" s="248"/>
      <c r="L119" s="796"/>
      <c r="M119" s="248"/>
      <c r="N119" s="248"/>
      <c r="O119" s="248"/>
      <c r="P119" s="248"/>
      <c r="Q119" s="248"/>
      <c r="R119" s="248"/>
      <c r="S119" s="320"/>
      <c r="U119" s="30"/>
      <c r="V119" s="30"/>
    </row>
    <row r="120" spans="1:22" ht="15" customHeight="1" thickBot="1" thickTop="1">
      <c r="A120" s="247"/>
      <c r="B120" s="373"/>
      <c r="C120" s="373"/>
      <c r="D120" s="373"/>
      <c r="E120" s="373"/>
      <c r="F120" s="373"/>
      <c r="G120" s="805"/>
      <c r="H120" s="443"/>
      <c r="I120" s="443"/>
      <c r="J120" s="443"/>
      <c r="K120" s="443"/>
      <c r="L120" s="796"/>
      <c r="M120" s="849" t="s">
        <v>398</v>
      </c>
      <c r="N120" s="1051">
        <f>SUM(G115,G118,O115)*100*0.5</f>
        <v>0</v>
      </c>
      <c r="O120" s="1052"/>
      <c r="P120" s="469" t="s">
        <v>396</v>
      </c>
      <c r="Q120" s="248"/>
      <c r="R120" s="248"/>
      <c r="S120" s="320"/>
      <c r="U120" s="30"/>
      <c r="V120" s="30"/>
    </row>
    <row r="121" spans="1:22" ht="5.25" customHeight="1" thickBot="1" thickTop="1">
      <c r="A121" s="247"/>
      <c r="B121" s="373"/>
      <c r="C121" s="373"/>
      <c r="D121" s="373"/>
      <c r="E121" s="373"/>
      <c r="F121" s="373"/>
      <c r="G121" s="805"/>
      <c r="H121" s="768"/>
      <c r="I121" s="582"/>
      <c r="J121" s="582"/>
      <c r="K121" s="469"/>
      <c r="L121" s="796"/>
      <c r="M121" s="248"/>
      <c r="N121" s="248"/>
      <c r="O121" s="248"/>
      <c r="P121" s="248"/>
      <c r="Q121" s="248"/>
      <c r="R121" s="248"/>
      <c r="S121" s="322"/>
      <c r="U121" s="30"/>
      <c r="V121" s="30"/>
    </row>
    <row r="122" spans="1:22" ht="15" customHeight="1" thickBot="1">
      <c r="A122" s="345" t="s">
        <v>397</v>
      </c>
      <c r="B122" s="356"/>
      <c r="C122" s="356"/>
      <c r="D122" s="806"/>
      <c r="E122" s="806"/>
      <c r="F122" s="806"/>
      <c r="G122" s="356"/>
      <c r="H122" s="356"/>
      <c r="I122" s="356"/>
      <c r="J122" s="356"/>
      <c r="K122" s="356"/>
      <c r="L122" s="675"/>
      <c r="M122" s="356"/>
      <c r="N122" s="356"/>
      <c r="O122" s="356"/>
      <c r="P122" s="356"/>
      <c r="Q122" s="454" t="s">
        <v>679</v>
      </c>
      <c r="R122" s="940">
        <f>SUM(N112,N120)</f>
        <v>0</v>
      </c>
      <c r="S122" s="941"/>
      <c r="U122" s="30"/>
      <c r="V122" s="30"/>
    </row>
    <row r="123" spans="1:22" ht="18.75" customHeight="1" thickBot="1">
      <c r="A123" s="937" t="s">
        <v>519</v>
      </c>
      <c r="B123" s="938"/>
      <c r="C123" s="938"/>
      <c r="D123" s="938"/>
      <c r="E123" s="938"/>
      <c r="F123" s="938"/>
      <c r="G123" s="938"/>
      <c r="H123" s="938"/>
      <c r="I123" s="938"/>
      <c r="J123" s="938"/>
      <c r="K123" s="938"/>
      <c r="L123" s="938"/>
      <c r="M123" s="938"/>
      <c r="N123" s="938"/>
      <c r="O123" s="938"/>
      <c r="P123" s="938"/>
      <c r="Q123" s="938"/>
      <c r="R123" s="938"/>
      <c r="S123" s="939"/>
      <c r="U123" s="30"/>
      <c r="V123" s="30"/>
    </row>
    <row r="124" spans="1:22" ht="13.5" customHeight="1" thickBot="1">
      <c r="A124" s="531" t="s">
        <v>798</v>
      </c>
      <c r="B124" s="532"/>
      <c r="C124" s="532"/>
      <c r="D124" s="963" t="s">
        <v>793</v>
      </c>
      <c r="E124" s="963"/>
      <c r="F124" s="963"/>
      <c r="G124" s="963"/>
      <c r="H124" s="963"/>
      <c r="I124" s="963"/>
      <c r="J124" s="963"/>
      <c r="K124" s="963"/>
      <c r="L124" s="1313"/>
      <c r="M124" s="807" t="s">
        <v>565</v>
      </c>
      <c r="N124" s="808"/>
      <c r="O124" s="808"/>
      <c r="P124" s="808"/>
      <c r="Q124" s="808" t="s">
        <v>511</v>
      </c>
      <c r="R124" s="808"/>
      <c r="S124" s="809"/>
      <c r="U124" s="30"/>
      <c r="V124" s="30"/>
    </row>
    <row r="125" spans="1:22" ht="18.75" customHeight="1" thickTop="1">
      <c r="A125" s="467"/>
      <c r="B125" s="810"/>
      <c r="C125" s="810"/>
      <c r="D125" s="1314"/>
      <c r="E125" s="1314"/>
      <c r="F125" s="1314"/>
      <c r="G125" s="1314"/>
      <c r="H125" s="1314"/>
      <c r="I125" s="1314"/>
      <c r="J125" s="1314"/>
      <c r="K125" s="1314"/>
      <c r="L125" s="1315"/>
      <c r="M125" s="1073" t="s">
        <v>514</v>
      </c>
      <c r="N125" s="1074"/>
      <c r="O125" s="1074"/>
      <c r="P125" s="1074"/>
      <c r="Q125" s="1074"/>
      <c r="R125" s="1074"/>
      <c r="S125" s="1075"/>
      <c r="U125" s="30"/>
      <c r="V125" s="30"/>
    </row>
    <row r="126" spans="1:22" ht="66" customHeight="1" thickBot="1">
      <c r="A126" s="1130" t="s">
        <v>237</v>
      </c>
      <c r="B126" s="1131"/>
      <c r="C126" s="1131"/>
      <c r="D126" s="1131"/>
      <c r="E126" s="1131"/>
      <c r="F126" s="1131"/>
      <c r="G126" s="1131"/>
      <c r="H126" s="1131"/>
      <c r="I126" s="1131"/>
      <c r="J126" s="1131"/>
      <c r="K126" s="1131"/>
      <c r="L126" s="1234"/>
      <c r="M126" s="1076"/>
      <c r="N126" s="1077"/>
      <c r="O126" s="1077"/>
      <c r="P126" s="1077"/>
      <c r="Q126" s="1077"/>
      <c r="R126" s="1077"/>
      <c r="S126" s="1078"/>
      <c r="U126" s="30"/>
      <c r="V126" s="30"/>
    </row>
    <row r="127" spans="1:22" ht="21" customHeight="1" thickTop="1">
      <c r="A127" s="533"/>
      <c r="B127" s="534"/>
      <c r="C127" s="534"/>
      <c r="D127" s="534"/>
      <c r="E127" s="534"/>
      <c r="F127" s="534"/>
      <c r="G127" s="534"/>
      <c r="H127" s="534"/>
      <c r="I127" s="534"/>
      <c r="J127" s="534"/>
      <c r="K127" s="534"/>
      <c r="L127" s="811"/>
      <c r="M127" s="1167"/>
      <c r="N127" s="1317"/>
      <c r="O127" s="1317"/>
      <c r="P127" s="1317"/>
      <c r="Q127" s="1317"/>
      <c r="R127" s="1317"/>
      <c r="S127" s="1318"/>
      <c r="U127" s="30"/>
      <c r="V127" s="30"/>
    </row>
    <row r="128" spans="1:22" ht="28.5" customHeight="1">
      <c r="A128" s="533"/>
      <c r="B128" s="1235" t="s">
        <v>202</v>
      </c>
      <c r="C128" s="1235"/>
      <c r="D128" s="1235"/>
      <c r="E128" s="1235"/>
      <c r="F128" s="1235"/>
      <c r="G128" s="1235"/>
      <c r="H128" s="1235"/>
      <c r="I128" s="534"/>
      <c r="J128" s="534"/>
      <c r="K128" s="534"/>
      <c r="L128" s="811"/>
      <c r="M128" s="1179"/>
      <c r="N128" s="1180"/>
      <c r="O128" s="1180"/>
      <c r="P128" s="1180"/>
      <c r="Q128" s="1180"/>
      <c r="R128" s="1180"/>
      <c r="S128" s="1181"/>
      <c r="U128" s="30"/>
      <c r="V128" s="30"/>
    </row>
    <row r="129" spans="1:22" ht="13.5" customHeight="1">
      <c r="A129" s="533"/>
      <c r="B129" s="1235"/>
      <c r="C129" s="1235"/>
      <c r="D129" s="1235"/>
      <c r="E129" s="1235"/>
      <c r="F129" s="1235"/>
      <c r="G129" s="1235"/>
      <c r="H129" s="1235"/>
      <c r="I129" s="1142">
        <v>0</v>
      </c>
      <c r="J129" s="1143"/>
      <c r="K129" s="536" t="s">
        <v>399</v>
      </c>
      <c r="L129" s="811"/>
      <c r="M129" s="1179"/>
      <c r="N129" s="1180"/>
      <c r="O129" s="1180"/>
      <c r="P129" s="1180"/>
      <c r="Q129" s="1180"/>
      <c r="R129" s="1180"/>
      <c r="S129" s="1181"/>
      <c r="U129" s="30"/>
      <c r="V129" s="30"/>
    </row>
    <row r="130" spans="1:22" ht="14.25" customHeight="1">
      <c r="A130" s="533"/>
      <c r="B130" s="1236" t="s">
        <v>543</v>
      </c>
      <c r="C130" s="1236"/>
      <c r="D130" s="1236"/>
      <c r="E130" s="1236"/>
      <c r="F130" s="1236"/>
      <c r="G130" s="1236"/>
      <c r="H130" s="1236"/>
      <c r="I130" s="1142">
        <v>0</v>
      </c>
      <c r="J130" s="1143"/>
      <c r="K130" s="536" t="s">
        <v>400</v>
      </c>
      <c r="L130" s="811"/>
      <c r="M130" s="1179"/>
      <c r="N130" s="1180"/>
      <c r="O130" s="1180"/>
      <c r="P130" s="1180"/>
      <c r="Q130" s="1180"/>
      <c r="R130" s="1180"/>
      <c r="S130" s="1181"/>
      <c r="U130" s="30"/>
      <c r="V130" s="30"/>
    </row>
    <row r="131" spans="1:22" ht="4.5" customHeight="1" thickBot="1">
      <c r="A131" s="533"/>
      <c r="B131" s="855"/>
      <c r="C131" s="855"/>
      <c r="D131" s="855"/>
      <c r="E131" s="855"/>
      <c r="F131" s="855"/>
      <c r="G131" s="855"/>
      <c r="H131" s="855"/>
      <c r="I131" s="538"/>
      <c r="J131" s="538"/>
      <c r="K131" s="536"/>
      <c r="L131" s="811"/>
      <c r="M131" s="1179"/>
      <c r="N131" s="1180"/>
      <c r="O131" s="1180"/>
      <c r="P131" s="1180"/>
      <c r="Q131" s="1180"/>
      <c r="R131" s="1180"/>
      <c r="S131" s="1181"/>
      <c r="U131" s="30"/>
      <c r="V131" s="30"/>
    </row>
    <row r="132" spans="1:22" ht="15" thickTop="1">
      <c r="A132" s="160"/>
      <c r="B132" s="856"/>
      <c r="C132" s="856"/>
      <c r="D132" s="856"/>
      <c r="E132" s="856"/>
      <c r="F132" s="856"/>
      <c r="G132" s="857"/>
      <c r="H132" s="857" t="s">
        <v>128</v>
      </c>
      <c r="I132" s="1160">
        <f>IF(I129=0,0,I130/I129)</f>
        <v>0</v>
      </c>
      <c r="J132" s="1161"/>
      <c r="K132" s="199" t="s">
        <v>401</v>
      </c>
      <c r="L132" s="383"/>
      <c r="M132" s="1179"/>
      <c r="N132" s="1180"/>
      <c r="O132" s="1180"/>
      <c r="P132" s="1180"/>
      <c r="Q132" s="1180"/>
      <c r="R132" s="1180"/>
      <c r="S132" s="1181"/>
      <c r="U132" s="30"/>
      <c r="V132" s="30"/>
    </row>
    <row r="133" spans="1:22" ht="10.5" customHeight="1">
      <c r="A133" s="160"/>
      <c r="B133" s="169"/>
      <c r="C133" s="384"/>
      <c r="D133" s="384"/>
      <c r="E133" s="384"/>
      <c r="F133" s="384"/>
      <c r="G133" s="384"/>
      <c r="H133" s="384"/>
      <c r="I133" s="384"/>
      <c r="J133" s="384"/>
      <c r="K133" s="534"/>
      <c r="L133" s="210"/>
      <c r="M133" s="1179"/>
      <c r="N133" s="1180"/>
      <c r="O133" s="1180"/>
      <c r="P133" s="1180"/>
      <c r="Q133" s="1180"/>
      <c r="R133" s="1180"/>
      <c r="S133" s="1181"/>
      <c r="U133" s="30"/>
      <c r="V133" s="30"/>
    </row>
    <row r="134" spans="1:21" ht="14.25" customHeight="1" thickBot="1">
      <c r="A134" s="1232" t="s">
        <v>230</v>
      </c>
      <c r="B134" s="1233"/>
      <c r="C134" s="1233"/>
      <c r="D134" s="1233"/>
      <c r="E134" s="1233"/>
      <c r="F134" s="1233"/>
      <c r="G134" s="1233"/>
      <c r="H134" s="248"/>
      <c r="I134" s="248"/>
      <c r="J134" s="248"/>
      <c r="K134" s="169"/>
      <c r="L134" s="210"/>
      <c r="M134" s="1179"/>
      <c r="N134" s="1180"/>
      <c r="O134" s="1180"/>
      <c r="P134" s="1180"/>
      <c r="Q134" s="1180"/>
      <c r="R134" s="1180"/>
      <c r="S134" s="1181"/>
      <c r="U134" s="30"/>
    </row>
    <row r="135" spans="1:21" ht="14.25" customHeight="1" thickBot="1" thickTop="1">
      <c r="A135" s="1232"/>
      <c r="B135" s="1233"/>
      <c r="C135" s="1233"/>
      <c r="D135" s="1233"/>
      <c r="E135" s="1233"/>
      <c r="F135" s="1233"/>
      <c r="G135" s="1233"/>
      <c r="H135" s="1135">
        <f>I132*5</f>
        <v>0</v>
      </c>
      <c r="I135" s="1136"/>
      <c r="J135" s="199" t="s">
        <v>402</v>
      </c>
      <c r="K135" s="169"/>
      <c r="L135" s="210"/>
      <c r="M135" s="1179"/>
      <c r="N135" s="1180"/>
      <c r="O135" s="1180"/>
      <c r="P135" s="1180"/>
      <c r="Q135" s="1180"/>
      <c r="R135" s="1180"/>
      <c r="S135" s="1181"/>
      <c r="U135" s="30"/>
    </row>
    <row r="136" spans="1:21" ht="18" customHeight="1" thickTop="1">
      <c r="A136" s="160"/>
      <c r="B136" s="169"/>
      <c r="C136" s="169"/>
      <c r="D136" s="169"/>
      <c r="E136" s="169"/>
      <c r="F136" s="169"/>
      <c r="G136" s="198"/>
      <c r="H136" s="236"/>
      <c r="I136" s="169"/>
      <c r="J136" s="169"/>
      <c r="K136" s="169"/>
      <c r="L136" s="210"/>
      <c r="M136" s="1179"/>
      <c r="N136" s="1180"/>
      <c r="O136" s="1180"/>
      <c r="P136" s="1180"/>
      <c r="Q136" s="1180"/>
      <c r="R136" s="1180"/>
      <c r="S136" s="1181"/>
      <c r="U136" s="30"/>
    </row>
    <row r="137" spans="1:21" ht="50.25" customHeight="1">
      <c r="A137" s="160"/>
      <c r="B137" s="238"/>
      <c r="C137" s="1102" t="s">
        <v>507</v>
      </c>
      <c r="D137" s="1103"/>
      <c r="E137" s="1103"/>
      <c r="F137" s="1103"/>
      <c r="G137" s="1103"/>
      <c r="H137" s="1103"/>
      <c r="I137" s="1103"/>
      <c r="J137" s="1104"/>
      <c r="K137" s="169"/>
      <c r="L137" s="210">
        <f>IF(L143=1,5,"")</f>
      </c>
      <c r="M137" s="1179"/>
      <c r="N137" s="1180"/>
      <c r="O137" s="1180"/>
      <c r="P137" s="1180"/>
      <c r="Q137" s="1180"/>
      <c r="R137" s="1180"/>
      <c r="S137" s="1181"/>
      <c r="U137" s="30"/>
    </row>
    <row r="138" spans="1:21" ht="41.25" customHeight="1">
      <c r="A138" s="160"/>
      <c r="B138" s="238"/>
      <c r="C138" s="1102" t="s">
        <v>508</v>
      </c>
      <c r="D138" s="1103"/>
      <c r="E138" s="1103"/>
      <c r="F138" s="1103"/>
      <c r="G138" s="1103"/>
      <c r="H138" s="1103"/>
      <c r="I138" s="1103"/>
      <c r="J138" s="1104"/>
      <c r="K138" s="169"/>
      <c r="L138" s="210">
        <f>IF($L$143=2,4,"")</f>
      </c>
      <c r="M138" s="1179"/>
      <c r="N138" s="1180"/>
      <c r="O138" s="1180"/>
      <c r="P138" s="1180"/>
      <c r="Q138" s="1180"/>
      <c r="R138" s="1180"/>
      <c r="S138" s="1181"/>
      <c r="U138" s="30"/>
    </row>
    <row r="139" spans="1:21" ht="41.25" customHeight="1">
      <c r="A139" s="160"/>
      <c r="B139" s="238"/>
      <c r="C139" s="1102" t="s">
        <v>509</v>
      </c>
      <c r="D139" s="1103"/>
      <c r="E139" s="1103"/>
      <c r="F139" s="1103"/>
      <c r="G139" s="1103"/>
      <c r="H139" s="1103"/>
      <c r="I139" s="1103"/>
      <c r="J139" s="1104"/>
      <c r="K139" s="169"/>
      <c r="L139" s="210">
        <f>IF($L$143=3,3,"")</f>
      </c>
      <c r="M139" s="1179"/>
      <c r="N139" s="1180"/>
      <c r="O139" s="1180"/>
      <c r="P139" s="1180"/>
      <c r="Q139" s="1180"/>
      <c r="R139" s="1180"/>
      <c r="S139" s="1181"/>
      <c r="U139" s="30"/>
    </row>
    <row r="140" spans="1:21" ht="41.25" customHeight="1">
      <c r="A140" s="160"/>
      <c r="B140" s="238"/>
      <c r="C140" s="1102" t="s">
        <v>510</v>
      </c>
      <c r="D140" s="1103"/>
      <c r="E140" s="1103"/>
      <c r="F140" s="1103"/>
      <c r="G140" s="1103"/>
      <c r="H140" s="1103"/>
      <c r="I140" s="1103"/>
      <c r="J140" s="1104"/>
      <c r="K140" s="169"/>
      <c r="L140" s="210">
        <f>IF($L$143=4,2,"")</f>
      </c>
      <c r="M140" s="1179"/>
      <c r="N140" s="1180"/>
      <c r="O140" s="1180"/>
      <c r="P140" s="1180"/>
      <c r="Q140" s="1180"/>
      <c r="R140" s="1180"/>
      <c r="S140" s="1181"/>
      <c r="U140" s="30"/>
    </row>
    <row r="141" spans="1:21" ht="38.25" customHeight="1">
      <c r="A141" s="160"/>
      <c r="B141" s="238"/>
      <c r="C141" s="1102" t="s">
        <v>716</v>
      </c>
      <c r="D141" s="1103"/>
      <c r="E141" s="1103"/>
      <c r="F141" s="1103"/>
      <c r="G141" s="1103"/>
      <c r="H141" s="1103"/>
      <c r="I141" s="1103"/>
      <c r="J141" s="1104"/>
      <c r="K141" s="169"/>
      <c r="L141" s="210">
        <f>IF($L$143=5,0,"")</f>
        <v>0</v>
      </c>
      <c r="M141" s="1179"/>
      <c r="N141" s="1180"/>
      <c r="O141" s="1180"/>
      <c r="P141" s="1180"/>
      <c r="Q141" s="1180"/>
      <c r="R141" s="1180"/>
      <c r="S141" s="1181"/>
      <c r="U141" s="30"/>
    </row>
    <row r="142" spans="1:21" ht="12" customHeight="1" thickBot="1">
      <c r="A142" s="160"/>
      <c r="B142" s="169"/>
      <c r="C142" s="215"/>
      <c r="D142" s="215"/>
      <c r="E142" s="215"/>
      <c r="F142" s="215"/>
      <c r="G142" s="215"/>
      <c r="H142" s="215"/>
      <c r="I142" s="215"/>
      <c r="J142" s="215"/>
      <c r="K142" s="169"/>
      <c r="L142" s="210"/>
      <c r="M142" s="1179"/>
      <c r="N142" s="1180"/>
      <c r="O142" s="1180"/>
      <c r="P142" s="1180"/>
      <c r="Q142" s="1180"/>
      <c r="R142" s="1180"/>
      <c r="S142" s="1181"/>
      <c r="U142" s="30"/>
    </row>
    <row r="143" spans="1:21" ht="13.5" customHeight="1" thickBot="1" thickTop="1">
      <c r="A143" s="160"/>
      <c r="B143" s="169"/>
      <c r="C143" s="169"/>
      <c r="D143" s="169"/>
      <c r="E143" s="169"/>
      <c r="F143" s="169"/>
      <c r="G143" s="540" t="s">
        <v>547</v>
      </c>
      <c r="H143" s="1237">
        <f>MAX(L137:L140)</f>
        <v>0</v>
      </c>
      <c r="I143" s="1238"/>
      <c r="J143" s="199" t="s">
        <v>403</v>
      </c>
      <c r="K143" s="169"/>
      <c r="L143" s="210">
        <v>5</v>
      </c>
      <c r="M143" s="1179"/>
      <c r="N143" s="1180"/>
      <c r="O143" s="1180"/>
      <c r="P143" s="1180"/>
      <c r="Q143" s="1180"/>
      <c r="R143" s="1180"/>
      <c r="S143" s="1181"/>
      <c r="U143" s="30"/>
    </row>
    <row r="144" spans="1:21" ht="12.75" customHeight="1" thickTop="1">
      <c r="A144" s="160"/>
      <c r="B144" s="169"/>
      <c r="C144" s="169"/>
      <c r="D144" s="248"/>
      <c r="E144" s="248"/>
      <c r="F144" s="248"/>
      <c r="G144" s="248"/>
      <c r="H144" s="248"/>
      <c r="I144" s="248"/>
      <c r="J144" s="248"/>
      <c r="K144" s="169"/>
      <c r="L144" s="210"/>
      <c r="M144" s="1179"/>
      <c r="N144" s="1180"/>
      <c r="O144" s="1180"/>
      <c r="P144" s="1180"/>
      <c r="Q144" s="1180"/>
      <c r="R144" s="1180"/>
      <c r="S144" s="1181"/>
      <c r="U144" s="30"/>
    </row>
    <row r="145" spans="1:21" ht="12.75" customHeight="1">
      <c r="A145" s="160"/>
      <c r="B145" s="169"/>
      <c r="C145" s="384" t="s">
        <v>763</v>
      </c>
      <c r="D145" s="248"/>
      <c r="E145" s="384"/>
      <c r="F145" s="384"/>
      <c r="G145" s="384"/>
      <c r="H145" s="384"/>
      <c r="I145" s="384"/>
      <c r="J145" s="384"/>
      <c r="K145" s="169"/>
      <c r="L145" s="210"/>
      <c r="M145" s="1179"/>
      <c r="N145" s="1180"/>
      <c r="O145" s="1180"/>
      <c r="P145" s="1180"/>
      <c r="Q145" s="1180"/>
      <c r="R145" s="1180"/>
      <c r="S145" s="1181"/>
      <c r="U145" s="30"/>
    </row>
    <row r="146" spans="1:21" ht="2.25" customHeight="1">
      <c r="A146" s="160"/>
      <c r="B146" s="169"/>
      <c r="C146" s="169"/>
      <c r="D146" s="384"/>
      <c r="E146" s="384"/>
      <c r="F146" s="384"/>
      <c r="G146" s="384"/>
      <c r="H146" s="384"/>
      <c r="I146" s="384"/>
      <c r="J146" s="384"/>
      <c r="K146" s="169"/>
      <c r="L146" s="210"/>
      <c r="M146" s="1179"/>
      <c r="N146" s="1180"/>
      <c r="O146" s="1180"/>
      <c r="P146" s="1180"/>
      <c r="Q146" s="1180"/>
      <c r="R146" s="1180"/>
      <c r="S146" s="1181"/>
      <c r="U146" s="30"/>
    </row>
    <row r="147" spans="1:21" ht="14.25">
      <c r="A147" s="160"/>
      <c r="B147" s="169"/>
      <c r="C147" s="169"/>
      <c r="D147" s="169"/>
      <c r="E147" s="1132"/>
      <c r="F147" s="1133"/>
      <c r="G147" s="1133"/>
      <c r="H147" s="1133"/>
      <c r="I147" s="1133"/>
      <c r="J147" s="1134"/>
      <c r="K147" s="169"/>
      <c r="L147" s="210"/>
      <c r="M147" s="1179"/>
      <c r="N147" s="1180"/>
      <c r="O147" s="1180"/>
      <c r="P147" s="1180"/>
      <c r="Q147" s="1180"/>
      <c r="R147" s="1180"/>
      <c r="S147" s="1181"/>
      <c r="U147" s="30"/>
    </row>
    <row r="148" spans="1:21" ht="18.75" customHeight="1">
      <c r="A148" s="160"/>
      <c r="B148" s="169"/>
      <c r="C148" s="923" t="s">
        <v>831</v>
      </c>
      <c r="D148" s="923"/>
      <c r="E148" s="923"/>
      <c r="F148" s="923"/>
      <c r="G148" s="923"/>
      <c r="H148" s="923"/>
      <c r="I148" s="923"/>
      <c r="J148" s="923"/>
      <c r="K148" s="169"/>
      <c r="L148" s="210"/>
      <c r="M148" s="1179"/>
      <c r="N148" s="1180"/>
      <c r="O148" s="1180"/>
      <c r="P148" s="1180"/>
      <c r="Q148" s="1180"/>
      <c r="R148" s="1180"/>
      <c r="S148" s="1181"/>
      <c r="U148" s="30"/>
    </row>
    <row r="149" spans="1:21" ht="16.5" customHeight="1">
      <c r="A149" s="160"/>
      <c r="B149" s="169"/>
      <c r="C149" s="169"/>
      <c r="D149" s="169"/>
      <c r="E149" s="1239"/>
      <c r="F149" s="1240"/>
      <c r="G149" s="1240"/>
      <c r="H149" s="1240"/>
      <c r="I149" s="1240"/>
      <c r="J149" s="1241"/>
      <c r="K149" s="169"/>
      <c r="L149" s="210"/>
      <c r="M149" s="1179"/>
      <c r="N149" s="1180"/>
      <c r="O149" s="1180"/>
      <c r="P149" s="1180"/>
      <c r="Q149" s="1180"/>
      <c r="R149" s="1180"/>
      <c r="S149" s="1181"/>
      <c r="U149" s="30"/>
    </row>
    <row r="150" spans="1:21" ht="12.75" customHeight="1">
      <c r="A150" s="160"/>
      <c r="B150" s="169"/>
      <c r="C150" s="169"/>
      <c r="D150" s="169"/>
      <c r="E150" s="169"/>
      <c r="F150" s="169"/>
      <c r="G150" s="198"/>
      <c r="H150" s="386"/>
      <c r="I150" s="169"/>
      <c r="J150" s="169"/>
      <c r="K150" s="169"/>
      <c r="L150" s="210"/>
      <c r="M150" s="1179"/>
      <c r="N150" s="1180"/>
      <c r="O150" s="1180"/>
      <c r="P150" s="1180"/>
      <c r="Q150" s="1180"/>
      <c r="R150" s="1180"/>
      <c r="S150" s="1181"/>
      <c r="U150" s="30"/>
    </row>
    <row r="151" spans="1:21" ht="6" customHeight="1" thickBot="1">
      <c r="A151" s="160"/>
      <c r="B151" s="169"/>
      <c r="C151" s="169"/>
      <c r="D151" s="169"/>
      <c r="E151" s="169"/>
      <c r="F151" s="169"/>
      <c r="G151" s="198"/>
      <c r="H151" s="386"/>
      <c r="I151" s="169"/>
      <c r="J151" s="169"/>
      <c r="K151" s="169"/>
      <c r="L151" s="210"/>
      <c r="M151" s="1179"/>
      <c r="N151" s="1180"/>
      <c r="O151" s="1180"/>
      <c r="P151" s="1180"/>
      <c r="Q151" s="1180"/>
      <c r="R151" s="1180"/>
      <c r="S151" s="1181"/>
      <c r="U151" s="30"/>
    </row>
    <row r="152" spans="1:21" ht="15.75" thickBot="1">
      <c r="A152" s="228" t="s">
        <v>404</v>
      </c>
      <c r="B152" s="164"/>
      <c r="C152" s="164"/>
      <c r="D152" s="164"/>
      <c r="E152" s="164"/>
      <c r="F152" s="164"/>
      <c r="G152" s="164"/>
      <c r="H152" s="164"/>
      <c r="I152" s="356"/>
      <c r="J152" s="387" t="s">
        <v>770</v>
      </c>
      <c r="K152" s="1126">
        <f>H135+H143</f>
        <v>0</v>
      </c>
      <c r="L152" s="1127"/>
      <c r="M152" s="1182"/>
      <c r="N152" s="1183"/>
      <c r="O152" s="1183"/>
      <c r="P152" s="1183"/>
      <c r="Q152" s="1183"/>
      <c r="R152" s="1183"/>
      <c r="S152" s="1184"/>
      <c r="U152" s="30"/>
    </row>
    <row r="154" spans="1:9" ht="12.75">
      <c r="A154" s="29" t="str">
        <f>Sheet1!A1</f>
        <v>Canon City, CO Field Office</v>
      </c>
      <c r="B154" s="29"/>
      <c r="C154" s="29"/>
      <c r="D154" s="29"/>
      <c r="E154" s="29"/>
      <c r="F154" s="29"/>
      <c r="G154" s="29"/>
      <c r="H154" s="29" t="str">
        <f>Sheet1!E1</f>
        <v>B. Gohlke</v>
      </c>
      <c r="I154" s="29"/>
    </row>
    <row r="155" spans="1:9" ht="12.75">
      <c r="A155" s="29" t="str">
        <f>Sheet1!A2</f>
        <v>Cheyenne Wells, CO Field Office</v>
      </c>
      <c r="B155" s="29"/>
      <c r="C155" s="29"/>
      <c r="D155" s="29"/>
      <c r="E155" s="29"/>
      <c r="F155" s="29"/>
      <c r="G155" s="29"/>
      <c r="H155" s="29" t="str">
        <f>Sheet1!E2</f>
        <v>G. Langer</v>
      </c>
      <c r="I155" s="29"/>
    </row>
    <row r="156" spans="1:9" ht="12.75">
      <c r="A156" s="29" t="str">
        <f>Sheet1!A3</f>
        <v>Colorado Springs, CO Field Office</v>
      </c>
      <c r="B156" s="29"/>
      <c r="C156" s="29"/>
      <c r="D156" s="29"/>
      <c r="E156" s="29"/>
      <c r="F156" s="29"/>
      <c r="G156" s="29"/>
      <c r="H156" s="29" t="str">
        <f>Sheet1!E3</f>
        <v>J. Valentine</v>
      </c>
      <c r="I156" s="29"/>
    </row>
    <row r="157" spans="1:9" ht="12.75">
      <c r="A157" s="29" t="str">
        <f>Sheet1!A4</f>
        <v>Eads, CO Field Office</v>
      </c>
      <c r="B157" s="29"/>
      <c r="C157" s="29"/>
      <c r="D157" s="29"/>
      <c r="E157" s="29"/>
      <c r="F157" s="29"/>
      <c r="G157" s="29"/>
      <c r="H157" s="29" t="str">
        <f>Sheet1!E4</f>
        <v>R. Castle</v>
      </c>
      <c r="I157" s="29"/>
    </row>
    <row r="158" spans="1:9" ht="12.75">
      <c r="A158" s="29" t="str">
        <f>Sheet1!A5</f>
        <v>Holly, CO Northeast Prowers SCD</v>
      </c>
      <c r="B158" s="29"/>
      <c r="C158" s="29"/>
      <c r="D158" s="29"/>
      <c r="E158" s="29"/>
      <c r="F158" s="29"/>
      <c r="G158" s="29"/>
      <c r="H158" s="29" t="str">
        <f>Sheet1!E5</f>
        <v>R. Rhoades</v>
      </c>
      <c r="I158" s="29"/>
    </row>
    <row r="159" spans="1:9" ht="12.75">
      <c r="A159" s="29" t="str">
        <f>Sheet1!A6</f>
        <v>Hugo, CO Field Office</v>
      </c>
      <c r="B159" s="29"/>
      <c r="C159" s="29"/>
      <c r="D159" s="29"/>
      <c r="E159" s="29"/>
      <c r="F159" s="29"/>
      <c r="G159" s="29"/>
      <c r="H159" s="29" t="str">
        <f>Sheet1!E6</f>
        <v>B. Fortman</v>
      </c>
      <c r="I159" s="29"/>
    </row>
    <row r="160" spans="1:9" ht="12.75">
      <c r="A160" s="29" t="str">
        <f>Sheet1!A7</f>
        <v>Lamar, CO  Field Office</v>
      </c>
      <c r="B160" s="29"/>
      <c r="C160" s="29"/>
      <c r="D160" s="29"/>
      <c r="E160" s="29"/>
      <c r="F160" s="29"/>
      <c r="G160" s="29"/>
      <c r="H160" s="29" t="str">
        <f>Sheet1!E7</f>
        <v>L. Borrego</v>
      </c>
      <c r="I160" s="29"/>
    </row>
    <row r="161" spans="1:9" ht="12.75">
      <c r="A161" s="29" t="str">
        <f>Sheet1!A8</f>
        <v>Las Animas, CO Field Office</v>
      </c>
      <c r="B161" s="29"/>
      <c r="C161" s="29"/>
      <c r="D161" s="29"/>
      <c r="E161" s="29"/>
      <c r="F161" s="29"/>
      <c r="G161" s="29"/>
      <c r="H161" s="29" t="str">
        <f>Sheet1!E8</f>
        <v>M. Clark</v>
      </c>
      <c r="I161" s="29"/>
    </row>
    <row r="162" spans="1:9" ht="12.75">
      <c r="A162" s="29" t="str">
        <f>Sheet1!A9</f>
        <v>Pueblo, CO Field Office</v>
      </c>
      <c r="B162" s="29"/>
      <c r="C162" s="29"/>
      <c r="D162" s="29"/>
      <c r="E162" s="29"/>
      <c r="F162" s="29"/>
      <c r="G162" s="29"/>
      <c r="H162" s="29" t="str">
        <f>Sheet1!E9</f>
        <v>B. Klinkerman</v>
      </c>
      <c r="I162" s="29"/>
    </row>
    <row r="163" spans="1:9" ht="12.75">
      <c r="A163" s="29" t="str">
        <f>Sheet1!A10</f>
        <v>Rocky Ford, CO Field Office</v>
      </c>
      <c r="B163" s="29"/>
      <c r="C163" s="29"/>
      <c r="D163" s="29"/>
      <c r="E163" s="29"/>
      <c r="F163" s="29"/>
      <c r="G163" s="29"/>
      <c r="H163" s="29" t="str">
        <f>Sheet1!E10</f>
        <v>D. Miller</v>
      </c>
      <c r="I163" s="29"/>
    </row>
    <row r="164" spans="1:9" ht="12.75">
      <c r="A164" s="29" t="str">
        <f>Sheet1!A11</f>
        <v>Salida, CO Field Office</v>
      </c>
      <c r="B164" s="29"/>
      <c r="C164" s="29"/>
      <c r="D164" s="29"/>
      <c r="E164" s="29"/>
      <c r="F164" s="29"/>
      <c r="G164" s="29"/>
      <c r="H164" s="29" t="str">
        <f>Sheet1!E11</f>
        <v>D. Russell</v>
      </c>
      <c r="I164" s="29"/>
    </row>
    <row r="165" spans="1:9" ht="12.75">
      <c r="A165" s="29" t="str">
        <f>Sheet1!A12</f>
        <v>Silver Cliff, CO Field Office</v>
      </c>
      <c r="B165" s="29"/>
      <c r="C165" s="29"/>
      <c r="D165" s="29"/>
      <c r="E165" s="29"/>
      <c r="F165" s="29"/>
      <c r="G165" s="29"/>
      <c r="H165" s="29" t="str">
        <f>Sheet1!E12</f>
        <v>M. Williams</v>
      </c>
      <c r="I165" s="29"/>
    </row>
    <row r="166" spans="1:9" ht="12.75">
      <c r="A166" s="29" t="str">
        <f>Sheet1!A13</f>
        <v>Simla, CO Field Office</v>
      </c>
      <c r="B166" s="29"/>
      <c r="C166" s="29"/>
      <c r="D166" s="29"/>
      <c r="E166" s="29"/>
      <c r="F166" s="29"/>
      <c r="G166" s="29"/>
      <c r="H166" s="29" t="str">
        <f>Sheet1!E13</f>
        <v>F. Edens</v>
      </c>
      <c r="I166" s="29"/>
    </row>
    <row r="167" spans="1:9" ht="12.75">
      <c r="A167" s="29" t="str">
        <f>Sheet1!A14</f>
        <v>Springfield, CO Field Office</v>
      </c>
      <c r="B167" s="29"/>
      <c r="C167" s="29"/>
      <c r="D167" s="29"/>
      <c r="E167" s="29"/>
      <c r="F167" s="29"/>
      <c r="G167" s="29"/>
      <c r="H167" s="29" t="str">
        <f>Sheet1!E14</f>
        <v>J. "Wade" Sigler</v>
      </c>
      <c r="I167" s="29"/>
    </row>
    <row r="168" spans="1:9" ht="12.75">
      <c r="A168" s="29" t="str">
        <f>Sheet1!A15</f>
        <v>Trinidad, CO Field Office</v>
      </c>
      <c r="B168" s="29"/>
      <c r="C168" s="29"/>
      <c r="D168" s="29"/>
      <c r="E168" s="29"/>
      <c r="F168" s="29"/>
      <c r="G168" s="29"/>
      <c r="H168" s="29" t="str">
        <f>Sheet1!E15</f>
        <v>C. Waugh</v>
      </c>
      <c r="I168" s="29"/>
    </row>
    <row r="169" spans="1:9" ht="12.75">
      <c r="A169" s="29" t="str">
        <f>Sheet1!A16</f>
        <v>Walsenburg, CO Field Office</v>
      </c>
      <c r="B169" s="29"/>
      <c r="C169" s="29"/>
      <c r="D169" s="29"/>
      <c r="E169" s="29"/>
      <c r="F169" s="29"/>
      <c r="G169" s="29"/>
      <c r="H169" s="29" t="str">
        <f>Sheet1!E16</f>
        <v>S. Smith</v>
      </c>
      <c r="I169" s="29"/>
    </row>
    <row r="170" spans="1:9" ht="12.75">
      <c r="A170" s="29" t="str">
        <f>Sheet1!A17</f>
        <v>Woodland Park, CO Teller/Park SCD</v>
      </c>
      <c r="B170" s="29"/>
      <c r="C170" s="29"/>
      <c r="D170" s="29"/>
      <c r="E170" s="29"/>
      <c r="F170" s="29"/>
      <c r="G170" s="29"/>
      <c r="H170" s="29" t="str">
        <f>Sheet1!E17</f>
        <v>J. Nelson</v>
      </c>
      <c r="I170" s="29"/>
    </row>
    <row r="171" spans="1:9" ht="12.75">
      <c r="A171" s="29"/>
      <c r="B171" s="29"/>
      <c r="C171" s="29"/>
      <c r="D171" s="29"/>
      <c r="E171" s="29"/>
      <c r="F171" s="29"/>
      <c r="G171" s="29"/>
      <c r="H171" s="29" t="str">
        <f>Sheet1!E18</f>
        <v>J. Sperry</v>
      </c>
      <c r="I171" s="29"/>
    </row>
    <row r="172" spans="1:9" ht="12.75">
      <c r="A172" s="29"/>
      <c r="B172" s="29"/>
      <c r="C172" s="29"/>
      <c r="D172" s="29"/>
      <c r="E172" s="29"/>
      <c r="F172" s="29"/>
      <c r="G172" s="29"/>
      <c r="H172" s="29" t="str">
        <f>Sheet1!E19</f>
        <v>R. Romano</v>
      </c>
      <c r="I172" s="29"/>
    </row>
    <row r="173" spans="1:9" ht="12.75">
      <c r="A173" s="29"/>
      <c r="B173" s="29"/>
      <c r="C173" s="29"/>
      <c r="D173" s="29"/>
      <c r="E173" s="29"/>
      <c r="F173" s="29"/>
      <c r="G173" s="29"/>
      <c r="H173" s="29" t="str">
        <f>Sheet1!E20</f>
        <v>R. Fontaine</v>
      </c>
      <c r="I173" s="29"/>
    </row>
    <row r="174" spans="1:9" ht="12.75">
      <c r="A174" s="29" t="str">
        <f>Sheet1!A21</f>
        <v>Individual</v>
      </c>
      <c r="B174" s="29"/>
      <c r="C174" s="29"/>
      <c r="D174" s="29"/>
      <c r="E174" s="29"/>
      <c r="F174" s="29"/>
      <c r="G174" s="29"/>
      <c r="H174" s="29" t="str">
        <f>Sheet1!E21</f>
        <v>M. Watson</v>
      </c>
      <c r="I174" s="29"/>
    </row>
    <row r="175" spans="1:9" ht="12.75">
      <c r="A175" s="29" t="str">
        <f>Sheet1!A22</f>
        <v>General Partnership</v>
      </c>
      <c r="B175" s="29"/>
      <c r="C175" s="29"/>
      <c r="D175" s="29"/>
      <c r="E175" s="29"/>
      <c r="F175" s="29"/>
      <c r="G175" s="29"/>
      <c r="H175" s="29" t="str">
        <f>Sheet1!E22</f>
        <v>M. Miller</v>
      </c>
      <c r="I175" s="29"/>
    </row>
    <row r="176" spans="1:9" ht="12.75">
      <c r="A176" s="29" t="str">
        <f>Sheet1!A23</f>
        <v>Joint Venture</v>
      </c>
      <c r="B176" s="29"/>
      <c r="C176" s="29"/>
      <c r="D176" s="29"/>
      <c r="E176" s="29"/>
      <c r="F176" s="29"/>
      <c r="G176" s="29"/>
      <c r="H176" s="29" t="str">
        <f>Sheet1!E23</f>
        <v>C. Sheley</v>
      </c>
      <c r="I176" s="29"/>
    </row>
    <row r="177" spans="1:9" ht="12.75">
      <c r="A177" s="29" t="str">
        <f>Sheet1!A24</f>
        <v>Limited Liability Partnership</v>
      </c>
      <c r="B177" s="29"/>
      <c r="C177" s="29"/>
      <c r="D177" s="29"/>
      <c r="E177" s="29"/>
      <c r="F177" s="29"/>
      <c r="G177" s="29"/>
      <c r="H177" s="29" t="str">
        <f>Sheet1!E24</f>
        <v>D. Sanchez</v>
      </c>
      <c r="I177" s="29"/>
    </row>
    <row r="178" spans="1:9" ht="12.75">
      <c r="A178" s="29" t="str">
        <f>Sheet1!A25</f>
        <v>Limited Liability Limited Partnership</v>
      </c>
      <c r="B178" s="29"/>
      <c r="C178" s="29"/>
      <c r="D178" s="29"/>
      <c r="E178" s="29"/>
      <c r="F178" s="29"/>
      <c r="G178" s="29"/>
      <c r="H178" s="29" t="str">
        <f>Sheet1!E25</f>
        <v>L.G. "Smitty" Smith</v>
      </c>
      <c r="I178" s="29"/>
    </row>
    <row r="179" spans="1:9" ht="12.75">
      <c r="A179" s="29" t="str">
        <f>Sheet1!A26</f>
        <v>Limited Partnership Association</v>
      </c>
      <c r="B179" s="29"/>
      <c r="C179" s="29"/>
      <c r="D179" s="29"/>
      <c r="E179" s="29"/>
      <c r="F179" s="29"/>
      <c r="G179" s="29"/>
      <c r="H179" s="29" t="str">
        <f>Sheet1!E26</f>
        <v>C. Regnier</v>
      </c>
      <c r="I179" s="29"/>
    </row>
    <row r="180" spans="1:9" ht="12.75">
      <c r="A180" s="29" t="str">
        <f>Sheet1!A27</f>
        <v>Limited Liability Company</v>
      </c>
      <c r="B180" s="29"/>
      <c r="C180" s="29"/>
      <c r="D180" s="29"/>
      <c r="E180" s="29"/>
      <c r="F180" s="29"/>
      <c r="G180" s="29"/>
      <c r="H180" s="29" t="str">
        <f>Sheet1!E27</f>
        <v>C. Melcher</v>
      </c>
      <c r="I180" s="29"/>
    </row>
    <row r="181" spans="1:9" ht="12.75">
      <c r="A181" s="29" t="str">
        <f>Sheet1!A28</f>
        <v>Limited Partnership  </v>
      </c>
      <c r="B181" s="29"/>
      <c r="C181" s="29"/>
      <c r="D181" s="29"/>
      <c r="E181" s="29"/>
      <c r="F181" s="29"/>
      <c r="G181" s="29"/>
      <c r="H181" s="29" t="str">
        <f>Sheet1!E28</f>
        <v>W. "Ted" Lonnberg</v>
      </c>
      <c r="I181" s="29"/>
    </row>
    <row r="182" spans="1:9" ht="12.75">
      <c r="A182" s="29" t="str">
        <f>Sheet1!A29</f>
        <v>Corporation</v>
      </c>
      <c r="B182" s="29"/>
      <c r="C182" s="29"/>
      <c r="D182" s="29"/>
      <c r="E182" s="29"/>
      <c r="F182" s="29"/>
      <c r="G182" s="29"/>
      <c r="H182" s="29" t="str">
        <f>Sheet1!E29</f>
        <v>B. Johnson</v>
      </c>
      <c r="I182" s="29"/>
    </row>
    <row r="183" spans="1:9" ht="12.75">
      <c r="A183" s="29" t="str">
        <f>Sheet1!A30</f>
        <v>Trust</v>
      </c>
      <c r="B183" s="29"/>
      <c r="C183" s="29"/>
      <c r="D183" s="29"/>
      <c r="E183" s="29"/>
      <c r="F183" s="29"/>
      <c r="G183" s="29"/>
      <c r="H183" s="29" t="str">
        <f>Sheet1!E30</f>
        <v>A. White</v>
      </c>
      <c r="I183" s="29"/>
    </row>
    <row r="184" spans="1:9" ht="12.75">
      <c r="A184" s="29" t="str">
        <f>Sheet1!A31</f>
        <v>Estate</v>
      </c>
      <c r="B184" s="29"/>
      <c r="C184" s="29"/>
      <c r="D184" s="29"/>
      <c r="E184" s="29"/>
      <c r="F184" s="29"/>
      <c r="G184" s="29"/>
      <c r="H184" s="29" t="str">
        <f>Sheet1!E31</f>
        <v>W. Bland</v>
      </c>
      <c r="I184" s="29"/>
    </row>
    <row r="185" spans="1:9" ht="12.75">
      <c r="A185" s="29"/>
      <c r="B185" s="29"/>
      <c r="C185" s="29"/>
      <c r="D185" s="29"/>
      <c r="E185" s="29"/>
      <c r="F185" s="29"/>
      <c r="G185" s="29"/>
      <c r="H185" s="29" t="str">
        <f>Sheet1!E32</f>
        <v>S. Hansen</v>
      </c>
      <c r="I185" s="29"/>
    </row>
    <row r="186" spans="1:9" ht="12.75">
      <c r="A186" s="29"/>
      <c r="B186" s="29"/>
      <c r="C186" s="29"/>
      <c r="D186" s="29"/>
      <c r="E186" s="29"/>
      <c r="F186" s="29"/>
      <c r="G186" s="29"/>
      <c r="H186" s="29" t="str">
        <f>Sheet1!E33</f>
        <v>K. Conrad</v>
      </c>
      <c r="I186" s="29"/>
    </row>
    <row r="187" spans="1:9" ht="12.75">
      <c r="A187" s="29" t="str">
        <f>Sheet1!A34</f>
        <v>Colorado Division of Wildlife</v>
      </c>
      <c r="B187" s="29"/>
      <c r="C187" s="29"/>
      <c r="D187" s="29"/>
      <c r="E187" s="29"/>
      <c r="F187" s="29"/>
      <c r="G187" s="29"/>
      <c r="H187" s="29" t="str">
        <f>Sheet1!E34</f>
        <v>M. Martin</v>
      </c>
      <c r="I187" s="29"/>
    </row>
    <row r="188" spans="1:9" ht="12.75">
      <c r="A188" s="29" t="str">
        <f>Sheet1!A35</f>
        <v>U.S. Fish and Wildlife Service</v>
      </c>
      <c r="B188" s="29"/>
      <c r="C188" s="29"/>
      <c r="D188" s="29"/>
      <c r="E188" s="29"/>
      <c r="F188" s="29"/>
      <c r="G188" s="29"/>
      <c r="H188" s="29" t="str">
        <f>Sheet1!E35</f>
        <v>E. Kilpatrick</v>
      </c>
      <c r="I188" s="29"/>
    </row>
    <row r="189" spans="1:9" ht="12.75">
      <c r="A189" s="29" t="str">
        <f>Sheet1!A36</f>
        <v>Colorado Elk Foundation</v>
      </c>
      <c r="B189" s="29"/>
      <c r="C189" s="29"/>
      <c r="D189" s="29"/>
      <c r="E189" s="29"/>
      <c r="F189" s="29"/>
      <c r="G189" s="29"/>
      <c r="H189" s="29" t="str">
        <f>Sheet1!E36</f>
        <v>C. Schleining</v>
      </c>
      <c r="I189" s="29"/>
    </row>
    <row r="190" spans="1:9" ht="12.75">
      <c r="A190" s="29" t="str">
        <f>Sheet1!A37</f>
        <v>Pheasants Forever</v>
      </c>
      <c r="B190" s="29"/>
      <c r="C190" s="29"/>
      <c r="D190" s="29"/>
      <c r="E190" s="29"/>
      <c r="F190" s="29"/>
      <c r="G190" s="29"/>
      <c r="H190" s="29" t="str">
        <f>Sheet1!E37</f>
        <v>B. "B.J." Jones</v>
      </c>
      <c r="I190" s="29"/>
    </row>
    <row r="191" spans="1:9" ht="12.75">
      <c r="A191" s="29" t="str">
        <f>Sheet1!A38</f>
        <v>Ducks Unlimited</v>
      </c>
      <c r="B191" s="29"/>
      <c r="C191" s="29"/>
      <c r="D191" s="29"/>
      <c r="E191" s="29"/>
      <c r="F191" s="29"/>
      <c r="G191" s="29"/>
      <c r="H191" s="29" t="str">
        <f>Sheet1!E38</f>
        <v>J. Hamilton</v>
      </c>
      <c r="I191" s="29"/>
    </row>
    <row r="192" spans="1:9" ht="12.75">
      <c r="A192" s="29" t="str">
        <f>Sheet1!A39</f>
        <v>Other</v>
      </c>
      <c r="B192" s="29"/>
      <c r="C192" s="29"/>
      <c r="D192" s="29"/>
      <c r="E192" s="29"/>
      <c r="F192" s="29"/>
      <c r="G192" s="29"/>
      <c r="H192" s="29" t="str">
        <f>Sheet1!E39</f>
        <v>J. Moffett</v>
      </c>
      <c r="I192" s="29"/>
    </row>
    <row r="193" spans="1:9" ht="12.75">
      <c r="A193" s="29" t="str">
        <f>Sheet1!A40</f>
        <v>Not Applicable</v>
      </c>
      <c r="B193" s="29"/>
      <c r="C193" s="29"/>
      <c r="D193" s="29"/>
      <c r="E193" s="29"/>
      <c r="F193" s="29"/>
      <c r="G193" s="29"/>
      <c r="H193" s="29" t="str">
        <f>Sheet1!E40</f>
        <v>R. Grigat</v>
      </c>
      <c r="I193" s="29"/>
    </row>
    <row r="194" spans="1:9" ht="12.75">
      <c r="A194" s="29"/>
      <c r="B194" s="29"/>
      <c r="C194" s="29"/>
      <c r="D194" s="29"/>
      <c r="E194" s="29"/>
      <c r="F194" s="29"/>
      <c r="G194" s="29"/>
      <c r="H194" s="29" t="str">
        <f>Sheet1!E41</f>
        <v>J. Dukes</v>
      </c>
      <c r="I194" s="29"/>
    </row>
    <row r="195" spans="1:9" ht="12.75">
      <c r="A195" s="29"/>
      <c r="B195" s="29"/>
      <c r="C195" s="29"/>
      <c r="D195" s="29"/>
      <c r="E195" s="29"/>
      <c r="F195" s="29"/>
      <c r="G195" s="29"/>
      <c r="H195" s="29" t="str">
        <f>Sheet1!E42</f>
        <v>T. Werner</v>
      </c>
      <c r="I195" s="29"/>
    </row>
    <row r="196" spans="1:9" ht="12.75">
      <c r="A196" s="29"/>
      <c r="B196" s="29"/>
      <c r="C196" s="29"/>
      <c r="D196" s="29"/>
      <c r="E196" s="29"/>
      <c r="F196" s="29"/>
      <c r="G196" s="29"/>
      <c r="H196" s="29" t="str">
        <f>Sheet1!E43</f>
        <v>K. Falen</v>
      </c>
      <c r="I196" s="29"/>
    </row>
    <row r="197" spans="1:9" ht="12.75">
      <c r="A197" s="29"/>
      <c r="B197" s="29"/>
      <c r="C197" s="29"/>
      <c r="D197" s="29"/>
      <c r="E197" s="29"/>
      <c r="F197" s="29"/>
      <c r="G197" s="29"/>
      <c r="H197" s="29" t="str">
        <f>Sheet1!E44</f>
        <v>M. "Storm" Casper</v>
      </c>
      <c r="I197" s="29"/>
    </row>
    <row r="198" spans="1:9" ht="12.75">
      <c r="A198" s="29"/>
      <c r="B198" s="29"/>
      <c r="C198" s="29"/>
      <c r="D198" s="29"/>
      <c r="E198" s="29"/>
      <c r="F198" s="29"/>
      <c r="G198" s="29"/>
      <c r="H198" s="29" t="str">
        <f>Sheet1!E45</f>
        <v>M. Gigante</v>
      </c>
      <c r="I198" s="29"/>
    </row>
    <row r="199" spans="1:9" ht="12.75">
      <c r="A199" s="29"/>
      <c r="B199" s="29"/>
      <c r="C199" s="29"/>
      <c r="D199" s="29"/>
      <c r="E199" s="29"/>
      <c r="F199" s="29"/>
      <c r="G199" s="29"/>
      <c r="H199" s="29" t="str">
        <f>Sheet1!E46</f>
        <v>T. Arnhold</v>
      </c>
      <c r="I199" s="29"/>
    </row>
    <row r="200" spans="1:9" ht="12.75">
      <c r="A200" s="29"/>
      <c r="B200" s="29"/>
      <c r="C200" s="29"/>
      <c r="D200" s="29"/>
      <c r="E200" s="29"/>
      <c r="F200" s="29"/>
      <c r="G200" s="29"/>
      <c r="H200" s="29" t="str">
        <f>Sheet1!E47</f>
        <v>K. Lutz</v>
      </c>
      <c r="I200" s="29"/>
    </row>
    <row r="201" spans="1:9" ht="12.75">
      <c r="A201" s="29"/>
      <c r="B201" s="29"/>
      <c r="C201" s="29"/>
      <c r="D201" s="29"/>
      <c r="E201" s="29"/>
      <c r="F201" s="29"/>
      <c r="G201" s="29"/>
      <c r="H201" s="29" t="str">
        <f>Sheet1!E48</f>
        <v>D. Lane</v>
      </c>
      <c r="I201" s="29"/>
    </row>
    <row r="202" spans="1:9" ht="12.75">
      <c r="A202" s="29"/>
      <c r="B202" s="29"/>
      <c r="C202" s="29"/>
      <c r="D202" s="29"/>
      <c r="E202" s="29"/>
      <c r="F202" s="29"/>
      <c r="G202" s="29"/>
      <c r="H202" s="29" t="str">
        <f>Sheet1!E49</f>
        <v>L."Pete" Ward, Jr.</v>
      </c>
      <c r="I202" s="29"/>
    </row>
    <row r="203" spans="1:9" ht="12.75">
      <c r="A203" s="29"/>
      <c r="B203" s="29"/>
      <c r="C203" s="29"/>
      <c r="D203" s="29"/>
      <c r="E203" s="29"/>
      <c r="F203" s="29"/>
      <c r="G203" s="29"/>
      <c r="H203" s="29" t="str">
        <f>Sheet1!E50</f>
        <v>L. Kot</v>
      </c>
      <c r="I203" s="29"/>
    </row>
    <row r="204" spans="1:9" ht="12.75">
      <c r="A204" s="29"/>
      <c r="B204" s="29"/>
      <c r="C204" s="29"/>
      <c r="D204" s="29"/>
      <c r="E204" s="29"/>
      <c r="F204" s="29"/>
      <c r="G204" s="29"/>
      <c r="H204" s="29" t="str">
        <f>Sheet1!E51</f>
        <v>L. Pearson</v>
      </c>
      <c r="I204" s="29"/>
    </row>
    <row r="205" spans="1:9" ht="12.75">
      <c r="A205" s="29"/>
      <c r="B205" s="29"/>
      <c r="C205" s="29"/>
      <c r="D205" s="29"/>
      <c r="E205" s="29"/>
      <c r="F205" s="29"/>
      <c r="G205" s="29"/>
      <c r="H205" s="29" t="str">
        <f>Sheet1!E52</f>
        <v>B. Kitten</v>
      </c>
      <c r="I205" s="29"/>
    </row>
    <row r="206" spans="1:9" ht="12.75">
      <c r="A206" s="29"/>
      <c r="B206" s="29"/>
      <c r="C206" s="29"/>
      <c r="D206" s="29"/>
      <c r="E206" s="29"/>
      <c r="F206" s="29"/>
      <c r="G206" s="29"/>
      <c r="H206" s="29" t="str">
        <f>Sheet1!E53</f>
        <v>L. Sutherland</v>
      </c>
      <c r="I206" s="29"/>
    </row>
    <row r="207" spans="1:9" ht="12.75">
      <c r="A207" s="29"/>
      <c r="B207" s="29"/>
      <c r="C207" s="29"/>
      <c r="D207" s="29"/>
      <c r="E207" s="29"/>
      <c r="F207" s="29"/>
      <c r="G207" s="29"/>
      <c r="H207" s="29" t="str">
        <f>Sheet1!E54</f>
        <v>C. Pannebaker</v>
      </c>
      <c r="I207" s="29"/>
    </row>
    <row r="208" spans="1:9" ht="12.75">
      <c r="A208" s="29"/>
      <c r="B208" s="29"/>
      <c r="C208" s="29"/>
      <c r="D208" s="29"/>
      <c r="E208" s="29"/>
      <c r="F208" s="29"/>
      <c r="G208" s="29"/>
      <c r="H208" s="29" t="str">
        <f>Sheet1!E55</f>
        <v>B. Berlinger</v>
      </c>
      <c r="I208" s="29"/>
    </row>
  </sheetData>
  <sheetProtection sheet="1" objects="1" scenarios="1"/>
  <mergeCells count="127">
    <mergeCell ref="N112:O112"/>
    <mergeCell ref="A104:E105"/>
    <mergeCell ref="N120:O120"/>
    <mergeCell ref="A61:D61"/>
    <mergeCell ref="I100:J100"/>
    <mergeCell ref="A108:K108"/>
    <mergeCell ref="E69:H70"/>
    <mergeCell ref="G63:H67"/>
    <mergeCell ref="E63:E67"/>
    <mergeCell ref="J63:J67"/>
    <mergeCell ref="M127:S152"/>
    <mergeCell ref="I58:J58"/>
    <mergeCell ref="C57:H58"/>
    <mergeCell ref="M75:S76"/>
    <mergeCell ref="M77:S105"/>
    <mergeCell ref="M125:S126"/>
    <mergeCell ref="B91:J91"/>
    <mergeCell ref="B92:J92"/>
    <mergeCell ref="I94:J94"/>
    <mergeCell ref="D106:S106"/>
    <mergeCell ref="D31:S31"/>
    <mergeCell ref="B35:L35"/>
    <mergeCell ref="N49:O49"/>
    <mergeCell ref="D46:S46"/>
    <mergeCell ref="A38:K39"/>
    <mergeCell ref="D40:S40"/>
    <mergeCell ref="A1:S1"/>
    <mergeCell ref="I129:J129"/>
    <mergeCell ref="Q5:R5"/>
    <mergeCell ref="J2:L3"/>
    <mergeCell ref="R122:S122"/>
    <mergeCell ref="J5:N5"/>
    <mergeCell ref="C2:I4"/>
    <mergeCell ref="C7:I7"/>
    <mergeCell ref="B25:B26"/>
    <mergeCell ref="D124:L125"/>
    <mergeCell ref="B90:J90"/>
    <mergeCell ref="I88:J88"/>
    <mergeCell ref="E51:E55"/>
    <mergeCell ref="C51:C55"/>
    <mergeCell ref="J50:M52"/>
    <mergeCell ref="K53:M54"/>
    <mergeCell ref="G51:H55"/>
    <mergeCell ref="A107:S107"/>
    <mergeCell ref="A102:H103"/>
    <mergeCell ref="I103:J103"/>
    <mergeCell ref="K105:L105"/>
    <mergeCell ref="A17:S17"/>
    <mergeCell ref="B13:Q13"/>
    <mergeCell ref="A2:B4"/>
    <mergeCell ref="J4:L4"/>
    <mergeCell ref="H8:I8"/>
    <mergeCell ref="J7:M8"/>
    <mergeCell ref="R7:S8"/>
    <mergeCell ref="R6:S6"/>
    <mergeCell ref="P7:Q8"/>
    <mergeCell ref="A5:B5"/>
    <mergeCell ref="C5:I5"/>
    <mergeCell ref="A7:B7"/>
    <mergeCell ref="A8:B8"/>
    <mergeCell ref="H6:I6"/>
    <mergeCell ref="A6:B6"/>
    <mergeCell ref="C6:E6"/>
    <mergeCell ref="F6:G6"/>
    <mergeCell ref="C8:F8"/>
    <mergeCell ref="K152:L152"/>
    <mergeCell ref="B128:H129"/>
    <mergeCell ref="B130:H130"/>
    <mergeCell ref="I130:J130"/>
    <mergeCell ref="C139:J139"/>
    <mergeCell ref="C140:J140"/>
    <mergeCell ref="H143:I143"/>
    <mergeCell ref="E149:J149"/>
    <mergeCell ref="C141:J141"/>
    <mergeCell ref="C137:J137"/>
    <mergeCell ref="A134:G135"/>
    <mergeCell ref="H135:I135"/>
    <mergeCell ref="I132:J132"/>
    <mergeCell ref="A126:L126"/>
    <mergeCell ref="A10:S10"/>
    <mergeCell ref="B11:Q11"/>
    <mergeCell ref="B12:Q12"/>
    <mergeCell ref="B15:Q15"/>
    <mergeCell ref="A14:R14"/>
    <mergeCell ref="C148:J148"/>
    <mergeCell ref="A117:F117"/>
    <mergeCell ref="L63:N65"/>
    <mergeCell ref="A76:D76"/>
    <mergeCell ref="A75:L75"/>
    <mergeCell ref="C63:C67"/>
    <mergeCell ref="L66:N67"/>
    <mergeCell ref="E147:J147"/>
    <mergeCell ref="C138:J138"/>
    <mergeCell ref="A123:S123"/>
    <mergeCell ref="A16:R16"/>
    <mergeCell ref="O65:P65"/>
    <mergeCell ref="E18:S18"/>
    <mergeCell ref="N21:Q24"/>
    <mergeCell ref="R30:S30"/>
    <mergeCell ref="C25:L26"/>
    <mergeCell ref="O35:P36"/>
    <mergeCell ref="C21:L22"/>
    <mergeCell ref="C23:L24"/>
    <mergeCell ref="N27:P27"/>
    <mergeCell ref="D74:L74"/>
    <mergeCell ref="A73:S73"/>
    <mergeCell ref="A32:S32"/>
    <mergeCell ref="R39:S39"/>
    <mergeCell ref="A34:L34"/>
    <mergeCell ref="R72:S72"/>
    <mergeCell ref="A49:D49"/>
    <mergeCell ref="A41:S41"/>
    <mergeCell ref="I49:M49"/>
    <mergeCell ref="R45:S45"/>
    <mergeCell ref="L44:M44"/>
    <mergeCell ref="A47:S47"/>
    <mergeCell ref="N52:O52"/>
    <mergeCell ref="I70:J70"/>
    <mergeCell ref="N7:O8"/>
    <mergeCell ref="O61:P61"/>
    <mergeCell ref="I61:N61"/>
    <mergeCell ref="A19:S19"/>
    <mergeCell ref="B21:B22"/>
    <mergeCell ref="B23:B24"/>
    <mergeCell ref="C9:I9"/>
    <mergeCell ref="A9:B9"/>
    <mergeCell ref="N43:O43"/>
  </mergeCells>
  <dataValidations count="5">
    <dataValidation type="list" allowBlank="1" showInputMessage="1" showErrorMessage="1" sqref="C7:I7">
      <formula1>$A$154:$A$170</formula1>
    </dataValidation>
    <dataValidation type="list" allowBlank="1" showInputMessage="1" showErrorMessage="1" sqref="R15 R11:R13">
      <formula1>$M$2:$M$3</formula1>
    </dataValidation>
    <dataValidation type="list" allowBlank="1" showInputMessage="1" showErrorMessage="1" sqref="C5">
      <formula1>$A$174:$A$184</formula1>
    </dataValidation>
    <dataValidation type="list" allowBlank="1" showInputMessage="1" showErrorMessage="1" sqref="C8:F8">
      <formula1>$H$154:$H$208</formula1>
    </dataValidation>
    <dataValidation type="list" allowBlank="1" showInputMessage="1" showErrorMessage="1" sqref="E147:J147">
      <formula1>$A$187:$A$193</formula1>
    </dataValidation>
  </dataValidations>
  <printOptions/>
  <pageMargins left="0.6" right="0.41" top="0.8" bottom="0.46" header="0.32" footer="0.23"/>
  <pageSetup horizontalDpi="600" verticalDpi="600" orientation="portrait" scale="83" r:id="rId3"/>
  <headerFooter alignWithMargins="0">
    <oddHeader>&amp;C&amp;"Comic Sans MS,Regular"&amp;14Environmental Quality Incentive Program (EQIP)
Lower Arkansas River Watershed-Grazing Land Ranking Worksheet (C2)</oddHeader>
    <oddFooter>&amp;L&amp;12February 02, 2004&amp;C&amp;12Page &amp;P of &amp;N&amp;R&amp;12USDA-NRCS, Area 3, La Junta, CO</oddFooter>
  </headerFooter>
  <rowBreaks count="3" manualBreakCount="3">
    <brk id="45" max="18" man="1"/>
    <brk id="72" max="18" man="1"/>
    <brk id="122" max="18" man="1"/>
  </rowBreaks>
  <legacyDrawing r:id="rId2"/>
</worksheet>
</file>

<file path=xl/worksheets/sheet3.xml><?xml version="1.0" encoding="utf-8"?>
<worksheet xmlns="http://schemas.openxmlformats.org/spreadsheetml/2006/main" xmlns:r="http://schemas.openxmlformats.org/officeDocument/2006/relationships">
  <dimension ref="A1:Y226"/>
  <sheetViews>
    <sheetView showGridLines="0" workbookViewId="0" topLeftCell="A1">
      <selection activeCell="A1" sqref="A1:S1"/>
    </sheetView>
  </sheetViews>
  <sheetFormatPr defaultColWidth="9.140625" defaultRowHeight="12.75"/>
  <cols>
    <col min="1" max="1" width="8.421875" style="0" customWidth="1"/>
    <col min="2" max="2" width="5.57421875" style="0" customWidth="1"/>
    <col min="3" max="3" width="8.57421875" style="0" customWidth="1"/>
    <col min="4" max="4" width="8.7109375" style="0" customWidth="1"/>
    <col min="5" max="5" width="5.28125" style="0" customWidth="1"/>
    <col min="6" max="6" width="5.57421875" style="0" customWidth="1"/>
    <col min="7" max="7" width="5.00390625" style="0" customWidth="1"/>
    <col min="8" max="8" width="4.7109375" style="0" customWidth="1"/>
    <col min="9" max="9" width="4.421875" style="0" customWidth="1"/>
    <col min="10" max="10" width="2.421875" style="0" customWidth="1"/>
    <col min="11" max="11" width="4.421875" style="0" customWidth="1"/>
    <col min="12" max="12" width="3.421875" style="0" customWidth="1"/>
    <col min="13" max="13" width="6.28125" style="0" customWidth="1"/>
    <col min="14" max="19" width="6.8515625" style="0" customWidth="1"/>
    <col min="20" max="20" width="6.00390625" style="0" customWidth="1"/>
    <col min="21" max="21" width="10.140625" style="23" customWidth="1"/>
    <col min="22" max="22" width="6.7109375" style="22" customWidth="1"/>
    <col min="23" max="25" width="9.140625" style="23" customWidth="1"/>
  </cols>
  <sheetData>
    <row r="1" spans="1:22" ht="16.5" customHeight="1" thickBot="1">
      <c r="A1" s="1288" t="s">
        <v>515</v>
      </c>
      <c r="B1" s="1289"/>
      <c r="C1" s="1289"/>
      <c r="D1" s="1289"/>
      <c r="E1" s="1289"/>
      <c r="F1" s="1289"/>
      <c r="G1" s="1289"/>
      <c r="H1" s="1289"/>
      <c r="I1" s="1289"/>
      <c r="J1" s="1289"/>
      <c r="K1" s="1289"/>
      <c r="L1" s="1289"/>
      <c r="M1" s="1289"/>
      <c r="N1" s="1289"/>
      <c r="O1" s="1289"/>
      <c r="P1" s="1289"/>
      <c r="Q1" s="1289"/>
      <c r="R1" s="1289"/>
      <c r="S1" s="1290"/>
      <c r="U1" s="30"/>
      <c r="V1" s="32"/>
    </row>
    <row r="2" spans="1:22" ht="15" customHeight="1">
      <c r="A2" s="1374" t="s">
        <v>623</v>
      </c>
      <c r="B2" s="1375"/>
      <c r="C2" s="1299"/>
      <c r="D2" s="1300"/>
      <c r="E2" s="1300"/>
      <c r="F2" s="1300"/>
      <c r="G2" s="1301"/>
      <c r="H2" s="838"/>
      <c r="I2" s="839"/>
      <c r="J2" s="839"/>
      <c r="K2" s="839"/>
      <c r="L2" s="840" t="s">
        <v>602</v>
      </c>
      <c r="M2" s="844" t="s">
        <v>671</v>
      </c>
      <c r="N2" s="246"/>
      <c r="O2" s="1"/>
      <c r="P2" s="2"/>
      <c r="Q2" s="17"/>
      <c r="R2" s="18"/>
      <c r="S2" s="3"/>
      <c r="V2" s="32"/>
    </row>
    <row r="3" spans="1:22" ht="15" customHeight="1" thickBot="1">
      <c r="A3" s="1376"/>
      <c r="B3" s="1377"/>
      <c r="C3" s="1305"/>
      <c r="D3" s="1306"/>
      <c r="E3" s="1306"/>
      <c r="F3" s="1306"/>
      <c r="G3" s="1307"/>
      <c r="H3" s="841"/>
      <c r="I3" s="842"/>
      <c r="J3" s="842"/>
      <c r="K3" s="842"/>
      <c r="L3" s="843" t="s">
        <v>615</v>
      </c>
      <c r="M3" s="845" t="s">
        <v>672</v>
      </c>
      <c r="N3" s="33"/>
      <c r="O3" s="15"/>
      <c r="P3" s="19"/>
      <c r="Q3" s="20"/>
      <c r="R3" s="21"/>
      <c r="S3" s="16"/>
      <c r="V3" s="32"/>
    </row>
    <row r="4" spans="1:22" ht="14.25" customHeight="1">
      <c r="A4" s="1378" t="s">
        <v>767</v>
      </c>
      <c r="B4" s="1379"/>
      <c r="C4" s="1380"/>
      <c r="D4" s="1381"/>
      <c r="E4" s="1381"/>
      <c r="F4" s="1381"/>
      <c r="G4" s="1382"/>
      <c r="H4" s="1259" t="s">
        <v>513</v>
      </c>
      <c r="I4" s="1293"/>
      <c r="J4" s="1293"/>
      <c r="K4" s="1293"/>
      <c r="L4" s="1293"/>
      <c r="M4" s="1293"/>
      <c r="N4" s="1293"/>
      <c r="O4" s="1293"/>
      <c r="P4" s="1260"/>
      <c r="Q4" s="1364">
        <v>0</v>
      </c>
      <c r="R4" s="1365"/>
      <c r="S4" s="14"/>
      <c r="V4" s="32"/>
    </row>
    <row r="5" spans="1:22" ht="12" customHeight="1">
      <c r="A5" s="1376"/>
      <c r="B5" s="1377"/>
      <c r="C5" s="1242"/>
      <c r="D5" s="1243"/>
      <c r="E5" s="1243"/>
      <c r="F5" s="1243"/>
      <c r="G5" s="1244"/>
      <c r="H5" s="967" t="s">
        <v>1</v>
      </c>
      <c r="I5" s="968"/>
      <c r="J5" s="968"/>
      <c r="K5" s="968"/>
      <c r="L5" s="968"/>
      <c r="M5" s="969"/>
      <c r="N5" s="1464">
        <v>0</v>
      </c>
      <c r="O5" s="1465"/>
      <c r="P5" s="12"/>
      <c r="Q5" s="13"/>
      <c r="R5" s="13"/>
      <c r="S5" s="14"/>
      <c r="V5" s="32"/>
    </row>
    <row r="6" spans="1:22" ht="16.5" customHeight="1">
      <c r="A6" s="1013" t="s">
        <v>603</v>
      </c>
      <c r="B6" s="1015"/>
      <c r="C6" s="1308"/>
      <c r="D6" s="1309"/>
      <c r="E6" s="1309"/>
      <c r="F6" s="1309"/>
      <c r="G6" s="1310"/>
      <c r="H6" s="1263"/>
      <c r="I6" s="1463"/>
      <c r="J6" s="1463"/>
      <c r="K6" s="1463"/>
      <c r="L6" s="1463"/>
      <c r="M6" s="1264"/>
      <c r="N6" s="1466"/>
      <c r="O6" s="1467"/>
      <c r="P6" s="390">
        <v>-0.4275</v>
      </c>
      <c r="Q6" s="391"/>
      <c r="R6" s="391"/>
      <c r="S6" s="257"/>
      <c r="V6" s="32"/>
    </row>
    <row r="7" spans="1:22" ht="16.5" customHeight="1" thickBot="1">
      <c r="A7" s="1245" t="s">
        <v>604</v>
      </c>
      <c r="B7" s="1246"/>
      <c r="C7" s="1254"/>
      <c r="D7" s="1256"/>
      <c r="E7" s="392" t="s">
        <v>616</v>
      </c>
      <c r="F7" s="1415">
        <f ca="1">IF(C7="","",NOW())</f>
      </c>
      <c r="G7" s="1416"/>
      <c r="H7" s="1453"/>
      <c r="I7" s="1454"/>
      <c r="J7" s="1454"/>
      <c r="K7" s="1454"/>
      <c r="L7" s="1455"/>
      <c r="M7" s="393"/>
      <c r="N7" s="393"/>
      <c r="O7" s="1413" t="s">
        <v>605</v>
      </c>
      <c r="P7" s="1413"/>
      <c r="Q7" s="1414"/>
      <c r="R7" s="988">
        <f>SUM(R28,R40,R49,J63,J74,J88,J123,R141,J169)</f>
        <v>0</v>
      </c>
      <c r="S7" s="989"/>
      <c r="V7" s="32"/>
    </row>
    <row r="8" spans="1:22" ht="15.75" customHeight="1" thickBot="1">
      <c r="A8" s="925" t="s">
        <v>823</v>
      </c>
      <c r="B8" s="924"/>
      <c r="C8" s="1204">
        <f>IF(F7="","",IF(OR(S11&lt;1,R12="YES"),"LOW PRIORITY",IF(R14="YES","HIGH PRIORITY","MEDIUM PRIORITY")))</f>
      </c>
      <c r="D8" s="1205"/>
      <c r="E8" s="1205"/>
      <c r="F8" s="1205"/>
      <c r="G8" s="1206"/>
      <c r="H8" s="394"/>
      <c r="I8" s="395"/>
      <c r="J8" s="395"/>
      <c r="K8" s="395"/>
      <c r="L8" s="395"/>
      <c r="M8" s="13"/>
      <c r="N8" s="13"/>
      <c r="O8" s="396"/>
      <c r="P8" s="396"/>
      <c r="Q8" s="396"/>
      <c r="R8" s="397"/>
      <c r="S8" s="398"/>
      <c r="V8" s="32"/>
    </row>
    <row r="9" spans="1:22" ht="18" customHeight="1" thickBot="1">
      <c r="A9" s="1360" t="s">
        <v>516</v>
      </c>
      <c r="B9" s="1361"/>
      <c r="C9" s="1361"/>
      <c r="D9" s="1361"/>
      <c r="E9" s="1361"/>
      <c r="F9" s="1361"/>
      <c r="G9" s="1361"/>
      <c r="H9" s="1361"/>
      <c r="I9" s="1361"/>
      <c r="J9" s="1361"/>
      <c r="K9" s="1361"/>
      <c r="L9" s="1361"/>
      <c r="M9" s="1361"/>
      <c r="N9" s="1361"/>
      <c r="O9" s="1361"/>
      <c r="P9" s="1361"/>
      <c r="Q9" s="1361"/>
      <c r="R9" s="1361"/>
      <c r="S9" s="1362"/>
      <c r="V9" s="32"/>
    </row>
    <row r="10" spans="1:22" ht="27.75" customHeight="1">
      <c r="A10" s="399" t="s">
        <v>541</v>
      </c>
      <c r="B10" s="1354" t="s">
        <v>600</v>
      </c>
      <c r="C10" s="1354"/>
      <c r="D10" s="1354"/>
      <c r="E10" s="1354"/>
      <c r="F10" s="1354"/>
      <c r="G10" s="1354"/>
      <c r="H10" s="1354"/>
      <c r="I10" s="1354"/>
      <c r="J10" s="1354"/>
      <c r="K10" s="1354"/>
      <c r="L10" s="1354"/>
      <c r="M10" s="1354"/>
      <c r="N10" s="1354"/>
      <c r="O10" s="1354"/>
      <c r="P10" s="1354"/>
      <c r="Q10" s="1355"/>
      <c r="R10" s="400"/>
      <c r="S10" s="401"/>
      <c r="V10" s="32"/>
    </row>
    <row r="11" spans="1:22" ht="26.25" customHeight="1" thickBot="1">
      <c r="A11" s="402" t="s">
        <v>542</v>
      </c>
      <c r="B11" s="1356" t="s">
        <v>601</v>
      </c>
      <c r="C11" s="1356"/>
      <c r="D11" s="1356"/>
      <c r="E11" s="1356"/>
      <c r="F11" s="1356"/>
      <c r="G11" s="1356"/>
      <c r="H11" s="1356"/>
      <c r="I11" s="1356"/>
      <c r="J11" s="1356"/>
      <c r="K11" s="1356"/>
      <c r="L11" s="1356"/>
      <c r="M11" s="1356"/>
      <c r="N11" s="1356"/>
      <c r="O11" s="1356"/>
      <c r="P11" s="1356"/>
      <c r="Q11" s="1357"/>
      <c r="R11" s="403"/>
      <c r="S11" s="404">
        <f>COUNTIF(R10:R11,"YES")</f>
        <v>0</v>
      </c>
      <c r="V11" s="32"/>
    </row>
    <row r="12" spans="1:22" ht="26.25" customHeight="1">
      <c r="A12" s="405" t="s">
        <v>364</v>
      </c>
      <c r="B12" s="1358" t="s">
        <v>279</v>
      </c>
      <c r="C12" s="1358"/>
      <c r="D12" s="1358"/>
      <c r="E12" s="1358"/>
      <c r="F12" s="1358"/>
      <c r="G12" s="1358"/>
      <c r="H12" s="1358"/>
      <c r="I12" s="1358"/>
      <c r="J12" s="1358"/>
      <c r="K12" s="1358"/>
      <c r="L12" s="1358"/>
      <c r="M12" s="1358"/>
      <c r="N12" s="1358"/>
      <c r="O12" s="1358"/>
      <c r="P12" s="1358"/>
      <c r="Q12" s="1359"/>
      <c r="R12" s="406"/>
      <c r="S12" s="407">
        <f>COUNTIF(R10:R12,"YES")</f>
        <v>0</v>
      </c>
      <c r="V12" s="32"/>
    </row>
    <row r="13" spans="1:22" ht="30.75" customHeight="1">
      <c r="A13" s="1371" t="s">
        <v>276</v>
      </c>
      <c r="B13" s="1372"/>
      <c r="C13" s="1372"/>
      <c r="D13" s="1372"/>
      <c r="E13" s="1372"/>
      <c r="F13" s="1372"/>
      <c r="G13" s="1372"/>
      <c r="H13" s="1372"/>
      <c r="I13" s="1372"/>
      <c r="J13" s="1372"/>
      <c r="K13" s="1372"/>
      <c r="L13" s="1372"/>
      <c r="M13" s="1372"/>
      <c r="N13" s="1372"/>
      <c r="O13" s="1372"/>
      <c r="P13" s="1372"/>
      <c r="Q13" s="1372"/>
      <c r="R13" s="1373"/>
      <c r="S13" s="408"/>
      <c r="V13" s="32"/>
    </row>
    <row r="14" spans="1:22" ht="25.5" customHeight="1">
      <c r="A14" s="405" t="s">
        <v>365</v>
      </c>
      <c r="B14" s="1369" t="s">
        <v>69</v>
      </c>
      <c r="C14" s="1369"/>
      <c r="D14" s="1369"/>
      <c r="E14" s="1369"/>
      <c r="F14" s="1369"/>
      <c r="G14" s="1369"/>
      <c r="H14" s="1369"/>
      <c r="I14" s="1369"/>
      <c r="J14" s="1369"/>
      <c r="K14" s="1369"/>
      <c r="L14" s="1369"/>
      <c r="M14" s="1369"/>
      <c r="N14" s="1369"/>
      <c r="O14" s="1369"/>
      <c r="P14" s="1369"/>
      <c r="Q14" s="1370"/>
      <c r="R14" s="406" t="s">
        <v>672</v>
      </c>
      <c r="S14" s="409"/>
      <c r="V14" s="32"/>
    </row>
    <row r="15" spans="1:22" ht="15" customHeight="1" thickBot="1">
      <c r="A15" s="1366" t="s">
        <v>827</v>
      </c>
      <c r="B15" s="1367"/>
      <c r="C15" s="1367"/>
      <c r="D15" s="1367"/>
      <c r="E15" s="1367"/>
      <c r="F15" s="1367"/>
      <c r="G15" s="1367"/>
      <c r="H15" s="1367"/>
      <c r="I15" s="1367"/>
      <c r="J15" s="1367"/>
      <c r="K15" s="1367"/>
      <c r="L15" s="1367"/>
      <c r="M15" s="1367"/>
      <c r="N15" s="1367"/>
      <c r="O15" s="1367"/>
      <c r="P15" s="1367"/>
      <c r="Q15" s="1367"/>
      <c r="R15" s="1368"/>
      <c r="S15" s="410"/>
      <c r="V15" s="32"/>
    </row>
    <row r="16" spans="1:22" ht="18.75" customHeight="1" thickBot="1">
      <c r="A16" s="937" t="s">
        <v>517</v>
      </c>
      <c r="B16" s="938"/>
      <c r="C16" s="938"/>
      <c r="D16" s="938"/>
      <c r="E16" s="938"/>
      <c r="F16" s="938"/>
      <c r="G16" s="938"/>
      <c r="H16" s="938"/>
      <c r="I16" s="938"/>
      <c r="J16" s="938"/>
      <c r="K16" s="938"/>
      <c r="L16" s="938"/>
      <c r="M16" s="938"/>
      <c r="N16" s="938"/>
      <c r="O16" s="938"/>
      <c r="P16" s="938"/>
      <c r="Q16" s="938"/>
      <c r="R16" s="938"/>
      <c r="S16" s="939"/>
      <c r="V16" s="32"/>
    </row>
    <row r="17" spans="1:22" ht="15" customHeight="1">
      <c r="A17" s="411" t="s">
        <v>798</v>
      </c>
      <c r="B17" s="412"/>
      <c r="C17" s="889" t="s">
        <v>682</v>
      </c>
      <c r="D17" s="889"/>
      <c r="E17" s="889"/>
      <c r="F17" s="889"/>
      <c r="G17" s="889"/>
      <c r="H17" s="889"/>
      <c r="I17" s="889"/>
      <c r="J17" s="889"/>
      <c r="K17" s="889"/>
      <c r="L17" s="889"/>
      <c r="M17" s="889"/>
      <c r="N17" s="889"/>
      <c r="O17" s="889"/>
      <c r="P17" s="889"/>
      <c r="Q17" s="889"/>
      <c r="R17" s="889"/>
      <c r="S17" s="887"/>
      <c r="V17" s="32"/>
    </row>
    <row r="18" spans="1:22" ht="15" customHeight="1" thickBot="1">
      <c r="A18" s="1350" t="s">
        <v>34</v>
      </c>
      <c r="B18" s="1351"/>
      <c r="C18" s="1351"/>
      <c r="D18" s="1351"/>
      <c r="E18" s="1351"/>
      <c r="F18" s="1351"/>
      <c r="G18" s="1351"/>
      <c r="H18" s="1351"/>
      <c r="I18" s="1351"/>
      <c r="J18" s="1351"/>
      <c r="K18" s="1351"/>
      <c r="L18" s="1351"/>
      <c r="M18" s="1351"/>
      <c r="N18" s="1351"/>
      <c r="O18" s="1351"/>
      <c r="P18" s="1351"/>
      <c r="Q18" s="1352"/>
      <c r="R18" s="1351"/>
      <c r="S18" s="1353"/>
      <c r="V18" s="32"/>
    </row>
    <row r="19" spans="1:22" ht="15" customHeight="1" thickTop="1">
      <c r="A19" s="1459" t="s">
        <v>264</v>
      </c>
      <c r="B19" s="1460"/>
      <c r="C19" s="820" t="s">
        <v>260</v>
      </c>
      <c r="D19" s="313"/>
      <c r="E19" s="413"/>
      <c r="F19" s="313" t="s">
        <v>80</v>
      </c>
      <c r="G19" s="313"/>
      <c r="H19" s="1468" t="s">
        <v>271</v>
      </c>
      <c r="I19" s="1468"/>
      <c r="J19" s="1468"/>
      <c r="K19" s="816" t="s">
        <v>268</v>
      </c>
      <c r="L19" s="817"/>
      <c r="M19" s="313"/>
      <c r="N19" s="313"/>
      <c r="O19" s="313"/>
      <c r="P19" s="313"/>
      <c r="Q19" s="414"/>
      <c r="R19" s="313" t="s">
        <v>82</v>
      </c>
      <c r="S19" s="415"/>
      <c r="V19" s="32"/>
    </row>
    <row r="20" spans="1:22" ht="15" customHeight="1">
      <c r="A20" s="1461"/>
      <c r="B20" s="1462"/>
      <c r="C20" s="820" t="s">
        <v>261</v>
      </c>
      <c r="D20" s="313"/>
      <c r="E20" s="416"/>
      <c r="F20" s="313" t="s">
        <v>81</v>
      </c>
      <c r="G20" s="313"/>
      <c r="H20" s="1469"/>
      <c r="I20" s="1469"/>
      <c r="J20" s="1469"/>
      <c r="K20" s="818" t="s">
        <v>269</v>
      </c>
      <c r="L20" s="817"/>
      <c r="M20" s="313"/>
      <c r="N20" s="313"/>
      <c r="O20" s="313"/>
      <c r="P20" s="313"/>
      <c r="Q20" s="417"/>
      <c r="R20" s="313" t="s">
        <v>762</v>
      </c>
      <c r="S20" s="418"/>
      <c r="V20" s="32"/>
    </row>
    <row r="21" spans="1:22" ht="15" customHeight="1">
      <c r="A21" s="1461"/>
      <c r="B21" s="1462"/>
      <c r="C21" s="302"/>
      <c r="D21" s="302"/>
      <c r="E21" s="302"/>
      <c r="F21" s="313"/>
      <c r="G21" s="302"/>
      <c r="H21" s="1469"/>
      <c r="I21" s="1469"/>
      <c r="J21" s="1469"/>
      <c r="K21" s="818" t="s">
        <v>270</v>
      </c>
      <c r="L21" s="819"/>
      <c r="M21" s="302"/>
      <c r="N21" s="302"/>
      <c r="O21" s="302"/>
      <c r="P21" s="302"/>
      <c r="Q21" s="417"/>
      <c r="R21" s="302" t="s">
        <v>83</v>
      </c>
      <c r="S21" s="419"/>
      <c r="V21" s="32"/>
    </row>
    <row r="22" spans="1:22" ht="15" customHeight="1">
      <c r="A22" s="821"/>
      <c r="B22" s="1456" t="s">
        <v>262</v>
      </c>
      <c r="C22" s="1456"/>
      <c r="D22" s="1457"/>
      <c r="E22" s="114"/>
      <c r="F22" s="313" t="s">
        <v>84</v>
      </c>
      <c r="G22" s="302"/>
      <c r="H22" s="302"/>
      <c r="I22" s="302"/>
      <c r="J22" s="302"/>
      <c r="K22" s="302"/>
      <c r="L22" s="302"/>
      <c r="M22" s="302"/>
      <c r="N22" s="302"/>
      <c r="O22" s="302"/>
      <c r="P22" s="302"/>
      <c r="Q22" s="302"/>
      <c r="R22" s="302"/>
      <c r="S22" s="419"/>
      <c r="V22" s="32"/>
    </row>
    <row r="23" spans="1:22" ht="15" customHeight="1">
      <c r="A23" s="1458" t="s">
        <v>263</v>
      </c>
      <c r="B23" s="1456"/>
      <c r="C23" s="1456"/>
      <c r="D23" s="1457"/>
      <c r="E23" s="422"/>
      <c r="F23" s="313" t="s">
        <v>85</v>
      </c>
      <c r="G23" s="302"/>
      <c r="H23" s="302"/>
      <c r="I23" s="302"/>
      <c r="J23" s="302"/>
      <c r="K23" s="302"/>
      <c r="L23" s="302"/>
      <c r="M23" s="302"/>
      <c r="N23" s="302"/>
      <c r="O23" s="1470" t="s">
        <v>506</v>
      </c>
      <c r="P23" s="1278"/>
      <c r="Q23" s="1278"/>
      <c r="R23" s="1471"/>
      <c r="S23" s="419"/>
      <c r="V23" s="32"/>
    </row>
    <row r="24" spans="1:22" ht="8.25" customHeight="1">
      <c r="A24" s="420"/>
      <c r="B24" s="302"/>
      <c r="C24" s="302"/>
      <c r="D24" s="302"/>
      <c r="E24" s="302"/>
      <c r="F24" s="302"/>
      <c r="G24" s="302"/>
      <c r="H24" s="302"/>
      <c r="I24" s="302"/>
      <c r="J24" s="302"/>
      <c r="K24" s="302"/>
      <c r="L24" s="302"/>
      <c r="M24" s="302"/>
      <c r="N24" s="302"/>
      <c r="O24" s="1278"/>
      <c r="P24" s="1278"/>
      <c r="Q24" s="1278"/>
      <c r="R24" s="1471"/>
      <c r="S24" s="419"/>
      <c r="V24" s="32"/>
    </row>
    <row r="25" spans="1:22" ht="15" customHeight="1">
      <c r="A25" s="420"/>
      <c r="B25" s="302"/>
      <c r="C25" s="302"/>
      <c r="D25" s="302"/>
      <c r="E25" s="822" t="s">
        <v>265</v>
      </c>
      <c r="F25" s="91">
        <f>IF(E22="",0,E19/100*E20/E22)</f>
        <v>0</v>
      </c>
      <c r="G25" s="313" t="s">
        <v>86</v>
      </c>
      <c r="H25" s="302"/>
      <c r="I25" s="1348" t="s">
        <v>267</v>
      </c>
      <c r="J25" s="1348"/>
      <c r="K25" s="1348"/>
      <c r="L25" s="1349"/>
      <c r="M25" s="91">
        <f>IF(F25=0,0,IF(F25&gt;8,6.8347*LN(F25)-12.837,0.01))</f>
        <v>0</v>
      </c>
      <c r="N25" s="313" t="s">
        <v>88</v>
      </c>
      <c r="O25" s="1278"/>
      <c r="P25" s="1278"/>
      <c r="Q25" s="1278"/>
      <c r="R25" s="1471"/>
      <c r="S25" s="419"/>
      <c r="V25" s="32"/>
    </row>
    <row r="26" spans="1:22" ht="15" customHeight="1">
      <c r="A26" s="420"/>
      <c r="B26" s="302"/>
      <c r="C26" s="302"/>
      <c r="D26" s="302"/>
      <c r="E26" s="4" t="s">
        <v>266</v>
      </c>
      <c r="F26" s="91">
        <f>IF(E22="",0,Q19*Q20*Q21/E22)</f>
        <v>0</v>
      </c>
      <c r="G26" s="313" t="s">
        <v>87</v>
      </c>
      <c r="H26" s="302"/>
      <c r="I26" s="1348" t="s">
        <v>267</v>
      </c>
      <c r="J26" s="1348"/>
      <c r="K26" s="1348"/>
      <c r="L26" s="1349"/>
      <c r="M26" s="91">
        <f>IF(F26=0,0,IF(F26&gt;8,6.8347*LN(F26)-12.837,0.01))</f>
        <v>0</v>
      </c>
      <c r="N26" s="313" t="s">
        <v>89</v>
      </c>
      <c r="O26" s="1278"/>
      <c r="P26" s="1278"/>
      <c r="Q26" s="1278"/>
      <c r="R26" s="1471"/>
      <c r="S26" s="419"/>
      <c r="V26" s="32"/>
    </row>
    <row r="27" spans="1:22" ht="3" customHeight="1" thickBot="1">
      <c r="A27" s="420"/>
      <c r="B27" s="302"/>
      <c r="C27" s="302"/>
      <c r="D27" s="302"/>
      <c r="E27" s="362"/>
      <c r="F27" s="424"/>
      <c r="G27" s="302"/>
      <c r="H27" s="302"/>
      <c r="I27" s="315"/>
      <c r="J27" s="315"/>
      <c r="K27" s="315"/>
      <c r="L27" s="315"/>
      <c r="M27" s="425"/>
      <c r="N27" s="302"/>
      <c r="O27" s="302"/>
      <c r="P27" s="302"/>
      <c r="Q27" s="302"/>
      <c r="R27" s="302"/>
      <c r="S27" s="548"/>
      <c r="V27" s="32"/>
    </row>
    <row r="28" spans="1:22" ht="15" customHeight="1" thickBot="1">
      <c r="A28" s="426" t="s">
        <v>90</v>
      </c>
      <c r="B28" s="302"/>
      <c r="C28" s="302"/>
      <c r="D28" s="302"/>
      <c r="E28" s="302"/>
      <c r="F28" s="427"/>
      <c r="G28" s="302"/>
      <c r="H28" s="302"/>
      <c r="I28" s="302"/>
      <c r="J28" s="302"/>
      <c r="K28" s="302"/>
      <c r="L28" s="302"/>
      <c r="M28" s="302"/>
      <c r="N28" s="302"/>
      <c r="O28" s="302"/>
      <c r="P28" s="302"/>
      <c r="Q28" s="302"/>
      <c r="R28" s="940">
        <f>M25+M26</f>
        <v>0</v>
      </c>
      <c r="S28" s="1363"/>
      <c r="V28" s="32"/>
    </row>
    <row r="29" spans="1:22" ht="15" customHeight="1">
      <c r="A29" s="308" t="s">
        <v>799</v>
      </c>
      <c r="B29" s="309"/>
      <c r="C29" s="889" t="s">
        <v>55</v>
      </c>
      <c r="D29" s="889"/>
      <c r="E29" s="889"/>
      <c r="F29" s="1062"/>
      <c r="G29" s="889"/>
      <c r="H29" s="889"/>
      <c r="I29" s="889"/>
      <c r="J29" s="889"/>
      <c r="K29" s="889"/>
      <c r="L29" s="889"/>
      <c r="M29" s="889"/>
      <c r="N29" s="889"/>
      <c r="O29" s="889"/>
      <c r="P29" s="889"/>
      <c r="Q29" s="889"/>
      <c r="R29" s="889"/>
      <c r="S29" s="887"/>
      <c r="V29" s="32"/>
    </row>
    <row r="30" spans="1:22" ht="12.75" customHeight="1" thickBot="1">
      <c r="A30" s="428" t="s">
        <v>209</v>
      </c>
      <c r="B30" s="429"/>
      <c r="C30" s="430"/>
      <c r="D30" s="429"/>
      <c r="E30" s="429"/>
      <c r="F30" s="429"/>
      <c r="G30" s="429"/>
      <c r="H30" s="429"/>
      <c r="I30" s="431"/>
      <c r="J30" s="431"/>
      <c r="K30" s="431"/>
      <c r="L30" s="431"/>
      <c r="M30" s="430"/>
      <c r="N30" s="429"/>
      <c r="O30" s="429"/>
      <c r="P30" s="429"/>
      <c r="Q30" s="432"/>
      <c r="R30" s="433"/>
      <c r="S30" s="434"/>
      <c r="V30" s="32"/>
    </row>
    <row r="31" spans="1:22" ht="15.75" customHeight="1">
      <c r="A31" s="341"/>
      <c r="B31" s="329"/>
      <c r="C31" s="435"/>
      <c r="D31" s="329"/>
      <c r="E31" s="329"/>
      <c r="F31" s="329"/>
      <c r="G31" s="329"/>
      <c r="H31" s="329"/>
      <c r="I31" s="328"/>
      <c r="J31" s="328"/>
      <c r="K31" s="328"/>
      <c r="L31" s="328"/>
      <c r="M31" s="435"/>
      <c r="N31" s="329"/>
      <c r="O31" s="329"/>
      <c r="P31" s="329"/>
      <c r="Q31" s="436"/>
      <c r="R31" s="437"/>
      <c r="S31" s="438"/>
      <c r="V31" s="32"/>
    </row>
    <row r="32" spans="1:22" ht="15" customHeight="1">
      <c r="A32" s="247"/>
      <c r="B32" s="1346"/>
      <c r="C32" s="928" t="s">
        <v>456</v>
      </c>
      <c r="D32" s="929"/>
      <c r="E32" s="929"/>
      <c r="F32" s="929"/>
      <c r="G32" s="929"/>
      <c r="H32" s="929"/>
      <c r="I32" s="929"/>
      <c r="J32" s="929"/>
      <c r="K32" s="929"/>
      <c r="L32" s="930"/>
      <c r="M32" s="248"/>
      <c r="N32" s="1214" t="s">
        <v>61</v>
      </c>
      <c r="O32" s="1214"/>
      <c r="P32" s="1214"/>
      <c r="Q32" s="1214"/>
      <c r="R32" s="437"/>
      <c r="S32" s="439"/>
      <c r="V32" s="32"/>
    </row>
    <row r="33" spans="1:22" ht="15" customHeight="1">
      <c r="A33" s="247"/>
      <c r="B33" s="1347"/>
      <c r="C33" s="931"/>
      <c r="D33" s="932"/>
      <c r="E33" s="932"/>
      <c r="F33" s="932"/>
      <c r="G33" s="932"/>
      <c r="H33" s="932"/>
      <c r="I33" s="932"/>
      <c r="J33" s="932"/>
      <c r="K33" s="932"/>
      <c r="L33" s="933"/>
      <c r="M33" s="248"/>
      <c r="N33" s="1214"/>
      <c r="O33" s="1214"/>
      <c r="P33" s="1214"/>
      <c r="Q33" s="1214"/>
      <c r="R33" s="437"/>
      <c r="S33" s="440">
        <v>3</v>
      </c>
      <c r="V33" s="32"/>
    </row>
    <row r="34" spans="1:22" ht="14.25" customHeight="1">
      <c r="A34" s="441"/>
      <c r="B34" s="1346"/>
      <c r="C34" s="928" t="s">
        <v>459</v>
      </c>
      <c r="D34" s="929"/>
      <c r="E34" s="929"/>
      <c r="F34" s="929"/>
      <c r="G34" s="929"/>
      <c r="H34" s="929"/>
      <c r="I34" s="929"/>
      <c r="J34" s="929"/>
      <c r="K34" s="929"/>
      <c r="L34" s="930"/>
      <c r="M34" s="442"/>
      <c r="N34" s="1214"/>
      <c r="O34" s="1214"/>
      <c r="P34" s="1214"/>
      <c r="Q34" s="1214"/>
      <c r="R34" s="437"/>
      <c r="S34" s="439"/>
      <c r="V34" s="32"/>
    </row>
    <row r="35" spans="1:22" ht="23.25" customHeight="1">
      <c r="A35" s="441"/>
      <c r="B35" s="1347"/>
      <c r="C35" s="931"/>
      <c r="D35" s="932"/>
      <c r="E35" s="932"/>
      <c r="F35" s="932"/>
      <c r="G35" s="932"/>
      <c r="H35" s="932"/>
      <c r="I35" s="932"/>
      <c r="J35" s="932"/>
      <c r="K35" s="932"/>
      <c r="L35" s="933"/>
      <c r="M35" s="248"/>
      <c r="N35" s="443"/>
      <c r="O35" s="444" t="s">
        <v>661</v>
      </c>
      <c r="P35" s="443"/>
      <c r="Q35" s="445" t="s">
        <v>662</v>
      </c>
      <c r="R35" s="437"/>
      <c r="S35" s="439"/>
      <c r="V35" s="32"/>
    </row>
    <row r="36" spans="1:22" ht="15" customHeight="1" thickBot="1">
      <c r="A36" s="441"/>
      <c r="B36" s="1121"/>
      <c r="C36" s="928" t="s">
        <v>461</v>
      </c>
      <c r="D36" s="929"/>
      <c r="E36" s="929"/>
      <c r="F36" s="929"/>
      <c r="G36" s="929"/>
      <c r="H36" s="929"/>
      <c r="I36" s="929"/>
      <c r="J36" s="929"/>
      <c r="K36" s="929"/>
      <c r="L36" s="930"/>
      <c r="M36" s="375"/>
      <c r="N36" s="248"/>
      <c r="O36" s="248"/>
      <c r="P36" s="248"/>
      <c r="Q36" s="446"/>
      <c r="R36" s="447"/>
      <c r="S36" s="448">
        <v>2</v>
      </c>
      <c r="V36" s="32"/>
    </row>
    <row r="37" spans="1:22" ht="15" customHeight="1" thickBot="1" thickTop="1">
      <c r="A37" s="441"/>
      <c r="B37" s="1122"/>
      <c r="C37" s="931"/>
      <c r="D37" s="932"/>
      <c r="E37" s="932"/>
      <c r="F37" s="932"/>
      <c r="G37" s="932"/>
      <c r="H37" s="932"/>
      <c r="I37" s="932"/>
      <c r="J37" s="932"/>
      <c r="K37" s="932"/>
      <c r="L37" s="933"/>
      <c r="M37" s="248"/>
      <c r="N37" s="1394" t="s">
        <v>56</v>
      </c>
      <c r="O37" s="1394"/>
      <c r="P37" s="1394"/>
      <c r="Q37" s="549">
        <f>IF(S36=1,5,0)</f>
        <v>0</v>
      </c>
      <c r="R37" s="449" t="s">
        <v>739</v>
      </c>
      <c r="S37" s="439"/>
      <c r="V37" s="32"/>
    </row>
    <row r="38" spans="1:22" ht="14.25" customHeight="1" thickBot="1" thickTop="1">
      <c r="A38" s="441"/>
      <c r="B38" s="340"/>
      <c r="C38" s="340"/>
      <c r="D38" s="340"/>
      <c r="E38" s="340"/>
      <c r="F38" s="340"/>
      <c r="G38" s="340"/>
      <c r="H38" s="340"/>
      <c r="I38" s="248"/>
      <c r="J38" s="340"/>
      <c r="K38" s="340"/>
      <c r="L38" s="450"/>
      <c r="M38" s="442"/>
      <c r="N38" s="442"/>
      <c r="O38" s="451"/>
      <c r="P38" s="451"/>
      <c r="Q38" s="84"/>
      <c r="R38" s="437"/>
      <c r="S38" s="439"/>
      <c r="V38" s="32"/>
    </row>
    <row r="39" spans="1:22" ht="15" customHeight="1" thickBot="1" thickTop="1">
      <c r="A39" s="441"/>
      <c r="B39" s="340"/>
      <c r="C39" s="340"/>
      <c r="D39" s="340"/>
      <c r="E39" s="340"/>
      <c r="F39" s="340"/>
      <c r="G39" s="340"/>
      <c r="H39" s="421" t="s">
        <v>589</v>
      </c>
      <c r="I39" s="1396">
        <f>IF(S33=1,5,IF(S33=2,2,0))</f>
        <v>0</v>
      </c>
      <c r="J39" s="1397"/>
      <c r="K39" s="452" t="s">
        <v>587</v>
      </c>
      <c r="L39" s="450"/>
      <c r="M39" s="442"/>
      <c r="N39" s="442"/>
      <c r="O39" s="451"/>
      <c r="P39" s="451"/>
      <c r="Q39" s="84"/>
      <c r="R39" s="437"/>
      <c r="S39" s="453"/>
      <c r="V39" s="32"/>
    </row>
    <row r="40" spans="1:22" ht="15" customHeight="1" thickBot="1" thickTop="1">
      <c r="A40" s="345" t="s">
        <v>462</v>
      </c>
      <c r="B40" s="356"/>
      <c r="C40" s="356"/>
      <c r="D40" s="356"/>
      <c r="E40" s="1483"/>
      <c r="F40" s="1483"/>
      <c r="G40" s="1483"/>
      <c r="H40" s="1483"/>
      <c r="I40" s="1386"/>
      <c r="J40" s="1386"/>
      <c r="K40" s="356"/>
      <c r="L40" s="356"/>
      <c r="M40" s="356"/>
      <c r="N40" s="356"/>
      <c r="O40" s="356"/>
      <c r="P40" s="356"/>
      <c r="Q40" s="454" t="s">
        <v>670</v>
      </c>
      <c r="R40" s="940">
        <f>I39+Q37</f>
        <v>0</v>
      </c>
      <c r="S40" s="941"/>
      <c r="V40" s="32"/>
    </row>
    <row r="41" spans="1:22" ht="17.25" customHeight="1">
      <c r="A41" s="308" t="s">
        <v>803</v>
      </c>
      <c r="B41" s="309"/>
      <c r="C41" s="1423" t="s">
        <v>676</v>
      </c>
      <c r="D41" s="1423"/>
      <c r="E41" s="1423"/>
      <c r="F41" s="1423"/>
      <c r="G41" s="1423"/>
      <c r="H41" s="1423"/>
      <c r="I41" s="1423"/>
      <c r="J41" s="1423"/>
      <c r="K41" s="1423"/>
      <c r="L41" s="1423"/>
      <c r="M41" s="1423"/>
      <c r="N41" s="1423"/>
      <c r="O41" s="1423"/>
      <c r="P41" s="1423"/>
      <c r="Q41" s="1423"/>
      <c r="R41" s="1423"/>
      <c r="S41" s="1424"/>
      <c r="V41" s="32"/>
    </row>
    <row r="42" spans="1:22" ht="28.5" customHeight="1" thickBot="1">
      <c r="A42" s="914" t="s">
        <v>706</v>
      </c>
      <c r="B42" s="908"/>
      <c r="C42" s="908"/>
      <c r="D42" s="908"/>
      <c r="E42" s="908"/>
      <c r="F42" s="908"/>
      <c r="G42" s="908"/>
      <c r="H42" s="908"/>
      <c r="I42" s="908"/>
      <c r="J42" s="908"/>
      <c r="K42" s="908"/>
      <c r="L42" s="908"/>
      <c r="M42" s="908"/>
      <c r="N42" s="908"/>
      <c r="O42" s="908"/>
      <c r="P42" s="908"/>
      <c r="Q42" s="908"/>
      <c r="R42" s="908"/>
      <c r="S42" s="909"/>
      <c r="V42" s="32"/>
    </row>
    <row r="43" spans="1:22" ht="8.25" customHeight="1" thickTop="1">
      <c r="A43" s="247"/>
      <c r="B43" s="455"/>
      <c r="C43" s="455"/>
      <c r="D43" s="455"/>
      <c r="E43" s="455"/>
      <c r="F43" s="455"/>
      <c r="G43" s="455"/>
      <c r="H43" s="455"/>
      <c r="I43" s="455"/>
      <c r="J43" s="455"/>
      <c r="K43" s="318"/>
      <c r="L43" s="328"/>
      <c r="M43" s="435"/>
      <c r="N43" s="329"/>
      <c r="O43" s="329"/>
      <c r="P43" s="329"/>
      <c r="Q43" s="436"/>
      <c r="R43" s="437"/>
      <c r="S43" s="456"/>
      <c r="V43" s="32"/>
    </row>
    <row r="44" spans="1:22" ht="15" customHeight="1">
      <c r="A44" s="247"/>
      <c r="B44" s="455"/>
      <c r="C44" s="455"/>
      <c r="D44" s="455"/>
      <c r="E44" s="455"/>
      <c r="F44" s="455"/>
      <c r="G44" s="455"/>
      <c r="H44" s="455"/>
      <c r="I44" s="457" t="s">
        <v>79</v>
      </c>
      <c r="J44" s="1060">
        <f>Q4</f>
        <v>0</v>
      </c>
      <c r="K44" s="1425"/>
      <c r="L44" s="1061"/>
      <c r="M44" s="294" t="s">
        <v>375</v>
      </c>
      <c r="N44" s="362"/>
      <c r="O44" s="362"/>
      <c r="P44" s="248"/>
      <c r="Q44" s="458"/>
      <c r="R44" s="459"/>
      <c r="S44" s="460"/>
      <c r="V44" s="32"/>
    </row>
    <row r="45" spans="1:22" ht="16.5" customHeight="1" thickBot="1">
      <c r="A45" s="247"/>
      <c r="B45" s="315"/>
      <c r="C45" s="315"/>
      <c r="D45" s="315"/>
      <c r="E45" s="315"/>
      <c r="F45" s="315"/>
      <c r="G45" s="315"/>
      <c r="H45" s="315"/>
      <c r="I45" s="316" t="s">
        <v>372</v>
      </c>
      <c r="J45" s="912">
        <v>0</v>
      </c>
      <c r="K45" s="1429"/>
      <c r="L45" s="913"/>
      <c r="M45" s="294" t="s">
        <v>376</v>
      </c>
      <c r="N45" s="362"/>
      <c r="O45" s="451"/>
      <c r="P45" s="451"/>
      <c r="Q45" s="458"/>
      <c r="R45" s="459"/>
      <c r="S45" s="460"/>
      <c r="V45" s="32"/>
    </row>
    <row r="46" spans="1:22" ht="15.75" customHeight="1" thickBot="1" thickTop="1">
      <c r="A46" s="247"/>
      <c r="B46" s="248"/>
      <c r="C46" s="248"/>
      <c r="D46" s="248"/>
      <c r="E46" s="248"/>
      <c r="F46" s="248"/>
      <c r="G46" s="248"/>
      <c r="H46" s="248"/>
      <c r="I46" s="315" t="s">
        <v>374</v>
      </c>
      <c r="J46" s="1426">
        <f>IF(J45=0,0,J45/J44)</f>
        <v>0</v>
      </c>
      <c r="K46" s="1427"/>
      <c r="L46" s="1428"/>
      <c r="M46" s="294" t="s">
        <v>377</v>
      </c>
      <c r="N46" s="1032" t="s">
        <v>43</v>
      </c>
      <c r="O46" s="1032"/>
      <c r="P46" s="1393"/>
      <c r="Q46" s="550">
        <f>IF(J45=0,0,-4.2252*LN(J46)+23.705)</f>
        <v>0</v>
      </c>
      <c r="R46" s="294" t="s">
        <v>41</v>
      </c>
      <c r="S46" s="461"/>
      <c r="V46" s="32"/>
    </row>
    <row r="47" spans="1:22" ht="6.75" customHeight="1" thickTop="1">
      <c r="A47" s="247"/>
      <c r="B47" s="248"/>
      <c r="C47" s="248"/>
      <c r="D47" s="248"/>
      <c r="E47" s="248"/>
      <c r="F47" s="248"/>
      <c r="G47" s="248"/>
      <c r="H47" s="248"/>
      <c r="I47" s="315"/>
      <c r="J47" s="462"/>
      <c r="K47" s="462"/>
      <c r="L47" s="462"/>
      <c r="M47" s="294"/>
      <c r="N47" s="362"/>
      <c r="O47" s="451"/>
      <c r="P47" s="451"/>
      <c r="Q47" s="248"/>
      <c r="R47" s="248"/>
      <c r="S47" s="461"/>
      <c r="V47" s="32"/>
    </row>
    <row r="48" spans="1:22" ht="15" customHeight="1" thickBot="1">
      <c r="A48" s="1434" t="s">
        <v>707</v>
      </c>
      <c r="B48" s="1435"/>
      <c r="C48" s="1435"/>
      <c r="D48" s="1435"/>
      <c r="E48" s="1435"/>
      <c r="F48" s="1435"/>
      <c r="G48" s="1435"/>
      <c r="H48" s="1435"/>
      <c r="I48" s="1435"/>
      <c r="J48" s="1435"/>
      <c r="K48" s="462"/>
      <c r="L48" s="462"/>
      <c r="M48" s="294"/>
      <c r="N48" s="362"/>
      <c r="O48" s="451"/>
      <c r="P48" s="451"/>
      <c r="Q48" s="248"/>
      <c r="R48" s="248"/>
      <c r="S48" s="461"/>
      <c r="V48" s="32"/>
    </row>
    <row r="49" spans="1:22" ht="15.75" customHeight="1" thickBot="1">
      <c r="A49" s="1436"/>
      <c r="B49" s="1437"/>
      <c r="C49" s="1437"/>
      <c r="D49" s="1437"/>
      <c r="E49" s="1437"/>
      <c r="F49" s="1437"/>
      <c r="G49" s="1437"/>
      <c r="H49" s="1437"/>
      <c r="I49" s="1437"/>
      <c r="J49" s="1437"/>
      <c r="K49" s="463"/>
      <c r="L49" s="463"/>
      <c r="M49" s="464"/>
      <c r="N49" s="465"/>
      <c r="O49" s="466"/>
      <c r="P49" s="466"/>
      <c r="Q49" s="454" t="s">
        <v>677</v>
      </c>
      <c r="R49" s="940">
        <f>IF(Q46&lt;0,0,IF(Q46&gt;15,15,Q46))</f>
        <v>0</v>
      </c>
      <c r="S49" s="941"/>
      <c r="V49" s="32"/>
    </row>
    <row r="50" spans="1:22" ht="18.75" customHeight="1" thickBot="1">
      <c r="A50" s="937" t="s">
        <v>518</v>
      </c>
      <c r="B50" s="938"/>
      <c r="C50" s="938"/>
      <c r="D50" s="938"/>
      <c r="E50" s="938"/>
      <c r="F50" s="938"/>
      <c r="G50" s="938"/>
      <c r="H50" s="938"/>
      <c r="I50" s="938"/>
      <c r="J50" s="938"/>
      <c r="K50" s="938"/>
      <c r="L50" s="938"/>
      <c r="M50" s="938"/>
      <c r="N50" s="938"/>
      <c r="O50" s="938"/>
      <c r="P50" s="938"/>
      <c r="Q50" s="938"/>
      <c r="R50" s="938"/>
      <c r="S50" s="939"/>
      <c r="V50" s="32"/>
    </row>
    <row r="51" spans="1:22" ht="16.5" thickBot="1">
      <c r="A51" s="308" t="s">
        <v>798</v>
      </c>
      <c r="B51" s="357"/>
      <c r="C51" s="910" t="s">
        <v>612</v>
      </c>
      <c r="D51" s="910"/>
      <c r="E51" s="910"/>
      <c r="F51" s="910"/>
      <c r="G51" s="910"/>
      <c r="H51" s="910"/>
      <c r="I51" s="910"/>
      <c r="J51" s="910"/>
      <c r="K51" s="910"/>
      <c r="L51" s="911"/>
      <c r="M51" s="867" t="s">
        <v>673</v>
      </c>
      <c r="N51" s="868"/>
      <c r="O51" s="868"/>
      <c r="P51" s="868"/>
      <c r="Q51" s="861" t="s">
        <v>674</v>
      </c>
      <c r="R51" s="861"/>
      <c r="S51" s="866"/>
      <c r="V51" s="32"/>
    </row>
    <row r="52" spans="1:22" ht="12.75" customHeight="1" thickTop="1">
      <c r="A52" s="467"/>
      <c r="B52" s="412"/>
      <c r="C52" s="1484"/>
      <c r="D52" s="1484"/>
      <c r="E52" s="1484"/>
      <c r="F52" s="1484"/>
      <c r="G52" s="1484"/>
      <c r="H52" s="1484"/>
      <c r="I52" s="1484"/>
      <c r="J52" s="1484"/>
      <c r="K52" s="1484"/>
      <c r="L52" s="1485"/>
      <c r="M52" s="1472" t="s">
        <v>781</v>
      </c>
      <c r="N52" s="1473"/>
      <c r="O52" s="1473"/>
      <c r="P52" s="1473"/>
      <c r="Q52" s="1473"/>
      <c r="R52" s="1473"/>
      <c r="S52" s="1474"/>
      <c r="V52" s="32"/>
    </row>
    <row r="53" spans="1:22" ht="13.5" customHeight="1" thickBot="1">
      <c r="A53" s="468" t="s">
        <v>583</v>
      </c>
      <c r="B53" s="349"/>
      <c r="C53" s="349"/>
      <c r="D53" s="350"/>
      <c r="E53" s="350"/>
      <c r="F53" s="350"/>
      <c r="G53" s="350"/>
      <c r="H53" s="350"/>
      <c r="I53" s="350"/>
      <c r="J53" s="350"/>
      <c r="K53" s="350"/>
      <c r="L53" s="351"/>
      <c r="M53" s="1475"/>
      <c r="N53" s="1476"/>
      <c r="O53" s="1476"/>
      <c r="P53" s="1476"/>
      <c r="Q53" s="1476"/>
      <c r="R53" s="1476"/>
      <c r="S53" s="1477"/>
      <c r="T53" s="24"/>
      <c r="V53" s="32"/>
    </row>
    <row r="54" spans="1:22" ht="14.25" customHeight="1" thickTop="1">
      <c r="A54" s="247"/>
      <c r="B54" s="248"/>
      <c r="C54" s="248"/>
      <c r="D54" s="248"/>
      <c r="E54" s="362" t="s">
        <v>607</v>
      </c>
      <c r="F54" s="1430"/>
      <c r="G54" s="1431"/>
      <c r="H54" s="469" t="s">
        <v>91</v>
      </c>
      <c r="I54" s="367"/>
      <c r="J54" s="248"/>
      <c r="K54" s="353"/>
      <c r="L54" s="353"/>
      <c r="M54" s="1478"/>
      <c r="N54" s="1479"/>
      <c r="O54" s="1479"/>
      <c r="P54" s="1479"/>
      <c r="Q54" s="1479"/>
      <c r="R54" s="1479"/>
      <c r="S54" s="1480"/>
      <c r="V54" s="32"/>
    </row>
    <row r="55" spans="1:22" ht="13.5" customHeight="1">
      <c r="A55" s="247"/>
      <c r="B55" s="248"/>
      <c r="C55" s="248"/>
      <c r="D55" s="248"/>
      <c r="E55" s="362" t="s">
        <v>608</v>
      </c>
      <c r="F55" s="1419"/>
      <c r="G55" s="1420"/>
      <c r="H55" s="469" t="s">
        <v>92</v>
      </c>
      <c r="I55" s="248"/>
      <c r="J55" s="248"/>
      <c r="K55" s="320"/>
      <c r="L55" s="320"/>
      <c r="M55" s="1390"/>
      <c r="N55" s="1391"/>
      <c r="O55" s="1391"/>
      <c r="P55" s="1391"/>
      <c r="Q55" s="1391"/>
      <c r="R55" s="1391"/>
      <c r="S55" s="1392"/>
      <c r="V55" s="32"/>
    </row>
    <row r="56" spans="1:22" ht="6" customHeight="1">
      <c r="A56" s="247"/>
      <c r="B56" s="248"/>
      <c r="C56" s="248"/>
      <c r="D56" s="248"/>
      <c r="E56" s="362"/>
      <c r="F56" s="44"/>
      <c r="G56" s="44"/>
      <c r="H56" s="469"/>
      <c r="I56" s="248"/>
      <c r="J56" s="248"/>
      <c r="K56" s="320"/>
      <c r="L56" s="320"/>
      <c r="M56" s="1096"/>
      <c r="N56" s="1097"/>
      <c r="O56" s="1097"/>
      <c r="P56" s="1097"/>
      <c r="Q56" s="1097"/>
      <c r="R56" s="1097"/>
      <c r="S56" s="1098"/>
      <c r="V56" s="32"/>
    </row>
    <row r="57" spans="1:22" ht="15" customHeight="1">
      <c r="A57" s="959" t="s">
        <v>35</v>
      </c>
      <c r="B57" s="949"/>
      <c r="C57" s="919" t="s">
        <v>667</v>
      </c>
      <c r="D57" s="919"/>
      <c r="E57" s="919"/>
      <c r="F57" s="1432"/>
      <c r="G57" s="1433"/>
      <c r="H57" s="469"/>
      <c r="I57" s="248"/>
      <c r="J57" s="248"/>
      <c r="K57" s="320"/>
      <c r="L57" s="320"/>
      <c r="M57" s="1096"/>
      <c r="N57" s="1097"/>
      <c r="O57" s="1097"/>
      <c r="P57" s="1097"/>
      <c r="Q57" s="1097"/>
      <c r="R57" s="1097"/>
      <c r="S57" s="1098"/>
      <c r="V57" s="32"/>
    </row>
    <row r="58" spans="1:22" ht="14.25" customHeight="1">
      <c r="A58" s="959"/>
      <c r="B58" s="949"/>
      <c r="C58" s="919"/>
      <c r="D58" s="919"/>
      <c r="E58" s="919"/>
      <c r="F58" s="1481">
        <f>IF(F54=0,0,F54-F55)</f>
        <v>0</v>
      </c>
      <c r="G58" s="1482"/>
      <c r="H58" s="470" t="s">
        <v>93</v>
      </c>
      <c r="I58" s="248"/>
      <c r="J58" s="248"/>
      <c r="K58" s="320" t="b">
        <v>0</v>
      </c>
      <c r="L58" s="320"/>
      <c r="M58" s="1096"/>
      <c r="N58" s="1097"/>
      <c r="O58" s="1097"/>
      <c r="P58" s="1097"/>
      <c r="Q58" s="1097"/>
      <c r="R58" s="1097"/>
      <c r="S58" s="1098"/>
      <c r="V58" s="32"/>
    </row>
    <row r="59" spans="1:22" ht="3" customHeight="1">
      <c r="A59" s="247"/>
      <c r="B59" s="248"/>
      <c r="C59" s="248"/>
      <c r="D59" s="248"/>
      <c r="E59" s="362"/>
      <c r="F59" s="471"/>
      <c r="G59" s="471"/>
      <c r="H59" s="469"/>
      <c r="I59" s="248"/>
      <c r="J59" s="248"/>
      <c r="K59" s="320"/>
      <c r="L59" s="320"/>
      <c r="M59" s="1096"/>
      <c r="N59" s="1097"/>
      <c r="O59" s="1097"/>
      <c r="P59" s="1097"/>
      <c r="Q59" s="1097"/>
      <c r="R59" s="1097"/>
      <c r="S59" s="1098"/>
      <c r="V59" s="32"/>
    </row>
    <row r="60" spans="1:22" ht="15.75">
      <c r="A60" s="247"/>
      <c r="B60" s="248"/>
      <c r="C60" s="248"/>
      <c r="D60" s="248"/>
      <c r="E60" s="362" t="s">
        <v>95</v>
      </c>
      <c r="F60" s="1388">
        <v>5</v>
      </c>
      <c r="G60" s="1389"/>
      <c r="H60" s="469" t="s">
        <v>94</v>
      </c>
      <c r="I60" s="248"/>
      <c r="J60" s="248"/>
      <c r="K60" s="320"/>
      <c r="L60" s="320"/>
      <c r="M60" s="1096"/>
      <c r="N60" s="1097"/>
      <c r="O60" s="1097"/>
      <c r="P60" s="1097"/>
      <c r="Q60" s="1097"/>
      <c r="R60" s="1097"/>
      <c r="S60" s="1098"/>
      <c r="V60" s="32"/>
    </row>
    <row r="61" spans="1:22" ht="3" customHeight="1">
      <c r="A61" s="247"/>
      <c r="B61" s="248"/>
      <c r="C61" s="248"/>
      <c r="D61" s="248"/>
      <c r="E61" s="362"/>
      <c r="F61" s="472"/>
      <c r="G61" s="472"/>
      <c r="H61" s="248"/>
      <c r="I61" s="248"/>
      <c r="J61" s="248"/>
      <c r="K61" s="320"/>
      <c r="L61" s="320"/>
      <c r="M61" s="1096"/>
      <c r="N61" s="1097"/>
      <c r="O61" s="1097"/>
      <c r="P61" s="1097"/>
      <c r="Q61" s="1097"/>
      <c r="R61" s="1097"/>
      <c r="S61" s="1098"/>
      <c r="V61" s="32"/>
    </row>
    <row r="62" spans="1:22" ht="15" customHeight="1" thickBot="1">
      <c r="A62" s="473"/>
      <c r="B62" s="248"/>
      <c r="C62" s="248"/>
      <c r="D62" s="248"/>
      <c r="E62" s="443"/>
      <c r="F62" s="443"/>
      <c r="G62" s="443"/>
      <c r="H62" s="469"/>
      <c r="I62" s="248"/>
      <c r="J62" s="248"/>
      <c r="K62" s="320"/>
      <c r="L62" s="322"/>
      <c r="M62" s="1096"/>
      <c r="N62" s="1097"/>
      <c r="O62" s="1097"/>
      <c r="P62" s="1097"/>
      <c r="Q62" s="1097"/>
      <c r="R62" s="1097"/>
      <c r="S62" s="1098"/>
      <c r="V62" s="32"/>
    </row>
    <row r="63" spans="1:22" ht="15.75" thickBot="1">
      <c r="A63" s="345" t="s">
        <v>96</v>
      </c>
      <c r="B63" s="356"/>
      <c r="C63" s="356"/>
      <c r="D63" s="356"/>
      <c r="E63" s="356"/>
      <c r="F63" s="356"/>
      <c r="G63" s="356"/>
      <c r="H63" s="356"/>
      <c r="I63" s="454" t="s">
        <v>678</v>
      </c>
      <c r="J63" s="1033">
        <f>IF(K58=TRUE,F58*F60,0)</f>
        <v>0</v>
      </c>
      <c r="K63" s="1387"/>
      <c r="L63" s="1034"/>
      <c r="M63" s="1099"/>
      <c r="N63" s="1100"/>
      <c r="O63" s="1100"/>
      <c r="P63" s="1100"/>
      <c r="Q63" s="1100"/>
      <c r="R63" s="1100"/>
      <c r="S63" s="1101"/>
      <c r="U63" s="30"/>
      <c r="V63" s="32"/>
    </row>
    <row r="64" spans="1:22" ht="16.5" thickBot="1">
      <c r="A64" s="308" t="s">
        <v>799</v>
      </c>
      <c r="B64" s="357"/>
      <c r="C64" s="889" t="s">
        <v>610</v>
      </c>
      <c r="D64" s="889"/>
      <c r="E64" s="889"/>
      <c r="F64" s="889"/>
      <c r="G64" s="889"/>
      <c r="H64" s="889"/>
      <c r="I64" s="889"/>
      <c r="J64" s="889"/>
      <c r="K64" s="889"/>
      <c r="L64" s="887"/>
      <c r="M64" s="1403" t="s">
        <v>673</v>
      </c>
      <c r="N64" s="1404"/>
      <c r="O64" s="1404"/>
      <c r="P64" s="1404"/>
      <c r="Q64" s="870" t="s">
        <v>675</v>
      </c>
      <c r="R64" s="870"/>
      <c r="S64" s="871"/>
      <c r="U64" s="30"/>
      <c r="V64" s="32"/>
    </row>
    <row r="65" spans="1:22" ht="14.25" thickBot="1" thickTop="1">
      <c r="A65" s="348" t="s">
        <v>584</v>
      </c>
      <c r="B65" s="349"/>
      <c r="C65" s="349"/>
      <c r="D65" s="350"/>
      <c r="E65" s="350"/>
      <c r="F65" s="350"/>
      <c r="G65" s="350"/>
      <c r="H65" s="350"/>
      <c r="I65" s="350"/>
      <c r="J65" s="350"/>
      <c r="K65" s="350"/>
      <c r="L65" s="351"/>
      <c r="M65" s="1472" t="s">
        <v>792</v>
      </c>
      <c r="N65" s="1473"/>
      <c r="O65" s="1473"/>
      <c r="P65" s="1473"/>
      <c r="Q65" s="1473"/>
      <c r="R65" s="1473"/>
      <c r="S65" s="1474"/>
      <c r="U65" s="30"/>
      <c r="V65" s="32"/>
    </row>
    <row r="66" spans="1:22" ht="13.5" thickTop="1">
      <c r="A66" s="247"/>
      <c r="B66" s="248"/>
      <c r="C66" s="248"/>
      <c r="D66" s="248"/>
      <c r="E66" s="4" t="s">
        <v>630</v>
      </c>
      <c r="F66" s="1430"/>
      <c r="G66" s="1431"/>
      <c r="H66" s="469" t="s">
        <v>98</v>
      </c>
      <c r="I66" s="248"/>
      <c r="J66" s="248"/>
      <c r="K66" s="474"/>
      <c r="L66" s="353"/>
      <c r="M66" s="1475"/>
      <c r="N66" s="1476"/>
      <c r="O66" s="1476"/>
      <c r="P66" s="1476"/>
      <c r="Q66" s="1476"/>
      <c r="R66" s="1476"/>
      <c r="S66" s="1477"/>
      <c r="U66" s="30"/>
      <c r="V66" s="32"/>
    </row>
    <row r="67" spans="1:22" ht="12.75">
      <c r="A67" s="247"/>
      <c r="B67" s="248"/>
      <c r="C67" s="248"/>
      <c r="D67" s="248"/>
      <c r="E67" s="4" t="s">
        <v>608</v>
      </c>
      <c r="F67" s="1419"/>
      <c r="G67" s="1420"/>
      <c r="H67" s="469" t="s">
        <v>99</v>
      </c>
      <c r="I67" s="248"/>
      <c r="J67" s="248"/>
      <c r="K67" s="475"/>
      <c r="L67" s="320"/>
      <c r="M67" s="1478"/>
      <c r="N67" s="1479"/>
      <c r="O67" s="1479"/>
      <c r="P67" s="1479"/>
      <c r="Q67" s="1479"/>
      <c r="R67" s="1479"/>
      <c r="S67" s="1480"/>
      <c r="U67" s="30"/>
      <c r="V67" s="32"/>
    </row>
    <row r="68" spans="1:22" ht="4.5" customHeight="1">
      <c r="A68" s="247"/>
      <c r="B68" s="248"/>
      <c r="C68" s="248"/>
      <c r="D68" s="248"/>
      <c r="E68" s="362"/>
      <c r="F68" s="44"/>
      <c r="G68" s="44"/>
      <c r="H68" s="469"/>
      <c r="I68" s="248"/>
      <c r="J68" s="248"/>
      <c r="K68" s="475"/>
      <c r="L68" s="320"/>
      <c r="M68" s="1443"/>
      <c r="N68" s="1444"/>
      <c r="O68" s="1444"/>
      <c r="P68" s="1444"/>
      <c r="Q68" s="1444"/>
      <c r="R68" s="1444"/>
      <c r="S68" s="1445"/>
      <c r="U68" s="30"/>
      <c r="V68" s="32"/>
    </row>
    <row r="69" spans="1:22" ht="13.5" customHeight="1">
      <c r="A69" s="959" t="s">
        <v>35</v>
      </c>
      <c r="B69" s="949"/>
      <c r="C69" s="919" t="s">
        <v>667</v>
      </c>
      <c r="D69" s="1512"/>
      <c r="E69" s="1512"/>
      <c r="F69" s="1432"/>
      <c r="G69" s="1433"/>
      <c r="H69" s="469"/>
      <c r="I69" s="248"/>
      <c r="J69" s="248"/>
      <c r="K69" s="475"/>
      <c r="L69" s="320"/>
      <c r="M69" s="1446"/>
      <c r="N69" s="1447"/>
      <c r="O69" s="1447"/>
      <c r="P69" s="1447"/>
      <c r="Q69" s="1447"/>
      <c r="R69" s="1447"/>
      <c r="S69" s="1448"/>
      <c r="U69" s="30"/>
      <c r="V69" s="32"/>
    </row>
    <row r="70" spans="1:22" ht="12.75">
      <c r="A70" s="959"/>
      <c r="B70" s="949"/>
      <c r="C70" s="1512"/>
      <c r="D70" s="1512"/>
      <c r="E70" s="1512"/>
      <c r="F70" s="1481">
        <f>IF(F66=0,0,(F66-F67))</f>
        <v>0</v>
      </c>
      <c r="G70" s="1482"/>
      <c r="H70" s="469" t="s">
        <v>100</v>
      </c>
      <c r="I70" s="248"/>
      <c r="J70" s="248"/>
      <c r="K70" s="475" t="b">
        <v>0</v>
      </c>
      <c r="L70" s="320"/>
      <c r="M70" s="1446"/>
      <c r="N70" s="1447"/>
      <c r="O70" s="1447"/>
      <c r="P70" s="1447"/>
      <c r="Q70" s="1447"/>
      <c r="R70" s="1447"/>
      <c r="S70" s="1448"/>
      <c r="U70" s="30"/>
      <c r="V70" s="32"/>
    </row>
    <row r="71" spans="1:22" ht="4.5" customHeight="1">
      <c r="A71" s="247"/>
      <c r="B71" s="248"/>
      <c r="C71" s="248"/>
      <c r="D71" s="248"/>
      <c r="E71" s="362"/>
      <c r="F71" s="471"/>
      <c r="G71" s="471"/>
      <c r="H71" s="469"/>
      <c r="I71" s="248"/>
      <c r="J71" s="248"/>
      <c r="K71" s="475"/>
      <c r="L71" s="461"/>
      <c r="M71" s="1446"/>
      <c r="N71" s="1447"/>
      <c r="O71" s="1447"/>
      <c r="P71" s="1447"/>
      <c r="Q71" s="1447"/>
      <c r="R71" s="1447"/>
      <c r="S71" s="1448"/>
      <c r="U71" s="30"/>
      <c r="V71" s="32"/>
    </row>
    <row r="72" spans="1:22" ht="15.75">
      <c r="A72" s="247"/>
      <c r="B72" s="248"/>
      <c r="C72" s="248"/>
      <c r="D72" s="248"/>
      <c r="E72" s="362" t="s">
        <v>97</v>
      </c>
      <c r="F72" s="1452">
        <v>5</v>
      </c>
      <c r="G72" s="1452"/>
      <c r="H72" s="469" t="s">
        <v>101</v>
      </c>
      <c r="I72" s="248"/>
      <c r="J72" s="248"/>
      <c r="K72" s="320"/>
      <c r="L72" s="461"/>
      <c r="M72" s="1446"/>
      <c r="N72" s="1447"/>
      <c r="O72" s="1447"/>
      <c r="P72" s="1447"/>
      <c r="Q72" s="1447"/>
      <c r="R72" s="1447"/>
      <c r="S72" s="1448"/>
      <c r="U72" s="30"/>
      <c r="V72" s="32"/>
    </row>
    <row r="73" spans="1:22" ht="15" customHeight="1" thickBot="1">
      <c r="A73" s="473"/>
      <c r="B73" s="248"/>
      <c r="C73" s="248"/>
      <c r="D73" s="248"/>
      <c r="E73" s="443"/>
      <c r="F73" s="443"/>
      <c r="G73" s="443"/>
      <c r="H73" s="248"/>
      <c r="I73" s="248"/>
      <c r="J73" s="248"/>
      <c r="K73" s="475"/>
      <c r="L73" s="320"/>
      <c r="M73" s="1446"/>
      <c r="N73" s="1447"/>
      <c r="O73" s="1447"/>
      <c r="P73" s="1447"/>
      <c r="Q73" s="1447"/>
      <c r="R73" s="1447"/>
      <c r="S73" s="1448"/>
      <c r="U73" s="30"/>
      <c r="V73" s="32"/>
    </row>
    <row r="74" spans="1:22" ht="15" customHeight="1" thickBot="1">
      <c r="A74" s="345" t="s">
        <v>102</v>
      </c>
      <c r="B74" s="356"/>
      <c r="C74" s="356"/>
      <c r="D74" s="356"/>
      <c r="E74" s="356"/>
      <c r="F74" s="356"/>
      <c r="G74" s="356"/>
      <c r="H74" s="356"/>
      <c r="I74" s="454" t="s">
        <v>679</v>
      </c>
      <c r="J74" s="1033">
        <f>IF(K70=TRUE,F72*F70,0)</f>
        <v>0</v>
      </c>
      <c r="K74" s="1387"/>
      <c r="L74" s="1034"/>
      <c r="M74" s="1449"/>
      <c r="N74" s="1450"/>
      <c r="O74" s="1450"/>
      <c r="P74" s="1450"/>
      <c r="Q74" s="1450"/>
      <c r="R74" s="1450"/>
      <c r="S74" s="1451"/>
      <c r="U74" s="30"/>
      <c r="V74" s="32"/>
    </row>
    <row r="75" spans="1:22" ht="16.5" thickBot="1">
      <c r="A75" s="308" t="s">
        <v>803</v>
      </c>
      <c r="B75" s="357"/>
      <c r="C75" s="1438" t="s">
        <v>613</v>
      </c>
      <c r="D75" s="1439"/>
      <c r="E75" s="1439"/>
      <c r="F75" s="1439"/>
      <c r="G75" s="1439"/>
      <c r="H75" s="1439"/>
      <c r="I75" s="1439"/>
      <c r="J75" s="1439"/>
      <c r="K75" s="1439"/>
      <c r="L75" s="1440"/>
      <c r="M75" s="1403" t="s">
        <v>673</v>
      </c>
      <c r="N75" s="1404"/>
      <c r="O75" s="1404"/>
      <c r="P75" s="1404"/>
      <c r="Q75" s="869"/>
      <c r="R75" s="869"/>
      <c r="S75" s="872"/>
      <c r="U75" s="30"/>
      <c r="V75" s="32"/>
    </row>
    <row r="76" spans="1:22" ht="19.5" customHeight="1" thickTop="1">
      <c r="A76" s="467"/>
      <c r="B76" s="412"/>
      <c r="C76" s="1441"/>
      <c r="D76" s="1441"/>
      <c r="E76" s="1441"/>
      <c r="F76" s="1441"/>
      <c r="G76" s="1441"/>
      <c r="H76" s="1441"/>
      <c r="I76" s="1441"/>
      <c r="J76" s="1441"/>
      <c r="K76" s="1441"/>
      <c r="L76" s="1442"/>
      <c r="M76" s="1112" t="s">
        <v>782</v>
      </c>
      <c r="N76" s="1113"/>
      <c r="O76" s="1113"/>
      <c r="P76" s="1113"/>
      <c r="Q76" s="1113"/>
      <c r="R76" s="1113"/>
      <c r="S76" s="1114"/>
      <c r="U76" s="30"/>
      <c r="V76" s="32"/>
    </row>
    <row r="77" spans="1:22" ht="21.75" customHeight="1">
      <c r="A77" s="1406" t="s">
        <v>585</v>
      </c>
      <c r="B77" s="1407"/>
      <c r="C77" s="1407"/>
      <c r="D77" s="1407"/>
      <c r="E77" s="1407"/>
      <c r="F77" s="1407"/>
      <c r="G77" s="1407"/>
      <c r="H77" s="1407"/>
      <c r="I77" s="1407"/>
      <c r="J77" s="1407"/>
      <c r="K77" s="1407"/>
      <c r="L77" s="1408"/>
      <c r="M77" s="1118"/>
      <c r="N77" s="1119"/>
      <c r="O77" s="1119"/>
      <c r="P77" s="1119"/>
      <c r="Q77" s="1119"/>
      <c r="R77" s="1119"/>
      <c r="S77" s="1120"/>
      <c r="U77" s="30"/>
      <c r="V77" s="32"/>
    </row>
    <row r="78" spans="1:22" ht="15.75" customHeight="1" thickBot="1">
      <c r="A78" s="896"/>
      <c r="B78" s="897"/>
      <c r="C78" s="897"/>
      <c r="D78" s="897"/>
      <c r="E78" s="897"/>
      <c r="F78" s="897"/>
      <c r="G78" s="897"/>
      <c r="H78" s="897"/>
      <c r="I78" s="897"/>
      <c r="J78" s="897"/>
      <c r="K78" s="897"/>
      <c r="L78" s="898"/>
      <c r="M78" s="1167"/>
      <c r="N78" s="1168"/>
      <c r="O78" s="1168"/>
      <c r="P78" s="1168"/>
      <c r="Q78" s="1168"/>
      <c r="R78" s="1168"/>
      <c r="S78" s="1169"/>
      <c r="U78" s="30"/>
      <c r="V78" s="32"/>
    </row>
    <row r="79" spans="1:22" ht="13.5" thickTop="1">
      <c r="A79" s="823"/>
      <c r="B79" s="1421" t="s">
        <v>683</v>
      </c>
      <c r="C79" s="1421"/>
      <c r="D79" s="1421"/>
      <c r="E79" s="1422"/>
      <c r="F79" s="1518">
        <v>0</v>
      </c>
      <c r="G79" s="1519"/>
      <c r="H79" s="469" t="s">
        <v>103</v>
      </c>
      <c r="I79" s="248"/>
      <c r="J79" s="248"/>
      <c r="K79" s="353"/>
      <c r="L79" s="353"/>
      <c r="M79" s="1076"/>
      <c r="N79" s="1077"/>
      <c r="O79" s="1077"/>
      <c r="P79" s="1077"/>
      <c r="Q79" s="1077"/>
      <c r="R79" s="1077"/>
      <c r="S79" s="1078"/>
      <c r="U79" s="30"/>
      <c r="V79" s="32"/>
    </row>
    <row r="80" spans="1:22" ht="12.75">
      <c r="A80" s="1398" t="s">
        <v>779</v>
      </c>
      <c r="B80" s="1399"/>
      <c r="C80" s="1399"/>
      <c r="D80" s="1399"/>
      <c r="E80" s="1400"/>
      <c r="F80" s="1417">
        <f>IF($Q$4=0,0,F79/$Q$4)</f>
        <v>0</v>
      </c>
      <c r="G80" s="1418"/>
      <c r="H80" s="469" t="s">
        <v>104</v>
      </c>
      <c r="I80" s="478"/>
      <c r="J80" s="478"/>
      <c r="K80" s="479"/>
      <c r="L80" s="479">
        <f>F80*100</f>
        <v>0</v>
      </c>
      <c r="M80" s="1076"/>
      <c r="N80" s="1077"/>
      <c r="O80" s="1077"/>
      <c r="P80" s="1077"/>
      <c r="Q80" s="1077"/>
      <c r="R80" s="1077"/>
      <c r="S80" s="1078"/>
      <c r="U80" s="30"/>
      <c r="V80" s="32"/>
    </row>
    <row r="81" spans="1:22" ht="12.75" customHeight="1">
      <c r="A81" s="477"/>
      <c r="B81" s="362"/>
      <c r="C81" s="1069" t="s">
        <v>107</v>
      </c>
      <c r="D81" s="1069"/>
      <c r="E81" s="1069"/>
      <c r="F81" s="1069"/>
      <c r="G81" s="480"/>
      <c r="H81" s="469"/>
      <c r="I81" s="478"/>
      <c r="J81" s="478"/>
      <c r="K81" s="479"/>
      <c r="L81" s="479"/>
      <c r="M81" s="1076"/>
      <c r="N81" s="1077"/>
      <c r="O81" s="1077"/>
      <c r="P81" s="1077"/>
      <c r="Q81" s="1077"/>
      <c r="R81" s="1077"/>
      <c r="S81" s="1078"/>
      <c r="U81" s="30"/>
      <c r="V81" s="32"/>
    </row>
    <row r="82" spans="1:22" ht="14.25" customHeight="1" thickBot="1">
      <c r="A82" s="959" t="s">
        <v>35</v>
      </c>
      <c r="B82" s="949"/>
      <c r="C82" s="1069"/>
      <c r="D82" s="1069"/>
      <c r="E82" s="1069"/>
      <c r="F82" s="1069"/>
      <c r="G82" s="72">
        <f>IF($L$80&lt;1,0,IF($L$80&lt;15,1,(IF($L$80&lt;30,2.5,(IF($L$80&lt;45,7.5,10))))))</f>
        <v>0</v>
      </c>
      <c r="H82" s="469" t="s">
        <v>105</v>
      </c>
      <c r="I82" s="248"/>
      <c r="J82" s="248"/>
      <c r="K82" s="320"/>
      <c r="L82" s="322"/>
      <c r="M82" s="1076"/>
      <c r="N82" s="1077"/>
      <c r="O82" s="1077"/>
      <c r="P82" s="1077"/>
      <c r="Q82" s="1077"/>
      <c r="R82" s="1077"/>
      <c r="S82" s="1078"/>
      <c r="U82" s="30"/>
      <c r="V82" s="32"/>
    </row>
    <row r="83" spans="1:22" ht="14.25" customHeight="1" thickBot="1">
      <c r="A83" s="959"/>
      <c r="B83" s="949"/>
      <c r="C83" s="248"/>
      <c r="D83" s="248"/>
      <c r="E83" s="362" t="s">
        <v>780</v>
      </c>
      <c r="F83" s="1401" t="str">
        <f>IF($L$80&lt;1,"None",IF($L$80&lt;15,"Low",(IF($L$80&lt;30,"Medium",(IF($L$80&lt;45,"Medium High","High"))))))</f>
        <v>None</v>
      </c>
      <c r="G83" s="1401"/>
      <c r="H83" s="1401"/>
      <c r="I83" s="248"/>
      <c r="J83" s="248"/>
      <c r="K83" s="320"/>
      <c r="L83" s="322"/>
      <c r="M83" s="1076"/>
      <c r="N83" s="1077"/>
      <c r="O83" s="1077"/>
      <c r="P83" s="1077"/>
      <c r="Q83" s="1077"/>
      <c r="R83" s="1077"/>
      <c r="S83" s="1078"/>
      <c r="U83" s="30"/>
      <c r="V83" s="32"/>
    </row>
    <row r="84" spans="1:22" ht="14.25" customHeight="1" thickBot="1">
      <c r="A84" s="247"/>
      <c r="B84" s="248"/>
      <c r="C84" s="375"/>
      <c r="D84" s="375"/>
      <c r="E84" s="248"/>
      <c r="F84" s="825" t="s">
        <v>505</v>
      </c>
      <c r="G84" s="81">
        <f>IF(E23="",0,IF(E23="A",1,IF(E23="B",2,(IF(E23="C",3,4)))))</f>
        <v>0</v>
      </c>
      <c r="H84" s="469" t="s">
        <v>106</v>
      </c>
      <c r="I84" s="248"/>
      <c r="J84" s="248"/>
      <c r="K84" s="320" t="b">
        <v>0</v>
      </c>
      <c r="L84" s="322"/>
      <c r="M84" s="1076"/>
      <c r="N84" s="1077"/>
      <c r="O84" s="1077"/>
      <c r="P84" s="1077"/>
      <c r="Q84" s="1077"/>
      <c r="R84" s="1077"/>
      <c r="S84" s="1078"/>
      <c r="U84" s="30"/>
      <c r="V84" s="32"/>
    </row>
    <row r="85" spans="1:22" ht="12" customHeight="1" thickBot="1">
      <c r="A85" s="247"/>
      <c r="B85" s="248"/>
      <c r="C85" s="248"/>
      <c r="D85" s="248"/>
      <c r="E85" s="362"/>
      <c r="F85" s="482"/>
      <c r="G85" s="482"/>
      <c r="H85" s="248"/>
      <c r="I85" s="248"/>
      <c r="J85" s="248"/>
      <c r="K85" s="320"/>
      <c r="L85" s="322"/>
      <c r="M85" s="1076"/>
      <c r="N85" s="1077"/>
      <c r="O85" s="1077"/>
      <c r="P85" s="1077"/>
      <c r="Q85" s="1077"/>
      <c r="R85" s="1077"/>
      <c r="S85" s="1078"/>
      <c r="U85" s="30"/>
      <c r="V85" s="32"/>
    </row>
    <row r="86" spans="1:22" ht="14.25" customHeight="1" thickBot="1">
      <c r="A86" s="247" t="s">
        <v>281</v>
      </c>
      <c r="B86" s="248"/>
      <c r="C86" s="248"/>
      <c r="D86" s="248"/>
      <c r="E86" s="362"/>
      <c r="F86" s="482"/>
      <c r="G86" s="482"/>
      <c r="H86" s="248"/>
      <c r="I86" s="248"/>
      <c r="J86" s="248"/>
      <c r="K86" s="320"/>
      <c r="L86" s="322"/>
      <c r="M86" s="1076"/>
      <c r="N86" s="1077"/>
      <c r="O86" s="1077"/>
      <c r="P86" s="1077"/>
      <c r="Q86" s="1077"/>
      <c r="R86" s="1077"/>
      <c r="S86" s="1078"/>
      <c r="U86" s="30"/>
      <c r="V86" s="32"/>
    </row>
    <row r="87" spans="1:22" ht="7.5" customHeight="1" thickBot="1">
      <c r="A87" s="247"/>
      <c r="B87" s="248"/>
      <c r="C87" s="248"/>
      <c r="D87" s="248"/>
      <c r="E87" s="362"/>
      <c r="F87" s="482"/>
      <c r="G87" s="482"/>
      <c r="H87" s="248"/>
      <c r="I87" s="248"/>
      <c r="J87" s="483"/>
      <c r="K87" s="461"/>
      <c r="L87" s="320"/>
      <c r="M87" s="1076"/>
      <c r="N87" s="1077"/>
      <c r="O87" s="1077"/>
      <c r="P87" s="1077"/>
      <c r="Q87" s="1077"/>
      <c r="R87" s="1077"/>
      <c r="S87" s="1078"/>
      <c r="U87" s="30"/>
      <c r="V87" s="32"/>
    </row>
    <row r="88" spans="1:22" ht="15.75" thickBot="1">
      <c r="A88" s="345" t="s">
        <v>108</v>
      </c>
      <c r="B88" s="356"/>
      <c r="C88" s="356"/>
      <c r="D88" s="356"/>
      <c r="E88" s="356"/>
      <c r="F88" s="356"/>
      <c r="G88" s="356"/>
      <c r="H88" s="356"/>
      <c r="I88" s="382" t="s">
        <v>684</v>
      </c>
      <c r="J88" s="1033">
        <f>IF(K84=TRUE,G82*G84,0)</f>
        <v>0</v>
      </c>
      <c r="K88" s="1387"/>
      <c r="L88" s="1034"/>
      <c r="M88" s="1079"/>
      <c r="N88" s="1080"/>
      <c r="O88" s="1080"/>
      <c r="P88" s="1080"/>
      <c r="Q88" s="1080"/>
      <c r="R88" s="1080"/>
      <c r="S88" s="1081"/>
      <c r="U88" s="30"/>
      <c r="V88" s="32"/>
    </row>
    <row r="89" spans="1:22" ht="18.75" thickBot="1">
      <c r="A89" s="937" t="s">
        <v>519</v>
      </c>
      <c r="B89" s="938"/>
      <c r="C89" s="938"/>
      <c r="D89" s="938"/>
      <c r="E89" s="938"/>
      <c r="F89" s="938"/>
      <c r="G89" s="938"/>
      <c r="H89" s="938"/>
      <c r="I89" s="938"/>
      <c r="J89" s="938"/>
      <c r="K89" s="938"/>
      <c r="L89" s="938"/>
      <c r="M89" s="938"/>
      <c r="N89" s="938"/>
      <c r="O89" s="938"/>
      <c r="P89" s="938"/>
      <c r="Q89" s="938"/>
      <c r="R89" s="938"/>
      <c r="S89" s="939"/>
      <c r="U89" s="30"/>
      <c r="V89" s="32"/>
    </row>
    <row r="90" spans="1:22" ht="18" customHeight="1" thickBot="1">
      <c r="A90" s="308" t="s">
        <v>798</v>
      </c>
      <c r="B90" s="357"/>
      <c r="C90" s="484" t="s">
        <v>680</v>
      </c>
      <c r="D90" s="309"/>
      <c r="E90" s="309"/>
      <c r="F90" s="309"/>
      <c r="G90" s="309"/>
      <c r="H90" s="309"/>
      <c r="I90" s="309"/>
      <c r="J90" s="309"/>
      <c r="K90" s="309"/>
      <c r="L90" s="485"/>
      <c r="M90" s="1403" t="s">
        <v>673</v>
      </c>
      <c r="N90" s="1404"/>
      <c r="O90" s="1404"/>
      <c r="P90" s="1404"/>
      <c r="Q90" s="869"/>
      <c r="R90" s="869"/>
      <c r="S90" s="872"/>
      <c r="U90" s="30"/>
      <c r="V90" s="32"/>
    </row>
    <row r="91" spans="1:22" ht="20.25" customHeight="1" thickTop="1">
      <c r="A91" s="1406" t="s">
        <v>833</v>
      </c>
      <c r="B91" s="1407"/>
      <c r="C91" s="1407"/>
      <c r="D91" s="1407"/>
      <c r="E91" s="1407"/>
      <c r="F91" s="1407"/>
      <c r="G91" s="1407"/>
      <c r="H91" s="1407"/>
      <c r="I91" s="1407"/>
      <c r="J91" s="1407"/>
      <c r="K91" s="1407"/>
      <c r="L91" s="1408"/>
      <c r="M91" s="1112" t="s">
        <v>781</v>
      </c>
      <c r="N91" s="1113"/>
      <c r="O91" s="1113"/>
      <c r="P91" s="1113"/>
      <c r="Q91" s="1113"/>
      <c r="R91" s="1113"/>
      <c r="S91" s="1114"/>
      <c r="U91" s="30"/>
      <c r="V91" s="32"/>
    </row>
    <row r="92" spans="1:22" ht="18.75" customHeight="1" thickBot="1">
      <c r="A92" s="896"/>
      <c r="B92" s="897"/>
      <c r="C92" s="897"/>
      <c r="D92" s="897"/>
      <c r="E92" s="897"/>
      <c r="F92" s="897"/>
      <c r="G92" s="897"/>
      <c r="H92" s="897"/>
      <c r="I92" s="897"/>
      <c r="J92" s="897"/>
      <c r="K92" s="897"/>
      <c r="L92" s="898"/>
      <c r="M92" s="1118"/>
      <c r="N92" s="1119"/>
      <c r="O92" s="1119"/>
      <c r="P92" s="1119"/>
      <c r="Q92" s="1119"/>
      <c r="R92" s="1119"/>
      <c r="S92" s="1120"/>
      <c r="U92" s="30"/>
      <c r="V92" s="32"/>
    </row>
    <row r="93" spans="1:22" ht="15" customHeight="1" thickTop="1">
      <c r="A93" s="1513" t="s">
        <v>835</v>
      </c>
      <c r="B93" s="1515" t="s">
        <v>633</v>
      </c>
      <c r="C93" s="1411" t="s">
        <v>640</v>
      </c>
      <c r="D93" s="486"/>
      <c r="E93" s="831" t="s">
        <v>816</v>
      </c>
      <c r="F93" s="26"/>
      <c r="G93" s="834" t="s">
        <v>771</v>
      </c>
      <c r="H93" s="26">
        <v>0</v>
      </c>
      <c r="I93" s="487">
        <v>0</v>
      </c>
      <c r="J93" s="373"/>
      <c r="K93" s="488"/>
      <c r="L93" s="489">
        <f>IF(F93="NO",0,H93*0.84)</f>
        <v>0</v>
      </c>
      <c r="M93" s="1167"/>
      <c r="N93" s="1168"/>
      <c r="O93" s="1168"/>
      <c r="P93" s="1168"/>
      <c r="Q93" s="1168"/>
      <c r="R93" s="1168"/>
      <c r="S93" s="1169"/>
      <c r="U93" s="30"/>
      <c r="V93" s="32"/>
    </row>
    <row r="94" spans="1:22" ht="14.25" customHeight="1">
      <c r="A94" s="1514"/>
      <c r="B94" s="1515"/>
      <c r="C94" s="1412"/>
      <c r="D94" s="490"/>
      <c r="E94" s="832" t="s">
        <v>817</v>
      </c>
      <c r="F94" s="25"/>
      <c r="G94" s="835" t="s">
        <v>771</v>
      </c>
      <c r="H94" s="27">
        <v>0</v>
      </c>
      <c r="I94" s="487">
        <v>1</v>
      </c>
      <c r="J94" s="373"/>
      <c r="K94" s="491"/>
      <c r="L94" s="489">
        <f>IF(F94="NO",0,H94*1)</f>
        <v>0</v>
      </c>
      <c r="M94" s="1076"/>
      <c r="N94" s="1077"/>
      <c r="O94" s="1077"/>
      <c r="P94" s="1077"/>
      <c r="Q94" s="1077"/>
      <c r="R94" s="1077"/>
      <c r="S94" s="1078"/>
      <c r="U94" s="30"/>
      <c r="V94" s="32"/>
    </row>
    <row r="95" spans="1:22" ht="8.25" customHeight="1">
      <c r="A95" s="1514"/>
      <c r="B95" s="1515"/>
      <c r="C95" s="492"/>
      <c r="D95" s="250"/>
      <c r="E95" s="493"/>
      <c r="F95" s="494"/>
      <c r="G95" s="495"/>
      <c r="H95" s="496"/>
      <c r="I95" s="487">
        <v>2</v>
      </c>
      <c r="J95" s="248"/>
      <c r="K95" s="320"/>
      <c r="L95" s="489"/>
      <c r="M95" s="1076"/>
      <c r="N95" s="1077"/>
      <c r="O95" s="1077"/>
      <c r="P95" s="1077"/>
      <c r="Q95" s="1077"/>
      <c r="R95" s="1077"/>
      <c r="S95" s="1078"/>
      <c r="U95" s="30"/>
      <c r="V95" s="32"/>
    </row>
    <row r="96" spans="1:22" ht="14.25" customHeight="1">
      <c r="A96" s="1514"/>
      <c r="B96" s="1515"/>
      <c r="C96" s="1516" t="s">
        <v>632</v>
      </c>
      <c r="D96" s="486"/>
      <c r="E96" s="831" t="s">
        <v>818</v>
      </c>
      <c r="F96" s="26"/>
      <c r="G96" s="834" t="s">
        <v>771</v>
      </c>
      <c r="H96" s="26">
        <v>0</v>
      </c>
      <c r="I96" s="13">
        <v>3</v>
      </c>
      <c r="J96" s="373"/>
      <c r="K96" s="491"/>
      <c r="L96" s="489">
        <f>IF(F96="NO",0,H96*0.5)</f>
        <v>0</v>
      </c>
      <c r="M96" s="1076"/>
      <c r="N96" s="1077"/>
      <c r="O96" s="1077"/>
      <c r="P96" s="1077"/>
      <c r="Q96" s="1077"/>
      <c r="R96" s="1077"/>
      <c r="S96" s="1078"/>
      <c r="U96" s="30"/>
      <c r="V96" s="32"/>
    </row>
    <row r="97" spans="1:22" ht="15" customHeight="1">
      <c r="A97" s="1514"/>
      <c r="B97" s="1515"/>
      <c r="C97" s="1516"/>
      <c r="D97" s="486"/>
      <c r="E97" s="833" t="s">
        <v>819</v>
      </c>
      <c r="F97" s="25"/>
      <c r="G97" s="834" t="s">
        <v>771</v>
      </c>
      <c r="H97" s="25">
        <v>0</v>
      </c>
      <c r="I97" s="497"/>
      <c r="J97" s="373"/>
      <c r="K97" s="491"/>
      <c r="L97" s="498">
        <f>IF(F97="NO",0,H97*0.67)</f>
        <v>0</v>
      </c>
      <c r="M97" s="1076"/>
      <c r="N97" s="1077"/>
      <c r="O97" s="1077"/>
      <c r="P97" s="1077"/>
      <c r="Q97" s="1077"/>
      <c r="R97" s="1077"/>
      <c r="S97" s="1078"/>
      <c r="U97" s="30"/>
      <c r="V97" s="32"/>
    </row>
    <row r="98" spans="1:22" ht="15" customHeight="1">
      <c r="A98" s="247"/>
      <c r="B98" s="1517" t="s">
        <v>820</v>
      </c>
      <c r="C98" s="1517"/>
      <c r="D98" s="1517"/>
      <c r="E98" s="1517"/>
      <c r="F98" s="1517"/>
      <c r="G98" s="1517"/>
      <c r="H98" s="1517"/>
      <c r="I98" s="1517"/>
      <c r="J98" s="1517"/>
      <c r="K98" s="499"/>
      <c r="L98" s="500"/>
      <c r="M98" s="1076"/>
      <c r="N98" s="1077"/>
      <c r="O98" s="1077"/>
      <c r="P98" s="1077"/>
      <c r="Q98" s="1077"/>
      <c r="R98" s="1077"/>
      <c r="S98" s="1078"/>
      <c r="U98" s="30"/>
      <c r="V98" s="32"/>
    </row>
    <row r="99" spans="1:22" ht="23.25" customHeight="1">
      <c r="A99" s="959" t="s">
        <v>641</v>
      </c>
      <c r="B99" s="949"/>
      <c r="C99" s="1531" t="s">
        <v>637</v>
      </c>
      <c r="D99" s="1532"/>
      <c r="E99" s="1532"/>
      <c r="F99" s="1533"/>
      <c r="G99" s="248"/>
      <c r="H99" s="927" t="s">
        <v>62</v>
      </c>
      <c r="I99" s="927"/>
      <c r="J99" s="373"/>
      <c r="K99" s="491"/>
      <c r="L99" s="500"/>
      <c r="M99" s="1076"/>
      <c r="N99" s="1077"/>
      <c r="O99" s="1077"/>
      <c r="P99" s="1077"/>
      <c r="Q99" s="1077"/>
      <c r="R99" s="1077"/>
      <c r="S99" s="1078"/>
      <c r="U99" s="30"/>
      <c r="V99" s="32"/>
    </row>
    <row r="100" spans="1:22" ht="23.25" customHeight="1">
      <c r="A100" s="1508" t="s">
        <v>639</v>
      </c>
      <c r="B100" s="1509"/>
      <c r="C100" s="1308" t="s">
        <v>638</v>
      </c>
      <c r="D100" s="1309"/>
      <c r="E100" s="1309"/>
      <c r="F100" s="1504"/>
      <c r="G100" s="248"/>
      <c r="H100" s="927"/>
      <c r="I100" s="927"/>
      <c r="J100" s="248"/>
      <c r="K100" s="320" t="b">
        <v>0</v>
      </c>
      <c r="L100" s="500"/>
      <c r="M100" s="1076"/>
      <c r="N100" s="1077"/>
      <c r="O100" s="1077"/>
      <c r="P100" s="1077"/>
      <c r="Q100" s="1077"/>
      <c r="R100" s="1077"/>
      <c r="S100" s="1078"/>
      <c r="U100" s="30"/>
      <c r="V100" s="32"/>
    </row>
    <row r="101" spans="1:22" ht="14.25" customHeight="1">
      <c r="A101" s="823"/>
      <c r="B101" s="1069" t="s">
        <v>63</v>
      </c>
      <c r="C101" s="1069"/>
      <c r="D101" s="1069"/>
      <c r="E101" s="1069"/>
      <c r="F101" s="248"/>
      <c r="G101" s="248"/>
      <c r="H101" s="248"/>
      <c r="I101" s="248"/>
      <c r="J101" s="248"/>
      <c r="K101" s="320"/>
      <c r="L101" s="489"/>
      <c r="M101" s="1076"/>
      <c r="N101" s="1077"/>
      <c r="O101" s="1077"/>
      <c r="P101" s="1077"/>
      <c r="Q101" s="1077"/>
      <c r="R101" s="1077"/>
      <c r="S101" s="1078"/>
      <c r="U101" s="30"/>
      <c r="V101" s="32"/>
    </row>
    <row r="102" spans="1:22" ht="14.25" customHeight="1">
      <c r="A102" s="824"/>
      <c r="B102" s="1069"/>
      <c r="C102" s="1069"/>
      <c r="D102" s="1069"/>
      <c r="E102" s="1069"/>
      <c r="F102" s="1488">
        <f>SUM(L93:L97)</f>
        <v>0</v>
      </c>
      <c r="G102" s="1489"/>
      <c r="H102" s="469" t="s">
        <v>109</v>
      </c>
      <c r="I102" s="248"/>
      <c r="J102" s="248"/>
      <c r="K102" s="320"/>
      <c r="L102" s="489"/>
      <c r="M102" s="1076"/>
      <c r="N102" s="1077"/>
      <c r="O102" s="1077"/>
      <c r="P102" s="1077"/>
      <c r="Q102" s="1077"/>
      <c r="R102" s="1077"/>
      <c r="S102" s="1078"/>
      <c r="U102" s="30"/>
      <c r="V102" s="32"/>
    </row>
    <row r="103" spans="1:22" ht="10.5" customHeight="1">
      <c r="A103" s="1068" t="s">
        <v>834</v>
      </c>
      <c r="B103" s="1069"/>
      <c r="C103" s="1069"/>
      <c r="D103" s="1069"/>
      <c r="E103" s="1069"/>
      <c r="F103" s="501"/>
      <c r="G103" s="501"/>
      <c r="H103" s="469"/>
      <c r="I103" s="248"/>
      <c r="J103" s="248"/>
      <c r="K103" s="320"/>
      <c r="L103" s="320"/>
      <c r="M103" s="1076"/>
      <c r="N103" s="1077"/>
      <c r="O103" s="1077"/>
      <c r="P103" s="1077"/>
      <c r="Q103" s="1077"/>
      <c r="R103" s="1077"/>
      <c r="S103" s="1078"/>
      <c r="U103" s="30"/>
      <c r="V103" s="32"/>
    </row>
    <row r="104" spans="1:22" ht="15.75" customHeight="1">
      <c r="A104" s="1068"/>
      <c r="B104" s="1069"/>
      <c r="C104" s="1069"/>
      <c r="D104" s="1069"/>
      <c r="E104" s="1069"/>
      <c r="F104" s="1505"/>
      <c r="G104" s="1506"/>
      <c r="H104" s="469" t="s">
        <v>110</v>
      </c>
      <c r="I104" s="248"/>
      <c r="J104" s="248"/>
      <c r="K104" s="320"/>
      <c r="L104" s="320"/>
      <c r="M104" s="1076"/>
      <c r="N104" s="1077"/>
      <c r="O104" s="1077"/>
      <c r="P104" s="1077"/>
      <c r="Q104" s="1077"/>
      <c r="R104" s="1077"/>
      <c r="S104" s="1078"/>
      <c r="U104" s="30"/>
      <c r="V104" s="32"/>
    </row>
    <row r="105" spans="1:22" ht="12" customHeight="1">
      <c r="A105" s="1541" t="s">
        <v>837</v>
      </c>
      <c r="B105" s="1542"/>
      <c r="C105" s="1542"/>
      <c r="D105" s="1542"/>
      <c r="E105" s="1542"/>
      <c r="F105" s="501"/>
      <c r="G105" s="501"/>
      <c r="H105" s="469"/>
      <c r="I105" s="248"/>
      <c r="J105" s="248"/>
      <c r="K105" s="320"/>
      <c r="L105" s="320"/>
      <c r="M105" s="1076"/>
      <c r="N105" s="1077"/>
      <c r="O105" s="1077"/>
      <c r="P105" s="1077"/>
      <c r="Q105" s="1077"/>
      <c r="R105" s="1077"/>
      <c r="S105" s="1078"/>
      <c r="U105" s="30"/>
      <c r="V105" s="32"/>
    </row>
    <row r="106" spans="1:22" ht="15" customHeight="1">
      <c r="A106" s="1541"/>
      <c r="B106" s="1542"/>
      <c r="C106" s="1542"/>
      <c r="D106" s="1542"/>
      <c r="E106" s="1542"/>
      <c r="F106" s="1537">
        <f>IF($Q$4=0,0,F104/$Q$4)</f>
        <v>0</v>
      </c>
      <c r="G106" s="1538"/>
      <c r="H106" s="469" t="s">
        <v>111</v>
      </c>
      <c r="I106" s="248"/>
      <c r="J106" s="248"/>
      <c r="K106" s="320"/>
      <c r="L106" s="320"/>
      <c r="M106" s="1076"/>
      <c r="N106" s="1077"/>
      <c r="O106" s="1077"/>
      <c r="P106" s="1077"/>
      <c r="Q106" s="1077"/>
      <c r="R106" s="1077"/>
      <c r="S106" s="1078"/>
      <c r="U106" s="30"/>
      <c r="V106" s="32"/>
    </row>
    <row r="107" spans="1:22" ht="3.75" customHeight="1">
      <c r="A107" s="587"/>
      <c r="B107" s="588"/>
      <c r="C107" s="826"/>
      <c r="D107" s="826"/>
      <c r="E107" s="826"/>
      <c r="F107" s="51"/>
      <c r="G107" s="51"/>
      <c r="H107" s="469"/>
      <c r="I107" s="248"/>
      <c r="J107" s="248"/>
      <c r="K107" s="320"/>
      <c r="L107" s="320"/>
      <c r="M107" s="1076"/>
      <c r="N107" s="1077"/>
      <c r="O107" s="1077"/>
      <c r="P107" s="1077"/>
      <c r="Q107" s="1077"/>
      <c r="R107" s="1077"/>
      <c r="S107" s="1078"/>
      <c r="U107" s="30"/>
      <c r="V107" s="32"/>
    </row>
    <row r="108" spans="1:22" ht="14.25" customHeight="1">
      <c r="A108" s="827"/>
      <c r="B108" s="828"/>
      <c r="C108" s="829"/>
      <c r="D108" s="829"/>
      <c r="E108" s="4" t="s">
        <v>776</v>
      </c>
      <c r="F108" s="1409">
        <f>IF($Q$4=0,0,0.5052*LN($Q$4/317)+1.3618)</f>
        <v>0</v>
      </c>
      <c r="G108" s="1409"/>
      <c r="H108" s="469" t="s">
        <v>112</v>
      </c>
      <c r="I108" s="248"/>
      <c r="J108" s="248"/>
      <c r="K108" s="320"/>
      <c r="L108" s="320" t="b">
        <v>0</v>
      </c>
      <c r="M108" s="1076"/>
      <c r="N108" s="1077"/>
      <c r="O108" s="1077"/>
      <c r="P108" s="1077"/>
      <c r="Q108" s="1077"/>
      <c r="R108" s="1077"/>
      <c r="S108" s="1078"/>
      <c r="U108" s="30"/>
      <c r="V108" s="32"/>
    </row>
    <row r="109" spans="1:22" ht="14.25" customHeight="1">
      <c r="A109" s="827"/>
      <c r="B109" s="828"/>
      <c r="C109" s="829"/>
      <c r="D109" s="829"/>
      <c r="E109" s="825" t="s">
        <v>70</v>
      </c>
      <c r="F109" s="1492">
        <f>IF(K100=TRUE,2100,1120)</f>
        <v>1120</v>
      </c>
      <c r="G109" s="1493"/>
      <c r="H109" s="469" t="s">
        <v>113</v>
      </c>
      <c r="I109" s="248"/>
      <c r="J109" s="248"/>
      <c r="K109" s="320"/>
      <c r="L109" s="320"/>
      <c r="M109" s="1076"/>
      <c r="N109" s="1077"/>
      <c r="O109" s="1077"/>
      <c r="P109" s="1077"/>
      <c r="Q109" s="1077"/>
      <c r="R109" s="1077"/>
      <c r="S109" s="1078"/>
      <c r="U109" s="30"/>
      <c r="V109" s="32"/>
    </row>
    <row r="110" spans="1:22" ht="15" customHeight="1" thickBot="1">
      <c r="A110" s="823"/>
      <c r="B110" s="829"/>
      <c r="C110" s="829"/>
      <c r="D110" s="829"/>
      <c r="E110" s="825" t="s">
        <v>64</v>
      </c>
      <c r="F110" s="1507">
        <f>F108*F106/100*F109</f>
        <v>0</v>
      </c>
      <c r="G110" s="1507"/>
      <c r="H110" s="313" t="s">
        <v>114</v>
      </c>
      <c r="I110" s="248"/>
      <c r="J110" s="248"/>
      <c r="K110" s="320"/>
      <c r="L110" s="322"/>
      <c r="M110" s="1076"/>
      <c r="N110" s="1077"/>
      <c r="O110" s="1077"/>
      <c r="P110" s="1077"/>
      <c r="Q110" s="1077"/>
      <c r="R110" s="1077"/>
      <c r="S110" s="1078"/>
      <c r="U110" s="30"/>
      <c r="V110" s="32"/>
    </row>
    <row r="111" spans="1:22" ht="3" customHeight="1" thickBot="1">
      <c r="A111" s="247"/>
      <c r="B111" s="248"/>
      <c r="C111" s="248"/>
      <c r="D111" s="248"/>
      <c r="E111" s="481"/>
      <c r="F111" s="505"/>
      <c r="G111" s="505"/>
      <c r="H111" s="313"/>
      <c r="I111" s="248"/>
      <c r="J111" s="248"/>
      <c r="K111" s="320"/>
      <c r="L111" s="320"/>
      <c r="M111" s="1076"/>
      <c r="N111" s="1077"/>
      <c r="O111" s="1077"/>
      <c r="P111" s="1077"/>
      <c r="Q111" s="1077"/>
      <c r="R111" s="1077"/>
      <c r="S111" s="1078"/>
      <c r="U111" s="30"/>
      <c r="V111" s="32"/>
    </row>
    <row r="112" spans="1:22" ht="14.25" customHeight="1" thickBot="1" thickTop="1">
      <c r="A112" s="247"/>
      <c r="B112" s="248"/>
      <c r="C112" s="248"/>
      <c r="D112" s="248"/>
      <c r="E112" s="362"/>
      <c r="F112" s="830" t="s">
        <v>65</v>
      </c>
      <c r="G112" s="1396">
        <f>F110*F102</f>
        <v>0</v>
      </c>
      <c r="H112" s="1397"/>
      <c r="I112" s="469" t="s">
        <v>115</v>
      </c>
      <c r="J112" s="472"/>
      <c r="K112" s="506"/>
      <c r="L112" s="320"/>
      <c r="M112" s="1076"/>
      <c r="N112" s="1077"/>
      <c r="O112" s="1077"/>
      <c r="P112" s="1077"/>
      <c r="Q112" s="1077"/>
      <c r="R112" s="1077"/>
      <c r="S112" s="1078"/>
      <c r="U112" s="30"/>
      <c r="V112" s="32"/>
    </row>
    <row r="113" spans="1:22" ht="16.5" customHeight="1" thickTop="1">
      <c r="A113" s="1499" t="s">
        <v>777</v>
      </c>
      <c r="B113" s="927"/>
      <c r="C113" s="927"/>
      <c r="D113" s="927"/>
      <c r="E113" s="927"/>
      <c r="F113" s="927"/>
      <c r="G113" s="927"/>
      <c r="H113" s="248"/>
      <c r="I113" s="248"/>
      <c r="J113" s="248"/>
      <c r="K113" s="320"/>
      <c r="L113" s="320"/>
      <c r="M113" s="1076"/>
      <c r="N113" s="1077"/>
      <c r="O113" s="1077"/>
      <c r="P113" s="1077"/>
      <c r="Q113" s="1077"/>
      <c r="R113" s="1077"/>
      <c r="S113" s="1078"/>
      <c r="U113" s="30"/>
      <c r="V113" s="32"/>
    </row>
    <row r="114" spans="1:22" ht="13.5" customHeight="1">
      <c r="A114" s="1068" t="s">
        <v>688</v>
      </c>
      <c r="B114" s="1069"/>
      <c r="C114" s="1069"/>
      <c r="D114" s="1069"/>
      <c r="E114" s="1069"/>
      <c r="F114" s="363"/>
      <c r="G114" s="363"/>
      <c r="H114" s="248"/>
      <c r="I114" s="248"/>
      <c r="J114" s="248"/>
      <c r="K114" s="320"/>
      <c r="L114" s="320"/>
      <c r="M114" s="1076"/>
      <c r="N114" s="1077"/>
      <c r="O114" s="1077"/>
      <c r="P114" s="1077"/>
      <c r="Q114" s="1077"/>
      <c r="R114" s="1077"/>
      <c r="S114" s="1078"/>
      <c r="U114" s="30"/>
      <c r="V114" s="32"/>
    </row>
    <row r="115" spans="1:22" ht="14.25" customHeight="1">
      <c r="A115" s="1068"/>
      <c r="B115" s="1069"/>
      <c r="C115" s="1069"/>
      <c r="D115" s="1069"/>
      <c r="E115" s="1069"/>
      <c r="F115" s="1539"/>
      <c r="G115" s="1540"/>
      <c r="H115" s="469" t="s">
        <v>116</v>
      </c>
      <c r="I115" s="248"/>
      <c r="J115" s="248"/>
      <c r="K115" s="320"/>
      <c r="L115" s="320"/>
      <c r="M115" s="1076"/>
      <c r="N115" s="1077"/>
      <c r="O115" s="1077"/>
      <c r="P115" s="1077"/>
      <c r="Q115" s="1077"/>
      <c r="R115" s="1077"/>
      <c r="S115" s="1078"/>
      <c r="U115" s="30"/>
      <c r="V115" s="32"/>
    </row>
    <row r="116" spans="1:22" ht="12.75" customHeight="1">
      <c r="A116" s="1534" t="s">
        <v>66</v>
      </c>
      <c r="B116" s="1535"/>
      <c r="C116" s="1535"/>
      <c r="D116" s="1535"/>
      <c r="E116" s="1535"/>
      <c r="F116" s="71"/>
      <c r="G116" s="71"/>
      <c r="H116" s="248"/>
      <c r="I116" s="248"/>
      <c r="J116" s="248"/>
      <c r="K116" s="320"/>
      <c r="L116" s="320"/>
      <c r="M116" s="1076"/>
      <c r="N116" s="1077"/>
      <c r="O116" s="1077"/>
      <c r="P116" s="1077"/>
      <c r="Q116" s="1077"/>
      <c r="R116" s="1077"/>
      <c r="S116" s="1078"/>
      <c r="U116" s="30"/>
      <c r="V116" s="32"/>
    </row>
    <row r="117" spans="1:22" ht="14.25" customHeight="1">
      <c r="A117" s="1534"/>
      <c r="B117" s="1535"/>
      <c r="C117" s="1535"/>
      <c r="D117" s="1535"/>
      <c r="E117" s="1536"/>
      <c r="F117" s="1486">
        <f>IF($Q$4=0,0,F115/$Q$4)</f>
        <v>0</v>
      </c>
      <c r="G117" s="1487"/>
      <c r="H117" s="469" t="s">
        <v>117</v>
      </c>
      <c r="I117" s="248"/>
      <c r="J117" s="248"/>
      <c r="K117" s="320"/>
      <c r="L117" s="1405"/>
      <c r="M117" s="1076"/>
      <c r="N117" s="1077"/>
      <c r="O117" s="1077"/>
      <c r="P117" s="1077"/>
      <c r="Q117" s="1077"/>
      <c r="R117" s="1077"/>
      <c r="S117" s="1078"/>
      <c r="U117" s="45"/>
      <c r="V117" s="32"/>
    </row>
    <row r="118" spans="1:22" ht="15" customHeight="1">
      <c r="A118" s="836"/>
      <c r="B118" s="829"/>
      <c r="C118" s="826"/>
      <c r="D118" s="826"/>
      <c r="E118" s="825" t="s">
        <v>836</v>
      </c>
      <c r="F118" s="1488">
        <f>F108*F117/100*2800</f>
        <v>0</v>
      </c>
      <c r="G118" s="1489"/>
      <c r="H118" s="469" t="s">
        <v>118</v>
      </c>
      <c r="I118" s="248"/>
      <c r="J118" s="248"/>
      <c r="K118" s="320"/>
      <c r="L118" s="1405"/>
      <c r="M118" s="1076"/>
      <c r="N118" s="1077"/>
      <c r="O118" s="1077"/>
      <c r="P118" s="1077"/>
      <c r="Q118" s="1077"/>
      <c r="R118" s="1077"/>
      <c r="S118" s="1078"/>
      <c r="U118" s="45"/>
      <c r="V118" s="32"/>
    </row>
    <row r="119" spans="1:22" ht="3" customHeight="1" thickBot="1">
      <c r="A119" s="507"/>
      <c r="B119" s="248"/>
      <c r="C119" s="504"/>
      <c r="D119" s="504"/>
      <c r="E119" s="481"/>
      <c r="F119" s="471"/>
      <c r="G119" s="471"/>
      <c r="H119" s="248"/>
      <c r="I119" s="248"/>
      <c r="J119" s="248"/>
      <c r="K119" s="320"/>
      <c r="L119" s="1405"/>
      <c r="M119" s="1076"/>
      <c r="N119" s="1077"/>
      <c r="O119" s="1077"/>
      <c r="P119" s="1077"/>
      <c r="Q119" s="1077"/>
      <c r="R119" s="1077"/>
      <c r="S119" s="1078"/>
      <c r="U119" s="45"/>
      <c r="V119" s="32"/>
    </row>
    <row r="120" spans="1:22" ht="15" customHeight="1" thickBot="1" thickTop="1">
      <c r="A120" s="507"/>
      <c r="B120" s="248"/>
      <c r="C120" s="504"/>
      <c r="D120" s="504"/>
      <c r="E120" s="362"/>
      <c r="F120" s="837" t="s">
        <v>10</v>
      </c>
      <c r="G120" s="1396">
        <f>F118</f>
        <v>0</v>
      </c>
      <c r="H120" s="1397"/>
      <c r="I120" s="469" t="s">
        <v>119</v>
      </c>
      <c r="J120" s="472"/>
      <c r="K120" s="506"/>
      <c r="L120" s="1405"/>
      <c r="M120" s="1076"/>
      <c r="N120" s="1077"/>
      <c r="O120" s="1077"/>
      <c r="P120" s="1077"/>
      <c r="Q120" s="1077"/>
      <c r="R120" s="1077"/>
      <c r="S120" s="1078"/>
      <c r="U120" s="45"/>
      <c r="V120" s="32"/>
    </row>
    <row r="121" spans="1:22" ht="15.75" customHeight="1" thickBot="1" thickTop="1">
      <c r="A121" s="508" t="s">
        <v>120</v>
      </c>
      <c r="B121" s="354"/>
      <c r="C121" s="354"/>
      <c r="D121" s="354"/>
      <c r="E121" s="1490">
        <f>IF(F106+F117&gt;1,"WARNING: Total % &gt; 100%","")</f>
      </c>
      <c r="F121" s="1490"/>
      <c r="G121" s="1490"/>
      <c r="H121" s="1490"/>
      <c r="I121" s="1490"/>
      <c r="J121" s="1490"/>
      <c r="K121" s="510"/>
      <c r="L121" s="511"/>
      <c r="M121" s="1076"/>
      <c r="N121" s="1077"/>
      <c r="O121" s="1077"/>
      <c r="P121" s="1077"/>
      <c r="Q121" s="1077"/>
      <c r="R121" s="1077"/>
      <c r="S121" s="1078"/>
      <c r="U121" s="45"/>
      <c r="V121" s="32"/>
    </row>
    <row r="122" spans="1:22" ht="15.75" customHeight="1" thickBot="1">
      <c r="A122" s="508" t="s">
        <v>121</v>
      </c>
      <c r="B122" s="354"/>
      <c r="C122" s="354"/>
      <c r="D122" s="354"/>
      <c r="E122" s="509"/>
      <c r="F122" s="509"/>
      <c r="G122" s="509"/>
      <c r="H122" s="509"/>
      <c r="I122" s="509"/>
      <c r="J122" s="509"/>
      <c r="K122" s="512"/>
      <c r="L122" s="513"/>
      <c r="M122" s="1076"/>
      <c r="N122" s="1077"/>
      <c r="O122" s="1077"/>
      <c r="P122" s="1077"/>
      <c r="Q122" s="1077"/>
      <c r="R122" s="1077"/>
      <c r="S122" s="1078"/>
      <c r="U122" s="45"/>
      <c r="V122" s="32"/>
    </row>
    <row r="123" spans="1:22" ht="15.75" thickBot="1">
      <c r="A123" s="345" t="s">
        <v>122</v>
      </c>
      <c r="B123" s="356"/>
      <c r="C123" s="356"/>
      <c r="D123" s="356"/>
      <c r="E123" s="356"/>
      <c r="F123" s="356"/>
      <c r="G123" s="356"/>
      <c r="H123" s="356"/>
      <c r="I123" s="454" t="s">
        <v>794</v>
      </c>
      <c r="J123" s="1033">
        <f>SUM(G112,G120)</f>
        <v>0</v>
      </c>
      <c r="K123" s="1387"/>
      <c r="L123" s="1034"/>
      <c r="M123" s="1079"/>
      <c r="N123" s="1080"/>
      <c r="O123" s="1080"/>
      <c r="P123" s="1080"/>
      <c r="Q123" s="1080"/>
      <c r="R123" s="1080"/>
      <c r="S123" s="1081"/>
      <c r="U123" s="30"/>
      <c r="V123" s="32"/>
    </row>
    <row r="124" spans="1:22" ht="18" customHeight="1">
      <c r="A124" s="514" t="s">
        <v>799</v>
      </c>
      <c r="B124" s="357"/>
      <c r="C124" s="1150" t="s">
        <v>0</v>
      </c>
      <c r="D124" s="1150"/>
      <c r="E124" s="1150"/>
      <c r="F124" s="1150"/>
      <c r="G124" s="1150"/>
      <c r="H124" s="1150"/>
      <c r="I124" s="1150"/>
      <c r="J124" s="1150"/>
      <c r="K124" s="1150"/>
      <c r="L124" s="1150"/>
      <c r="M124" s="1150"/>
      <c r="N124" s="1150"/>
      <c r="O124" s="1150"/>
      <c r="P124" s="1150"/>
      <c r="Q124" s="1150"/>
      <c r="R124" s="1150"/>
      <c r="S124" s="1151"/>
      <c r="U124" s="30"/>
      <c r="V124" s="32"/>
    </row>
    <row r="125" spans="1:22" ht="12.75" customHeight="1">
      <c r="A125" s="515"/>
      <c r="B125" s="516"/>
      <c r="C125" s="1501"/>
      <c r="D125" s="1501"/>
      <c r="E125" s="1501"/>
      <c r="F125" s="1501"/>
      <c r="G125" s="1501"/>
      <c r="H125" s="1501"/>
      <c r="I125" s="1501"/>
      <c r="J125" s="1501"/>
      <c r="K125" s="1501"/>
      <c r="L125" s="1501"/>
      <c r="M125" s="1501"/>
      <c r="N125" s="1501"/>
      <c r="O125" s="1501"/>
      <c r="P125" s="1501"/>
      <c r="Q125" s="1501"/>
      <c r="R125" s="1501"/>
      <c r="S125" s="1502"/>
      <c r="U125" s="30"/>
      <c r="V125" s="32"/>
    </row>
    <row r="126" spans="1:22" ht="15" customHeight="1">
      <c r="A126" s="1162" t="s">
        <v>839</v>
      </c>
      <c r="B126" s="1163"/>
      <c r="C126" s="1163"/>
      <c r="D126" s="1163"/>
      <c r="E126" s="1163"/>
      <c r="F126" s="1163"/>
      <c r="G126" s="1163"/>
      <c r="H126" s="1163"/>
      <c r="I126" s="1163"/>
      <c r="J126" s="1163"/>
      <c r="K126" s="1163"/>
      <c r="L126" s="1163"/>
      <c r="M126" s="1163"/>
      <c r="N126" s="1163"/>
      <c r="O126" s="1163"/>
      <c r="P126" s="1163"/>
      <c r="Q126" s="1163"/>
      <c r="R126" s="1163"/>
      <c r="S126" s="1164"/>
      <c r="U126" s="30"/>
      <c r="V126" s="32"/>
    </row>
    <row r="127" spans="1:22" ht="9.75" customHeight="1" thickBot="1">
      <c r="A127" s="914"/>
      <c r="B127" s="908"/>
      <c r="C127" s="908"/>
      <c r="D127" s="908"/>
      <c r="E127" s="908"/>
      <c r="F127" s="908"/>
      <c r="G127" s="908"/>
      <c r="H127" s="908"/>
      <c r="I127" s="908"/>
      <c r="J127" s="908"/>
      <c r="K127" s="908"/>
      <c r="L127" s="908"/>
      <c r="M127" s="908"/>
      <c r="N127" s="908"/>
      <c r="O127" s="908"/>
      <c r="P127" s="908"/>
      <c r="Q127" s="908"/>
      <c r="R127" s="908"/>
      <c r="S127" s="909"/>
      <c r="U127" s="30"/>
      <c r="V127" s="32"/>
    </row>
    <row r="128" spans="1:22" ht="30.75" customHeight="1" thickTop="1">
      <c r="A128" s="1499" t="s">
        <v>717</v>
      </c>
      <c r="B128" s="927"/>
      <c r="C128" s="927"/>
      <c r="D128" s="927"/>
      <c r="E128" s="927"/>
      <c r="F128" s="927"/>
      <c r="G128" s="927"/>
      <c r="H128" s="927"/>
      <c r="I128" s="927"/>
      <c r="J128" s="927"/>
      <c r="K128" s="1496" t="s">
        <v>848</v>
      </c>
      <c r="L128" s="1496"/>
      <c r="M128" s="1496"/>
      <c r="N128" s="1496"/>
      <c r="O128" s="1496"/>
      <c r="P128" s="1496"/>
      <c r="Q128" s="1497"/>
      <c r="R128" s="475" t="b">
        <v>0</v>
      </c>
      <c r="S128" s="461"/>
      <c r="U128" s="30"/>
      <c r="V128" s="32"/>
    </row>
    <row r="129" spans="1:22" ht="9.75" customHeight="1">
      <c r="A129" s="517"/>
      <c r="B129" s="248"/>
      <c r="C129" s="248"/>
      <c r="D129" s="248"/>
      <c r="E129" s="248"/>
      <c r="F129" s="248"/>
      <c r="G129" s="248"/>
      <c r="H129" s="248"/>
      <c r="I129" s="248"/>
      <c r="J129" s="248"/>
      <c r="K129" s="248"/>
      <c r="L129" s="248"/>
      <c r="M129" s="248"/>
      <c r="N129" s="248"/>
      <c r="O129" s="248"/>
      <c r="P129" s="248"/>
      <c r="Q129" s="248"/>
      <c r="R129" s="475" t="b">
        <v>0</v>
      </c>
      <c r="S129" s="461"/>
      <c r="U129" s="30"/>
      <c r="V129" s="32"/>
    </row>
    <row r="130" spans="1:22" ht="18.75" customHeight="1">
      <c r="A130" s="1500" t="s">
        <v>850</v>
      </c>
      <c r="B130" s="1139" t="s">
        <v>847</v>
      </c>
      <c r="C130" s="1139"/>
      <c r="D130" s="1139"/>
      <c r="E130" s="1139"/>
      <c r="F130" s="248"/>
      <c r="G130" s="519" t="s">
        <v>671</v>
      </c>
      <c r="H130" s="520" t="s">
        <v>672</v>
      </c>
      <c r="I130" s="248"/>
      <c r="J130" s="248"/>
      <c r="K130" s="248"/>
      <c r="L130" s="385" t="s">
        <v>845</v>
      </c>
      <c r="M130" s="248"/>
      <c r="N130" s="385"/>
      <c r="O130" s="385"/>
      <c r="P130" s="385"/>
      <c r="Q130" s="521"/>
      <c r="R130" s="475" t="b">
        <v>0</v>
      </c>
      <c r="S130" s="522">
        <f>COUNTIF(R128:R130,R132)</f>
        <v>0</v>
      </c>
      <c r="U130" s="30"/>
      <c r="V130" s="32"/>
    </row>
    <row r="131" spans="1:22" ht="18.75" customHeight="1">
      <c r="A131" s="1500"/>
      <c r="B131" s="1139"/>
      <c r="C131" s="1139"/>
      <c r="D131" s="1139"/>
      <c r="E131" s="1139"/>
      <c r="F131" s="518"/>
      <c r="G131" s="248"/>
      <c r="H131" s="248"/>
      <c r="I131" s="248"/>
      <c r="J131" s="248"/>
      <c r="K131" s="248"/>
      <c r="L131" s="375" t="s">
        <v>718</v>
      </c>
      <c r="M131" s="1498"/>
      <c r="N131" s="1498"/>
      <c r="O131" s="1498"/>
      <c r="P131" s="1498"/>
      <c r="Q131" s="248"/>
      <c r="R131" s="475">
        <v>2</v>
      </c>
      <c r="S131" s="461"/>
      <c r="U131" s="30"/>
      <c r="V131" s="32"/>
    </row>
    <row r="132" spans="1:22" ht="15.75" customHeight="1">
      <c r="A132" s="477"/>
      <c r="B132" s="362"/>
      <c r="C132" s="362"/>
      <c r="D132" s="362"/>
      <c r="E132" s="362"/>
      <c r="F132" s="49"/>
      <c r="G132" s="49"/>
      <c r="H132" s="248"/>
      <c r="I132" s="248"/>
      <c r="J132" s="248"/>
      <c r="K132" s="248"/>
      <c r="L132" s="248" t="s">
        <v>718</v>
      </c>
      <c r="M132" s="1498"/>
      <c r="N132" s="1498"/>
      <c r="O132" s="1498"/>
      <c r="P132" s="1498"/>
      <c r="Q132" s="248"/>
      <c r="R132" s="1494" t="b">
        <v>1</v>
      </c>
      <c r="S132" s="1495"/>
      <c r="U132" s="30"/>
      <c r="V132" s="32"/>
    </row>
    <row r="133" spans="1:22" ht="16.5" customHeight="1">
      <c r="A133" s="477"/>
      <c r="B133" s="373"/>
      <c r="C133" s="354" t="s">
        <v>687</v>
      </c>
      <c r="D133" s="362"/>
      <c r="E133" s="362"/>
      <c r="F133" s="1410" t="s">
        <v>841</v>
      </c>
      <c r="G133" s="1410"/>
      <c r="H133" s="1410"/>
      <c r="I133" s="1410"/>
      <c r="J133" s="248"/>
      <c r="K133" s="248"/>
      <c r="L133" s="248"/>
      <c r="M133" s="248"/>
      <c r="N133" s="1395"/>
      <c r="O133" s="1395"/>
      <c r="P133" s="248"/>
      <c r="Q133" s="248"/>
      <c r="R133" s="475" t="b">
        <v>0</v>
      </c>
      <c r="S133" s="461" t="b">
        <v>0</v>
      </c>
      <c r="U133" s="30"/>
      <c r="V133" s="32"/>
    </row>
    <row r="134" spans="1:22" ht="16.5" customHeight="1">
      <c r="A134" s="477"/>
      <c r="B134" s="362"/>
      <c r="C134" s="1383" t="s">
        <v>689</v>
      </c>
      <c r="D134" s="1383"/>
      <c r="E134" s="362"/>
      <c r="F134" s="523" t="s">
        <v>685</v>
      </c>
      <c r="G134" s="49"/>
      <c r="H134" s="248"/>
      <c r="I134" s="248"/>
      <c r="J134" s="248"/>
      <c r="K134" s="248"/>
      <c r="L134" s="248"/>
      <c r="M134" s="248"/>
      <c r="N134" s="248"/>
      <c r="O134" s="481" t="s">
        <v>846</v>
      </c>
      <c r="P134" s="553">
        <f>IF(S130=0,0,IF(S130=1,3,(IF(S130=2,4,5))))</f>
        <v>0</v>
      </c>
      <c r="Q134" s="524" t="s">
        <v>125</v>
      </c>
      <c r="R134" s="475" t="b">
        <v>0</v>
      </c>
      <c r="S134" s="461" t="b">
        <v>0</v>
      </c>
      <c r="U134" s="30"/>
      <c r="V134" s="32"/>
    </row>
    <row r="135" spans="1:22" ht="16.5" customHeight="1">
      <c r="A135" s="477"/>
      <c r="B135" s="362"/>
      <c r="C135" s="1383" t="s">
        <v>686</v>
      </c>
      <c r="D135" s="1383"/>
      <c r="E135" s="49"/>
      <c r="F135" s="248" t="s">
        <v>840</v>
      </c>
      <c r="G135" s="49"/>
      <c r="H135" s="248"/>
      <c r="I135" s="248"/>
      <c r="J135" s="248"/>
      <c r="K135" s="248"/>
      <c r="L135" s="248"/>
      <c r="M135" s="248"/>
      <c r="N135" s="248"/>
      <c r="O135" s="248"/>
      <c r="P135" s="248"/>
      <c r="Q135" s="248"/>
      <c r="R135" s="475" t="b">
        <v>0</v>
      </c>
      <c r="S135" s="461" t="b">
        <v>0</v>
      </c>
      <c r="U135" s="30"/>
      <c r="V135" s="32"/>
    </row>
    <row r="136" spans="1:22" ht="9" customHeight="1">
      <c r="A136" s="477"/>
      <c r="B136" s="362"/>
      <c r="C136" s="354"/>
      <c r="D136" s="354"/>
      <c r="E136" s="49"/>
      <c r="F136" s="248"/>
      <c r="G136" s="49"/>
      <c r="H136" s="248"/>
      <c r="I136" s="248"/>
      <c r="J136" s="248"/>
      <c r="K136" s="248"/>
      <c r="L136" s="248"/>
      <c r="M136" s="248"/>
      <c r="N136" s="248"/>
      <c r="O136" s="248"/>
      <c r="P136" s="248"/>
      <c r="Q136" s="248"/>
      <c r="R136" s="475"/>
      <c r="S136" s="461"/>
      <c r="U136" s="30"/>
      <c r="V136" s="32"/>
    </row>
    <row r="137" spans="1:22" ht="12.75" customHeight="1">
      <c r="A137" s="477"/>
      <c r="B137" s="362"/>
      <c r="C137" s="354"/>
      <c r="D137" s="354"/>
      <c r="E137" s="49"/>
      <c r="F137" s="248"/>
      <c r="G137" s="49" t="s">
        <v>842</v>
      </c>
      <c r="H137" s="551">
        <f>COUNTIF(R133:S135,R132)*3</f>
        <v>0</v>
      </c>
      <c r="I137" s="469" t="s">
        <v>123</v>
      </c>
      <c r="J137" s="248"/>
      <c r="K137" s="1402" t="s">
        <v>238</v>
      </c>
      <c r="L137" s="1402"/>
      <c r="M137" s="1402"/>
      <c r="N137" s="1402"/>
      <c r="O137" s="1402"/>
      <c r="P137" s="1402"/>
      <c r="Q137" s="248"/>
      <c r="R137" s="475"/>
      <c r="S137" s="461"/>
      <c r="U137" s="30"/>
      <c r="V137" s="32"/>
    </row>
    <row r="138" spans="1:22" ht="15" customHeight="1">
      <c r="A138" s="477"/>
      <c r="B138" s="362"/>
      <c r="C138" s="354"/>
      <c r="D138" s="354"/>
      <c r="E138" s="49"/>
      <c r="F138" s="248"/>
      <c r="G138" s="49"/>
      <c r="H138" s="525"/>
      <c r="I138" s="248"/>
      <c r="J138" s="248"/>
      <c r="K138" s="1402"/>
      <c r="L138" s="1402"/>
      <c r="M138" s="1402"/>
      <c r="N138" s="1402"/>
      <c r="O138" s="1402"/>
      <c r="P138" s="1402"/>
      <c r="Q138" s="248"/>
      <c r="R138" s="475"/>
      <c r="S138" s="461"/>
      <c r="U138" s="30"/>
      <c r="V138" s="32"/>
    </row>
    <row r="139" spans="1:22" ht="16.5" customHeight="1">
      <c r="A139" s="477"/>
      <c r="B139" s="362"/>
      <c r="C139" s="354" t="s">
        <v>36</v>
      </c>
      <c r="D139" s="354"/>
      <c r="E139" s="49"/>
      <c r="F139" s="1383" t="s">
        <v>843</v>
      </c>
      <c r="G139" s="1383"/>
      <c r="H139" s="1383"/>
      <c r="I139" s="248"/>
      <c r="J139" s="248"/>
      <c r="K139" s="1402"/>
      <c r="L139" s="1402"/>
      <c r="M139" s="1402"/>
      <c r="N139" s="1402"/>
      <c r="O139" s="1402"/>
      <c r="P139" s="1402"/>
      <c r="Q139" s="248"/>
      <c r="R139" s="475" t="b">
        <v>0</v>
      </c>
      <c r="S139" s="461" t="b">
        <v>0</v>
      </c>
      <c r="U139" s="30"/>
      <c r="V139" s="32"/>
    </row>
    <row r="140" spans="1:22" ht="9.75" customHeight="1" thickBot="1">
      <c r="A140" s="477"/>
      <c r="B140" s="362"/>
      <c r="C140" s="354"/>
      <c r="D140" s="354"/>
      <c r="E140" s="49"/>
      <c r="F140" s="248"/>
      <c r="G140" s="49"/>
      <c r="H140" s="525"/>
      <c r="I140" s="248"/>
      <c r="J140" s="248"/>
      <c r="K140" s="248"/>
      <c r="L140" s="248"/>
      <c r="M140" s="248"/>
      <c r="N140" s="248"/>
      <c r="O140" s="248"/>
      <c r="P140" s="248"/>
      <c r="Q140" s="248"/>
      <c r="R140" s="475"/>
      <c r="S140" s="461"/>
      <c r="U140" s="30"/>
      <c r="V140" s="32"/>
    </row>
    <row r="141" spans="1:22" ht="16.5" customHeight="1" thickBot="1">
      <c r="A141" s="526"/>
      <c r="B141" s="465"/>
      <c r="C141" s="527"/>
      <c r="D141" s="527"/>
      <c r="E141" s="528"/>
      <c r="F141" s="356"/>
      <c r="G141" s="529" t="s">
        <v>844</v>
      </c>
      <c r="H141" s="552">
        <f>COUNTIF(R139:S139,R132)*2</f>
        <v>0</v>
      </c>
      <c r="I141" s="530" t="s">
        <v>124</v>
      </c>
      <c r="J141" s="356"/>
      <c r="K141" s="356"/>
      <c r="L141" s="356"/>
      <c r="M141" s="356"/>
      <c r="N141" s="1384" t="s">
        <v>849</v>
      </c>
      <c r="O141" s="1384"/>
      <c r="P141" s="1384"/>
      <c r="Q141" s="1385"/>
      <c r="R141" s="1033">
        <f>IF(R131=2,0,SUM(H137,H141,P134))</f>
        <v>0</v>
      </c>
      <c r="S141" s="1034"/>
      <c r="U141" s="30"/>
      <c r="V141" s="32"/>
    </row>
    <row r="142" spans="1:22" ht="31.5" customHeight="1">
      <c r="A142" s="531" t="s">
        <v>778</v>
      </c>
      <c r="B142" s="532"/>
      <c r="C142" s="963" t="s">
        <v>793</v>
      </c>
      <c r="D142" s="963"/>
      <c r="E142" s="963"/>
      <c r="F142" s="963"/>
      <c r="G142" s="963"/>
      <c r="H142" s="963"/>
      <c r="I142" s="963"/>
      <c r="J142" s="963"/>
      <c r="K142" s="963"/>
      <c r="L142" s="1313"/>
      <c r="M142" s="1170" t="s">
        <v>591</v>
      </c>
      <c r="N142" s="1520"/>
      <c r="O142" s="1520"/>
      <c r="P142" s="1520"/>
      <c r="Q142" s="1520"/>
      <c r="R142" s="1520"/>
      <c r="S142" s="1521"/>
      <c r="U142" s="30"/>
      <c r="V142" s="32"/>
    </row>
    <row r="143" spans="1:22" ht="31.5" customHeight="1">
      <c r="A143" s="1128" t="s">
        <v>231</v>
      </c>
      <c r="B143" s="1129"/>
      <c r="C143" s="1129"/>
      <c r="D143" s="1129"/>
      <c r="E143" s="1129"/>
      <c r="F143" s="1129"/>
      <c r="G143" s="1129"/>
      <c r="H143" s="1129"/>
      <c r="I143" s="1129"/>
      <c r="J143" s="1129"/>
      <c r="K143" s="1129"/>
      <c r="L143" s="1503"/>
      <c r="M143" s="1115"/>
      <c r="N143" s="1116"/>
      <c r="O143" s="1116"/>
      <c r="P143" s="1116"/>
      <c r="Q143" s="1116"/>
      <c r="R143" s="1116"/>
      <c r="S143" s="1117"/>
      <c r="U143" s="30"/>
      <c r="V143" s="32"/>
    </row>
    <row r="144" spans="1:22" ht="33" customHeight="1" thickBot="1">
      <c r="A144" s="1130"/>
      <c r="B144" s="1131"/>
      <c r="C144" s="1131"/>
      <c r="D144" s="1131"/>
      <c r="E144" s="1131"/>
      <c r="F144" s="1131"/>
      <c r="G144" s="1131"/>
      <c r="H144" s="1131"/>
      <c r="I144" s="1131"/>
      <c r="J144" s="1131"/>
      <c r="K144" s="1131"/>
      <c r="L144" s="1234"/>
      <c r="M144" s="1522"/>
      <c r="N144" s="1523"/>
      <c r="O144" s="1523"/>
      <c r="P144" s="1523"/>
      <c r="Q144" s="1523"/>
      <c r="R144" s="1523"/>
      <c r="S144" s="1524"/>
      <c r="U144" s="30"/>
      <c r="V144" s="32"/>
    </row>
    <row r="145" spans="1:22" ht="22.5" customHeight="1" thickTop="1">
      <c r="A145" s="533"/>
      <c r="B145" s="534"/>
      <c r="C145" s="534"/>
      <c r="D145" s="534"/>
      <c r="E145" s="534"/>
      <c r="F145" s="534"/>
      <c r="G145" s="534"/>
      <c r="H145" s="534"/>
      <c r="I145" s="534"/>
      <c r="J145" s="535"/>
      <c r="K145" s="169"/>
      <c r="L145" s="383"/>
      <c r="M145" s="1525"/>
      <c r="N145" s="1526"/>
      <c r="O145" s="1526"/>
      <c r="P145" s="1526"/>
      <c r="Q145" s="1526"/>
      <c r="R145" s="1526"/>
      <c r="S145" s="1527"/>
      <c r="U145" s="30"/>
      <c r="V145" s="32"/>
    </row>
    <row r="146" spans="1:22" ht="21" customHeight="1">
      <c r="A146" s="533"/>
      <c r="B146" s="1144" t="s">
        <v>37</v>
      </c>
      <c r="C146" s="1145"/>
      <c r="D146" s="1145"/>
      <c r="E146" s="1145"/>
      <c r="F146" s="1145"/>
      <c r="G146" s="198"/>
      <c r="H146" s="198"/>
      <c r="I146" s="534"/>
      <c r="J146" s="534"/>
      <c r="K146" s="534"/>
      <c r="L146" s="210"/>
      <c r="M146" s="1525"/>
      <c r="N146" s="1526"/>
      <c r="O146" s="1526"/>
      <c r="P146" s="1526"/>
      <c r="Q146" s="1526"/>
      <c r="R146" s="1526"/>
      <c r="S146" s="1527"/>
      <c r="U146" s="30"/>
      <c r="V146" s="32"/>
    </row>
    <row r="147" spans="1:22" ht="15" customHeight="1">
      <c r="A147" s="533"/>
      <c r="B147" s="1145"/>
      <c r="C147" s="1145"/>
      <c r="D147" s="1145"/>
      <c r="E147" s="1145"/>
      <c r="F147" s="1145"/>
      <c r="G147" s="1142">
        <v>0</v>
      </c>
      <c r="H147" s="1143"/>
      <c r="I147" s="536" t="s">
        <v>399</v>
      </c>
      <c r="J147" s="534"/>
      <c r="K147" s="534"/>
      <c r="L147" s="210"/>
      <c r="M147" s="1525"/>
      <c r="N147" s="1526"/>
      <c r="O147" s="1526"/>
      <c r="P147" s="1526"/>
      <c r="Q147" s="1526"/>
      <c r="R147" s="1526"/>
      <c r="S147" s="1527"/>
      <c r="U147" s="30"/>
      <c r="V147" s="32"/>
    </row>
    <row r="148" spans="1:22" ht="15" customHeight="1">
      <c r="A148" s="533"/>
      <c r="B148" s="1125" t="s">
        <v>543</v>
      </c>
      <c r="C148" s="1125"/>
      <c r="D148" s="1125"/>
      <c r="E148" s="1125"/>
      <c r="F148" s="1125"/>
      <c r="G148" s="1142">
        <v>0</v>
      </c>
      <c r="H148" s="1143"/>
      <c r="I148" s="536" t="s">
        <v>400</v>
      </c>
      <c r="J148" s="534"/>
      <c r="K148" s="534"/>
      <c r="L148" s="210"/>
      <c r="M148" s="1525"/>
      <c r="N148" s="1526"/>
      <c r="O148" s="1526"/>
      <c r="P148" s="1526"/>
      <c r="Q148" s="1526"/>
      <c r="R148" s="1526"/>
      <c r="S148" s="1527"/>
      <c r="U148" s="30"/>
      <c r="V148" s="32"/>
    </row>
    <row r="149" spans="1:22" ht="5.25" customHeight="1">
      <c r="A149" s="533"/>
      <c r="B149" s="537"/>
      <c r="C149" s="537"/>
      <c r="D149" s="537"/>
      <c r="E149" s="537"/>
      <c r="F149" s="537"/>
      <c r="G149" s="537"/>
      <c r="H149" s="537"/>
      <c r="I149" s="538"/>
      <c r="J149" s="534"/>
      <c r="K149" s="534"/>
      <c r="L149" s="210"/>
      <c r="M149" s="1525"/>
      <c r="N149" s="1526"/>
      <c r="O149" s="1526"/>
      <c r="P149" s="1526"/>
      <c r="Q149" s="1526"/>
      <c r="R149" s="1526"/>
      <c r="S149" s="1527"/>
      <c r="U149" s="30"/>
      <c r="V149" s="32"/>
    </row>
    <row r="150" spans="1:22" ht="15" customHeight="1">
      <c r="A150" s="160"/>
      <c r="B150" s="169"/>
      <c r="C150" s="169"/>
      <c r="D150" s="169"/>
      <c r="E150" s="169"/>
      <c r="F150" s="198" t="s">
        <v>128</v>
      </c>
      <c r="G150" s="1160">
        <f>IF(G147=0,0,G148/G147)</f>
        <v>0</v>
      </c>
      <c r="H150" s="1161"/>
      <c r="I150" s="199" t="s">
        <v>401</v>
      </c>
      <c r="J150" s="169"/>
      <c r="K150" s="534"/>
      <c r="L150" s="210"/>
      <c r="M150" s="1525"/>
      <c r="N150" s="1526"/>
      <c r="O150" s="1526"/>
      <c r="P150" s="1526"/>
      <c r="Q150" s="1526"/>
      <c r="R150" s="1526"/>
      <c r="S150" s="1527"/>
      <c r="U150" s="30"/>
      <c r="V150" s="32"/>
    </row>
    <row r="151" spans="1:22" ht="7.5" customHeight="1">
      <c r="A151" s="160"/>
      <c r="B151" s="169"/>
      <c r="C151" s="384"/>
      <c r="D151" s="384"/>
      <c r="E151" s="384"/>
      <c r="F151" s="384"/>
      <c r="G151" s="384"/>
      <c r="H151" s="384"/>
      <c r="I151" s="384"/>
      <c r="J151" s="169"/>
      <c r="K151" s="534"/>
      <c r="L151" s="210"/>
      <c r="M151" s="1525"/>
      <c r="N151" s="1526"/>
      <c r="O151" s="1526"/>
      <c r="P151" s="1526"/>
      <c r="Q151" s="1526"/>
      <c r="R151" s="1526"/>
      <c r="S151" s="1527"/>
      <c r="U151" s="30"/>
      <c r="V151" s="32"/>
    </row>
    <row r="152" spans="1:22" ht="15" customHeight="1" thickBot="1">
      <c r="A152" s="1510" t="s">
        <v>230</v>
      </c>
      <c r="B152" s="1137"/>
      <c r="C152" s="1137"/>
      <c r="D152" s="1137"/>
      <c r="E152" s="1137"/>
      <c r="F152" s="1137"/>
      <c r="G152" s="540"/>
      <c r="H152" s="248"/>
      <c r="I152" s="248"/>
      <c r="J152" s="169"/>
      <c r="K152" s="534"/>
      <c r="L152" s="210"/>
      <c r="M152" s="1525"/>
      <c r="N152" s="1526"/>
      <c r="O152" s="1526"/>
      <c r="P152" s="1526"/>
      <c r="Q152" s="1526"/>
      <c r="R152" s="1526"/>
      <c r="S152" s="1527"/>
      <c r="U152" s="30"/>
      <c r="V152" s="32"/>
    </row>
    <row r="153" spans="1:22" ht="15" customHeight="1" thickBot="1" thickTop="1">
      <c r="A153" s="1510"/>
      <c r="B153" s="1137"/>
      <c r="C153" s="1137"/>
      <c r="D153" s="1137"/>
      <c r="E153" s="1137"/>
      <c r="F153" s="1137"/>
      <c r="G153" s="1135">
        <f>G150*5</f>
        <v>0</v>
      </c>
      <c r="H153" s="1136"/>
      <c r="I153" s="199" t="s">
        <v>402</v>
      </c>
      <c r="J153" s="169"/>
      <c r="K153" s="534"/>
      <c r="L153" s="210"/>
      <c r="M153" s="1525"/>
      <c r="N153" s="1526"/>
      <c r="O153" s="1526"/>
      <c r="P153" s="1526"/>
      <c r="Q153" s="1526"/>
      <c r="R153" s="1526"/>
      <c r="S153" s="1527"/>
      <c r="U153" s="30"/>
      <c r="V153" s="32"/>
    </row>
    <row r="154" spans="1:25" ht="8.25" customHeight="1" thickTop="1">
      <c r="A154" s="541"/>
      <c r="B154" s="539"/>
      <c r="C154" s="539"/>
      <c r="D154" s="539"/>
      <c r="E154" s="539"/>
      <c r="F154" s="539"/>
      <c r="G154" s="542"/>
      <c r="H154" s="542"/>
      <c r="I154" s="199"/>
      <c r="J154" s="248"/>
      <c r="K154" s="543"/>
      <c r="L154" s="210"/>
      <c r="M154" s="1525"/>
      <c r="N154" s="1526"/>
      <c r="O154" s="1526"/>
      <c r="P154" s="1526"/>
      <c r="Q154" s="1526"/>
      <c r="R154" s="1526"/>
      <c r="S154" s="1527"/>
      <c r="T154" s="29"/>
      <c r="V154" s="23"/>
      <c r="X154"/>
      <c r="Y154"/>
    </row>
    <row r="155" spans="1:25" ht="12.75">
      <c r="A155" s="160"/>
      <c r="B155" s="169"/>
      <c r="C155" s="169"/>
      <c r="D155" s="169"/>
      <c r="E155" s="169"/>
      <c r="F155" s="169"/>
      <c r="G155" s="198"/>
      <c r="H155" s="236"/>
      <c r="I155" s="169"/>
      <c r="J155" s="248"/>
      <c r="K155" s="543"/>
      <c r="L155" s="210"/>
      <c r="M155" s="1525"/>
      <c r="N155" s="1526"/>
      <c r="O155" s="1526"/>
      <c r="P155" s="1526"/>
      <c r="Q155" s="1526"/>
      <c r="R155" s="1526"/>
      <c r="S155" s="1527"/>
      <c r="T155" s="29"/>
      <c r="V155" s="23"/>
      <c r="X155"/>
      <c r="Y155"/>
    </row>
    <row r="156" spans="1:25" ht="48" customHeight="1">
      <c r="A156" s="160"/>
      <c r="B156" s="238"/>
      <c r="C156" s="1102" t="s">
        <v>592</v>
      </c>
      <c r="D156" s="1103"/>
      <c r="E156" s="1103"/>
      <c r="F156" s="1103"/>
      <c r="G156" s="1103"/>
      <c r="H156" s="1103"/>
      <c r="I156" s="1104"/>
      <c r="J156" s="248"/>
      <c r="K156" s="543"/>
      <c r="L156" s="210">
        <f>IF(L162=1,5,"")</f>
      </c>
      <c r="M156" s="1525"/>
      <c r="N156" s="1526"/>
      <c r="O156" s="1526"/>
      <c r="P156" s="1526"/>
      <c r="Q156" s="1526"/>
      <c r="R156" s="1526"/>
      <c r="S156" s="1527"/>
      <c r="T156" s="29"/>
      <c r="V156" s="23"/>
      <c r="X156"/>
      <c r="Y156"/>
    </row>
    <row r="157" spans="1:25" ht="36" customHeight="1">
      <c r="A157" s="160"/>
      <c r="B157" s="238"/>
      <c r="C157" s="1102" t="s">
        <v>593</v>
      </c>
      <c r="D157" s="1103"/>
      <c r="E157" s="1103"/>
      <c r="F157" s="1103"/>
      <c r="G157" s="1103"/>
      <c r="H157" s="1103"/>
      <c r="I157" s="1104"/>
      <c r="J157" s="248"/>
      <c r="K157" s="543"/>
      <c r="L157" s="210">
        <f>IF($L$162=2,4,"")</f>
      </c>
      <c r="M157" s="1525"/>
      <c r="N157" s="1526"/>
      <c r="O157" s="1526"/>
      <c r="P157" s="1526"/>
      <c r="Q157" s="1526"/>
      <c r="R157" s="1526"/>
      <c r="S157" s="1527"/>
      <c r="T157" s="29"/>
      <c r="V157" s="23"/>
      <c r="X157"/>
      <c r="Y157"/>
    </row>
    <row r="158" spans="1:25" ht="37.5" customHeight="1">
      <c r="A158" s="160"/>
      <c r="B158" s="238"/>
      <c r="C158" s="1102" t="s">
        <v>594</v>
      </c>
      <c r="D158" s="1103"/>
      <c r="E158" s="1103"/>
      <c r="F158" s="1103"/>
      <c r="G158" s="1103"/>
      <c r="H158" s="1103"/>
      <c r="I158" s="1104"/>
      <c r="J158" s="248"/>
      <c r="K158" s="543"/>
      <c r="L158" s="210">
        <f>IF($L$162=3,3,"")</f>
      </c>
      <c r="M158" s="1525"/>
      <c r="N158" s="1526"/>
      <c r="O158" s="1526"/>
      <c r="P158" s="1526"/>
      <c r="Q158" s="1526"/>
      <c r="R158" s="1526"/>
      <c r="S158" s="1527"/>
      <c r="T158" s="29"/>
      <c r="V158" s="23"/>
      <c r="X158"/>
      <c r="Y158"/>
    </row>
    <row r="159" spans="1:25" ht="45.75" customHeight="1">
      <c r="A159" s="160"/>
      <c r="B159" s="238"/>
      <c r="C159" s="1102" t="s">
        <v>578</v>
      </c>
      <c r="D159" s="1103"/>
      <c r="E159" s="1103"/>
      <c r="F159" s="1103"/>
      <c r="G159" s="1103"/>
      <c r="H159" s="1103"/>
      <c r="I159" s="1104"/>
      <c r="J159" s="248"/>
      <c r="K159" s="543"/>
      <c r="L159" s="210">
        <f>IF($L$162=4,2,"")</f>
      </c>
      <c r="M159" s="1525"/>
      <c r="N159" s="1526"/>
      <c r="O159" s="1526"/>
      <c r="P159" s="1526"/>
      <c r="Q159" s="1526"/>
      <c r="R159" s="1526"/>
      <c r="S159" s="1527"/>
      <c r="T159" s="29"/>
      <c r="V159" s="23"/>
      <c r="X159"/>
      <c r="Y159"/>
    </row>
    <row r="160" spans="1:25" ht="21" customHeight="1">
      <c r="A160" s="160"/>
      <c r="B160" s="544"/>
      <c r="C160" s="1102" t="s">
        <v>446</v>
      </c>
      <c r="D160" s="1103"/>
      <c r="E160" s="1103"/>
      <c r="F160" s="1103"/>
      <c r="G160" s="1103"/>
      <c r="H160" s="1103"/>
      <c r="I160" s="1104"/>
      <c r="J160" s="248"/>
      <c r="K160" s="543"/>
      <c r="L160" s="210">
        <f>IF($L$162=5,0,"")</f>
        <v>0</v>
      </c>
      <c r="M160" s="1525"/>
      <c r="N160" s="1526"/>
      <c r="O160" s="1526"/>
      <c r="P160" s="1526"/>
      <c r="Q160" s="1526"/>
      <c r="R160" s="1526"/>
      <c r="S160" s="1527"/>
      <c r="T160" s="29"/>
      <c r="V160" s="23"/>
      <c r="X160"/>
      <c r="Y160"/>
    </row>
    <row r="161" spans="1:25" ht="13.5" thickBot="1">
      <c r="A161" s="160"/>
      <c r="B161" s="169"/>
      <c r="C161" s="215"/>
      <c r="D161" s="215"/>
      <c r="E161" s="215"/>
      <c r="F161" s="215"/>
      <c r="G161" s="215"/>
      <c r="H161" s="215"/>
      <c r="I161" s="215"/>
      <c r="J161" s="248"/>
      <c r="K161" s="543"/>
      <c r="L161" s="210"/>
      <c r="M161" s="1525"/>
      <c r="N161" s="1526"/>
      <c r="O161" s="1526"/>
      <c r="P161" s="1526"/>
      <c r="Q161" s="1526"/>
      <c r="R161" s="1526"/>
      <c r="S161" s="1527"/>
      <c r="T161" s="29"/>
      <c r="V161" s="23"/>
      <c r="X161"/>
      <c r="Y161"/>
    </row>
    <row r="162" spans="1:25" ht="15.75" thickBot="1" thickTop="1">
      <c r="A162" s="160"/>
      <c r="B162" s="169"/>
      <c r="C162" s="169"/>
      <c r="D162" s="169"/>
      <c r="E162" s="248"/>
      <c r="F162" s="540" t="s">
        <v>547</v>
      </c>
      <c r="G162" s="1135">
        <f>MAX(L156:L159)</f>
        <v>0</v>
      </c>
      <c r="H162" s="1136"/>
      <c r="I162" s="199" t="s">
        <v>403</v>
      </c>
      <c r="J162" s="248"/>
      <c r="K162" s="543"/>
      <c r="L162" s="210">
        <v>5</v>
      </c>
      <c r="M162" s="1525"/>
      <c r="N162" s="1526"/>
      <c r="O162" s="1526"/>
      <c r="P162" s="1526"/>
      <c r="Q162" s="1526"/>
      <c r="R162" s="1526"/>
      <c r="S162" s="1527"/>
      <c r="T162" s="29"/>
      <c r="V162" s="23"/>
      <c r="X162"/>
      <c r="Y162"/>
    </row>
    <row r="163" spans="1:22" ht="15" customHeight="1" thickTop="1">
      <c r="A163" s="160"/>
      <c r="B163" s="169"/>
      <c r="C163" s="169"/>
      <c r="D163" s="169"/>
      <c r="E163" s="169"/>
      <c r="F163" s="198"/>
      <c r="G163" s="386"/>
      <c r="H163" s="169"/>
      <c r="I163" s="169"/>
      <c r="J163" s="169"/>
      <c r="K163" s="169"/>
      <c r="L163" s="210"/>
      <c r="M163" s="1525"/>
      <c r="N163" s="1526"/>
      <c r="O163" s="1526"/>
      <c r="P163" s="1526"/>
      <c r="Q163" s="1526"/>
      <c r="R163" s="1526"/>
      <c r="S163" s="1527"/>
      <c r="U163" s="30"/>
      <c r="V163" s="32"/>
    </row>
    <row r="164" spans="1:22" ht="17.25" customHeight="1">
      <c r="A164" s="160"/>
      <c r="B164" s="169"/>
      <c r="C164" s="1511" t="s">
        <v>763</v>
      </c>
      <c r="D164" s="1511"/>
      <c r="E164" s="1511"/>
      <c r="F164" s="1511"/>
      <c r="G164" s="1511"/>
      <c r="H164" s="1511"/>
      <c r="I164" s="1511"/>
      <c r="J164" s="169"/>
      <c r="K164" s="169"/>
      <c r="L164" s="210"/>
      <c r="M164" s="1525"/>
      <c r="N164" s="1526"/>
      <c r="O164" s="1526"/>
      <c r="P164" s="1526"/>
      <c r="Q164" s="1526"/>
      <c r="R164" s="1526"/>
      <c r="S164" s="1527"/>
      <c r="U164" s="30"/>
      <c r="V164" s="32"/>
    </row>
    <row r="165" spans="1:19" ht="15.75" customHeight="1">
      <c r="A165" s="160"/>
      <c r="B165" s="169"/>
      <c r="C165" s="169"/>
      <c r="D165" s="1132" t="s">
        <v>369</v>
      </c>
      <c r="E165" s="1133"/>
      <c r="F165" s="1133"/>
      <c r="G165" s="1133"/>
      <c r="H165" s="1133"/>
      <c r="I165" s="1134"/>
      <c r="J165" s="169"/>
      <c r="K165" s="169"/>
      <c r="L165" s="210"/>
      <c r="M165" s="1525"/>
      <c r="N165" s="1526"/>
      <c r="O165" s="1526"/>
      <c r="P165" s="1526"/>
      <c r="Q165" s="1526"/>
      <c r="R165" s="1526"/>
      <c r="S165" s="1527"/>
    </row>
    <row r="166" spans="1:19" ht="17.25" customHeight="1">
      <c r="A166" s="160"/>
      <c r="B166" s="169"/>
      <c r="C166" s="923" t="s">
        <v>831</v>
      </c>
      <c r="D166" s="923"/>
      <c r="E166" s="923"/>
      <c r="F166" s="923"/>
      <c r="G166" s="923"/>
      <c r="H166" s="923"/>
      <c r="I166" s="923"/>
      <c r="J166" s="169"/>
      <c r="K166" s="169"/>
      <c r="L166" s="210"/>
      <c r="M166" s="1525"/>
      <c r="N166" s="1526"/>
      <c r="O166" s="1526"/>
      <c r="P166" s="1526"/>
      <c r="Q166" s="1526"/>
      <c r="R166" s="1526"/>
      <c r="S166" s="1527"/>
    </row>
    <row r="167" spans="1:19" ht="16.5" customHeight="1">
      <c r="A167" s="160"/>
      <c r="B167" s="169"/>
      <c r="C167" s="169"/>
      <c r="D167" s="545"/>
      <c r="E167" s="546"/>
      <c r="F167" s="546"/>
      <c r="G167" s="546"/>
      <c r="H167" s="546"/>
      <c r="I167" s="547"/>
      <c r="J167" s="169"/>
      <c r="K167" s="169"/>
      <c r="L167" s="210"/>
      <c r="M167" s="1525"/>
      <c r="N167" s="1526"/>
      <c r="O167" s="1526"/>
      <c r="P167" s="1526"/>
      <c r="Q167" s="1526"/>
      <c r="R167" s="1526"/>
      <c r="S167" s="1527"/>
    </row>
    <row r="168" spans="1:19" ht="8.25" customHeight="1" thickBot="1">
      <c r="A168" s="160"/>
      <c r="B168" s="169"/>
      <c r="C168" s="169"/>
      <c r="D168" s="169"/>
      <c r="E168" s="169"/>
      <c r="F168" s="198"/>
      <c r="G168" s="386"/>
      <c r="H168" s="169"/>
      <c r="I168" s="169"/>
      <c r="J168" s="169"/>
      <c r="K168" s="169"/>
      <c r="L168" s="210"/>
      <c r="M168" s="1525"/>
      <c r="N168" s="1526"/>
      <c r="O168" s="1526"/>
      <c r="P168" s="1526"/>
      <c r="Q168" s="1526"/>
      <c r="R168" s="1526"/>
      <c r="S168" s="1527"/>
    </row>
    <row r="169" spans="1:19" ht="15.75" thickBot="1">
      <c r="A169" s="228" t="s">
        <v>404</v>
      </c>
      <c r="B169" s="164"/>
      <c r="C169" s="164"/>
      <c r="D169" s="164"/>
      <c r="E169" s="164"/>
      <c r="F169" s="164"/>
      <c r="G169" s="164"/>
      <c r="H169" s="356"/>
      <c r="I169" s="387" t="s">
        <v>766</v>
      </c>
      <c r="J169" s="1126">
        <f>G153+G162</f>
        <v>0</v>
      </c>
      <c r="K169" s="1491"/>
      <c r="L169" s="1127"/>
      <c r="M169" s="1528"/>
      <c r="N169" s="1529"/>
      <c r="O169" s="1529"/>
      <c r="P169" s="1529"/>
      <c r="Q169" s="1529"/>
      <c r="R169" s="1529"/>
      <c r="S169" s="1530"/>
    </row>
    <row r="170" spans="1:13" ht="15">
      <c r="A170" s="67"/>
      <c r="B170" s="67"/>
      <c r="C170" s="67"/>
      <c r="D170" s="67"/>
      <c r="E170" s="67"/>
      <c r="F170" s="67"/>
      <c r="G170" s="67"/>
      <c r="H170" s="67"/>
      <c r="I170" s="68"/>
      <c r="J170" s="68"/>
      <c r="K170" s="68"/>
      <c r="L170" s="66"/>
      <c r="M170" s="66"/>
    </row>
    <row r="172" spans="1:12" ht="12.75">
      <c r="A172" s="29" t="str">
        <f>Sheet1!A1</f>
        <v>Canon City, CO Field Office</v>
      </c>
      <c r="B172" s="29"/>
      <c r="C172" s="29"/>
      <c r="D172" s="29"/>
      <c r="E172" s="29"/>
      <c r="F172" s="29" t="str">
        <f>Sheet1!E1</f>
        <v>B. Gohlke</v>
      </c>
      <c r="G172" s="29"/>
      <c r="H172" s="29"/>
      <c r="I172" s="29"/>
      <c r="J172" s="29"/>
      <c r="K172" s="29" t="str">
        <f>Sheet1!H1</f>
        <v>wwheat-fallow</v>
      </c>
      <c r="L172" s="29"/>
    </row>
    <row r="173" spans="1:12" ht="12.75">
      <c r="A173" s="29" t="str">
        <f>Sheet1!A2</f>
        <v>Cheyenne Wells, CO Field Office</v>
      </c>
      <c r="B173" s="29"/>
      <c r="C173" s="29"/>
      <c r="D173" s="29"/>
      <c r="E173" s="29"/>
      <c r="F173" s="29" t="str">
        <f>Sheet1!E2</f>
        <v>G. Langer</v>
      </c>
      <c r="G173" s="29"/>
      <c r="H173" s="29"/>
      <c r="I173" s="29"/>
      <c r="J173" s="29"/>
      <c r="K173" s="29" t="str">
        <f>Sheet1!H2</f>
        <v>wwheat-sorghum-fallow</v>
      </c>
      <c r="L173" s="29"/>
    </row>
    <row r="174" spans="1:12" ht="12.75">
      <c r="A174" s="29" t="str">
        <f>Sheet1!A3</f>
        <v>Colorado Springs, CO Field Office</v>
      </c>
      <c r="B174" s="29"/>
      <c r="C174" s="29"/>
      <c r="D174" s="29"/>
      <c r="E174" s="29"/>
      <c r="F174" s="29" t="str">
        <f>Sheet1!E3</f>
        <v>J. Valentine</v>
      </c>
      <c r="G174" s="29"/>
      <c r="H174" s="29"/>
      <c r="I174" s="29"/>
      <c r="J174" s="29"/>
      <c r="K174" s="29" t="str">
        <f>Sheet1!H3</f>
        <v>wwheat-sorghum-sorghum-fallow</v>
      </c>
      <c r="L174" s="29"/>
    </row>
    <row r="175" spans="1:12" ht="12.75">
      <c r="A175" s="29" t="str">
        <f>Sheet1!A4</f>
        <v>Eads, CO Field Office</v>
      </c>
      <c r="B175" s="29"/>
      <c r="C175" s="29"/>
      <c r="D175" s="29"/>
      <c r="E175" s="29"/>
      <c r="F175" s="29" t="str">
        <f>Sheet1!E4</f>
        <v>R. Castle</v>
      </c>
      <c r="G175" s="29"/>
      <c r="H175" s="29"/>
      <c r="I175" s="29"/>
      <c r="J175" s="29"/>
      <c r="K175" s="29" t="str">
        <f>Sheet1!H4</f>
        <v>wwheat-corn-fallow</v>
      </c>
      <c r="L175" s="29"/>
    </row>
    <row r="176" spans="1:21" ht="12.75">
      <c r="A176" s="29" t="str">
        <f>Sheet1!A5</f>
        <v>Holly, CO Northeast Prowers SCD</v>
      </c>
      <c r="B176" s="29"/>
      <c r="C176" s="29"/>
      <c r="D176" s="29"/>
      <c r="E176" s="29"/>
      <c r="F176" s="29" t="str">
        <f>Sheet1!E5</f>
        <v>R. Rhoades</v>
      </c>
      <c r="G176" s="29"/>
      <c r="H176" s="29"/>
      <c r="I176" s="29"/>
      <c r="J176" s="29"/>
      <c r="K176" s="29" t="str">
        <f>Sheet1!H5</f>
        <v>wwheat-corn-corn-fallow</v>
      </c>
      <c r="L176" s="29"/>
      <c r="U176" s="30"/>
    </row>
    <row r="177" spans="1:21" ht="12.75">
      <c r="A177" s="29" t="str">
        <f>Sheet1!A6</f>
        <v>Hugo, CO Field Office</v>
      </c>
      <c r="B177" s="29"/>
      <c r="C177" s="29"/>
      <c r="D177" s="29"/>
      <c r="E177" s="29"/>
      <c r="F177" s="29" t="str">
        <f>Sheet1!E6</f>
        <v>B. Fortman</v>
      </c>
      <c r="G177" s="29"/>
      <c r="H177" s="29"/>
      <c r="I177" s="29"/>
      <c r="J177" s="29"/>
      <c r="K177" s="29" t="str">
        <f>Sheet1!H6</f>
        <v>wwheat-corn-sorghum-fallow</v>
      </c>
      <c r="L177" s="29"/>
      <c r="U177" s="30"/>
    </row>
    <row r="178" spans="1:21" ht="12.75">
      <c r="A178" s="29" t="str">
        <f>Sheet1!A7</f>
        <v>Lamar, CO  Field Office</v>
      </c>
      <c r="B178" s="29"/>
      <c r="C178" s="29"/>
      <c r="D178" s="29"/>
      <c r="E178" s="29"/>
      <c r="F178" s="29" t="str">
        <f>Sheet1!E7</f>
        <v>L. Borrego</v>
      </c>
      <c r="G178" s="29"/>
      <c r="H178" s="29"/>
      <c r="I178" s="29"/>
      <c r="J178" s="29"/>
      <c r="K178" s="29" t="str">
        <f>Sheet1!H7</f>
        <v>wwheat-sorghum-corn-fallow</v>
      </c>
      <c r="L178" s="29"/>
      <c r="U178" s="30"/>
    </row>
    <row r="179" spans="1:21" ht="12.75">
      <c r="A179" s="29" t="str">
        <f>Sheet1!A8</f>
        <v>Las Animas, CO Field Office</v>
      </c>
      <c r="B179" s="29"/>
      <c r="C179" s="29"/>
      <c r="D179" s="29"/>
      <c r="E179" s="29"/>
      <c r="F179" s="29" t="str">
        <f>Sheet1!E8</f>
        <v>M. Clark</v>
      </c>
      <c r="G179" s="29"/>
      <c r="H179" s="29"/>
      <c r="I179" s="29"/>
      <c r="J179" s="29"/>
      <c r="K179" s="29" t="str">
        <f>Sheet1!H8</f>
        <v>continuous wwheat</v>
      </c>
      <c r="L179" s="29"/>
      <c r="U179" s="30"/>
    </row>
    <row r="180" spans="1:21" ht="12.75">
      <c r="A180" s="29" t="str">
        <f>Sheet1!A9</f>
        <v>Pueblo, CO Field Office</v>
      </c>
      <c r="B180" s="29"/>
      <c r="C180" s="29"/>
      <c r="D180" s="29"/>
      <c r="E180" s="29"/>
      <c r="F180" s="29" t="str">
        <f>Sheet1!E9</f>
        <v>B. Klinkerman</v>
      </c>
      <c r="G180" s="29"/>
      <c r="H180" s="29"/>
      <c r="I180" s="29"/>
      <c r="J180" s="29"/>
      <c r="K180" s="29" t="str">
        <f>Sheet1!H9</f>
        <v>continuous corn</v>
      </c>
      <c r="L180" s="29"/>
      <c r="U180" s="30"/>
    </row>
    <row r="181" spans="1:21" ht="12.75">
      <c r="A181" s="29" t="str">
        <f>Sheet1!A10</f>
        <v>Rocky Ford, CO Field Office</v>
      </c>
      <c r="B181" s="29"/>
      <c r="C181" s="29"/>
      <c r="D181" s="29"/>
      <c r="E181" s="29"/>
      <c r="F181" s="29" t="str">
        <f>Sheet1!E10</f>
        <v>D. Miller</v>
      </c>
      <c r="G181" s="29"/>
      <c r="H181" s="29"/>
      <c r="I181" s="29"/>
      <c r="J181" s="29"/>
      <c r="K181" s="29" t="str">
        <f>Sheet1!H10</f>
        <v>continuous sorghum</v>
      </c>
      <c r="L181" s="29"/>
      <c r="U181" s="30"/>
    </row>
    <row r="182" spans="1:21" ht="12.75">
      <c r="A182" s="29" t="str">
        <f>Sheet1!A11</f>
        <v>Salida, CO Field Office</v>
      </c>
      <c r="B182" s="29"/>
      <c r="C182" s="29"/>
      <c r="D182" s="29"/>
      <c r="E182" s="29"/>
      <c r="F182" s="29" t="str">
        <f>Sheet1!E11</f>
        <v>D. Russell</v>
      </c>
      <c r="G182" s="29"/>
      <c r="H182" s="29"/>
      <c r="I182" s="29"/>
      <c r="J182" s="29"/>
      <c r="K182" s="29" t="str">
        <f>Sheet1!H11</f>
        <v>wwheat-corn-sunflower-fallow</v>
      </c>
      <c r="L182" s="29"/>
      <c r="U182" s="30"/>
    </row>
    <row r="183" spans="1:21" ht="12.75">
      <c r="A183" s="29" t="str">
        <f>Sheet1!A12</f>
        <v>Silver Cliff, CO Field Office</v>
      </c>
      <c r="B183" s="29"/>
      <c r="C183" s="29"/>
      <c r="D183" s="29"/>
      <c r="E183" s="29"/>
      <c r="F183" s="29" t="str">
        <f>Sheet1!E12</f>
        <v>M. Williams</v>
      </c>
      <c r="G183" s="29"/>
      <c r="H183" s="29"/>
      <c r="I183" s="29"/>
      <c r="J183" s="29"/>
      <c r="K183" s="29" t="str">
        <f>Sheet1!H12</f>
        <v>wwheat-sorghum-sunflower-fallow</v>
      </c>
      <c r="L183" s="29"/>
      <c r="U183" s="30"/>
    </row>
    <row r="184" spans="1:21" ht="12.75">
      <c r="A184" s="29" t="str">
        <f>Sheet1!A13</f>
        <v>Simla, CO Field Office</v>
      </c>
      <c r="B184" s="29"/>
      <c r="C184" s="29"/>
      <c r="D184" s="29"/>
      <c r="E184" s="29"/>
      <c r="F184" s="29" t="str">
        <f>Sheet1!E13</f>
        <v>F. Edens</v>
      </c>
      <c r="G184" s="29"/>
      <c r="H184" s="29"/>
      <c r="I184" s="29"/>
      <c r="J184" s="29"/>
      <c r="K184" s="29" t="str">
        <f>Sheet1!H13</f>
        <v>canola-sorghum-fallow</v>
      </c>
      <c r="L184" s="29"/>
      <c r="U184" s="30"/>
    </row>
    <row r="185" spans="1:21" ht="12.75">
      <c r="A185" s="29" t="str">
        <f>Sheet1!A14</f>
        <v>Springfield, CO Field Office</v>
      </c>
      <c r="B185" s="29"/>
      <c r="C185" s="29"/>
      <c r="D185" s="29"/>
      <c r="E185" s="29"/>
      <c r="F185" s="29" t="str">
        <f>Sheet1!E14</f>
        <v>J. "Wade" Sigler</v>
      </c>
      <c r="G185" s="29"/>
      <c r="H185" s="29"/>
      <c r="I185" s="29"/>
      <c r="J185" s="29"/>
      <c r="K185" s="29" t="str">
        <f>Sheet1!H14</f>
        <v>canola-corn-fallow</v>
      </c>
      <c r="L185" s="29"/>
      <c r="U185" s="30"/>
    </row>
    <row r="186" spans="1:21" ht="12.75">
      <c r="A186" s="29" t="str">
        <f>Sheet1!A15</f>
        <v>Trinidad, CO Field Office</v>
      </c>
      <c r="B186" s="29"/>
      <c r="C186" s="29"/>
      <c r="D186" s="29"/>
      <c r="E186" s="29"/>
      <c r="F186" s="29" t="str">
        <f>Sheet1!E15</f>
        <v>C. Waugh</v>
      </c>
      <c r="G186" s="29"/>
      <c r="H186" s="29"/>
      <c r="I186" s="29"/>
      <c r="J186" s="29"/>
      <c r="K186" s="29" t="str">
        <f>Sheet1!H15</f>
        <v>wwheat-millet-fallow</v>
      </c>
      <c r="L186" s="29"/>
      <c r="U186" s="30"/>
    </row>
    <row r="187" spans="1:21" ht="12.75">
      <c r="A187" s="29" t="str">
        <f>Sheet1!A16</f>
        <v>Walsenburg, CO Field Office</v>
      </c>
      <c r="B187" s="29"/>
      <c r="C187" s="29"/>
      <c r="D187" s="29"/>
      <c r="E187" s="29"/>
      <c r="F187" s="29" t="str">
        <f>Sheet1!E16</f>
        <v>S. Smith</v>
      </c>
      <c r="G187" s="29"/>
      <c r="H187" s="29"/>
      <c r="I187" s="29"/>
      <c r="J187" s="29"/>
      <c r="K187" s="29" t="str">
        <f>Sheet1!H16</f>
        <v>wwheat-corn-millet</v>
      </c>
      <c r="L187" s="29"/>
      <c r="U187" s="30"/>
    </row>
    <row r="188" spans="1:21" ht="12.75">
      <c r="A188" s="29" t="str">
        <f>Sheet1!A17</f>
        <v>Woodland Park, CO Teller/Park SCD</v>
      </c>
      <c r="B188" s="29"/>
      <c r="C188" s="29"/>
      <c r="D188" s="29"/>
      <c r="E188" s="29"/>
      <c r="F188" s="29" t="str">
        <f>Sheet1!E17</f>
        <v>J. Nelson</v>
      </c>
      <c r="G188" s="29"/>
      <c r="H188" s="29"/>
      <c r="I188" s="29"/>
      <c r="J188" s="29"/>
      <c r="K188" s="29" t="str">
        <f>Sheet1!H17</f>
        <v>wwheat-millet-corn</v>
      </c>
      <c r="L188" s="29"/>
      <c r="U188" s="30"/>
    </row>
    <row r="189" spans="1:21" ht="12.75">
      <c r="A189" s="29"/>
      <c r="B189" s="29"/>
      <c r="C189" s="29"/>
      <c r="D189" s="29"/>
      <c r="E189" s="29"/>
      <c r="F189" s="29" t="str">
        <f>Sheet1!E18</f>
        <v>J. Sperry</v>
      </c>
      <c r="G189" s="29"/>
      <c r="H189" s="29"/>
      <c r="I189" s="29"/>
      <c r="J189" s="29"/>
      <c r="K189" s="29" t="str">
        <f>Sheet1!H18</f>
        <v>wwheat-corn-millet-fallow</v>
      </c>
      <c r="L189" s="29"/>
      <c r="U189" s="30"/>
    </row>
    <row r="190" spans="1:21" ht="12.75">
      <c r="A190" s="29"/>
      <c r="B190" s="29"/>
      <c r="C190" s="29"/>
      <c r="D190" s="29"/>
      <c r="E190" s="29"/>
      <c r="F190" s="29" t="str">
        <f>Sheet1!E19</f>
        <v>R. Romano</v>
      </c>
      <c r="G190" s="29"/>
      <c r="H190" s="29"/>
      <c r="I190" s="29"/>
      <c r="J190" s="29"/>
      <c r="K190" s="29" t="str">
        <f>Sheet1!H19</f>
        <v>wwheat-sunflower-fallow</v>
      </c>
      <c r="L190" s="29"/>
      <c r="U190" s="30"/>
    </row>
    <row r="191" spans="1:21" ht="12.75">
      <c r="A191" s="29"/>
      <c r="B191" s="29"/>
      <c r="C191" s="29"/>
      <c r="D191" s="29"/>
      <c r="E191" s="29"/>
      <c r="F191" s="29" t="str">
        <f>Sheet1!E20</f>
        <v>R. Fontaine</v>
      </c>
      <c r="G191" s="29"/>
      <c r="H191" s="29"/>
      <c r="I191" s="29"/>
      <c r="J191" s="29"/>
      <c r="K191" s="29" t="str">
        <f>Sheet1!H20</f>
        <v>wwheat-sunflower-sunflower-fallow</v>
      </c>
      <c r="L191" s="29"/>
      <c r="U191" s="30"/>
    </row>
    <row r="192" spans="1:21" ht="12.75">
      <c r="A192" s="29" t="str">
        <f>Sheet1!A21</f>
        <v>Individual</v>
      </c>
      <c r="B192" s="29"/>
      <c r="C192" s="29"/>
      <c r="D192" s="29"/>
      <c r="E192" s="29"/>
      <c r="F192" s="29" t="str">
        <f>Sheet1!E21</f>
        <v>M. Watson</v>
      </c>
      <c r="G192" s="29"/>
      <c r="H192" s="29"/>
      <c r="I192" s="29"/>
      <c r="J192" s="29"/>
      <c r="K192" s="29" t="str">
        <f>Sheet1!H21</f>
        <v>wwheat-sunflower-corn-fallow</v>
      </c>
      <c r="L192" s="29"/>
      <c r="U192" s="30"/>
    </row>
    <row r="193" spans="1:12" ht="12.75">
      <c r="A193" s="29" t="str">
        <f>Sheet1!A22</f>
        <v>General Partnership</v>
      </c>
      <c r="B193" s="29"/>
      <c r="C193" s="29"/>
      <c r="D193" s="29"/>
      <c r="E193" s="29"/>
      <c r="F193" s="29" t="str">
        <f>Sheet1!E22</f>
        <v>M. Miller</v>
      </c>
      <c r="G193" s="29"/>
      <c r="H193" s="29"/>
      <c r="I193" s="29"/>
      <c r="J193" s="29"/>
      <c r="K193" s="29" t="str">
        <f>Sheet1!H22</f>
        <v>wwheat-sunflower-sorghum-fallow</v>
      </c>
      <c r="L193" s="29"/>
    </row>
    <row r="194" spans="1:12" ht="12.75">
      <c r="A194" s="29" t="str">
        <f>Sheet1!A23</f>
        <v>Joint Venture</v>
      </c>
      <c r="B194" s="29"/>
      <c r="C194" s="29"/>
      <c r="D194" s="29"/>
      <c r="E194" s="29"/>
      <c r="F194" s="29" t="str">
        <f>Sheet1!E23</f>
        <v>C. Sheley</v>
      </c>
      <c r="G194" s="29"/>
      <c r="H194" s="29"/>
      <c r="I194" s="29"/>
      <c r="J194" s="29"/>
      <c r="K194" s="29" t="str">
        <f>Sheet1!H23</f>
        <v>not applicable</v>
      </c>
      <c r="L194" s="29"/>
    </row>
    <row r="195" spans="1:12" ht="12.75">
      <c r="A195" s="29" t="str">
        <f>Sheet1!A24</f>
        <v>Limited Liability Partnership</v>
      </c>
      <c r="B195" s="29"/>
      <c r="C195" s="29"/>
      <c r="D195" s="29"/>
      <c r="E195" s="29"/>
      <c r="F195" s="29" t="str">
        <f>Sheet1!E24</f>
        <v>D. Sanchez</v>
      </c>
      <c r="G195" s="29"/>
      <c r="H195" s="29"/>
      <c r="I195" s="29"/>
      <c r="J195" s="29"/>
      <c r="K195" s="29" t="str">
        <f>Sheet1!H24</f>
        <v>Russian knapweed</v>
      </c>
      <c r="L195" s="29"/>
    </row>
    <row r="196" spans="1:12" ht="12.75">
      <c r="A196" s="29" t="str">
        <f>Sheet1!A25</f>
        <v>Limited Liability Limited Partnership</v>
      </c>
      <c r="B196" s="29"/>
      <c r="C196" s="29"/>
      <c r="D196" s="29"/>
      <c r="E196" s="29"/>
      <c r="F196" s="29" t="str">
        <f>Sheet1!E25</f>
        <v>L.G. "Smitty" Smith</v>
      </c>
      <c r="G196" s="29"/>
      <c r="H196" s="29"/>
      <c r="I196" s="29"/>
      <c r="J196" s="29"/>
      <c r="K196" s="29" t="str">
        <f>Sheet1!H25</f>
        <v>Field bindweed</v>
      </c>
      <c r="L196" s="29"/>
    </row>
    <row r="197" spans="1:12" ht="12.75">
      <c r="A197" s="29" t="str">
        <f>Sheet1!A26</f>
        <v>Limited Partnership Association</v>
      </c>
      <c r="B197" s="29"/>
      <c r="C197" s="29"/>
      <c r="D197" s="29"/>
      <c r="E197" s="29"/>
      <c r="F197" s="29" t="str">
        <f>Sheet1!E26</f>
        <v>C. Regnier</v>
      </c>
      <c r="G197" s="29"/>
      <c r="H197" s="29"/>
      <c r="I197" s="29"/>
      <c r="J197" s="29"/>
      <c r="K197" s="29" t="str">
        <f>Sheet1!H26</f>
        <v>Jointed Goatgrass</v>
      </c>
      <c r="L197" s="29"/>
    </row>
    <row r="198" spans="1:12" ht="12.75">
      <c r="A198" s="29" t="str">
        <f>Sheet1!A27</f>
        <v>Limited Liability Company</v>
      </c>
      <c r="B198" s="29"/>
      <c r="C198" s="29"/>
      <c r="D198" s="29"/>
      <c r="E198" s="29"/>
      <c r="F198" s="29" t="str">
        <f>Sheet1!E27</f>
        <v>C. Melcher</v>
      </c>
      <c r="G198" s="29"/>
      <c r="H198" s="29"/>
      <c r="I198" s="29"/>
      <c r="J198" s="29"/>
      <c r="K198" s="29" t="str">
        <f>Sheet1!H27</f>
        <v>Leafy spurge</v>
      </c>
      <c r="L198" s="29"/>
    </row>
    <row r="199" spans="1:12" ht="12.75">
      <c r="A199" s="29" t="str">
        <f>Sheet1!A28</f>
        <v>Limited Partnership  </v>
      </c>
      <c r="B199" s="29"/>
      <c r="C199" s="29"/>
      <c r="D199" s="29"/>
      <c r="E199" s="29"/>
      <c r="F199" s="29" t="str">
        <f>Sheet1!E28</f>
        <v>W. "Ted" Lonnberg</v>
      </c>
      <c r="G199" s="29"/>
      <c r="H199" s="29"/>
      <c r="I199" s="29"/>
      <c r="J199" s="29"/>
      <c r="K199" s="29" t="str">
        <f>Sheet1!H28</f>
        <v>Canada thistle</v>
      </c>
      <c r="L199" s="29"/>
    </row>
    <row r="200" spans="1:12" ht="12.75">
      <c r="A200" s="29" t="str">
        <f>Sheet1!A29</f>
        <v>Corporation</v>
      </c>
      <c r="B200" s="29"/>
      <c r="C200" s="29"/>
      <c r="D200" s="29"/>
      <c r="E200" s="29"/>
      <c r="F200" s="29" t="str">
        <f>Sheet1!E29</f>
        <v>B. Johnson</v>
      </c>
      <c r="G200" s="29"/>
      <c r="H200" s="29"/>
      <c r="I200" s="29"/>
      <c r="J200" s="29"/>
      <c r="K200" s="29"/>
      <c r="L200" s="29"/>
    </row>
    <row r="201" spans="1:12" ht="12.75">
      <c r="A201" s="29" t="str">
        <f>Sheet1!A30</f>
        <v>Trust</v>
      </c>
      <c r="B201" s="29"/>
      <c r="C201" s="29"/>
      <c r="D201" s="29"/>
      <c r="E201" s="29"/>
      <c r="F201" s="29" t="str">
        <f>Sheet1!E30</f>
        <v>A. White</v>
      </c>
      <c r="G201" s="29"/>
      <c r="H201" s="29"/>
      <c r="I201" s="29"/>
      <c r="J201" s="29"/>
      <c r="K201" s="29"/>
      <c r="L201" s="29"/>
    </row>
    <row r="202" spans="1:12" ht="12.75">
      <c r="A202" s="29" t="str">
        <f>Sheet1!A31</f>
        <v>Estate</v>
      </c>
      <c r="B202" s="29"/>
      <c r="C202" s="29"/>
      <c r="D202" s="29"/>
      <c r="E202" s="29"/>
      <c r="F202" s="29" t="str">
        <f>Sheet1!E31</f>
        <v>W. Bland</v>
      </c>
      <c r="G202" s="29"/>
      <c r="H202" s="29"/>
      <c r="I202" s="29"/>
      <c r="J202" s="29"/>
      <c r="K202" s="29"/>
      <c r="L202" s="29"/>
    </row>
    <row r="203" spans="1:12" ht="12.75">
      <c r="A203" s="29"/>
      <c r="B203" s="29"/>
      <c r="C203" s="29"/>
      <c r="D203" s="29"/>
      <c r="E203" s="29"/>
      <c r="F203" s="29" t="str">
        <f>Sheet1!E32</f>
        <v>S. Hansen</v>
      </c>
      <c r="G203" s="29"/>
      <c r="H203" s="29"/>
      <c r="I203" s="29"/>
      <c r="J203" s="29"/>
      <c r="K203" s="29" t="str">
        <f>Sheet1!H32</f>
        <v>Tamarisk</v>
      </c>
      <c r="L203" s="29"/>
    </row>
    <row r="204" spans="1:12" ht="12.75">
      <c r="A204" s="29"/>
      <c r="B204" s="29"/>
      <c r="C204" s="29"/>
      <c r="D204" s="29"/>
      <c r="E204" s="29"/>
      <c r="F204" s="29" t="str">
        <f>Sheet1!E33</f>
        <v>K. Conrad</v>
      </c>
      <c r="G204" s="29"/>
      <c r="H204" s="29"/>
      <c r="I204" s="29"/>
      <c r="J204" s="29"/>
      <c r="K204" s="29" t="str">
        <f>Sheet1!H33</f>
        <v>Russian Olive</v>
      </c>
      <c r="L204" s="29"/>
    </row>
    <row r="205" spans="1:12" ht="12.75">
      <c r="A205" s="29" t="str">
        <f>Sheet1!A34</f>
        <v>Colorado Division of Wildlife</v>
      </c>
      <c r="B205" s="29"/>
      <c r="C205" s="29"/>
      <c r="D205" s="29"/>
      <c r="E205" s="29"/>
      <c r="F205" s="29" t="str">
        <f>Sheet1!E34</f>
        <v>M. Martin</v>
      </c>
      <c r="G205" s="29"/>
      <c r="H205" s="29"/>
      <c r="I205" s="29"/>
      <c r="J205" s="29"/>
      <c r="K205" s="29"/>
      <c r="L205" s="29"/>
    </row>
    <row r="206" spans="1:12" ht="12.75">
      <c r="A206" s="29" t="str">
        <f>Sheet1!A35</f>
        <v>U.S. Fish and Wildlife Service</v>
      </c>
      <c r="B206" s="29"/>
      <c r="C206" s="29"/>
      <c r="D206" s="29"/>
      <c r="E206" s="29"/>
      <c r="F206" s="29" t="str">
        <f>Sheet1!E35</f>
        <v>E. Kilpatrick</v>
      </c>
      <c r="G206" s="29"/>
      <c r="H206" s="29"/>
      <c r="I206" s="29"/>
      <c r="J206" s="29"/>
      <c r="K206" s="29"/>
      <c r="L206" s="29"/>
    </row>
    <row r="207" spans="1:12" ht="12.75">
      <c r="A207" s="29" t="str">
        <f>Sheet1!A36</f>
        <v>Colorado Elk Foundation</v>
      </c>
      <c r="B207" s="29"/>
      <c r="C207" s="29"/>
      <c r="D207" s="29"/>
      <c r="E207" s="29"/>
      <c r="F207" s="29" t="str">
        <f>Sheet1!E36</f>
        <v>C. Schleining</v>
      </c>
      <c r="G207" s="29"/>
      <c r="H207" s="29"/>
      <c r="I207" s="29"/>
      <c r="J207" s="29"/>
      <c r="K207" s="29" t="str">
        <f>Sheet1!H36</f>
        <v>Veal Calves</v>
      </c>
      <c r="L207" s="29"/>
    </row>
    <row r="208" spans="1:12" ht="12.75">
      <c r="A208" s="29" t="str">
        <f>Sheet1!A37</f>
        <v>Pheasants Forever</v>
      </c>
      <c r="B208" s="29"/>
      <c r="C208" s="29"/>
      <c r="D208" s="29"/>
      <c r="E208" s="29"/>
      <c r="F208" s="29" t="str">
        <f>Sheet1!E37</f>
        <v>B. "B.J." Jones</v>
      </c>
      <c r="G208" s="29"/>
      <c r="H208" s="29"/>
      <c r="I208" s="29"/>
      <c r="J208" s="29"/>
      <c r="K208" s="29" t="str">
        <f>Sheet1!H37</f>
        <v>Dairy</v>
      </c>
      <c r="L208" s="29"/>
    </row>
    <row r="209" spans="1:12" ht="12.75">
      <c r="A209" s="29" t="str">
        <f>Sheet1!A38</f>
        <v>Ducks Unlimited</v>
      </c>
      <c r="B209" s="29"/>
      <c r="C209" s="29"/>
      <c r="D209" s="29"/>
      <c r="E209" s="29"/>
      <c r="F209" s="29" t="str">
        <f>Sheet1!E38</f>
        <v>J. Hamilton</v>
      </c>
      <c r="G209" s="29"/>
      <c r="H209" s="29"/>
      <c r="I209" s="29"/>
      <c r="J209" s="29"/>
      <c r="K209" s="29" t="str">
        <f>Sheet1!H38</f>
        <v>Swine</v>
      </c>
      <c r="L209" s="29"/>
    </row>
    <row r="210" spans="1:12" ht="12.75">
      <c r="A210" s="29" t="str">
        <f>Sheet1!A39</f>
        <v>Other</v>
      </c>
      <c r="B210" s="29"/>
      <c r="C210" s="29"/>
      <c r="D210" s="29"/>
      <c r="E210" s="29"/>
      <c r="F210" s="29" t="str">
        <f>Sheet1!E39</f>
        <v>J. Moffett</v>
      </c>
      <c r="G210" s="29"/>
      <c r="H210" s="29"/>
      <c r="I210" s="29"/>
      <c r="J210" s="29"/>
      <c r="K210" s="29" t="str">
        <f>Sheet1!H39</f>
        <v>Sheep</v>
      </c>
      <c r="L210" s="29"/>
    </row>
    <row r="211" spans="1:12" ht="12.75">
      <c r="A211" s="29" t="str">
        <f>Sheet1!A40</f>
        <v>Not Applicable</v>
      </c>
      <c r="B211" s="29"/>
      <c r="C211" s="29"/>
      <c r="D211" s="29"/>
      <c r="E211" s="29"/>
      <c r="F211" s="29" t="str">
        <f>Sheet1!E40</f>
        <v>R. Grigat</v>
      </c>
      <c r="G211" s="29"/>
      <c r="H211" s="29"/>
      <c r="I211" s="29"/>
      <c r="J211" s="29"/>
      <c r="K211" s="29" t="str">
        <f>Sheet1!H40</f>
        <v>Turkey</v>
      </c>
      <c r="L211" s="29"/>
    </row>
    <row r="212" spans="1:12" ht="12.75">
      <c r="A212" s="29"/>
      <c r="B212" s="29"/>
      <c r="C212" s="29"/>
      <c r="D212" s="29"/>
      <c r="E212" s="29"/>
      <c r="F212" s="29" t="str">
        <f>Sheet1!E41</f>
        <v>J. Dukes</v>
      </c>
      <c r="G212" s="29"/>
      <c r="H212" s="29"/>
      <c r="I212" s="29"/>
      <c r="J212" s="29"/>
      <c r="K212" s="29" t="str">
        <f>Sheet1!H41</f>
        <v>Chicken</v>
      </c>
      <c r="L212" s="29"/>
    </row>
    <row r="213" spans="1:12" ht="12.75">
      <c r="A213" s="29"/>
      <c r="B213" s="29"/>
      <c r="C213" s="29"/>
      <c r="D213" s="29"/>
      <c r="E213" s="29"/>
      <c r="F213" s="29" t="str">
        <f>Sheet1!E42</f>
        <v>T. Werner</v>
      </c>
      <c r="G213" s="29"/>
      <c r="H213" s="29"/>
      <c r="I213" s="29"/>
      <c r="J213" s="29"/>
      <c r="K213" s="29" t="str">
        <f>Sheet1!H42</f>
        <v>Beef Cattle</v>
      </c>
      <c r="L213" s="29"/>
    </row>
    <row r="214" spans="1:12" ht="12.75">
      <c r="A214" s="29"/>
      <c r="B214" s="29"/>
      <c r="C214" s="29"/>
      <c r="D214" s="29"/>
      <c r="E214" s="29"/>
      <c r="F214" s="29" t="str">
        <f>Sheet1!E43</f>
        <v>K. Falen</v>
      </c>
      <c r="G214" s="29"/>
      <c r="H214" s="29"/>
      <c r="I214" s="29"/>
      <c r="J214" s="29"/>
      <c r="K214" s="29"/>
      <c r="L214" s="29"/>
    </row>
    <row r="215" spans="1:12" ht="12.75">
      <c r="A215" s="29"/>
      <c r="B215" s="29"/>
      <c r="C215" s="29"/>
      <c r="D215" s="29"/>
      <c r="E215" s="29"/>
      <c r="F215" s="29" t="str">
        <f>Sheet1!E44</f>
        <v>M. "Storm" Casper</v>
      </c>
      <c r="G215" s="29"/>
      <c r="H215" s="29"/>
      <c r="I215" s="29"/>
      <c r="J215" s="29"/>
      <c r="K215" s="29"/>
      <c r="L215" s="29"/>
    </row>
    <row r="216" spans="1:20" ht="12.75">
      <c r="A216" s="29"/>
      <c r="B216" s="29"/>
      <c r="C216" s="29"/>
      <c r="D216" s="29"/>
      <c r="E216" s="29"/>
      <c r="F216" s="29" t="str">
        <f>Sheet1!E45</f>
        <v>M. Gigante</v>
      </c>
      <c r="G216" s="29"/>
      <c r="H216" s="29"/>
      <c r="I216" s="29"/>
      <c r="J216" s="29"/>
      <c r="K216" s="29"/>
      <c r="L216" s="29"/>
      <c r="M216" s="23"/>
      <c r="N216" s="23"/>
      <c r="O216" s="23"/>
      <c r="P216" s="23"/>
      <c r="Q216" s="23"/>
      <c r="R216" s="23"/>
      <c r="S216" s="23"/>
      <c r="T216" s="23"/>
    </row>
    <row r="217" spans="1:20" ht="12.75">
      <c r="A217" s="29"/>
      <c r="B217" s="29"/>
      <c r="C217" s="29"/>
      <c r="D217" s="29"/>
      <c r="E217" s="29"/>
      <c r="F217" s="29" t="str">
        <f>Sheet1!E46</f>
        <v>T. Arnhold</v>
      </c>
      <c r="G217" s="29"/>
      <c r="H217" s="29"/>
      <c r="I217" s="29"/>
      <c r="J217" s="29"/>
      <c r="K217" s="29"/>
      <c r="L217" s="29"/>
      <c r="M217" s="23"/>
      <c r="N217" s="23"/>
      <c r="O217" s="23"/>
      <c r="P217" s="23"/>
      <c r="Q217" s="23"/>
      <c r="R217" s="23"/>
      <c r="S217" s="23"/>
      <c r="T217" s="23"/>
    </row>
    <row r="218" spans="1:12" ht="12.75">
      <c r="A218" s="29"/>
      <c r="B218" s="29"/>
      <c r="C218" s="29"/>
      <c r="D218" s="29"/>
      <c r="E218" s="29"/>
      <c r="F218" s="29" t="str">
        <f>Sheet1!E47</f>
        <v>K. Lutz</v>
      </c>
      <c r="G218" s="29"/>
      <c r="H218" s="29"/>
      <c r="I218" s="29"/>
      <c r="J218" s="29"/>
      <c r="K218" s="29"/>
      <c r="L218" s="29"/>
    </row>
    <row r="219" spans="1:12" ht="12.75">
      <c r="A219" s="29"/>
      <c r="B219" s="29"/>
      <c r="C219" s="29"/>
      <c r="D219" s="29"/>
      <c r="E219" s="29"/>
      <c r="F219" s="29" t="str">
        <f>Sheet1!E48</f>
        <v>D. Lane</v>
      </c>
      <c r="G219" s="29"/>
      <c r="H219" s="29"/>
      <c r="I219" s="29"/>
      <c r="J219" s="29"/>
      <c r="K219" s="29"/>
      <c r="L219" s="29"/>
    </row>
    <row r="220" spans="1:12" ht="12.75">
      <c r="A220" s="29"/>
      <c r="B220" s="29"/>
      <c r="C220" s="29"/>
      <c r="D220" s="29"/>
      <c r="E220" s="29"/>
      <c r="F220" s="29" t="str">
        <f>Sheet1!E49</f>
        <v>L."Pete" Ward, Jr.</v>
      </c>
      <c r="G220" s="29"/>
      <c r="H220" s="29"/>
      <c r="I220" s="29"/>
      <c r="J220" s="29"/>
      <c r="K220" s="29"/>
      <c r="L220" s="29"/>
    </row>
    <row r="221" spans="1:12" ht="12.75">
      <c r="A221" s="29"/>
      <c r="B221" s="29"/>
      <c r="C221" s="29"/>
      <c r="D221" s="29"/>
      <c r="E221" s="29"/>
      <c r="F221" s="29" t="str">
        <f>Sheet1!E50</f>
        <v>L. Kot</v>
      </c>
      <c r="G221" s="29"/>
      <c r="H221" s="29"/>
      <c r="I221" s="29"/>
      <c r="J221" s="29"/>
      <c r="K221" s="29"/>
      <c r="L221" s="29"/>
    </row>
    <row r="222" spans="1:12" ht="12.75">
      <c r="A222" s="29"/>
      <c r="B222" s="29"/>
      <c r="C222" s="29"/>
      <c r="D222" s="29"/>
      <c r="E222" s="29"/>
      <c r="F222" s="29" t="str">
        <f>Sheet1!E51</f>
        <v>L. Pearson</v>
      </c>
      <c r="G222" s="29"/>
      <c r="H222" s="29"/>
      <c r="I222" s="29"/>
      <c r="J222" s="29"/>
      <c r="K222" s="29"/>
      <c r="L222" s="29"/>
    </row>
    <row r="223" spans="1:12" ht="12.75">
      <c r="A223" s="29"/>
      <c r="B223" s="29"/>
      <c r="C223" s="29"/>
      <c r="D223" s="29"/>
      <c r="E223" s="29"/>
      <c r="F223" s="29" t="str">
        <f>Sheet1!E52</f>
        <v>B. Kitten</v>
      </c>
      <c r="G223" s="29"/>
      <c r="H223" s="29"/>
      <c r="I223" s="29"/>
      <c r="J223" s="29"/>
      <c r="K223" s="29"/>
      <c r="L223" s="29"/>
    </row>
    <row r="224" spans="1:12" ht="12.75">
      <c r="A224" s="29"/>
      <c r="B224" s="29"/>
      <c r="C224" s="29"/>
      <c r="D224" s="29"/>
      <c r="E224" s="29"/>
      <c r="F224" s="29" t="str">
        <f>Sheet1!E53</f>
        <v>L. Sutherland</v>
      </c>
      <c r="G224" s="29"/>
      <c r="H224" s="29"/>
      <c r="I224" s="29"/>
      <c r="J224" s="29"/>
      <c r="K224" s="29"/>
      <c r="L224" s="29"/>
    </row>
    <row r="225" spans="1:12" ht="12.75">
      <c r="A225" s="29"/>
      <c r="B225" s="29"/>
      <c r="C225" s="29"/>
      <c r="D225" s="29"/>
      <c r="E225" s="29"/>
      <c r="F225" s="29" t="str">
        <f>Sheet1!E54</f>
        <v>C. Pannebaker</v>
      </c>
      <c r="G225" s="29"/>
      <c r="H225" s="29"/>
      <c r="I225" s="29"/>
      <c r="J225" s="29"/>
      <c r="K225" s="29"/>
      <c r="L225" s="29"/>
    </row>
    <row r="226" spans="1:12" ht="12.75">
      <c r="A226" s="29"/>
      <c r="B226" s="29"/>
      <c r="C226" s="29"/>
      <c r="D226" s="29"/>
      <c r="E226" s="29"/>
      <c r="F226" s="29" t="str">
        <f>Sheet1!E55</f>
        <v>B. Berlinger</v>
      </c>
      <c r="G226" s="29"/>
      <c r="H226" s="29"/>
      <c r="I226" s="29"/>
      <c r="J226" s="29"/>
      <c r="K226" s="29"/>
      <c r="L226" s="29"/>
    </row>
  </sheetData>
  <sheetProtection sheet="1" objects="1" scenarios="1"/>
  <mergeCells count="168">
    <mergeCell ref="M142:S143"/>
    <mergeCell ref="M144:S169"/>
    <mergeCell ref="C99:F99"/>
    <mergeCell ref="F69:G69"/>
    <mergeCell ref="G112:H112"/>
    <mergeCell ref="A116:E117"/>
    <mergeCell ref="F106:G106"/>
    <mergeCell ref="F115:G115"/>
    <mergeCell ref="A105:E106"/>
    <mergeCell ref="A114:E115"/>
    <mergeCell ref="B101:E102"/>
    <mergeCell ref="A57:B58"/>
    <mergeCell ref="C57:E58"/>
    <mergeCell ref="C69:E70"/>
    <mergeCell ref="A93:A97"/>
    <mergeCell ref="B93:B97"/>
    <mergeCell ref="C96:C97"/>
    <mergeCell ref="B98:J98"/>
    <mergeCell ref="F79:G79"/>
    <mergeCell ref="A69:B70"/>
    <mergeCell ref="A152:F153"/>
    <mergeCell ref="C166:I166"/>
    <mergeCell ref="B148:F148"/>
    <mergeCell ref="G148:H148"/>
    <mergeCell ref="C159:I159"/>
    <mergeCell ref="D165:I165"/>
    <mergeCell ref="C164:I164"/>
    <mergeCell ref="C158:I158"/>
    <mergeCell ref="B146:F147"/>
    <mergeCell ref="H99:I100"/>
    <mergeCell ref="A113:G113"/>
    <mergeCell ref="C100:F100"/>
    <mergeCell ref="A99:B99"/>
    <mergeCell ref="F104:G104"/>
    <mergeCell ref="F102:G102"/>
    <mergeCell ref="F110:G110"/>
    <mergeCell ref="A100:B100"/>
    <mergeCell ref="A103:E104"/>
    <mergeCell ref="B130:E131"/>
    <mergeCell ref="G162:H162"/>
    <mergeCell ref="C156:I156"/>
    <mergeCell ref="C157:I157"/>
    <mergeCell ref="C160:I160"/>
    <mergeCell ref="G150:H150"/>
    <mergeCell ref="G153:H153"/>
    <mergeCell ref="G147:H147"/>
    <mergeCell ref="C142:L142"/>
    <mergeCell ref="A143:L144"/>
    <mergeCell ref="J169:L169"/>
    <mergeCell ref="F109:G109"/>
    <mergeCell ref="R132:S132"/>
    <mergeCell ref="K128:Q128"/>
    <mergeCell ref="J123:L123"/>
    <mergeCell ref="M131:P131"/>
    <mergeCell ref="M132:P132"/>
    <mergeCell ref="A128:J128"/>
    <mergeCell ref="A130:A131"/>
    <mergeCell ref="C124:S125"/>
    <mergeCell ref="G120:H120"/>
    <mergeCell ref="F117:G117"/>
    <mergeCell ref="F118:G118"/>
    <mergeCell ref="E121:J121"/>
    <mergeCell ref="H19:J21"/>
    <mergeCell ref="F55:G55"/>
    <mergeCell ref="C81:F82"/>
    <mergeCell ref="O23:R26"/>
    <mergeCell ref="M65:S67"/>
    <mergeCell ref="F70:G70"/>
    <mergeCell ref="F58:G58"/>
    <mergeCell ref="E40:H40"/>
    <mergeCell ref="M52:S54"/>
    <mergeCell ref="C51:L52"/>
    <mergeCell ref="H4:P4"/>
    <mergeCell ref="H7:L7"/>
    <mergeCell ref="C29:S29"/>
    <mergeCell ref="M76:S77"/>
    <mergeCell ref="B22:D22"/>
    <mergeCell ref="A23:D23"/>
    <mergeCell ref="A19:B21"/>
    <mergeCell ref="F66:G66"/>
    <mergeCell ref="H5:M6"/>
    <mergeCell ref="N5:O6"/>
    <mergeCell ref="M78:S88"/>
    <mergeCell ref="C75:L76"/>
    <mergeCell ref="A77:L78"/>
    <mergeCell ref="M68:S74"/>
    <mergeCell ref="F72:G72"/>
    <mergeCell ref="C41:S41"/>
    <mergeCell ref="C64:L64"/>
    <mergeCell ref="J44:L44"/>
    <mergeCell ref="J46:L46"/>
    <mergeCell ref="R49:S49"/>
    <mergeCell ref="J45:L45"/>
    <mergeCell ref="F54:G54"/>
    <mergeCell ref="M64:P64"/>
    <mergeCell ref="F57:G57"/>
    <mergeCell ref="A48:J49"/>
    <mergeCell ref="A1:S1"/>
    <mergeCell ref="C93:C94"/>
    <mergeCell ref="O7:Q7"/>
    <mergeCell ref="F7:G7"/>
    <mergeCell ref="A50:S50"/>
    <mergeCell ref="F80:G80"/>
    <mergeCell ref="F67:G67"/>
    <mergeCell ref="B79:E79"/>
    <mergeCell ref="M75:P75"/>
    <mergeCell ref="A42:S42"/>
    <mergeCell ref="R141:S141"/>
    <mergeCell ref="K137:P139"/>
    <mergeCell ref="M91:S92"/>
    <mergeCell ref="M90:P90"/>
    <mergeCell ref="L117:L120"/>
    <mergeCell ref="M93:S123"/>
    <mergeCell ref="A91:L92"/>
    <mergeCell ref="F108:G108"/>
    <mergeCell ref="A126:S127"/>
    <mergeCell ref="F133:I133"/>
    <mergeCell ref="N32:Q34"/>
    <mergeCell ref="N37:P37"/>
    <mergeCell ref="F139:H139"/>
    <mergeCell ref="N133:O133"/>
    <mergeCell ref="I39:J39"/>
    <mergeCell ref="A89:S89"/>
    <mergeCell ref="A80:E80"/>
    <mergeCell ref="A82:B83"/>
    <mergeCell ref="F83:H83"/>
    <mergeCell ref="J88:L88"/>
    <mergeCell ref="C135:D135"/>
    <mergeCell ref="C134:D134"/>
    <mergeCell ref="N141:Q141"/>
    <mergeCell ref="R40:S40"/>
    <mergeCell ref="I40:J40"/>
    <mergeCell ref="J74:L74"/>
    <mergeCell ref="J63:L63"/>
    <mergeCell ref="F60:G60"/>
    <mergeCell ref="M55:S63"/>
    <mergeCell ref="N46:P46"/>
    <mergeCell ref="A2:B3"/>
    <mergeCell ref="C2:G3"/>
    <mergeCell ref="A4:B5"/>
    <mergeCell ref="C7:D7"/>
    <mergeCell ref="C6:G6"/>
    <mergeCell ref="C4:G5"/>
    <mergeCell ref="A6:B6"/>
    <mergeCell ref="R28:S28"/>
    <mergeCell ref="A7:B7"/>
    <mergeCell ref="Q4:R4"/>
    <mergeCell ref="R7:S7"/>
    <mergeCell ref="A15:R15"/>
    <mergeCell ref="A8:B8"/>
    <mergeCell ref="I26:L26"/>
    <mergeCell ref="B14:Q14"/>
    <mergeCell ref="A16:S16"/>
    <mergeCell ref="A13:R13"/>
    <mergeCell ref="A18:S18"/>
    <mergeCell ref="C8:G8"/>
    <mergeCell ref="B10:Q10"/>
    <mergeCell ref="B11:Q11"/>
    <mergeCell ref="B12:Q12"/>
    <mergeCell ref="A9:S9"/>
    <mergeCell ref="C17:S17"/>
    <mergeCell ref="B34:B35"/>
    <mergeCell ref="B32:B33"/>
    <mergeCell ref="B36:B37"/>
    <mergeCell ref="I25:L25"/>
    <mergeCell ref="C32:L33"/>
    <mergeCell ref="C34:L35"/>
    <mergeCell ref="C36:L37"/>
  </mergeCells>
  <dataValidations count="8">
    <dataValidation type="list" allowBlank="1" showInputMessage="1" showErrorMessage="1" sqref="R10:R12 F93:F94 F96:F97 R14">
      <formula1>$M$2:$M$3</formula1>
    </dataValidation>
    <dataValidation type="list" showInputMessage="1" showErrorMessage="1" sqref="C7:D7">
      <formula1>$F$172:$F$226</formula1>
    </dataValidation>
    <dataValidation type="list" allowBlank="1" showInputMessage="1" showErrorMessage="1" sqref="H96:H97 H93:H94">
      <formula1>$I$93:$I$96</formula1>
    </dataValidation>
    <dataValidation type="list" showInputMessage="1" showErrorMessage="1" sqref="C6:G6">
      <formula1>$A$172:$A$188</formula1>
    </dataValidation>
    <dataValidation type="list" allowBlank="1" showInputMessage="1" showErrorMessage="1" sqref="C4:G5">
      <formula1>$A$192:$A$202</formula1>
    </dataValidation>
    <dataValidation type="list" allowBlank="1" showInputMessage="1" showErrorMessage="1" sqref="C99:F99">
      <formula1>$K$172:$K$193</formula1>
    </dataValidation>
    <dataValidation type="list" allowBlank="1" showInputMessage="1" showErrorMessage="1" sqref="D165:I165">
      <formula1>$A$205:$A$211</formula1>
    </dataValidation>
    <dataValidation type="list" allowBlank="1" showInputMessage="1" showErrorMessage="1" sqref="C100:F100">
      <formula1>$K$172:$K$194</formula1>
    </dataValidation>
  </dataValidations>
  <printOptions/>
  <pageMargins left="0.64" right="0.41" top="0.84" bottom="0.5" header="0.36" footer="0.27"/>
  <pageSetup horizontalDpi="600" verticalDpi="600" orientation="portrait" scale="83" r:id="rId3"/>
  <headerFooter alignWithMargins="0">
    <oddHeader>&amp;C&amp;"Comic Sans MS,Regular"&amp;14Environmental Quality Incentives Program (EQIP)
Lower Arkansas Watershed-Soil Erosion Ranking Worksheet (C3)</oddHeader>
    <oddFooter>&amp;L&amp;12February 02, 2004&amp;C&amp;12Page &amp;P of  &amp;N&amp;R&amp;12USDA-NRCS, La Junta, CO</oddFooter>
  </headerFooter>
  <rowBreaks count="3" manualBreakCount="3">
    <brk id="49" max="18" man="1"/>
    <brk id="88" max="18" man="1"/>
    <brk id="141" max="18" man="1"/>
  </rowBreaks>
  <legacyDrawing r:id="rId2"/>
</worksheet>
</file>

<file path=xl/worksheets/sheet4.xml><?xml version="1.0" encoding="utf-8"?>
<worksheet xmlns="http://schemas.openxmlformats.org/spreadsheetml/2006/main" xmlns:r="http://schemas.openxmlformats.org/officeDocument/2006/relationships">
  <dimension ref="A1:U221"/>
  <sheetViews>
    <sheetView showGridLines="0" workbookViewId="0" topLeftCell="A1">
      <selection activeCell="C2" sqref="C2:H3"/>
    </sheetView>
  </sheetViews>
  <sheetFormatPr defaultColWidth="9.140625" defaultRowHeight="12.75"/>
  <cols>
    <col min="1" max="1" width="5.140625" style="0" customWidth="1"/>
    <col min="2" max="2" width="8.421875" style="0" customWidth="1"/>
    <col min="3" max="3" width="5.00390625" style="0" customWidth="1"/>
    <col min="4" max="4" width="7.8515625" style="0" customWidth="1"/>
    <col min="5" max="5" width="7.00390625" style="0" customWidth="1"/>
    <col min="6" max="6" width="5.8515625" style="0" customWidth="1"/>
    <col min="7" max="7" width="5.00390625" style="0" customWidth="1"/>
    <col min="8" max="8" width="5.140625" style="0" customWidth="1"/>
    <col min="9" max="9" width="7.00390625" style="0" customWidth="1"/>
    <col min="10" max="10" width="2.8515625" style="0" customWidth="1"/>
    <col min="11" max="11" width="8.8515625" style="0" customWidth="1"/>
    <col min="12" max="12" width="5.421875" style="0" customWidth="1"/>
    <col min="13" max="19" width="6.00390625" style="0" customWidth="1"/>
    <col min="20" max="20" width="8.57421875" style="23" customWidth="1"/>
    <col min="21" max="21" width="9.00390625" style="23" customWidth="1"/>
    <col min="22" max="23" width="9.140625" style="23" customWidth="1"/>
  </cols>
  <sheetData>
    <row r="1" spans="1:21" ht="18.75" thickBot="1">
      <c r="A1" s="1288" t="s">
        <v>515</v>
      </c>
      <c r="B1" s="1289"/>
      <c r="C1" s="1289"/>
      <c r="D1" s="1289"/>
      <c r="E1" s="1289"/>
      <c r="F1" s="1289"/>
      <c r="G1" s="1289"/>
      <c r="H1" s="1289"/>
      <c r="I1" s="1289"/>
      <c r="J1" s="1289"/>
      <c r="K1" s="1289"/>
      <c r="L1" s="1289"/>
      <c r="M1" s="1289"/>
      <c r="N1" s="1289"/>
      <c r="O1" s="1289"/>
      <c r="P1" s="1289"/>
      <c r="Q1" s="1289"/>
      <c r="R1" s="1290"/>
      <c r="T1" s="30"/>
      <c r="U1" s="30"/>
    </row>
    <row r="2" spans="1:21" ht="15" customHeight="1">
      <c r="A2" s="1607" t="s">
        <v>614</v>
      </c>
      <c r="B2" s="1608"/>
      <c r="C2" s="1299"/>
      <c r="D2" s="1300"/>
      <c r="E2" s="1300"/>
      <c r="F2" s="1300"/>
      <c r="G2" s="1300"/>
      <c r="H2" s="1301"/>
      <c r="I2" s="1597" t="s">
        <v>602</v>
      </c>
      <c r="J2" s="1598"/>
      <c r="K2" s="1599"/>
      <c r="L2" s="245" t="s">
        <v>671</v>
      </c>
      <c r="M2" s="246"/>
      <c r="N2" s="1"/>
      <c r="O2" s="2"/>
      <c r="P2" s="17"/>
      <c r="Q2" s="18"/>
      <c r="R2" s="3"/>
      <c r="T2" s="30"/>
      <c r="U2" s="30"/>
    </row>
    <row r="3" spans="1:21" ht="15" customHeight="1">
      <c r="A3" s="1609"/>
      <c r="B3" s="1610"/>
      <c r="C3" s="1305"/>
      <c r="D3" s="1306"/>
      <c r="E3" s="1306"/>
      <c r="F3" s="1306"/>
      <c r="G3" s="1306"/>
      <c r="H3" s="1307"/>
      <c r="I3" s="247"/>
      <c r="J3" s="248"/>
      <c r="K3" s="249" t="s">
        <v>615</v>
      </c>
      <c r="L3" s="250" t="s">
        <v>672</v>
      </c>
      <c r="M3" s="251"/>
      <c r="N3" s="77"/>
      <c r="O3" s="78"/>
      <c r="P3" s="75"/>
      <c r="Q3" s="76"/>
      <c r="R3" s="112"/>
      <c r="T3" s="30"/>
      <c r="U3" s="30"/>
    </row>
    <row r="4" spans="1:21" ht="14.25" customHeight="1">
      <c r="A4" s="958" t="s">
        <v>767</v>
      </c>
      <c r="B4" s="1640"/>
      <c r="C4" s="1380"/>
      <c r="D4" s="1381"/>
      <c r="E4" s="1381"/>
      <c r="F4" s="1381"/>
      <c r="G4" s="1381"/>
      <c r="H4" s="1382"/>
      <c r="I4" s="1646" t="s">
        <v>838</v>
      </c>
      <c r="J4" s="1647"/>
      <c r="K4" s="1647"/>
      <c r="L4" s="1647"/>
      <c r="M4" s="1647"/>
      <c r="N4" s="1647"/>
      <c r="O4" s="1648"/>
      <c r="P4" s="1644">
        <v>0</v>
      </c>
      <c r="Q4" s="1645"/>
      <c r="R4" s="14"/>
      <c r="T4" s="30"/>
      <c r="U4" s="30"/>
    </row>
    <row r="5" spans="1:21" ht="14.25" customHeight="1">
      <c r="A5" s="959"/>
      <c r="B5" s="1641"/>
      <c r="C5" s="1657"/>
      <c r="D5" s="1658"/>
      <c r="E5" s="1658"/>
      <c r="F5" s="1658"/>
      <c r="G5" s="1658"/>
      <c r="H5" s="1659"/>
      <c r="I5" s="253" t="s">
        <v>145</v>
      </c>
      <c r="J5" s="254"/>
      <c r="K5" s="254"/>
      <c r="L5" s="254"/>
      <c r="M5" s="254"/>
      <c r="N5" s="254"/>
      <c r="O5" s="248"/>
      <c r="P5" s="255" t="s">
        <v>661</v>
      </c>
      <c r="Q5" s="256" t="s">
        <v>662</v>
      </c>
      <c r="R5" s="113">
        <v>2</v>
      </c>
      <c r="T5" s="30"/>
      <c r="U5" s="30"/>
    </row>
    <row r="6" spans="1:21" ht="12" customHeight="1">
      <c r="A6" s="1642"/>
      <c r="B6" s="1643"/>
      <c r="C6" s="1242"/>
      <c r="D6" s="1243"/>
      <c r="E6" s="1243"/>
      <c r="F6" s="1243"/>
      <c r="G6" s="1243"/>
      <c r="H6" s="1244"/>
      <c r="I6" s="1649" t="s">
        <v>1</v>
      </c>
      <c r="J6" s="1650"/>
      <c r="K6" s="1650"/>
      <c r="L6" s="1651"/>
      <c r="M6" s="1464">
        <v>0</v>
      </c>
      <c r="N6" s="1465"/>
      <c r="O6" s="1660" t="s">
        <v>146</v>
      </c>
      <c r="P6" s="1651"/>
      <c r="Q6" s="1655">
        <v>0</v>
      </c>
      <c r="R6" s="14"/>
      <c r="T6" s="30"/>
      <c r="U6" s="30"/>
    </row>
    <row r="7" spans="1:21" ht="15.75" customHeight="1">
      <c r="A7" s="1653" t="s">
        <v>603</v>
      </c>
      <c r="B7" s="1654"/>
      <c r="C7" s="1308"/>
      <c r="D7" s="1309"/>
      <c r="E7" s="1309"/>
      <c r="F7" s="1309"/>
      <c r="G7" s="1309"/>
      <c r="H7" s="1310"/>
      <c r="I7" s="1609"/>
      <c r="J7" s="1652"/>
      <c r="K7" s="1652"/>
      <c r="L7" s="1610"/>
      <c r="M7" s="1466"/>
      <c r="N7" s="1467"/>
      <c r="O7" s="1661"/>
      <c r="P7" s="1610"/>
      <c r="Q7" s="1656"/>
      <c r="R7" s="257"/>
      <c r="T7" s="30"/>
      <c r="U7" s="30"/>
    </row>
    <row r="8" spans="1:21" ht="15.75" customHeight="1" thickBot="1">
      <c r="A8" s="1605" t="s">
        <v>604</v>
      </c>
      <c r="B8" s="1606"/>
      <c r="C8" s="1254"/>
      <c r="D8" s="1255"/>
      <c r="E8" s="1256"/>
      <c r="F8" s="258" t="s">
        <v>616</v>
      </c>
      <c r="G8" s="1595">
        <f ca="1">IF(C8="","",NOW())</f>
      </c>
      <c r="H8" s="1596"/>
      <c r="I8" s="1602"/>
      <c r="J8" s="1603"/>
      <c r="K8" s="1604"/>
      <c r="L8" s="259"/>
      <c r="M8" s="259"/>
      <c r="N8" s="1593" t="s">
        <v>605</v>
      </c>
      <c r="O8" s="1593"/>
      <c r="P8" s="1594"/>
      <c r="Q8" s="1600">
        <f>SUM(Q41,Q50,Q60,Q71,J81,Q100,Q111)</f>
        <v>0</v>
      </c>
      <c r="R8" s="1601"/>
      <c r="T8" s="30"/>
      <c r="U8" s="30"/>
    </row>
    <row r="9" spans="1:21" ht="18.75" customHeight="1" thickBot="1">
      <c r="A9" s="1611" t="s">
        <v>823</v>
      </c>
      <c r="B9" s="1612"/>
      <c r="C9" s="1613">
        <f>IF(G8="","",IF(OR(R12&lt;1,Q13="YES"),"LOW PRIORITY",IF(Q15="YES","HIGH PRIORITY","MEDIUM PRIORITY")))</f>
      </c>
      <c r="D9" s="1614"/>
      <c r="E9" s="1614"/>
      <c r="F9" s="1614"/>
      <c r="G9" s="1614"/>
      <c r="H9" s="1615"/>
      <c r="I9" s="13"/>
      <c r="J9" s="13"/>
      <c r="K9" s="13"/>
      <c r="L9" s="250"/>
      <c r="M9" s="13"/>
      <c r="N9" s="13"/>
      <c r="O9" s="13"/>
      <c r="P9" s="260" t="s">
        <v>606</v>
      </c>
      <c r="Q9" s="261">
        <f>IF(Q8=0,0,M6/Q8)</f>
        <v>0</v>
      </c>
      <c r="R9" s="262"/>
      <c r="T9" s="30"/>
      <c r="U9" s="30"/>
    </row>
    <row r="10" spans="1:21" ht="18" customHeight="1" thickBot="1">
      <c r="A10" s="937" t="s">
        <v>516</v>
      </c>
      <c r="B10" s="938"/>
      <c r="C10" s="938"/>
      <c r="D10" s="938"/>
      <c r="E10" s="938"/>
      <c r="F10" s="938"/>
      <c r="G10" s="938"/>
      <c r="H10" s="938"/>
      <c r="I10" s="938"/>
      <c r="J10" s="938"/>
      <c r="K10" s="938"/>
      <c r="L10" s="938"/>
      <c r="M10" s="938"/>
      <c r="N10" s="938"/>
      <c r="O10" s="938"/>
      <c r="P10" s="938"/>
      <c r="Q10" s="938"/>
      <c r="R10" s="939"/>
      <c r="T10" s="30"/>
      <c r="U10" s="30"/>
    </row>
    <row r="11" spans="1:21" ht="28.5" customHeight="1">
      <c r="A11" s="263" t="s">
        <v>541</v>
      </c>
      <c r="B11" s="1618" t="s">
        <v>33</v>
      </c>
      <c r="C11" s="1618"/>
      <c r="D11" s="1618"/>
      <c r="E11" s="1618"/>
      <c r="F11" s="1618"/>
      <c r="G11" s="1618"/>
      <c r="H11" s="1618"/>
      <c r="I11" s="1618"/>
      <c r="J11" s="1618"/>
      <c r="K11" s="1618"/>
      <c r="L11" s="1618"/>
      <c r="M11" s="1618"/>
      <c r="N11" s="1618"/>
      <c r="O11" s="1618"/>
      <c r="P11" s="1619"/>
      <c r="Q11" s="264"/>
      <c r="R11" s="265"/>
      <c r="T11" s="30"/>
      <c r="U11" s="30"/>
    </row>
    <row r="12" spans="1:21" ht="28.5" customHeight="1" thickBot="1">
      <c r="A12" s="266" t="s">
        <v>542</v>
      </c>
      <c r="B12" s="1620" t="s">
        <v>522</v>
      </c>
      <c r="C12" s="1620"/>
      <c r="D12" s="1620"/>
      <c r="E12" s="1620"/>
      <c r="F12" s="1620"/>
      <c r="G12" s="1620"/>
      <c r="H12" s="1620"/>
      <c r="I12" s="1620"/>
      <c r="J12" s="1620"/>
      <c r="K12" s="1620"/>
      <c r="L12" s="1620"/>
      <c r="M12" s="1620"/>
      <c r="N12" s="1620"/>
      <c r="O12" s="1620"/>
      <c r="P12" s="1621"/>
      <c r="Q12" s="267"/>
      <c r="R12" s="268">
        <f>COUNTIF(Q11:Q12,"YES")</f>
        <v>0</v>
      </c>
      <c r="T12" s="30"/>
      <c r="U12" s="30"/>
    </row>
    <row r="13" spans="1:21" ht="25.5" customHeight="1">
      <c r="A13" s="269" t="s">
        <v>364</v>
      </c>
      <c r="B13" s="1616" t="s">
        <v>279</v>
      </c>
      <c r="C13" s="1616"/>
      <c r="D13" s="1616"/>
      <c r="E13" s="1616"/>
      <c r="F13" s="1616"/>
      <c r="G13" s="1616"/>
      <c r="H13" s="1616"/>
      <c r="I13" s="1616"/>
      <c r="J13" s="1616"/>
      <c r="K13" s="1616"/>
      <c r="L13" s="1616"/>
      <c r="M13" s="1616"/>
      <c r="N13" s="1616"/>
      <c r="O13" s="1616"/>
      <c r="P13" s="1617"/>
      <c r="Q13" s="270"/>
      <c r="R13" s="271"/>
      <c r="T13" s="30"/>
      <c r="U13" s="30"/>
    </row>
    <row r="14" spans="1:21" ht="30" customHeight="1">
      <c r="A14" s="1622" t="s">
        <v>277</v>
      </c>
      <c r="B14" s="1623"/>
      <c r="C14" s="1623"/>
      <c r="D14" s="1623"/>
      <c r="E14" s="1623"/>
      <c r="F14" s="1623"/>
      <c r="G14" s="1623"/>
      <c r="H14" s="1623"/>
      <c r="I14" s="1623"/>
      <c r="J14" s="1623"/>
      <c r="K14" s="1623"/>
      <c r="L14" s="1623"/>
      <c r="M14" s="1623"/>
      <c r="N14" s="1623"/>
      <c r="O14" s="1623"/>
      <c r="P14" s="1623"/>
      <c r="Q14" s="1624"/>
      <c r="R14" s="272"/>
      <c r="T14" s="30"/>
      <c r="U14" s="30"/>
    </row>
    <row r="15" spans="1:21" ht="26.25" customHeight="1">
      <c r="A15" s="273" t="s">
        <v>365</v>
      </c>
      <c r="B15" s="906" t="s">
        <v>825</v>
      </c>
      <c r="C15" s="906"/>
      <c r="D15" s="906"/>
      <c r="E15" s="906"/>
      <c r="F15" s="906"/>
      <c r="G15" s="906"/>
      <c r="H15" s="906"/>
      <c r="I15" s="906"/>
      <c r="J15" s="906"/>
      <c r="K15" s="906"/>
      <c r="L15" s="906"/>
      <c r="M15" s="906"/>
      <c r="N15" s="906"/>
      <c r="O15" s="906"/>
      <c r="P15" s="1631"/>
      <c r="Q15" s="274"/>
      <c r="R15" s="275"/>
      <c r="T15" s="30"/>
      <c r="U15" s="30"/>
    </row>
    <row r="16" spans="1:21" ht="14.25" customHeight="1" thickBot="1">
      <c r="A16" s="276" t="s">
        <v>832</v>
      </c>
      <c r="B16" s="277"/>
      <c r="C16" s="277"/>
      <c r="D16" s="277"/>
      <c r="E16" s="277"/>
      <c r="F16" s="277"/>
      <c r="G16" s="277"/>
      <c r="H16" s="277"/>
      <c r="I16" s="277"/>
      <c r="J16" s="277"/>
      <c r="K16" s="277"/>
      <c r="L16" s="277"/>
      <c r="M16" s="277"/>
      <c r="N16" s="277"/>
      <c r="O16" s="277"/>
      <c r="P16" s="277"/>
      <c r="Q16" s="277"/>
      <c r="R16" s="278"/>
      <c r="T16" s="30"/>
      <c r="U16" s="30"/>
    </row>
    <row r="17" spans="1:21" ht="18.75" customHeight="1" thickBot="1">
      <c r="A17" s="937" t="s">
        <v>517</v>
      </c>
      <c r="B17" s="938"/>
      <c r="C17" s="938"/>
      <c r="D17" s="938"/>
      <c r="E17" s="938"/>
      <c r="F17" s="938"/>
      <c r="G17" s="938"/>
      <c r="H17" s="938"/>
      <c r="I17" s="938"/>
      <c r="J17" s="938"/>
      <c r="K17" s="938"/>
      <c r="L17" s="938"/>
      <c r="M17" s="938"/>
      <c r="N17" s="938"/>
      <c r="O17" s="938"/>
      <c r="P17" s="938"/>
      <c r="Q17" s="938"/>
      <c r="R17" s="939"/>
      <c r="T17" s="30"/>
      <c r="U17" s="30"/>
    </row>
    <row r="18" spans="1:21" ht="18.75" customHeight="1">
      <c r="A18" s="279" t="s">
        <v>798</v>
      </c>
      <c r="B18" s="280"/>
      <c r="C18" s="1423" t="s">
        <v>67</v>
      </c>
      <c r="D18" s="1423"/>
      <c r="E18" s="1423"/>
      <c r="F18" s="1423"/>
      <c r="G18" s="1423"/>
      <c r="H18" s="1423"/>
      <c r="I18" s="1423"/>
      <c r="J18" s="1423"/>
      <c r="K18" s="1423"/>
      <c r="L18" s="1423"/>
      <c r="M18" s="1423"/>
      <c r="N18" s="1423"/>
      <c r="O18" s="1423"/>
      <c r="P18" s="1423"/>
      <c r="Q18" s="1423"/>
      <c r="R18" s="1424"/>
      <c r="T18" s="30"/>
      <c r="U18" s="30"/>
    </row>
    <row r="19" spans="1:21" ht="14.25" customHeight="1" thickBot="1">
      <c r="A19" s="1350" t="s">
        <v>576</v>
      </c>
      <c r="B19" s="1351"/>
      <c r="C19" s="1351"/>
      <c r="D19" s="1351"/>
      <c r="E19" s="1351"/>
      <c r="F19" s="1351"/>
      <c r="G19" s="1351"/>
      <c r="H19" s="1351"/>
      <c r="I19" s="1351"/>
      <c r="J19" s="1351"/>
      <c r="K19" s="1351"/>
      <c r="L19" s="1351"/>
      <c r="M19" s="1351"/>
      <c r="N19" s="1351"/>
      <c r="O19" s="1351"/>
      <c r="P19" s="1351"/>
      <c r="Q19" s="1351"/>
      <c r="R19" s="1353"/>
      <c r="T19" s="30"/>
      <c r="U19" s="30"/>
    </row>
    <row r="20" spans="1:21" ht="16.5" customHeight="1" thickTop="1">
      <c r="A20" s="281"/>
      <c r="B20" s="282"/>
      <c r="C20" s="282"/>
      <c r="D20" s="282"/>
      <c r="E20" s="282"/>
      <c r="F20" s="282"/>
      <c r="G20" s="282"/>
      <c r="H20" s="282"/>
      <c r="I20" s="282"/>
      <c r="J20" s="282"/>
      <c r="K20" s="282"/>
      <c r="L20" s="282"/>
      <c r="M20" s="282"/>
      <c r="N20" s="282"/>
      <c r="O20" s="282"/>
      <c r="P20" s="282"/>
      <c r="Q20" s="282"/>
      <c r="R20" s="283"/>
      <c r="T20" s="30"/>
      <c r="U20" s="30"/>
    </row>
    <row r="21" spans="1:21" ht="24.75" customHeight="1">
      <c r="A21" s="281"/>
      <c r="B21" s="1632"/>
      <c r="C21" s="928" t="s">
        <v>449</v>
      </c>
      <c r="D21" s="929"/>
      <c r="E21" s="929"/>
      <c r="F21" s="929"/>
      <c r="G21" s="929"/>
      <c r="H21" s="929"/>
      <c r="I21" s="929"/>
      <c r="J21" s="929"/>
      <c r="K21" s="929"/>
      <c r="L21" s="929"/>
      <c r="M21" s="930"/>
      <c r="N21" s="282"/>
      <c r="O21" s="1638" t="s">
        <v>821</v>
      </c>
      <c r="P21" s="1638"/>
      <c r="Q21" s="1639"/>
      <c r="R21" s="284">
        <f>IF($R$27=1,10,"")</f>
      </c>
      <c r="T21" s="30"/>
      <c r="U21" s="30"/>
    </row>
    <row r="22" spans="1:21" ht="14.25" customHeight="1">
      <c r="A22" s="281"/>
      <c r="B22" s="1633"/>
      <c r="C22" s="285"/>
      <c r="D22" s="286"/>
      <c r="E22" s="1635" t="s">
        <v>155</v>
      </c>
      <c r="F22" s="1636"/>
      <c r="G22" s="1636"/>
      <c r="H22" s="1636"/>
      <c r="I22" s="1636"/>
      <c r="J22" s="1636"/>
      <c r="K22" s="1636"/>
      <c r="L22" s="1637"/>
      <c r="M22" s="287"/>
      <c r="N22" s="282"/>
      <c r="O22" s="1638"/>
      <c r="P22" s="1638"/>
      <c r="Q22" s="1639"/>
      <c r="R22" s="288"/>
      <c r="T22" s="30"/>
      <c r="U22" s="30"/>
    </row>
    <row r="23" spans="1:21" ht="4.5" customHeight="1">
      <c r="A23" s="281"/>
      <c r="B23" s="1634"/>
      <c r="C23" s="289"/>
      <c r="D23" s="290"/>
      <c r="E23" s="290"/>
      <c r="F23" s="290"/>
      <c r="G23" s="290"/>
      <c r="H23" s="290"/>
      <c r="I23" s="290"/>
      <c r="J23" s="290"/>
      <c r="K23" s="290"/>
      <c r="L23" s="290"/>
      <c r="M23" s="291"/>
      <c r="N23" s="282"/>
      <c r="O23" s="1638"/>
      <c r="P23" s="1638"/>
      <c r="Q23" s="1639"/>
      <c r="R23" s="288"/>
      <c r="T23" s="30"/>
      <c r="U23" s="30"/>
    </row>
    <row r="24" spans="1:21" ht="27" customHeight="1">
      <c r="A24" s="281"/>
      <c r="B24" s="1625"/>
      <c r="C24" s="928" t="s">
        <v>450</v>
      </c>
      <c r="D24" s="929"/>
      <c r="E24" s="929"/>
      <c r="F24" s="929"/>
      <c r="G24" s="929"/>
      <c r="H24" s="929"/>
      <c r="I24" s="929"/>
      <c r="J24" s="929"/>
      <c r="K24" s="929"/>
      <c r="L24" s="929"/>
      <c r="M24" s="930"/>
      <c r="N24" s="248"/>
      <c r="O24" s="1638"/>
      <c r="P24" s="1638"/>
      <c r="Q24" s="1639"/>
      <c r="R24" s="284">
        <f>IF($R$27=2,7.5,"")</f>
        <v>7.5</v>
      </c>
      <c r="T24" s="30"/>
      <c r="U24" s="30"/>
    </row>
    <row r="25" spans="1:21" ht="15" customHeight="1">
      <c r="A25" s="281"/>
      <c r="B25" s="1626"/>
      <c r="C25" s="285"/>
      <c r="D25" s="286"/>
      <c r="E25" s="1628"/>
      <c r="F25" s="1629"/>
      <c r="G25" s="1629"/>
      <c r="H25" s="1629"/>
      <c r="I25" s="1629"/>
      <c r="J25" s="1629"/>
      <c r="K25" s="1629"/>
      <c r="L25" s="1630"/>
      <c r="M25" s="287"/>
      <c r="N25" s="248"/>
      <c r="O25" s="1638"/>
      <c r="P25" s="1638"/>
      <c r="Q25" s="1639"/>
      <c r="R25" s="288"/>
      <c r="T25" s="30"/>
      <c r="U25" s="30"/>
    </row>
    <row r="26" spans="1:21" ht="6" customHeight="1">
      <c r="A26" s="281"/>
      <c r="B26" s="1627"/>
      <c r="C26" s="289"/>
      <c r="D26" s="290"/>
      <c r="E26" s="290"/>
      <c r="F26" s="290"/>
      <c r="G26" s="290"/>
      <c r="H26" s="290"/>
      <c r="I26" s="290"/>
      <c r="J26" s="290"/>
      <c r="K26" s="290"/>
      <c r="L26" s="290"/>
      <c r="M26" s="291"/>
      <c r="N26" s="248"/>
      <c r="O26" s="248"/>
      <c r="P26" s="248"/>
      <c r="Q26" s="248"/>
      <c r="R26" s="288"/>
      <c r="T26" s="30"/>
      <c r="U26" s="30"/>
    </row>
    <row r="27" spans="1:21" ht="14.25" customHeight="1">
      <c r="A27" s="281"/>
      <c r="B27" s="286"/>
      <c r="C27" s="286"/>
      <c r="D27" s="286"/>
      <c r="E27" s="286"/>
      <c r="F27" s="286"/>
      <c r="G27" s="286"/>
      <c r="H27" s="286"/>
      <c r="I27" s="286"/>
      <c r="J27" s="286"/>
      <c r="K27" s="292"/>
      <c r="L27" s="292"/>
      <c r="M27" s="292"/>
      <c r="N27" s="248"/>
      <c r="O27" s="293" t="s">
        <v>147</v>
      </c>
      <c r="P27" s="91">
        <f>IF(E25="",0,MAX(R21:R24))</f>
        <v>0</v>
      </c>
      <c r="Q27" s="294" t="s">
        <v>130</v>
      </c>
      <c r="R27" s="288">
        <v>2</v>
      </c>
      <c r="T27" s="30"/>
      <c r="U27" s="30"/>
    </row>
    <row r="28" spans="1:21" ht="13.5" customHeight="1">
      <c r="A28" s="281"/>
      <c r="B28" s="282"/>
      <c r="C28" s="282"/>
      <c r="D28" s="282"/>
      <c r="E28" s="282"/>
      <c r="F28" s="282"/>
      <c r="G28" s="282"/>
      <c r="H28" s="282"/>
      <c r="I28" s="282"/>
      <c r="J28" s="282"/>
      <c r="K28" s="282"/>
      <c r="L28" s="282"/>
      <c r="M28" s="282"/>
      <c r="N28" s="282"/>
      <c r="O28" s="282"/>
      <c r="P28" s="282"/>
      <c r="Q28" s="282"/>
      <c r="R28" s="295"/>
      <c r="T28" s="30"/>
      <c r="U28" s="30"/>
    </row>
    <row r="29" spans="1:21" ht="24.75" customHeight="1">
      <c r="A29" s="281"/>
      <c r="B29" s="296"/>
      <c r="C29" s="1549" t="s">
        <v>177</v>
      </c>
      <c r="D29" s="1550"/>
      <c r="E29" s="1550"/>
      <c r="F29" s="1550"/>
      <c r="G29" s="1550"/>
      <c r="H29" s="1550"/>
      <c r="I29" s="1550"/>
      <c r="J29" s="1550"/>
      <c r="K29" s="1550"/>
      <c r="L29" s="1550"/>
      <c r="M29" s="1551"/>
      <c r="N29" s="297"/>
      <c r="O29" s="282"/>
      <c r="P29" s="282"/>
      <c r="Q29" s="282"/>
      <c r="R29" s="288">
        <f>IF($R$32=1,6,"")</f>
      </c>
      <c r="T29" s="30"/>
      <c r="U29" s="30"/>
    </row>
    <row r="30" spans="1:21" ht="26.25" customHeight="1">
      <c r="A30" s="281"/>
      <c r="B30" s="298"/>
      <c r="C30" s="1549" t="s">
        <v>178</v>
      </c>
      <c r="D30" s="1550"/>
      <c r="E30" s="1550"/>
      <c r="F30" s="1550"/>
      <c r="G30" s="1550"/>
      <c r="H30" s="1550"/>
      <c r="I30" s="1550"/>
      <c r="J30" s="1550"/>
      <c r="K30" s="1550"/>
      <c r="L30" s="1550"/>
      <c r="M30" s="1551"/>
      <c r="N30" s="297"/>
      <c r="O30" s="282"/>
      <c r="P30" s="282"/>
      <c r="Q30" s="282"/>
      <c r="R30" s="288">
        <f>IF($R$32=2,2,"")</f>
      </c>
      <c r="T30" s="30"/>
      <c r="U30" s="30"/>
    </row>
    <row r="31" spans="1:21" ht="27.75" customHeight="1">
      <c r="A31" s="281"/>
      <c r="B31" s="298"/>
      <c r="C31" s="1549" t="s">
        <v>68</v>
      </c>
      <c r="D31" s="1552"/>
      <c r="E31" s="1552"/>
      <c r="F31" s="1552"/>
      <c r="G31" s="1552"/>
      <c r="H31" s="1552"/>
      <c r="I31" s="1552"/>
      <c r="J31" s="1552"/>
      <c r="K31" s="1552"/>
      <c r="L31" s="1552"/>
      <c r="M31" s="1553"/>
      <c r="N31" s="297"/>
      <c r="O31" s="282"/>
      <c r="P31" s="282"/>
      <c r="Q31" s="282"/>
      <c r="R31" s="288">
        <f>IF($R$32=3,0,"")</f>
        <v>0</v>
      </c>
      <c r="T31" s="30"/>
      <c r="U31" s="30"/>
    </row>
    <row r="32" spans="1:21" ht="14.25" customHeight="1">
      <c r="A32" s="281"/>
      <c r="B32" s="282"/>
      <c r="C32" s="282"/>
      <c r="D32" s="282"/>
      <c r="E32" s="282"/>
      <c r="F32" s="282"/>
      <c r="G32" s="282"/>
      <c r="H32" s="282"/>
      <c r="I32" s="282"/>
      <c r="J32" s="282"/>
      <c r="K32" s="282"/>
      <c r="L32" s="282"/>
      <c r="M32" s="282"/>
      <c r="N32" s="282"/>
      <c r="O32" s="293" t="s">
        <v>148</v>
      </c>
      <c r="P32" s="91">
        <f>MAX(R29:R31)</f>
        <v>0</v>
      </c>
      <c r="Q32" s="294" t="s">
        <v>131</v>
      </c>
      <c r="R32" s="288">
        <v>3</v>
      </c>
      <c r="T32" s="30"/>
      <c r="U32" s="30"/>
    </row>
    <row r="33" spans="1:21" ht="9.75" customHeight="1">
      <c r="A33" s="281"/>
      <c r="B33" s="282"/>
      <c r="C33" s="282"/>
      <c r="D33" s="282"/>
      <c r="E33" s="282"/>
      <c r="F33" s="282"/>
      <c r="G33" s="282"/>
      <c r="H33" s="282"/>
      <c r="I33" s="282"/>
      <c r="J33" s="282"/>
      <c r="K33" s="282"/>
      <c r="L33" s="282"/>
      <c r="M33" s="282"/>
      <c r="N33" s="282"/>
      <c r="O33" s="282"/>
      <c r="P33" s="282"/>
      <c r="Q33" s="282"/>
      <c r="R33" s="295"/>
      <c r="T33" s="30"/>
      <c r="U33" s="30"/>
    </row>
    <row r="34" spans="1:21" ht="30.75" customHeight="1">
      <c r="A34" s="281"/>
      <c r="B34" s="1012" t="s">
        <v>180</v>
      </c>
      <c r="C34" s="1012"/>
      <c r="D34" s="1012"/>
      <c r="E34" s="1012"/>
      <c r="F34" s="1012"/>
      <c r="G34" s="1012"/>
      <c r="H34" s="1012"/>
      <c r="I34" s="1012"/>
      <c r="J34" s="1012"/>
      <c r="K34" s="1670" t="s">
        <v>661</v>
      </c>
      <c r="L34" s="282"/>
      <c r="M34" s="1669" t="s">
        <v>662</v>
      </c>
      <c r="N34" s="248"/>
      <c r="O34" s="282"/>
      <c r="P34" s="282"/>
      <c r="Q34" s="282"/>
      <c r="R34" s="295"/>
      <c r="T34" s="30"/>
      <c r="U34" s="30"/>
    </row>
    <row r="35" spans="1:21" ht="6" customHeight="1">
      <c r="A35" s="281"/>
      <c r="B35" s="1012"/>
      <c r="C35" s="1012"/>
      <c r="D35" s="1012"/>
      <c r="E35" s="1012"/>
      <c r="F35" s="1012"/>
      <c r="G35" s="1012"/>
      <c r="H35" s="1012"/>
      <c r="I35" s="1012"/>
      <c r="J35" s="1012"/>
      <c r="K35" s="1670"/>
      <c r="L35" s="282"/>
      <c r="M35" s="1669"/>
      <c r="N35" s="282"/>
      <c r="O35" s="282"/>
      <c r="P35" s="282"/>
      <c r="Q35" s="282"/>
      <c r="R35" s="295"/>
      <c r="T35" s="30"/>
      <c r="U35" s="30"/>
    </row>
    <row r="36" spans="1:21" ht="16.5" customHeight="1">
      <c r="A36" s="281"/>
      <c r="B36" s="299"/>
      <c r="C36" s="299"/>
      <c r="D36" s="299"/>
      <c r="E36" s="1554"/>
      <c r="F36" s="1555"/>
      <c r="G36" s="1555"/>
      <c r="H36" s="1555"/>
      <c r="I36" s="1555"/>
      <c r="J36" s="1555"/>
      <c r="K36" s="1555"/>
      <c r="L36" s="1556"/>
      <c r="M36" s="292"/>
      <c r="N36" s="282"/>
      <c r="O36" s="282"/>
      <c r="P36" s="282"/>
      <c r="Q36" s="282"/>
      <c r="R36" s="295"/>
      <c r="T36" s="30"/>
      <c r="U36" s="30"/>
    </row>
    <row r="37" spans="1:21" ht="14.25" customHeight="1">
      <c r="A37" s="281"/>
      <c r="B37" s="301"/>
      <c r="C37" s="282"/>
      <c r="D37" s="282"/>
      <c r="E37" s="282"/>
      <c r="F37" s="282"/>
      <c r="G37" s="282"/>
      <c r="H37" s="282"/>
      <c r="I37" s="282"/>
      <c r="J37" s="282"/>
      <c r="K37" s="282"/>
      <c r="L37" s="282"/>
      <c r="M37" s="282"/>
      <c r="N37" s="282"/>
      <c r="O37" s="293" t="s">
        <v>149</v>
      </c>
      <c r="P37" s="91">
        <f>IF(R37=1,7,0)</f>
        <v>0</v>
      </c>
      <c r="Q37" s="294" t="s">
        <v>132</v>
      </c>
      <c r="R37" s="288">
        <v>2</v>
      </c>
      <c r="T37" s="30"/>
      <c r="U37" s="30"/>
    </row>
    <row r="38" spans="1:21" ht="8.25" customHeight="1">
      <c r="A38" s="281"/>
      <c r="B38" s="301"/>
      <c r="C38" s="282"/>
      <c r="D38" s="282"/>
      <c r="E38" s="282"/>
      <c r="F38" s="282"/>
      <c r="G38" s="282"/>
      <c r="H38" s="282"/>
      <c r="I38" s="282"/>
      <c r="J38" s="282"/>
      <c r="K38" s="282"/>
      <c r="L38" s="282"/>
      <c r="M38" s="282"/>
      <c r="N38" s="282"/>
      <c r="O38" s="282"/>
      <c r="P38" s="282"/>
      <c r="Q38" s="282"/>
      <c r="R38" s="295"/>
      <c r="T38" s="30"/>
      <c r="U38" s="30"/>
    </row>
    <row r="39" spans="1:21" ht="15.75" customHeight="1">
      <c r="A39" s="281"/>
      <c r="B39" s="1671" t="s">
        <v>183</v>
      </c>
      <c r="C39" s="1671"/>
      <c r="D39" s="1671"/>
      <c r="E39" s="1671"/>
      <c r="F39" s="1671"/>
      <c r="G39" s="1671"/>
      <c r="H39" s="1671"/>
      <c r="I39" s="1671"/>
      <c r="J39" s="1671"/>
      <c r="K39" s="300" t="s">
        <v>661</v>
      </c>
      <c r="L39" s="303"/>
      <c r="M39" s="292" t="s">
        <v>662</v>
      </c>
      <c r="N39" s="282"/>
      <c r="O39" s="293" t="s">
        <v>150</v>
      </c>
      <c r="P39" s="91">
        <f>IF(R39=1,5,0)</f>
        <v>0</v>
      </c>
      <c r="Q39" s="294" t="s">
        <v>133</v>
      </c>
      <c r="R39" s="288">
        <v>2</v>
      </c>
      <c r="T39" s="30"/>
      <c r="U39" s="30"/>
    </row>
    <row r="40" spans="1:21" ht="6" customHeight="1" thickBot="1">
      <c r="A40" s="281"/>
      <c r="B40" s="301"/>
      <c r="C40" s="282"/>
      <c r="D40" s="282"/>
      <c r="E40" s="282"/>
      <c r="F40" s="282"/>
      <c r="G40" s="282"/>
      <c r="H40" s="282"/>
      <c r="I40" s="282"/>
      <c r="J40" s="282"/>
      <c r="K40" s="300"/>
      <c r="L40" s="282"/>
      <c r="M40" s="292"/>
      <c r="N40" s="282"/>
      <c r="O40" s="282"/>
      <c r="P40" s="282"/>
      <c r="Q40" s="282"/>
      <c r="R40" s="304"/>
      <c r="T40" s="143"/>
      <c r="U40" s="30"/>
    </row>
    <row r="41" spans="1:21" ht="15" customHeight="1" thickBot="1">
      <c r="A41" s="305" t="s">
        <v>134</v>
      </c>
      <c r="B41" s="306"/>
      <c r="C41" s="306"/>
      <c r="D41" s="306"/>
      <c r="E41" s="306"/>
      <c r="F41" s="306"/>
      <c r="G41" s="306"/>
      <c r="H41" s="306"/>
      <c r="I41" s="306"/>
      <c r="J41" s="306"/>
      <c r="K41" s="306"/>
      <c r="L41" s="306"/>
      <c r="M41" s="306"/>
      <c r="N41" s="306"/>
      <c r="O41" s="306"/>
      <c r="P41" s="307" t="s">
        <v>668</v>
      </c>
      <c r="Q41" s="940">
        <f>SUM(P27,P32,P37,P39)</f>
        <v>0</v>
      </c>
      <c r="R41" s="941"/>
      <c r="T41" s="30"/>
      <c r="U41" s="30"/>
    </row>
    <row r="42" spans="1:21" ht="13.5" customHeight="1">
      <c r="A42" s="308" t="s">
        <v>799</v>
      </c>
      <c r="B42" s="309"/>
      <c r="C42" s="889" t="s">
        <v>676</v>
      </c>
      <c r="D42" s="889"/>
      <c r="E42" s="889"/>
      <c r="F42" s="889"/>
      <c r="G42" s="889"/>
      <c r="H42" s="889"/>
      <c r="I42" s="889"/>
      <c r="J42" s="889"/>
      <c r="K42" s="889"/>
      <c r="L42" s="889"/>
      <c r="M42" s="889"/>
      <c r="N42" s="889"/>
      <c r="O42" s="889"/>
      <c r="P42" s="889"/>
      <c r="Q42" s="889"/>
      <c r="R42" s="887"/>
      <c r="S42" s="89"/>
      <c r="T42" s="30"/>
      <c r="U42" s="30"/>
    </row>
    <row r="43" spans="1:21" ht="25.5" customHeight="1" thickBot="1">
      <c r="A43" s="896" t="s">
        <v>708</v>
      </c>
      <c r="B43" s="897"/>
      <c r="C43" s="897"/>
      <c r="D43" s="897"/>
      <c r="E43" s="897"/>
      <c r="F43" s="897"/>
      <c r="G43" s="897"/>
      <c r="H43" s="897"/>
      <c r="I43" s="897"/>
      <c r="J43" s="897"/>
      <c r="K43" s="897"/>
      <c r="L43" s="897"/>
      <c r="M43" s="897"/>
      <c r="N43" s="897"/>
      <c r="O43" s="897"/>
      <c r="P43" s="897"/>
      <c r="Q43" s="897"/>
      <c r="R43" s="898"/>
      <c r="T43" s="30"/>
      <c r="U43" s="30"/>
    </row>
    <row r="44" spans="1:21" ht="6" customHeight="1" thickTop="1">
      <c r="A44" s="1053" t="s">
        <v>79</v>
      </c>
      <c r="B44" s="1054"/>
      <c r="C44" s="1054"/>
      <c r="D44" s="1054"/>
      <c r="E44" s="1054"/>
      <c r="F44" s="1054"/>
      <c r="G44" s="1054"/>
      <c r="H44" s="1054"/>
      <c r="I44" s="1054"/>
      <c r="J44" s="310"/>
      <c r="K44" s="311"/>
      <c r="L44" s="311"/>
      <c r="M44" s="311"/>
      <c r="N44" s="311"/>
      <c r="O44" s="311"/>
      <c r="P44" s="311"/>
      <c r="Q44" s="311"/>
      <c r="R44" s="312"/>
      <c r="T44" s="30"/>
      <c r="U44" s="30"/>
    </row>
    <row r="45" spans="1:21" ht="14.25" customHeight="1">
      <c r="A45" s="1055"/>
      <c r="B45" s="1056"/>
      <c r="C45" s="1056"/>
      <c r="D45" s="1056"/>
      <c r="E45" s="1056"/>
      <c r="F45" s="1056"/>
      <c r="G45" s="1056"/>
      <c r="H45" s="1056"/>
      <c r="I45" s="1056"/>
      <c r="J45" s="1543">
        <f>P4</f>
        <v>0</v>
      </c>
      <c r="K45" s="1544"/>
      <c r="L45" s="313" t="s">
        <v>375</v>
      </c>
      <c r="M45" s="311"/>
      <c r="N45" s="311"/>
      <c r="O45" s="311"/>
      <c r="P45" s="311"/>
      <c r="Q45" s="311"/>
      <c r="R45" s="314"/>
      <c r="T45" s="30"/>
      <c r="U45" s="30"/>
    </row>
    <row r="46" spans="1:21" ht="15" customHeight="1" thickBot="1">
      <c r="A46" s="247"/>
      <c r="B46" s="315"/>
      <c r="C46" s="315"/>
      <c r="D46" s="315"/>
      <c r="E46" s="315"/>
      <c r="F46" s="315"/>
      <c r="G46" s="315"/>
      <c r="H46" s="311"/>
      <c r="I46" s="316" t="s">
        <v>372</v>
      </c>
      <c r="J46" s="1662">
        <v>0</v>
      </c>
      <c r="K46" s="1663"/>
      <c r="L46" s="317" t="s">
        <v>376</v>
      </c>
      <c r="M46" s="311"/>
      <c r="N46" s="311"/>
      <c r="O46" s="311"/>
      <c r="P46" s="311"/>
      <c r="Q46" s="311"/>
      <c r="R46" s="314"/>
      <c r="T46" s="30"/>
      <c r="U46" s="30"/>
    </row>
    <row r="47" spans="1:21" ht="15" customHeight="1" thickBot="1" thickTop="1">
      <c r="A47" s="247"/>
      <c r="B47" s="318"/>
      <c r="C47" s="248"/>
      <c r="D47" s="318"/>
      <c r="E47" s="318"/>
      <c r="F47" s="248"/>
      <c r="G47" s="248"/>
      <c r="H47" s="311"/>
      <c r="I47" s="315" t="s">
        <v>141</v>
      </c>
      <c r="J47" s="1667">
        <f>IF(J46=0,"",J46/J45)</f>
      </c>
      <c r="K47" s="1668"/>
      <c r="L47" s="313" t="s">
        <v>377</v>
      </c>
      <c r="M47" s="311"/>
      <c r="N47" s="311"/>
      <c r="O47" s="315" t="s">
        <v>42</v>
      </c>
      <c r="P47" s="138">
        <f>IF(J46=0,0,-3.2836*LN(J47)+20.509)</f>
        <v>0</v>
      </c>
      <c r="Q47" s="301" t="s">
        <v>41</v>
      </c>
      <c r="R47" s="314"/>
      <c r="T47" s="30"/>
      <c r="U47" s="30"/>
    </row>
    <row r="48" spans="1:21" ht="7.5" customHeight="1" thickTop="1">
      <c r="A48" s="247"/>
      <c r="B48" s="318"/>
      <c r="C48" s="248"/>
      <c r="D48" s="318"/>
      <c r="E48" s="318"/>
      <c r="F48" s="248"/>
      <c r="G48" s="315"/>
      <c r="H48" s="311"/>
      <c r="I48" s="311"/>
      <c r="J48" s="311"/>
      <c r="K48" s="311"/>
      <c r="L48" s="311"/>
      <c r="M48" s="319"/>
      <c r="N48" s="248"/>
      <c r="O48" s="248"/>
      <c r="P48" s="311"/>
      <c r="Q48" s="248"/>
      <c r="R48" s="320"/>
      <c r="T48" s="30"/>
      <c r="U48" s="30"/>
    </row>
    <row r="49" spans="1:21" ht="15" customHeight="1" thickBot="1">
      <c r="A49" s="1146" t="s">
        <v>709</v>
      </c>
      <c r="B49" s="1147"/>
      <c r="C49" s="1147"/>
      <c r="D49" s="1147"/>
      <c r="E49" s="1147"/>
      <c r="F49" s="1147"/>
      <c r="G49" s="1147"/>
      <c r="H49" s="1147"/>
      <c r="I49" s="1147"/>
      <c r="J49" s="311"/>
      <c r="K49" s="311"/>
      <c r="L49" s="311"/>
      <c r="M49" s="319"/>
      <c r="N49" s="248"/>
      <c r="O49" s="248"/>
      <c r="P49" s="311"/>
      <c r="Q49" s="248"/>
      <c r="R49" s="322"/>
      <c r="T49" s="30"/>
      <c r="U49" s="30"/>
    </row>
    <row r="50" spans="1:21" ht="15" customHeight="1" thickBot="1">
      <c r="A50" s="1148"/>
      <c r="B50" s="1149"/>
      <c r="C50" s="1149"/>
      <c r="D50" s="1149"/>
      <c r="E50" s="1149"/>
      <c r="F50" s="1149"/>
      <c r="G50" s="1149"/>
      <c r="H50" s="1149"/>
      <c r="I50" s="1149"/>
      <c r="J50" s="323"/>
      <c r="K50" s="323"/>
      <c r="L50" s="323"/>
      <c r="M50" s="324"/>
      <c r="N50" s="325"/>
      <c r="O50" s="325"/>
      <c r="P50" s="307" t="s">
        <v>670</v>
      </c>
      <c r="Q50" s="940">
        <f>IF(P47&lt;0,0,IF(P47&gt;15,15,P47))</f>
        <v>0</v>
      </c>
      <c r="R50" s="941"/>
      <c r="T50" s="30"/>
      <c r="U50" s="30"/>
    </row>
    <row r="51" spans="1:21" ht="18.75" customHeight="1">
      <c r="A51" s="326" t="s">
        <v>803</v>
      </c>
      <c r="B51" s="280"/>
      <c r="C51" s="1423" t="s">
        <v>826</v>
      </c>
      <c r="D51" s="1423"/>
      <c r="E51" s="1423"/>
      <c r="F51" s="1423"/>
      <c r="G51" s="1423"/>
      <c r="H51" s="1423"/>
      <c r="I51" s="1423"/>
      <c r="J51" s="1423"/>
      <c r="K51" s="1423"/>
      <c r="L51" s="1423"/>
      <c r="M51" s="1423"/>
      <c r="N51" s="1423"/>
      <c r="O51" s="1423"/>
      <c r="P51" s="1423"/>
      <c r="Q51" s="1423"/>
      <c r="R51" s="1424"/>
      <c r="T51" s="30"/>
      <c r="U51" s="30"/>
    </row>
    <row r="52" spans="1:21" ht="25.5" customHeight="1" thickBot="1">
      <c r="A52" s="1664" t="s">
        <v>135</v>
      </c>
      <c r="B52" s="1665"/>
      <c r="C52" s="1665"/>
      <c r="D52" s="1665"/>
      <c r="E52" s="1665"/>
      <c r="F52" s="1665"/>
      <c r="G52" s="1665"/>
      <c r="H52" s="1665"/>
      <c r="I52" s="1665"/>
      <c r="J52" s="1665"/>
      <c r="K52" s="1665"/>
      <c r="L52" s="1665"/>
      <c r="M52" s="1665"/>
      <c r="N52" s="1665"/>
      <c r="O52" s="1665"/>
      <c r="P52" s="1665"/>
      <c r="Q52" s="1665"/>
      <c r="R52" s="1666"/>
      <c r="T52" s="30"/>
      <c r="U52" s="30"/>
    </row>
    <row r="53" spans="1:21" ht="18" customHeight="1" thickTop="1">
      <c r="A53" s="1545" t="s">
        <v>156</v>
      </c>
      <c r="B53" s="1546"/>
      <c r="C53" s="1546"/>
      <c r="D53" s="1546"/>
      <c r="E53" s="1546"/>
      <c r="F53" s="1546"/>
      <c r="G53" s="1546"/>
      <c r="H53" s="1546"/>
      <c r="I53" s="328"/>
      <c r="J53" s="328"/>
      <c r="K53" s="1546" t="s">
        <v>448</v>
      </c>
      <c r="L53" s="1546"/>
      <c r="M53" s="1546"/>
      <c r="N53" s="329"/>
      <c r="O53" s="311"/>
      <c r="P53" s="311"/>
      <c r="Q53" s="311"/>
      <c r="R53" s="312"/>
      <c r="T53" s="30"/>
      <c r="U53" s="30"/>
    </row>
    <row r="54" spans="1:21" ht="14.25" customHeight="1">
      <c r="A54" s="1057"/>
      <c r="B54" s="1032"/>
      <c r="C54" s="1032"/>
      <c r="D54" s="1032"/>
      <c r="E54" s="1032"/>
      <c r="F54" s="1032"/>
      <c r="G54" s="1032"/>
      <c r="H54" s="1032"/>
      <c r="I54" s="330">
        <v>0</v>
      </c>
      <c r="J54" s="331" t="s">
        <v>379</v>
      </c>
      <c r="K54" s="1032"/>
      <c r="L54" s="1032"/>
      <c r="M54" s="1032"/>
      <c r="N54" s="1547">
        <v>0</v>
      </c>
      <c r="O54" s="1548"/>
      <c r="P54" s="311" t="s">
        <v>73</v>
      </c>
      <c r="Q54" s="311"/>
      <c r="R54" s="314"/>
      <c r="T54" s="30"/>
      <c r="U54" s="30"/>
    </row>
    <row r="55" spans="1:21" ht="3.75" customHeight="1" thickBot="1">
      <c r="A55" s="247"/>
      <c r="B55" s="318"/>
      <c r="C55" s="248"/>
      <c r="D55" s="315"/>
      <c r="E55" s="315"/>
      <c r="F55" s="315"/>
      <c r="G55" s="315"/>
      <c r="H55" s="315"/>
      <c r="I55" s="311"/>
      <c r="J55" s="311"/>
      <c r="K55" s="311"/>
      <c r="L55" s="315"/>
      <c r="M55" s="311"/>
      <c r="N55" s="332"/>
      <c r="O55" s="332"/>
      <c r="P55" s="311"/>
      <c r="Q55" s="311"/>
      <c r="R55" s="314"/>
      <c r="T55" s="30"/>
      <c r="U55" s="30"/>
    </row>
    <row r="56" spans="1:21" ht="14.25" customHeight="1" thickBot="1" thickTop="1">
      <c r="A56" s="247"/>
      <c r="B56" s="318"/>
      <c r="C56" s="315"/>
      <c r="D56" s="315"/>
      <c r="E56" s="315"/>
      <c r="F56" s="315"/>
      <c r="G56" s="315"/>
      <c r="H56" s="315"/>
      <c r="I56" s="248"/>
      <c r="J56" s="311"/>
      <c r="K56" s="311"/>
      <c r="L56" s="311"/>
      <c r="M56" s="319" t="s">
        <v>176</v>
      </c>
      <c r="N56" s="1207">
        <f>I54*3</f>
        <v>0</v>
      </c>
      <c r="O56" s="1208"/>
      <c r="P56" s="311" t="s">
        <v>74</v>
      </c>
      <c r="Q56" s="311"/>
      <c r="R56" s="314"/>
      <c r="T56" s="30"/>
      <c r="U56" s="30"/>
    </row>
    <row r="57" spans="1:21" ht="5.25" customHeight="1" thickBot="1" thickTop="1">
      <c r="A57" s="247"/>
      <c r="B57" s="318"/>
      <c r="C57" s="315"/>
      <c r="D57" s="315"/>
      <c r="E57" s="315"/>
      <c r="F57" s="315"/>
      <c r="G57" s="315"/>
      <c r="H57" s="315"/>
      <c r="I57" s="248"/>
      <c r="J57" s="311"/>
      <c r="K57" s="311"/>
      <c r="L57" s="311"/>
      <c r="M57" s="319"/>
      <c r="N57" s="333"/>
      <c r="O57" s="333"/>
      <c r="P57" s="311"/>
      <c r="Q57" s="311"/>
      <c r="R57" s="314"/>
      <c r="T57" s="30"/>
      <c r="U57" s="30"/>
    </row>
    <row r="58" spans="1:21" ht="15" customHeight="1" thickBot="1" thickTop="1">
      <c r="A58" s="247"/>
      <c r="B58" s="318"/>
      <c r="C58" s="318"/>
      <c r="D58" s="318"/>
      <c r="E58" s="318"/>
      <c r="F58" s="318"/>
      <c r="G58" s="318"/>
      <c r="H58" s="318"/>
      <c r="I58" s="311"/>
      <c r="J58" s="311"/>
      <c r="K58" s="311"/>
      <c r="L58" s="311"/>
      <c r="M58" s="319" t="s">
        <v>532</v>
      </c>
      <c r="N58" s="1207">
        <f>IF(R5=1,Q6*2,0)</f>
        <v>0</v>
      </c>
      <c r="O58" s="1208"/>
      <c r="P58" s="311" t="s">
        <v>138</v>
      </c>
      <c r="Q58" s="311"/>
      <c r="R58" s="314"/>
      <c r="T58" s="30"/>
      <c r="U58" s="30"/>
    </row>
    <row r="59" spans="1:21" ht="15" customHeight="1" thickBot="1" thickTop="1">
      <c r="A59" s="247"/>
      <c r="B59" s="318"/>
      <c r="C59" s="318"/>
      <c r="D59" s="318"/>
      <c r="E59" s="318"/>
      <c r="F59" s="318"/>
      <c r="G59" s="318"/>
      <c r="H59" s="318"/>
      <c r="I59" s="311"/>
      <c r="J59" s="311"/>
      <c r="K59" s="311"/>
      <c r="L59" s="311"/>
      <c r="M59" s="311"/>
      <c r="N59" s="311"/>
      <c r="O59" s="311"/>
      <c r="P59" s="311"/>
      <c r="Q59" s="311"/>
      <c r="R59" s="334"/>
      <c r="T59" s="30"/>
      <c r="U59" s="30"/>
    </row>
    <row r="60" spans="1:21" ht="15" customHeight="1" thickBot="1">
      <c r="A60" s="305" t="s">
        <v>136</v>
      </c>
      <c r="B60" s="335"/>
      <c r="C60" s="335"/>
      <c r="D60" s="335"/>
      <c r="E60" s="335"/>
      <c r="F60" s="335"/>
      <c r="G60" s="335"/>
      <c r="H60" s="335"/>
      <c r="I60" s="335"/>
      <c r="J60" s="335"/>
      <c r="K60" s="335"/>
      <c r="L60" s="335"/>
      <c r="M60" s="335"/>
      <c r="N60" s="335"/>
      <c r="O60" s="335"/>
      <c r="P60" s="307" t="s">
        <v>677</v>
      </c>
      <c r="Q60" s="1557">
        <f>IF(N56+N58&gt;10,10,N56+N58)</f>
        <v>0</v>
      </c>
      <c r="R60" s="1558"/>
      <c r="T60" s="30"/>
      <c r="U60" s="30"/>
    </row>
    <row r="61" spans="1:21" ht="15" customHeight="1">
      <c r="A61" s="308" t="s">
        <v>804</v>
      </c>
      <c r="B61" s="309"/>
      <c r="C61" s="889" t="s">
        <v>463</v>
      </c>
      <c r="D61" s="889"/>
      <c r="E61" s="889"/>
      <c r="F61" s="889"/>
      <c r="G61" s="889"/>
      <c r="H61" s="889"/>
      <c r="I61" s="889"/>
      <c r="J61" s="889"/>
      <c r="K61" s="889"/>
      <c r="L61" s="889"/>
      <c r="M61" s="889"/>
      <c r="N61" s="889"/>
      <c r="O61" s="889"/>
      <c r="P61" s="889"/>
      <c r="Q61" s="889"/>
      <c r="R61" s="887"/>
      <c r="T61" s="30"/>
      <c r="U61" s="30"/>
    </row>
    <row r="62" spans="1:21" ht="15" customHeight="1" thickBot="1">
      <c r="A62" s="1070" t="s">
        <v>209</v>
      </c>
      <c r="B62" s="1071"/>
      <c r="C62" s="1071"/>
      <c r="D62" s="1071"/>
      <c r="E62" s="1071"/>
      <c r="F62" s="1071"/>
      <c r="G62" s="1071"/>
      <c r="H62" s="1071"/>
      <c r="I62" s="1071"/>
      <c r="J62" s="1071"/>
      <c r="K62" s="1071"/>
      <c r="L62" s="1071"/>
      <c r="M62" s="1071"/>
      <c r="N62" s="1071"/>
      <c r="O62" s="1071"/>
      <c r="P62" s="1071"/>
      <c r="Q62" s="1071"/>
      <c r="R62" s="1072"/>
      <c r="T62" s="30"/>
      <c r="U62" s="30"/>
    </row>
    <row r="63" spans="1:21" ht="19.5" customHeight="1" thickTop="1">
      <c r="A63" s="336"/>
      <c r="B63" s="337"/>
      <c r="C63" s="337"/>
      <c r="D63" s="338"/>
      <c r="E63" s="337"/>
      <c r="F63" s="337"/>
      <c r="G63" s="337"/>
      <c r="H63" s="337"/>
      <c r="I63" s="337"/>
      <c r="J63" s="339"/>
      <c r="K63" s="339"/>
      <c r="L63" s="311"/>
      <c r="M63" s="311"/>
      <c r="N63" s="311"/>
      <c r="O63" s="311"/>
      <c r="P63" s="311"/>
      <c r="Q63" s="311"/>
      <c r="R63" s="312"/>
      <c r="T63" s="30"/>
      <c r="U63" s="30"/>
    </row>
    <row r="64" spans="1:21" ht="15" customHeight="1">
      <c r="A64" s="247"/>
      <c r="B64" s="340"/>
      <c r="C64" s="1121"/>
      <c r="D64" s="928" t="s">
        <v>456</v>
      </c>
      <c r="E64" s="929"/>
      <c r="F64" s="929"/>
      <c r="G64" s="929"/>
      <c r="H64" s="929"/>
      <c r="I64" s="929"/>
      <c r="J64" s="929"/>
      <c r="K64" s="929"/>
      <c r="L64" s="930"/>
      <c r="M64" s="311"/>
      <c r="N64" s="311"/>
      <c r="O64" s="311"/>
      <c r="P64" s="311"/>
      <c r="Q64" s="311"/>
      <c r="R64" s="314"/>
      <c r="T64" s="30"/>
      <c r="U64" s="30"/>
    </row>
    <row r="65" spans="1:21" ht="15" customHeight="1">
      <c r="A65" s="341"/>
      <c r="B65" s="329"/>
      <c r="C65" s="1122"/>
      <c r="D65" s="931"/>
      <c r="E65" s="932"/>
      <c r="F65" s="932"/>
      <c r="G65" s="932"/>
      <c r="H65" s="932"/>
      <c r="I65" s="932"/>
      <c r="J65" s="932"/>
      <c r="K65" s="932"/>
      <c r="L65" s="933"/>
      <c r="M65" s="311"/>
      <c r="N65" s="311"/>
      <c r="O65" s="311"/>
      <c r="P65" s="311"/>
      <c r="Q65" s="311"/>
      <c r="R65" s="314"/>
      <c r="T65" s="30"/>
      <c r="U65" s="30"/>
    </row>
    <row r="66" spans="1:21" ht="15" customHeight="1">
      <c r="A66" s="341"/>
      <c r="B66" s="329"/>
      <c r="C66" s="1202"/>
      <c r="D66" s="928" t="s">
        <v>459</v>
      </c>
      <c r="E66" s="929"/>
      <c r="F66" s="929"/>
      <c r="G66" s="929"/>
      <c r="H66" s="929"/>
      <c r="I66" s="929"/>
      <c r="J66" s="929"/>
      <c r="K66" s="929"/>
      <c r="L66" s="930"/>
      <c r="M66" s="311"/>
      <c r="N66" s="311"/>
      <c r="O66" s="311"/>
      <c r="P66" s="311"/>
      <c r="Q66" s="311"/>
      <c r="R66" s="314"/>
      <c r="T66" s="30"/>
      <c r="U66" s="30"/>
    </row>
    <row r="67" spans="1:21" ht="15" customHeight="1">
      <c r="A67" s="342"/>
      <c r="B67" s="343"/>
      <c r="C67" s="1203"/>
      <c r="D67" s="931"/>
      <c r="E67" s="932"/>
      <c r="F67" s="932"/>
      <c r="G67" s="932"/>
      <c r="H67" s="932"/>
      <c r="I67" s="932"/>
      <c r="J67" s="932"/>
      <c r="K67" s="932"/>
      <c r="L67" s="933"/>
      <c r="M67" s="311"/>
      <c r="N67" s="311"/>
      <c r="O67" s="311"/>
      <c r="P67" s="311"/>
      <c r="Q67" s="311"/>
      <c r="R67" s="314"/>
      <c r="T67" s="30"/>
      <c r="U67" s="30"/>
    </row>
    <row r="68" spans="1:21" ht="15" customHeight="1">
      <c r="A68" s="342"/>
      <c r="B68" s="343"/>
      <c r="C68" s="1311"/>
      <c r="D68" s="1571" t="s">
        <v>461</v>
      </c>
      <c r="E68" s="1572"/>
      <c r="F68" s="1572"/>
      <c r="G68" s="1572"/>
      <c r="H68" s="1572"/>
      <c r="I68" s="1572"/>
      <c r="J68" s="1572"/>
      <c r="K68" s="1572"/>
      <c r="L68" s="1573"/>
      <c r="M68" s="311"/>
      <c r="N68" s="311"/>
      <c r="O68" s="311"/>
      <c r="P68" s="311"/>
      <c r="Q68" s="311"/>
      <c r="R68" s="314"/>
      <c r="T68" s="30"/>
      <c r="U68" s="30"/>
    </row>
    <row r="69" spans="1:21" ht="14.25" customHeight="1">
      <c r="A69" s="342"/>
      <c r="B69" s="343"/>
      <c r="C69" s="1312"/>
      <c r="D69" s="1574"/>
      <c r="E69" s="1575"/>
      <c r="F69" s="1575"/>
      <c r="G69" s="1575"/>
      <c r="H69" s="1575"/>
      <c r="I69" s="1575"/>
      <c r="J69" s="1575"/>
      <c r="K69" s="1575"/>
      <c r="L69" s="1576"/>
      <c r="M69" s="311"/>
      <c r="N69" s="311"/>
      <c r="O69" s="311"/>
      <c r="P69" s="311"/>
      <c r="Q69" s="311"/>
      <c r="R69" s="344">
        <v>3</v>
      </c>
      <c r="T69" s="30"/>
      <c r="U69" s="30"/>
    </row>
    <row r="70" spans="1:21" ht="8.25" customHeight="1" thickBot="1">
      <c r="A70" s="342"/>
      <c r="B70" s="343"/>
      <c r="C70" s="343"/>
      <c r="D70" s="343"/>
      <c r="E70" s="343"/>
      <c r="F70" s="343"/>
      <c r="G70" s="343"/>
      <c r="H70" s="343"/>
      <c r="I70" s="343"/>
      <c r="J70" s="343"/>
      <c r="K70" s="343"/>
      <c r="L70" s="311"/>
      <c r="M70" s="311"/>
      <c r="N70" s="311"/>
      <c r="O70" s="311"/>
      <c r="P70" s="311"/>
      <c r="Q70" s="311"/>
      <c r="R70" s="334"/>
      <c r="T70" s="30"/>
      <c r="U70" s="30"/>
    </row>
    <row r="71" spans="1:21" ht="15" customHeight="1" thickBot="1">
      <c r="A71" s="345"/>
      <c r="B71" s="335"/>
      <c r="C71" s="335"/>
      <c r="D71" s="335"/>
      <c r="E71" s="335"/>
      <c r="F71" s="335"/>
      <c r="G71" s="335"/>
      <c r="H71" s="335"/>
      <c r="I71" s="335"/>
      <c r="J71" s="335"/>
      <c r="K71" s="335"/>
      <c r="L71" s="323"/>
      <c r="M71" s="323"/>
      <c r="N71" s="323"/>
      <c r="O71" s="323"/>
      <c r="P71" s="307" t="s">
        <v>564</v>
      </c>
      <c r="Q71" s="940">
        <f>IF(R69=1,5,IF(R69=2,2,0))</f>
        <v>0</v>
      </c>
      <c r="R71" s="941"/>
      <c r="T71" s="30"/>
      <c r="U71" s="30"/>
    </row>
    <row r="72" spans="1:21" ht="18.75" customHeight="1" thickBot="1">
      <c r="A72" s="1360" t="s">
        <v>521</v>
      </c>
      <c r="B72" s="1361"/>
      <c r="C72" s="1361"/>
      <c r="D72" s="1361"/>
      <c r="E72" s="1361"/>
      <c r="F72" s="1361"/>
      <c r="G72" s="1361"/>
      <c r="H72" s="1361"/>
      <c r="I72" s="1361"/>
      <c r="J72" s="1361"/>
      <c r="K72" s="1361"/>
      <c r="L72" s="1361"/>
      <c r="M72" s="1361"/>
      <c r="N72" s="1361"/>
      <c r="O72" s="1361"/>
      <c r="P72" s="1361"/>
      <c r="Q72" s="1361"/>
      <c r="R72" s="1362"/>
      <c r="T72" s="30"/>
      <c r="U72" s="30"/>
    </row>
    <row r="73" spans="1:21" ht="17.25" customHeight="1">
      <c r="A73" s="346" t="s">
        <v>798</v>
      </c>
      <c r="B73" s="347"/>
      <c r="C73" s="1152" t="s">
        <v>653</v>
      </c>
      <c r="D73" s="1152"/>
      <c r="E73" s="1152"/>
      <c r="F73" s="1152"/>
      <c r="G73" s="1152"/>
      <c r="H73" s="1152"/>
      <c r="I73" s="1152"/>
      <c r="J73" s="1152"/>
      <c r="K73" s="1153"/>
      <c r="L73" s="1589" t="s">
        <v>796</v>
      </c>
      <c r="M73" s="1171"/>
      <c r="N73" s="1171"/>
      <c r="O73" s="1171"/>
      <c r="P73" s="1171"/>
      <c r="Q73" s="1171"/>
      <c r="R73" s="1172"/>
      <c r="T73" s="30"/>
      <c r="U73" s="30"/>
    </row>
    <row r="74" spans="1:21" ht="18" customHeight="1" thickBot="1">
      <c r="A74" s="348" t="s">
        <v>157</v>
      </c>
      <c r="B74" s="349"/>
      <c r="C74" s="349"/>
      <c r="D74" s="349"/>
      <c r="E74" s="350"/>
      <c r="F74" s="350"/>
      <c r="G74" s="350"/>
      <c r="H74" s="350"/>
      <c r="I74" s="350"/>
      <c r="J74" s="350"/>
      <c r="K74" s="351"/>
      <c r="L74" s="1590"/>
      <c r="M74" s="1591"/>
      <c r="N74" s="1591"/>
      <c r="O74" s="1591"/>
      <c r="P74" s="1591"/>
      <c r="Q74" s="1591"/>
      <c r="R74" s="1592"/>
      <c r="S74" s="24"/>
      <c r="T74" s="30"/>
      <c r="U74" s="30"/>
    </row>
    <row r="75" spans="1:21" ht="19.5" customHeight="1" thickTop="1">
      <c r="A75" s="247"/>
      <c r="B75" s="248"/>
      <c r="C75" s="248"/>
      <c r="D75" s="352"/>
      <c r="E75" s="248"/>
      <c r="F75" s="248"/>
      <c r="G75" s="248"/>
      <c r="H75" s="248"/>
      <c r="I75" s="248"/>
      <c r="J75" s="248"/>
      <c r="K75" s="353"/>
      <c r="L75" s="1093"/>
      <c r="M75" s="1094"/>
      <c r="N75" s="1094"/>
      <c r="O75" s="1094"/>
      <c r="P75" s="1094"/>
      <c r="Q75" s="1094"/>
      <c r="R75" s="1095"/>
      <c r="T75" s="30"/>
      <c r="U75" s="30"/>
    </row>
    <row r="76" spans="1:21" ht="19.5" customHeight="1">
      <c r="A76" s="247"/>
      <c r="B76" s="248"/>
      <c r="C76" s="296"/>
      <c r="D76" s="1559" t="s">
        <v>160</v>
      </c>
      <c r="E76" s="1560"/>
      <c r="F76" s="1560"/>
      <c r="G76" s="1560"/>
      <c r="H76" s="1561"/>
      <c r="I76" s="248"/>
      <c r="J76" s="248"/>
      <c r="K76" s="320">
        <f>IF($K$80=1,12,"")</f>
      </c>
      <c r="L76" s="1096"/>
      <c r="M76" s="1097"/>
      <c r="N76" s="1097"/>
      <c r="O76" s="1097"/>
      <c r="P76" s="1097"/>
      <c r="Q76" s="1097"/>
      <c r="R76" s="1098"/>
      <c r="T76" s="30"/>
      <c r="U76" s="30"/>
    </row>
    <row r="77" spans="1:21" ht="18" customHeight="1">
      <c r="A77" s="247"/>
      <c r="B77" s="248"/>
      <c r="C77" s="296"/>
      <c r="D77" s="1559" t="s">
        <v>161</v>
      </c>
      <c r="E77" s="1560"/>
      <c r="F77" s="1560"/>
      <c r="G77" s="1560"/>
      <c r="H77" s="1561"/>
      <c r="I77" s="248"/>
      <c r="J77" s="248"/>
      <c r="K77" s="320">
        <f>IF($K$80=2,9,"")</f>
        <v>9</v>
      </c>
      <c r="L77" s="1096"/>
      <c r="M77" s="1097"/>
      <c r="N77" s="1097"/>
      <c r="O77" s="1097"/>
      <c r="P77" s="1097"/>
      <c r="Q77" s="1097"/>
      <c r="R77" s="1098"/>
      <c r="T77" s="30"/>
      <c r="U77" s="30"/>
    </row>
    <row r="78" spans="1:21" ht="18" customHeight="1">
      <c r="A78" s="247"/>
      <c r="B78" s="248"/>
      <c r="C78" s="296"/>
      <c r="D78" s="1559" t="s">
        <v>824</v>
      </c>
      <c r="E78" s="1560"/>
      <c r="F78" s="1560"/>
      <c r="G78" s="1560"/>
      <c r="H78" s="1561"/>
      <c r="I78" s="248"/>
      <c r="J78" s="248"/>
      <c r="K78" s="320">
        <f>IF($K$80=3,6,"")</f>
      </c>
      <c r="L78" s="1096"/>
      <c r="M78" s="1097"/>
      <c r="N78" s="1097"/>
      <c r="O78" s="1097"/>
      <c r="P78" s="1097"/>
      <c r="Q78" s="1097"/>
      <c r="R78" s="1098"/>
      <c r="T78" s="30"/>
      <c r="U78" s="30"/>
    </row>
    <row r="79" spans="1:21" ht="18" customHeight="1">
      <c r="A79" s="247"/>
      <c r="B79" s="248"/>
      <c r="C79" s="296"/>
      <c r="D79" s="1559" t="s">
        <v>162</v>
      </c>
      <c r="E79" s="1560"/>
      <c r="F79" s="1560"/>
      <c r="G79" s="1560"/>
      <c r="H79" s="1561"/>
      <c r="I79" s="248"/>
      <c r="J79" s="248"/>
      <c r="K79" s="320">
        <f>IF($K$80=4,3,"")</f>
      </c>
      <c r="L79" s="1096"/>
      <c r="M79" s="1097"/>
      <c r="N79" s="1097"/>
      <c r="O79" s="1097"/>
      <c r="P79" s="1097"/>
      <c r="Q79" s="1097"/>
      <c r="R79" s="1098"/>
      <c r="T79" s="30"/>
      <c r="U79" s="30"/>
    </row>
    <row r="80" spans="1:21" ht="13.5" customHeight="1" thickBot="1">
      <c r="A80" s="247"/>
      <c r="B80" s="248"/>
      <c r="C80" s="248"/>
      <c r="D80" s="354"/>
      <c r="E80" s="354"/>
      <c r="F80" s="354"/>
      <c r="G80" s="354"/>
      <c r="H80" s="354"/>
      <c r="I80" s="248"/>
      <c r="J80" s="248"/>
      <c r="K80" s="320">
        <v>2</v>
      </c>
      <c r="L80" s="1096"/>
      <c r="M80" s="1097"/>
      <c r="N80" s="1097"/>
      <c r="O80" s="1097"/>
      <c r="P80" s="1097"/>
      <c r="Q80" s="1097"/>
      <c r="R80" s="1098"/>
      <c r="T80" s="30"/>
      <c r="U80" s="30"/>
    </row>
    <row r="81" spans="1:21" ht="15.75" thickBot="1">
      <c r="A81" s="355"/>
      <c r="B81" s="356"/>
      <c r="C81" s="356"/>
      <c r="D81" s="356"/>
      <c r="E81" s="356"/>
      <c r="F81" s="356"/>
      <c r="G81" s="356"/>
      <c r="H81" s="356"/>
      <c r="I81" s="307" t="s">
        <v>678</v>
      </c>
      <c r="J81" s="1033">
        <f>IF(G8="",0,MAX(K76:K79))</f>
        <v>0</v>
      </c>
      <c r="K81" s="1034"/>
      <c r="L81" s="1099"/>
      <c r="M81" s="1100"/>
      <c r="N81" s="1100"/>
      <c r="O81" s="1100"/>
      <c r="P81" s="1100"/>
      <c r="Q81" s="1100"/>
      <c r="R81" s="1101"/>
      <c r="T81" s="30"/>
      <c r="U81" s="30"/>
    </row>
    <row r="82" spans="1:21" ht="15.75">
      <c r="A82" s="308" t="s">
        <v>799</v>
      </c>
      <c r="B82" s="357"/>
      <c r="C82" s="889" t="s">
        <v>406</v>
      </c>
      <c r="D82" s="889"/>
      <c r="E82" s="889"/>
      <c r="F82" s="889"/>
      <c r="G82" s="889"/>
      <c r="H82" s="889"/>
      <c r="I82" s="889"/>
      <c r="J82" s="889"/>
      <c r="K82" s="889"/>
      <c r="L82" s="889"/>
      <c r="M82" s="889"/>
      <c r="N82" s="889"/>
      <c r="O82" s="889"/>
      <c r="P82" s="889"/>
      <c r="Q82" s="889"/>
      <c r="R82" s="887"/>
      <c r="T82" s="30"/>
      <c r="U82" s="30"/>
    </row>
    <row r="83" spans="1:21" ht="13.5" thickBot="1">
      <c r="A83" s="1070" t="s">
        <v>208</v>
      </c>
      <c r="B83" s="1071"/>
      <c r="C83" s="1071"/>
      <c r="D83" s="1071"/>
      <c r="E83" s="1071"/>
      <c r="F83" s="1071"/>
      <c r="G83" s="1071"/>
      <c r="H83" s="1071"/>
      <c r="I83" s="1071"/>
      <c r="J83" s="1071"/>
      <c r="K83" s="1071"/>
      <c r="L83" s="1071"/>
      <c r="M83" s="1071"/>
      <c r="N83" s="1071"/>
      <c r="O83" s="1071"/>
      <c r="P83" s="1071"/>
      <c r="Q83" s="1071"/>
      <c r="R83" s="1072"/>
      <c r="T83" s="30"/>
      <c r="U83" s="30"/>
    </row>
    <row r="84" spans="1:21" ht="17.25" customHeight="1" thickTop="1">
      <c r="A84" s="247"/>
      <c r="B84" s="248"/>
      <c r="C84" s="248"/>
      <c r="D84" s="248"/>
      <c r="E84" s="248"/>
      <c r="F84" s="248"/>
      <c r="G84" s="248"/>
      <c r="H84" s="248"/>
      <c r="I84" s="248"/>
      <c r="J84" s="248"/>
      <c r="K84" s="248"/>
      <c r="L84" s="358"/>
      <c r="M84" s="358"/>
      <c r="N84" s="248"/>
      <c r="O84" s="248"/>
      <c r="P84" s="248"/>
      <c r="Q84" s="248"/>
      <c r="R84" s="320"/>
      <c r="T84" s="30"/>
      <c r="U84" s="30"/>
    </row>
    <row r="85" spans="1:20" ht="12.75">
      <c r="A85" s="160"/>
      <c r="B85" s="169"/>
      <c r="C85" s="169"/>
      <c r="D85" s="169"/>
      <c r="E85" s="169"/>
      <c r="F85" s="169"/>
      <c r="G85" s="198"/>
      <c r="H85" s="236"/>
      <c r="I85" s="169"/>
      <c r="J85" s="248"/>
      <c r="K85" s="248"/>
      <c r="L85" s="248"/>
      <c r="M85" s="248"/>
      <c r="N85" s="248"/>
      <c r="O85" s="248"/>
      <c r="P85" s="248"/>
      <c r="Q85" s="248"/>
      <c r="R85" s="210"/>
      <c r="T85" s="29"/>
    </row>
    <row r="86" spans="1:20" ht="15.75" customHeight="1">
      <c r="A86" s="160"/>
      <c r="B86" s="1577"/>
      <c r="C86" s="1562" t="s">
        <v>158</v>
      </c>
      <c r="D86" s="1563"/>
      <c r="E86" s="1563"/>
      <c r="F86" s="1563"/>
      <c r="G86" s="1563"/>
      <c r="H86" s="1563"/>
      <c r="I86" s="1564"/>
      <c r="J86" s="248"/>
      <c r="K86" s="359" t="s">
        <v>655</v>
      </c>
      <c r="L86" s="1531" t="s">
        <v>611</v>
      </c>
      <c r="M86" s="1532"/>
      <c r="N86" s="1532"/>
      <c r="O86" s="1532"/>
      <c r="P86" s="1533"/>
      <c r="Q86" s="248"/>
      <c r="R86" s="210">
        <f>IF($R$99=1,10,"")</f>
      </c>
      <c r="T86" s="29"/>
    </row>
    <row r="87" spans="1:20" ht="15.75" customHeight="1">
      <c r="A87" s="160"/>
      <c r="B87" s="1578"/>
      <c r="C87" s="1565"/>
      <c r="D87" s="1566"/>
      <c r="E87" s="1566"/>
      <c r="F87" s="1566"/>
      <c r="G87" s="1566"/>
      <c r="H87" s="1566"/>
      <c r="I87" s="1567"/>
      <c r="J87" s="248"/>
      <c r="K87" s="360" t="s">
        <v>656</v>
      </c>
      <c r="L87" s="1531" t="s">
        <v>611</v>
      </c>
      <c r="M87" s="1532"/>
      <c r="N87" s="1532"/>
      <c r="O87" s="1532"/>
      <c r="P87" s="1533"/>
      <c r="Q87" s="248"/>
      <c r="R87" s="210"/>
      <c r="T87" s="29"/>
    </row>
    <row r="88" spans="1:20" ht="15.75" customHeight="1">
      <c r="A88" s="160"/>
      <c r="B88" s="1579"/>
      <c r="C88" s="1568"/>
      <c r="D88" s="1569"/>
      <c r="E88" s="1569"/>
      <c r="F88" s="1569"/>
      <c r="G88" s="1569"/>
      <c r="H88" s="1569"/>
      <c r="I88" s="1570"/>
      <c r="J88" s="248"/>
      <c r="K88" s="361" t="s">
        <v>657</v>
      </c>
      <c r="L88" s="1531" t="s">
        <v>611</v>
      </c>
      <c r="M88" s="1532"/>
      <c r="N88" s="1532"/>
      <c r="O88" s="1532"/>
      <c r="P88" s="1533"/>
      <c r="Q88" s="248"/>
      <c r="R88" s="210"/>
      <c r="T88" s="29"/>
    </row>
    <row r="89" spans="1:20" ht="15.75" customHeight="1">
      <c r="A89" s="160"/>
      <c r="B89" s="1577"/>
      <c r="C89" s="1562" t="s">
        <v>159</v>
      </c>
      <c r="D89" s="1563"/>
      <c r="E89" s="1563"/>
      <c r="F89" s="1563"/>
      <c r="G89" s="1563"/>
      <c r="H89" s="1563"/>
      <c r="I89" s="1564"/>
      <c r="J89" s="248"/>
      <c r="K89" s="359" t="s">
        <v>655</v>
      </c>
      <c r="L89" s="1531" t="s">
        <v>611</v>
      </c>
      <c r="M89" s="1532"/>
      <c r="N89" s="1532"/>
      <c r="O89" s="1532"/>
      <c r="P89" s="1533"/>
      <c r="Q89" s="248"/>
      <c r="R89" s="210">
        <f>IF($R$99=2,7,"")</f>
      </c>
      <c r="T89" s="29"/>
    </row>
    <row r="90" spans="1:20" ht="15.75" customHeight="1">
      <c r="A90" s="160"/>
      <c r="B90" s="1578"/>
      <c r="C90" s="1565"/>
      <c r="D90" s="1566"/>
      <c r="E90" s="1566"/>
      <c r="F90" s="1566"/>
      <c r="G90" s="1566"/>
      <c r="H90" s="1566"/>
      <c r="I90" s="1567"/>
      <c r="J90" s="248"/>
      <c r="K90" s="360" t="s">
        <v>656</v>
      </c>
      <c r="L90" s="1531" t="s">
        <v>611</v>
      </c>
      <c r="M90" s="1532"/>
      <c r="N90" s="1532"/>
      <c r="O90" s="1532"/>
      <c r="P90" s="1533"/>
      <c r="Q90" s="248"/>
      <c r="R90" s="210"/>
      <c r="T90" s="29"/>
    </row>
    <row r="91" spans="1:20" ht="15.75" customHeight="1">
      <c r="A91" s="160"/>
      <c r="B91" s="1579"/>
      <c r="C91" s="1568"/>
      <c r="D91" s="1569"/>
      <c r="E91" s="1569"/>
      <c r="F91" s="1569"/>
      <c r="G91" s="1569"/>
      <c r="H91" s="1569"/>
      <c r="I91" s="1570"/>
      <c r="J91" s="248"/>
      <c r="K91" s="361" t="s">
        <v>657</v>
      </c>
      <c r="L91" s="1531" t="s">
        <v>611</v>
      </c>
      <c r="M91" s="1532"/>
      <c r="N91" s="1532"/>
      <c r="O91" s="1532"/>
      <c r="P91" s="1533"/>
      <c r="Q91" s="248"/>
      <c r="R91" s="210"/>
      <c r="T91" s="29"/>
    </row>
    <row r="92" spans="1:20" ht="15.75" customHeight="1">
      <c r="A92" s="160"/>
      <c r="B92" s="1577"/>
      <c r="C92" s="1562" t="s">
        <v>577</v>
      </c>
      <c r="D92" s="1563"/>
      <c r="E92" s="1563"/>
      <c r="F92" s="1563"/>
      <c r="G92" s="1563"/>
      <c r="H92" s="1563"/>
      <c r="I92" s="1564"/>
      <c r="J92" s="248"/>
      <c r="K92" s="359" t="s">
        <v>655</v>
      </c>
      <c r="L92" s="1531" t="s">
        <v>611</v>
      </c>
      <c r="M92" s="1532"/>
      <c r="N92" s="1532"/>
      <c r="O92" s="1532"/>
      <c r="P92" s="1533"/>
      <c r="Q92" s="248"/>
      <c r="R92" s="210">
        <f>IF($R$99=3,5,"")</f>
        <v>5</v>
      </c>
      <c r="T92" s="29"/>
    </row>
    <row r="93" spans="1:20" ht="15.75" customHeight="1">
      <c r="A93" s="160"/>
      <c r="B93" s="1578"/>
      <c r="C93" s="1565"/>
      <c r="D93" s="1566"/>
      <c r="E93" s="1566"/>
      <c r="F93" s="1566"/>
      <c r="G93" s="1566"/>
      <c r="H93" s="1566"/>
      <c r="I93" s="1567"/>
      <c r="J93" s="248"/>
      <c r="K93" s="360" t="s">
        <v>656</v>
      </c>
      <c r="L93" s="1531" t="s">
        <v>611</v>
      </c>
      <c r="M93" s="1532"/>
      <c r="N93" s="1532"/>
      <c r="O93" s="1532"/>
      <c r="P93" s="1533"/>
      <c r="Q93" s="248"/>
      <c r="R93" s="210"/>
      <c r="T93" s="29"/>
    </row>
    <row r="94" spans="1:20" ht="15.75" customHeight="1">
      <c r="A94" s="160"/>
      <c r="B94" s="1579"/>
      <c r="C94" s="1568"/>
      <c r="D94" s="1569"/>
      <c r="E94" s="1569"/>
      <c r="F94" s="1569"/>
      <c r="G94" s="1569"/>
      <c r="H94" s="1569"/>
      <c r="I94" s="1570"/>
      <c r="J94" s="248"/>
      <c r="K94" s="361" t="s">
        <v>657</v>
      </c>
      <c r="L94" s="1531" t="s">
        <v>611</v>
      </c>
      <c r="M94" s="1532"/>
      <c r="N94" s="1532"/>
      <c r="O94" s="1532"/>
      <c r="P94" s="1533"/>
      <c r="Q94" s="248"/>
      <c r="R94" s="210"/>
      <c r="T94" s="29"/>
    </row>
    <row r="95" spans="1:20" ht="18" customHeight="1">
      <c r="A95" s="160"/>
      <c r="B95" s="1577"/>
      <c r="C95" s="1562" t="s">
        <v>578</v>
      </c>
      <c r="D95" s="1563"/>
      <c r="E95" s="1563"/>
      <c r="F95" s="1563"/>
      <c r="G95" s="1563"/>
      <c r="H95" s="1563"/>
      <c r="I95" s="1564"/>
      <c r="J95" s="248"/>
      <c r="K95" s="359" t="s">
        <v>655</v>
      </c>
      <c r="L95" s="1531" t="s">
        <v>611</v>
      </c>
      <c r="M95" s="1532"/>
      <c r="N95" s="1532"/>
      <c r="O95" s="1532"/>
      <c r="P95" s="1533"/>
      <c r="Q95" s="248"/>
      <c r="R95" s="210">
        <f>IF($R$99=4,2,"")</f>
      </c>
      <c r="T95" s="29"/>
    </row>
    <row r="96" spans="1:20" ht="15.75" customHeight="1">
      <c r="A96" s="160"/>
      <c r="B96" s="1578"/>
      <c r="C96" s="1565"/>
      <c r="D96" s="1566"/>
      <c r="E96" s="1566"/>
      <c r="F96" s="1566"/>
      <c r="G96" s="1566"/>
      <c r="H96" s="1566"/>
      <c r="I96" s="1567"/>
      <c r="J96" s="248"/>
      <c r="K96" s="360" t="s">
        <v>656</v>
      </c>
      <c r="L96" s="1531" t="s">
        <v>611</v>
      </c>
      <c r="M96" s="1532"/>
      <c r="N96" s="1532"/>
      <c r="O96" s="1532"/>
      <c r="P96" s="1533"/>
      <c r="Q96" s="248"/>
      <c r="R96" s="210"/>
      <c r="T96" s="29"/>
    </row>
    <row r="97" spans="1:20" ht="15.75" customHeight="1">
      <c r="A97" s="160"/>
      <c r="B97" s="1579"/>
      <c r="C97" s="1568"/>
      <c r="D97" s="1569"/>
      <c r="E97" s="1569"/>
      <c r="F97" s="1569"/>
      <c r="G97" s="1569"/>
      <c r="H97" s="1569"/>
      <c r="I97" s="1570"/>
      <c r="J97" s="248"/>
      <c r="K97" s="361" t="s">
        <v>657</v>
      </c>
      <c r="L97" s="1531" t="s">
        <v>611</v>
      </c>
      <c r="M97" s="1532"/>
      <c r="N97" s="1532"/>
      <c r="O97" s="1532"/>
      <c r="P97" s="1533"/>
      <c r="Q97" s="248"/>
      <c r="R97" s="210"/>
      <c r="T97" s="29"/>
    </row>
    <row r="98" spans="1:20" ht="5.25" customHeight="1">
      <c r="A98" s="160"/>
      <c r="B98" s="169"/>
      <c r="C98" s="215"/>
      <c r="D98" s="215"/>
      <c r="E98" s="215"/>
      <c r="F98" s="215"/>
      <c r="G98" s="215"/>
      <c r="H98" s="215"/>
      <c r="I98" s="215"/>
      <c r="J98" s="248"/>
      <c r="K98" s="248"/>
      <c r="L98" s="248"/>
      <c r="M98" s="248"/>
      <c r="N98" s="248"/>
      <c r="O98" s="248"/>
      <c r="P98" s="248"/>
      <c r="Q98" s="248"/>
      <c r="R98" s="210"/>
      <c r="T98" s="29"/>
    </row>
    <row r="99" spans="1:21" ht="6" customHeight="1" thickBot="1">
      <c r="A99" s="247"/>
      <c r="B99" s="248"/>
      <c r="C99" s="248"/>
      <c r="D99" s="248"/>
      <c r="E99" s="248"/>
      <c r="F99" s="362"/>
      <c r="G99" s="363"/>
      <c r="H99" s="363"/>
      <c r="I99" s="248"/>
      <c r="J99" s="248"/>
      <c r="K99" s="248"/>
      <c r="L99" s="248"/>
      <c r="M99" s="248"/>
      <c r="N99" s="248"/>
      <c r="O99" s="248"/>
      <c r="P99" s="248"/>
      <c r="Q99" s="248"/>
      <c r="R99" s="210">
        <v>3</v>
      </c>
      <c r="T99" s="30"/>
      <c r="U99" s="30"/>
    </row>
    <row r="100" spans="1:21" ht="15" customHeight="1" thickBot="1">
      <c r="A100" s="355"/>
      <c r="B100" s="356"/>
      <c r="C100" s="356"/>
      <c r="D100" s="356"/>
      <c r="E100" s="356"/>
      <c r="F100" s="356"/>
      <c r="G100" s="356"/>
      <c r="H100" s="356"/>
      <c r="I100" s="364"/>
      <c r="J100" s="356"/>
      <c r="K100" s="356"/>
      <c r="L100" s="365"/>
      <c r="M100" s="365"/>
      <c r="N100" s="356"/>
      <c r="O100" s="356"/>
      <c r="P100" s="307" t="s">
        <v>679</v>
      </c>
      <c r="Q100" s="1033">
        <f>IF(G8="",0,MAX(R86:R95))</f>
        <v>0</v>
      </c>
      <c r="R100" s="1034"/>
      <c r="T100" s="30"/>
      <c r="U100" s="30"/>
    </row>
    <row r="101" spans="1:21" ht="16.5" customHeight="1">
      <c r="A101" s="308" t="s">
        <v>803</v>
      </c>
      <c r="B101" s="357"/>
      <c r="C101" s="1583" t="s">
        <v>163</v>
      </c>
      <c r="D101" s="1583"/>
      <c r="E101" s="1583"/>
      <c r="F101" s="1583"/>
      <c r="G101" s="1583"/>
      <c r="H101" s="1583"/>
      <c r="I101" s="1583"/>
      <c r="J101" s="1583"/>
      <c r="K101" s="1583"/>
      <c r="L101" s="1583"/>
      <c r="M101" s="1583"/>
      <c r="N101" s="1583"/>
      <c r="O101" s="1583"/>
      <c r="P101" s="1583"/>
      <c r="Q101" s="1583"/>
      <c r="R101" s="1584"/>
      <c r="T101" s="30"/>
      <c r="U101" s="30"/>
    </row>
    <row r="102" spans="1:21" ht="13.5" thickBot="1">
      <c r="A102" s="1585" t="s">
        <v>175</v>
      </c>
      <c r="B102" s="1586"/>
      <c r="C102" s="1586"/>
      <c r="D102" s="1586"/>
      <c r="E102" s="1586"/>
      <c r="F102" s="1586"/>
      <c r="G102" s="1586"/>
      <c r="H102" s="1586"/>
      <c r="I102" s="1586"/>
      <c r="J102" s="1586"/>
      <c r="K102" s="1586"/>
      <c r="L102" s="1586"/>
      <c r="M102" s="1586"/>
      <c r="N102" s="1586"/>
      <c r="O102" s="1586"/>
      <c r="P102" s="1586"/>
      <c r="Q102" s="1587"/>
      <c r="R102" s="1588"/>
      <c r="T102" s="30"/>
      <c r="U102" s="30"/>
    </row>
    <row r="103" spans="1:21" ht="17.25" thickTop="1">
      <c r="A103" s="247"/>
      <c r="B103" s="248"/>
      <c r="C103" s="248"/>
      <c r="D103" s="248"/>
      <c r="E103" s="248"/>
      <c r="F103" s="248"/>
      <c r="G103" s="248"/>
      <c r="H103" s="248"/>
      <c r="I103" s="248"/>
      <c r="J103" s="366"/>
      <c r="K103" s="367"/>
      <c r="L103" s="248"/>
      <c r="M103" s="368"/>
      <c r="N103" s="369"/>
      <c r="O103" s="370"/>
      <c r="P103" s="370"/>
      <c r="Q103" s="371"/>
      <c r="R103" s="372"/>
      <c r="T103" s="30"/>
      <c r="U103" s="30"/>
    </row>
    <row r="104" spans="1:21" ht="17.25" customHeight="1">
      <c r="A104" s="247"/>
      <c r="B104" s="373"/>
      <c r="C104" s="1580" t="s">
        <v>164</v>
      </c>
      <c r="D104" s="1580"/>
      <c r="E104" s="1580"/>
      <c r="F104" s="1580"/>
      <c r="G104" s="1580"/>
      <c r="H104" s="1580"/>
      <c r="I104" s="1580"/>
      <c r="J104" s="375"/>
      <c r="K104" s="375"/>
      <c r="L104" s="375" t="s">
        <v>167</v>
      </c>
      <c r="M104" s="376"/>
      <c r="N104" s="377"/>
      <c r="O104" s="377"/>
      <c r="P104" s="377"/>
      <c r="Q104" s="378" t="b">
        <v>0</v>
      </c>
      <c r="R104" s="379" t="b">
        <v>0</v>
      </c>
      <c r="T104" s="30"/>
      <c r="U104" s="30"/>
    </row>
    <row r="105" spans="1:21" ht="17.25" customHeight="1">
      <c r="A105" s="247"/>
      <c r="B105" s="248"/>
      <c r="C105" s="375" t="s">
        <v>165</v>
      </c>
      <c r="D105" s="375"/>
      <c r="E105" s="375"/>
      <c r="F105" s="375"/>
      <c r="G105" s="375"/>
      <c r="H105" s="375"/>
      <c r="I105" s="375"/>
      <c r="J105" s="375"/>
      <c r="K105" s="375"/>
      <c r="L105" s="375" t="s">
        <v>168</v>
      </c>
      <c r="M105" s="376"/>
      <c r="N105" s="377"/>
      <c r="O105" s="377"/>
      <c r="P105" s="377"/>
      <c r="Q105" s="378" t="b">
        <v>0</v>
      </c>
      <c r="R105" s="379" t="b">
        <v>0</v>
      </c>
      <c r="T105" s="30"/>
      <c r="U105" s="30"/>
    </row>
    <row r="106" spans="1:21" ht="17.25" customHeight="1">
      <c r="A106" s="247"/>
      <c r="B106" s="248"/>
      <c r="C106" s="375" t="s">
        <v>181</v>
      </c>
      <c r="D106" s="375"/>
      <c r="E106" s="375"/>
      <c r="F106" s="375"/>
      <c r="G106" s="375"/>
      <c r="H106" s="375"/>
      <c r="I106" s="375"/>
      <c r="J106" s="375"/>
      <c r="K106" s="375"/>
      <c r="L106" s="375" t="s">
        <v>169</v>
      </c>
      <c r="M106" s="376"/>
      <c r="N106" s="377"/>
      <c r="O106" s="377"/>
      <c r="P106" s="377"/>
      <c r="Q106" s="378" t="b">
        <v>0</v>
      </c>
      <c r="R106" s="379" t="b">
        <v>0</v>
      </c>
      <c r="T106" s="30"/>
      <c r="U106" s="30"/>
    </row>
    <row r="107" spans="1:21" ht="17.25" customHeight="1">
      <c r="A107" s="247"/>
      <c r="B107" s="248"/>
      <c r="C107" s="375" t="s">
        <v>166</v>
      </c>
      <c r="D107" s="375"/>
      <c r="E107" s="375"/>
      <c r="F107" s="375"/>
      <c r="G107" s="375"/>
      <c r="H107" s="375"/>
      <c r="I107" s="375"/>
      <c r="J107" s="375"/>
      <c r="K107" s="375"/>
      <c r="L107" s="375" t="s">
        <v>170</v>
      </c>
      <c r="M107" s="376"/>
      <c r="N107" s="377"/>
      <c r="O107" s="377"/>
      <c r="P107" s="377"/>
      <c r="Q107" s="378" t="b">
        <v>0</v>
      </c>
      <c r="R107" s="379" t="b">
        <v>0</v>
      </c>
      <c r="T107" s="30"/>
      <c r="U107" s="30"/>
    </row>
    <row r="108" spans="1:21" ht="17.25" customHeight="1">
      <c r="A108" s="247"/>
      <c r="B108" s="248"/>
      <c r="C108" s="375" t="s">
        <v>171</v>
      </c>
      <c r="D108" s="375"/>
      <c r="E108" s="375"/>
      <c r="F108" s="375"/>
      <c r="G108" s="375"/>
      <c r="H108" s="375"/>
      <c r="I108" s="375"/>
      <c r="J108" s="375"/>
      <c r="K108" s="375"/>
      <c r="L108" s="375" t="s">
        <v>172</v>
      </c>
      <c r="M108" s="376"/>
      <c r="N108" s="377"/>
      <c r="O108" s="377"/>
      <c r="P108" s="377"/>
      <c r="Q108" s="378" t="b">
        <v>0</v>
      </c>
      <c r="R108" s="379" t="b">
        <v>0</v>
      </c>
      <c r="T108" s="30"/>
      <c r="U108" s="30"/>
    </row>
    <row r="109" spans="1:21" ht="17.25" customHeight="1">
      <c r="A109" s="247"/>
      <c r="B109" s="248"/>
      <c r="C109" s="375" t="s">
        <v>173</v>
      </c>
      <c r="D109" s="375"/>
      <c r="E109" s="375"/>
      <c r="F109" s="375"/>
      <c r="G109" s="375"/>
      <c r="H109" s="375"/>
      <c r="I109" s="375"/>
      <c r="J109" s="375"/>
      <c r="K109" s="375"/>
      <c r="L109" s="375" t="s">
        <v>174</v>
      </c>
      <c r="M109" s="376"/>
      <c r="N109" s="377"/>
      <c r="O109" s="377"/>
      <c r="P109" s="377"/>
      <c r="Q109" s="378" t="b">
        <v>0</v>
      </c>
      <c r="R109" s="379" t="b">
        <v>0</v>
      </c>
      <c r="T109" s="30"/>
      <c r="U109" s="30"/>
    </row>
    <row r="110" spans="1:21" ht="15" thickBot="1">
      <c r="A110" s="247"/>
      <c r="B110" s="248"/>
      <c r="C110" s="248"/>
      <c r="D110" s="248"/>
      <c r="E110" s="248"/>
      <c r="F110" s="248"/>
      <c r="G110" s="248"/>
      <c r="H110" s="248"/>
      <c r="I110" s="248"/>
      <c r="J110" s="248"/>
      <c r="K110" s="248"/>
      <c r="L110" s="248"/>
      <c r="M110" s="368"/>
      <c r="N110" s="370"/>
      <c r="O110" s="370"/>
      <c r="P110" s="370"/>
      <c r="Q110" s="1581">
        <f>COUNTIF(Q104:R109,TRUE)</f>
        <v>0</v>
      </c>
      <c r="R110" s="1582"/>
      <c r="T110" s="30"/>
      <c r="U110" s="30"/>
    </row>
    <row r="111" spans="1:21" ht="15.75" thickBot="1">
      <c r="A111" s="355"/>
      <c r="B111" s="356"/>
      <c r="C111" s="356"/>
      <c r="D111" s="356"/>
      <c r="E111" s="356"/>
      <c r="F111" s="356"/>
      <c r="G111" s="356"/>
      <c r="H111" s="356"/>
      <c r="I111" s="356"/>
      <c r="J111" s="356"/>
      <c r="K111" s="356"/>
      <c r="L111" s="356"/>
      <c r="M111" s="380"/>
      <c r="N111" s="381"/>
      <c r="O111" s="381"/>
      <c r="P111" s="382" t="s">
        <v>684</v>
      </c>
      <c r="Q111" s="1033">
        <f>Q110*4</f>
        <v>0</v>
      </c>
      <c r="R111" s="1034"/>
      <c r="T111" s="30"/>
      <c r="U111" s="30"/>
    </row>
    <row r="112" spans="1:21" ht="18" customHeight="1">
      <c r="A112" s="326" t="s">
        <v>804</v>
      </c>
      <c r="B112" s="357"/>
      <c r="C112" s="1423" t="s">
        <v>579</v>
      </c>
      <c r="D112" s="1423"/>
      <c r="E112" s="1423"/>
      <c r="F112" s="1423"/>
      <c r="G112" s="1423"/>
      <c r="H112" s="1423"/>
      <c r="I112" s="1423"/>
      <c r="J112" s="1423"/>
      <c r="K112" s="1423"/>
      <c r="L112" s="1423"/>
      <c r="M112" s="1423"/>
      <c r="N112" s="1423"/>
      <c r="O112" s="1423"/>
      <c r="P112" s="1423"/>
      <c r="Q112" s="1423"/>
      <c r="R112" s="1424"/>
      <c r="T112" s="30"/>
      <c r="U112" s="30"/>
    </row>
    <row r="113" spans="1:21" ht="11.25" customHeight="1" thickBot="1">
      <c r="A113" s="1070" t="s">
        <v>580</v>
      </c>
      <c r="B113" s="1071"/>
      <c r="C113" s="1071"/>
      <c r="D113" s="1071"/>
      <c r="E113" s="1071"/>
      <c r="F113" s="1071"/>
      <c r="G113" s="1071"/>
      <c r="H113" s="1071"/>
      <c r="I113" s="1071"/>
      <c r="J113" s="1071"/>
      <c r="K113" s="1071"/>
      <c r="L113" s="1071"/>
      <c r="M113" s="1071"/>
      <c r="N113" s="1071"/>
      <c r="O113" s="1071"/>
      <c r="P113" s="1071"/>
      <c r="Q113" s="1071"/>
      <c r="R113" s="1072"/>
      <c r="T113" s="30"/>
      <c r="U113" s="30"/>
    </row>
    <row r="114" spans="1:21" ht="16.5" customHeight="1" thickTop="1">
      <c r="A114" s="160"/>
      <c r="B114" s="169"/>
      <c r="C114" s="169"/>
      <c r="D114" s="169"/>
      <c r="E114" s="169"/>
      <c r="F114" s="198"/>
      <c r="G114" s="236"/>
      <c r="H114" s="169"/>
      <c r="I114" s="169"/>
      <c r="J114" s="169"/>
      <c r="K114" s="383"/>
      <c r="L114" s="1675" t="s">
        <v>581</v>
      </c>
      <c r="M114" s="1676"/>
      <c r="N114" s="1676"/>
      <c r="O114" s="1676"/>
      <c r="P114" s="1676"/>
      <c r="Q114" s="1676"/>
      <c r="R114" s="1677"/>
      <c r="T114" s="30"/>
      <c r="U114" s="30"/>
    </row>
    <row r="115" spans="1:21" ht="12.75">
      <c r="A115" s="160"/>
      <c r="B115" s="169"/>
      <c r="C115" s="1511" t="s">
        <v>763</v>
      </c>
      <c r="D115" s="1511"/>
      <c r="E115" s="1511"/>
      <c r="F115" s="1511"/>
      <c r="G115" s="1511"/>
      <c r="H115" s="1511"/>
      <c r="I115" s="169"/>
      <c r="J115" s="169"/>
      <c r="K115" s="210"/>
      <c r="L115" s="1678"/>
      <c r="M115" s="1679"/>
      <c r="N115" s="1679"/>
      <c r="O115" s="1679"/>
      <c r="P115" s="1679"/>
      <c r="Q115" s="1679"/>
      <c r="R115" s="1680"/>
      <c r="T115" s="30"/>
      <c r="U115" s="30"/>
    </row>
    <row r="116" spans="1:21" ht="14.25">
      <c r="A116" s="160"/>
      <c r="B116" s="169"/>
      <c r="C116" s="1132"/>
      <c r="D116" s="1133"/>
      <c r="E116" s="1133"/>
      <c r="F116" s="1133"/>
      <c r="G116" s="1133"/>
      <c r="H116" s="1134"/>
      <c r="I116" s="169"/>
      <c r="J116" s="169"/>
      <c r="K116" s="210"/>
      <c r="L116" s="1179"/>
      <c r="M116" s="1180"/>
      <c r="N116" s="1180"/>
      <c r="O116" s="1180"/>
      <c r="P116" s="1180"/>
      <c r="Q116" s="1180"/>
      <c r="R116" s="1181"/>
      <c r="T116" s="30"/>
      <c r="U116" s="30"/>
    </row>
    <row r="117" spans="1:21" ht="20.25" customHeight="1">
      <c r="A117" s="160"/>
      <c r="B117" s="169"/>
      <c r="C117" s="923" t="s">
        <v>831</v>
      </c>
      <c r="D117" s="923"/>
      <c r="E117" s="923"/>
      <c r="F117" s="923"/>
      <c r="G117" s="923"/>
      <c r="H117" s="923"/>
      <c r="I117" s="923"/>
      <c r="J117" s="169"/>
      <c r="K117" s="210"/>
      <c r="L117" s="1179"/>
      <c r="M117" s="1180"/>
      <c r="N117" s="1180"/>
      <c r="O117" s="1180"/>
      <c r="P117" s="1180"/>
      <c r="Q117" s="1180"/>
      <c r="R117" s="1181"/>
      <c r="T117" s="30"/>
      <c r="U117" s="30"/>
    </row>
    <row r="118" spans="1:21" ht="15.75" customHeight="1">
      <c r="A118" s="160"/>
      <c r="B118" s="169"/>
      <c r="C118" s="1672"/>
      <c r="D118" s="1673"/>
      <c r="E118" s="1673"/>
      <c r="F118" s="1673"/>
      <c r="G118" s="1673"/>
      <c r="H118" s="1674"/>
      <c r="I118" s="169"/>
      <c r="J118" s="169"/>
      <c r="K118" s="210"/>
      <c r="L118" s="1179"/>
      <c r="M118" s="1180"/>
      <c r="N118" s="1180"/>
      <c r="O118" s="1180"/>
      <c r="P118" s="1180"/>
      <c r="Q118" s="1180"/>
      <c r="R118" s="1181"/>
      <c r="T118" s="30"/>
      <c r="U118" s="30"/>
    </row>
    <row r="119" spans="1:21" ht="13.5" thickBot="1">
      <c r="A119" s="160"/>
      <c r="B119" s="169"/>
      <c r="C119" s="169"/>
      <c r="D119" s="169"/>
      <c r="E119" s="169"/>
      <c r="F119" s="198"/>
      <c r="G119" s="386"/>
      <c r="H119" s="169"/>
      <c r="I119" s="169"/>
      <c r="J119" s="169"/>
      <c r="K119" s="210"/>
      <c r="L119" s="1179"/>
      <c r="M119" s="1180"/>
      <c r="N119" s="1180"/>
      <c r="O119" s="1180"/>
      <c r="P119" s="1180"/>
      <c r="Q119" s="1180"/>
      <c r="R119" s="1181"/>
      <c r="T119" s="30"/>
      <c r="U119" s="30"/>
    </row>
    <row r="120" spans="1:21" ht="15.75" thickBot="1">
      <c r="A120" s="228"/>
      <c r="B120" s="164"/>
      <c r="C120" s="164"/>
      <c r="D120" s="164"/>
      <c r="E120" s="164"/>
      <c r="F120" s="164"/>
      <c r="G120" s="164"/>
      <c r="H120" s="164"/>
      <c r="I120" s="387"/>
      <c r="J120" s="388"/>
      <c r="K120" s="389"/>
      <c r="L120" s="1182"/>
      <c r="M120" s="1183"/>
      <c r="N120" s="1183"/>
      <c r="O120" s="1183"/>
      <c r="P120" s="1183"/>
      <c r="Q120" s="1183"/>
      <c r="R120" s="1184"/>
      <c r="T120" s="30"/>
      <c r="U120" s="30"/>
    </row>
    <row r="121" spans="1:21" ht="15">
      <c r="A121" s="96"/>
      <c r="B121" s="96"/>
      <c r="C121" s="96"/>
      <c r="D121" s="96"/>
      <c r="E121" s="96"/>
      <c r="F121" s="96"/>
      <c r="G121" s="96"/>
      <c r="H121" s="96"/>
      <c r="I121" s="96"/>
      <c r="J121" s="97"/>
      <c r="K121" s="97"/>
      <c r="L121" s="96"/>
      <c r="M121" s="98"/>
      <c r="N121" s="99"/>
      <c r="O121" s="99"/>
      <c r="P121" s="100"/>
      <c r="Q121" s="95"/>
      <c r="R121" s="95"/>
      <c r="T121" s="30"/>
      <c r="U121" s="30"/>
    </row>
    <row r="122" spans="1:21" ht="15">
      <c r="A122" s="96"/>
      <c r="B122" s="96"/>
      <c r="C122" s="96"/>
      <c r="D122" s="96"/>
      <c r="E122" s="96"/>
      <c r="F122" s="96"/>
      <c r="G122" s="96"/>
      <c r="H122" s="96"/>
      <c r="I122" s="96"/>
      <c r="J122" s="97"/>
      <c r="K122" s="97"/>
      <c r="L122" s="96"/>
      <c r="M122" s="98"/>
      <c r="N122" s="99"/>
      <c r="O122" s="99"/>
      <c r="P122" s="100"/>
      <c r="Q122" s="95"/>
      <c r="R122" s="95"/>
      <c r="T122" s="30"/>
      <c r="U122" s="30"/>
    </row>
    <row r="125" spans="1:14" ht="12.75">
      <c r="A125" s="29" t="str">
        <f>Sheet1!A1</f>
        <v>Canon City, CO Field Office</v>
      </c>
      <c r="B125" s="29"/>
      <c r="C125" s="29"/>
      <c r="D125" s="29"/>
      <c r="E125" s="29"/>
      <c r="F125" s="29" t="str">
        <f>Sheet1!E1</f>
        <v>B. Gohlke</v>
      </c>
      <c r="G125" s="29"/>
      <c r="H125" s="29"/>
      <c r="I125" s="29"/>
      <c r="J125" s="29"/>
      <c r="K125" s="29"/>
      <c r="L125" s="29"/>
      <c r="M125" s="29"/>
      <c r="N125" s="29"/>
    </row>
    <row r="126" spans="1:14" ht="12.75">
      <c r="A126" s="29" t="str">
        <f>Sheet1!A2</f>
        <v>Cheyenne Wells, CO Field Office</v>
      </c>
      <c r="B126" s="29"/>
      <c r="C126" s="29"/>
      <c r="D126" s="29"/>
      <c r="E126" s="29"/>
      <c r="F126" s="29" t="str">
        <f>Sheet1!E2</f>
        <v>G. Langer</v>
      </c>
      <c r="G126" s="29"/>
      <c r="H126" s="29"/>
      <c r="I126" s="29"/>
      <c r="J126" s="29"/>
      <c r="K126" s="29"/>
      <c r="L126" s="29"/>
      <c r="M126" s="29"/>
      <c r="N126" s="29"/>
    </row>
    <row r="127" spans="1:14" ht="12.75">
      <c r="A127" s="29" t="str">
        <f>Sheet1!A3</f>
        <v>Colorado Springs, CO Field Office</v>
      </c>
      <c r="B127" s="29"/>
      <c r="C127" s="29"/>
      <c r="D127" s="29"/>
      <c r="E127" s="29"/>
      <c r="F127" s="29" t="str">
        <f>Sheet1!E3</f>
        <v>J. Valentine</v>
      </c>
      <c r="G127" s="29"/>
      <c r="H127" s="29"/>
      <c r="I127" s="29"/>
      <c r="J127" s="29"/>
      <c r="K127" s="29"/>
      <c r="L127" s="29"/>
      <c r="M127" s="29"/>
      <c r="N127" s="29"/>
    </row>
    <row r="128" spans="1:14" ht="12.75">
      <c r="A128" s="29" t="str">
        <f>Sheet1!A4</f>
        <v>Eads, CO Field Office</v>
      </c>
      <c r="B128" s="29"/>
      <c r="C128" s="29"/>
      <c r="D128" s="29"/>
      <c r="E128" s="29"/>
      <c r="F128" s="29" t="str">
        <f>Sheet1!E4</f>
        <v>R. Castle</v>
      </c>
      <c r="G128" s="29"/>
      <c r="H128" s="29"/>
      <c r="I128" s="29"/>
      <c r="J128" s="29"/>
      <c r="K128" s="29"/>
      <c r="L128" s="29"/>
      <c r="M128" s="29"/>
      <c r="N128" s="29"/>
    </row>
    <row r="129" spans="1:14" ht="12.75">
      <c r="A129" s="29" t="str">
        <f>Sheet1!A5</f>
        <v>Holly, CO Northeast Prowers SCD</v>
      </c>
      <c r="B129" s="29"/>
      <c r="C129" s="29"/>
      <c r="D129" s="29"/>
      <c r="E129" s="29"/>
      <c r="F129" s="29" t="str">
        <f>Sheet1!E5</f>
        <v>R. Rhoades</v>
      </c>
      <c r="G129" s="29"/>
      <c r="H129" s="29"/>
      <c r="I129" s="29"/>
      <c r="J129" s="29"/>
      <c r="K129" s="29"/>
      <c r="L129" s="29"/>
      <c r="M129" s="29"/>
      <c r="N129" s="29"/>
    </row>
    <row r="130" spans="1:14" ht="12.75">
      <c r="A130" s="29" t="str">
        <f>Sheet1!A6</f>
        <v>Hugo, CO Field Office</v>
      </c>
      <c r="B130" s="29"/>
      <c r="C130" s="29"/>
      <c r="D130" s="29"/>
      <c r="E130" s="29"/>
      <c r="F130" s="29" t="str">
        <f>Sheet1!E6</f>
        <v>B. Fortman</v>
      </c>
      <c r="G130" s="29"/>
      <c r="H130" s="29"/>
      <c r="I130" s="29"/>
      <c r="J130" s="29"/>
      <c r="K130" s="29"/>
      <c r="L130" s="29"/>
      <c r="M130" s="29"/>
      <c r="N130" s="29"/>
    </row>
    <row r="131" spans="1:14" ht="12.75">
      <c r="A131" s="29" t="str">
        <f>Sheet1!A7</f>
        <v>Lamar, CO  Field Office</v>
      </c>
      <c r="B131" s="29"/>
      <c r="C131" s="29"/>
      <c r="D131" s="29"/>
      <c r="E131" s="29"/>
      <c r="F131" s="29" t="str">
        <f>Sheet1!E7</f>
        <v>L. Borrego</v>
      </c>
      <c r="G131" s="29"/>
      <c r="H131" s="29"/>
      <c r="I131" s="29"/>
      <c r="J131" s="29"/>
      <c r="K131" s="29"/>
      <c r="L131" s="29"/>
      <c r="M131" s="29"/>
      <c r="N131" s="29"/>
    </row>
    <row r="132" spans="1:14" ht="12.75">
      <c r="A132" s="29" t="str">
        <f>Sheet1!A8</f>
        <v>Las Animas, CO Field Office</v>
      </c>
      <c r="B132" s="118"/>
      <c r="C132" s="29"/>
      <c r="D132" s="29"/>
      <c r="E132" s="29"/>
      <c r="F132" s="29" t="str">
        <f>Sheet1!E8</f>
        <v>M. Clark</v>
      </c>
      <c r="G132" s="29"/>
      <c r="H132" s="29"/>
      <c r="I132" s="29"/>
      <c r="J132" s="29"/>
      <c r="K132" s="29"/>
      <c r="L132" s="118"/>
      <c r="M132" s="29"/>
      <c r="N132" s="29"/>
    </row>
    <row r="133" spans="1:14" ht="12.75">
      <c r="A133" s="29" t="str">
        <f>Sheet1!A9</f>
        <v>Pueblo, CO Field Office</v>
      </c>
      <c r="B133" s="118"/>
      <c r="C133" s="29"/>
      <c r="D133" s="29"/>
      <c r="E133" s="29"/>
      <c r="F133" s="29" t="str">
        <f>Sheet1!E9</f>
        <v>B. Klinkerman</v>
      </c>
      <c r="G133" s="29"/>
      <c r="H133" s="29"/>
      <c r="I133" s="29"/>
      <c r="J133" s="29"/>
      <c r="K133" s="29"/>
      <c r="L133" s="118"/>
      <c r="M133" s="29"/>
      <c r="N133" s="29"/>
    </row>
    <row r="134" spans="1:14" ht="12.75">
      <c r="A134" s="29" t="str">
        <f>Sheet1!A10</f>
        <v>Rocky Ford, CO Field Office</v>
      </c>
      <c r="B134" s="118"/>
      <c r="C134" s="29"/>
      <c r="D134" s="29"/>
      <c r="E134" s="29"/>
      <c r="F134" s="29" t="str">
        <f>Sheet1!E10</f>
        <v>D. Miller</v>
      </c>
      <c r="G134" s="29"/>
      <c r="H134" s="29"/>
      <c r="I134" s="29"/>
      <c r="J134" s="29"/>
      <c r="K134" s="29"/>
      <c r="L134" s="118"/>
      <c r="M134" s="29"/>
      <c r="N134" s="29"/>
    </row>
    <row r="135" spans="1:14" ht="12.75">
      <c r="A135" s="29" t="str">
        <f>Sheet1!A11</f>
        <v>Salida, CO Field Office</v>
      </c>
      <c r="B135" s="118"/>
      <c r="C135" s="29"/>
      <c r="D135" s="29"/>
      <c r="E135" s="29"/>
      <c r="F135" s="29" t="str">
        <f>Sheet1!E11</f>
        <v>D. Russell</v>
      </c>
      <c r="G135" s="29"/>
      <c r="H135" s="29"/>
      <c r="I135" s="29"/>
      <c r="J135" s="29"/>
      <c r="K135" s="29"/>
      <c r="L135" s="118"/>
      <c r="M135" s="29"/>
      <c r="N135" s="29"/>
    </row>
    <row r="136" spans="1:14" ht="12.75">
      <c r="A136" s="29" t="str">
        <f>Sheet1!A12</f>
        <v>Silver Cliff, CO Field Office</v>
      </c>
      <c r="B136" s="118"/>
      <c r="C136" s="29"/>
      <c r="D136" s="29"/>
      <c r="E136" s="29"/>
      <c r="F136" s="29" t="str">
        <f>Sheet1!E12</f>
        <v>M. Williams</v>
      </c>
      <c r="G136" s="29"/>
      <c r="H136" s="29"/>
      <c r="I136" s="29"/>
      <c r="J136" s="29"/>
      <c r="K136" s="29"/>
      <c r="L136" s="118"/>
      <c r="M136" s="29"/>
      <c r="N136" s="29"/>
    </row>
    <row r="137" spans="1:14" ht="12.75">
      <c r="A137" s="29" t="str">
        <f>Sheet1!A13</f>
        <v>Simla, CO Field Office</v>
      </c>
      <c r="B137" s="118"/>
      <c r="C137" s="29"/>
      <c r="D137" s="29"/>
      <c r="E137" s="29"/>
      <c r="F137" s="29" t="str">
        <f>Sheet1!E13</f>
        <v>F. Edens</v>
      </c>
      <c r="G137" s="29"/>
      <c r="H137" s="29"/>
      <c r="I137" s="29"/>
      <c r="J137" s="29"/>
      <c r="K137" s="29"/>
      <c r="L137" s="118"/>
      <c r="M137" s="29"/>
      <c r="N137" s="29"/>
    </row>
    <row r="138" spans="1:14" ht="12.75">
      <c r="A138" s="29" t="str">
        <f>Sheet1!A14</f>
        <v>Springfield, CO Field Office</v>
      </c>
      <c r="B138" s="118"/>
      <c r="C138" s="29"/>
      <c r="D138" s="29"/>
      <c r="E138" s="29"/>
      <c r="F138" s="29" t="str">
        <f>Sheet1!E14</f>
        <v>J. "Wade" Sigler</v>
      </c>
      <c r="G138" s="29"/>
      <c r="H138" s="29"/>
      <c r="I138" s="29"/>
      <c r="J138" s="29"/>
      <c r="K138" s="29"/>
      <c r="L138" s="118"/>
      <c r="M138" s="29"/>
      <c r="N138" s="29"/>
    </row>
    <row r="139" spans="1:14" ht="12.75">
      <c r="A139" s="29" t="str">
        <f>Sheet1!A15</f>
        <v>Trinidad, CO Field Office</v>
      </c>
      <c r="B139" s="118"/>
      <c r="C139" s="29"/>
      <c r="D139" s="29"/>
      <c r="E139" s="29"/>
      <c r="F139" s="29" t="str">
        <f>Sheet1!E15</f>
        <v>C. Waugh</v>
      </c>
      <c r="G139" s="29"/>
      <c r="H139" s="29"/>
      <c r="I139" s="29"/>
      <c r="J139" s="29"/>
      <c r="K139" s="29"/>
      <c r="L139" s="118"/>
      <c r="M139" s="29"/>
      <c r="N139" s="29"/>
    </row>
    <row r="140" spans="1:14" ht="12.75">
      <c r="A140" s="29" t="str">
        <f>Sheet1!A16</f>
        <v>Walsenburg, CO Field Office</v>
      </c>
      <c r="B140" s="118"/>
      <c r="C140" s="29"/>
      <c r="D140" s="29"/>
      <c r="E140" s="29"/>
      <c r="F140" s="29" t="str">
        <f>Sheet1!E16</f>
        <v>S. Smith</v>
      </c>
      <c r="G140" s="29"/>
      <c r="H140" s="29"/>
      <c r="I140" s="29"/>
      <c r="J140" s="29"/>
      <c r="K140" s="29"/>
      <c r="L140" s="118"/>
      <c r="M140" s="29"/>
      <c r="N140" s="29"/>
    </row>
    <row r="141" spans="1:14" ht="12.75">
      <c r="A141" s="29" t="str">
        <f>Sheet1!A17</f>
        <v>Woodland Park, CO Teller/Park SCD</v>
      </c>
      <c r="B141" s="118"/>
      <c r="C141" s="29"/>
      <c r="D141" s="29"/>
      <c r="E141" s="29"/>
      <c r="F141" s="29" t="str">
        <f>Sheet1!E17</f>
        <v>J. Nelson</v>
      </c>
      <c r="G141" s="29"/>
      <c r="H141" s="29"/>
      <c r="I141" s="29"/>
      <c r="J141" s="29"/>
      <c r="K141" s="29"/>
      <c r="L141" s="118"/>
      <c r="M141" s="29"/>
      <c r="N141" s="29"/>
    </row>
    <row r="142" spans="1:14" ht="12.75">
      <c r="A142" s="29"/>
      <c r="B142" s="118"/>
      <c r="C142" s="29"/>
      <c r="D142" s="29"/>
      <c r="E142" s="29"/>
      <c r="F142" s="29" t="str">
        <f>Sheet1!E18</f>
        <v>J. Sperry</v>
      </c>
      <c r="G142" s="29"/>
      <c r="H142" s="29"/>
      <c r="I142" s="29"/>
      <c r="J142" s="29"/>
      <c r="K142" s="29"/>
      <c r="L142" s="118"/>
      <c r="M142" s="29"/>
      <c r="N142" s="29"/>
    </row>
    <row r="143" spans="1:14" ht="12.75">
      <c r="A143" s="29"/>
      <c r="B143" s="118"/>
      <c r="C143" s="29"/>
      <c r="D143" s="29"/>
      <c r="E143" s="29"/>
      <c r="F143" s="29" t="str">
        <f>Sheet1!E19</f>
        <v>R. Romano</v>
      </c>
      <c r="G143" s="29"/>
      <c r="H143" s="29"/>
      <c r="I143" s="29"/>
      <c r="J143" s="29"/>
      <c r="K143" s="29"/>
      <c r="L143" s="118"/>
      <c r="M143" s="29"/>
      <c r="N143" s="29"/>
    </row>
    <row r="144" spans="1:14" ht="12.75">
      <c r="A144" s="29"/>
      <c r="B144" s="118"/>
      <c r="C144" s="29"/>
      <c r="D144" s="29"/>
      <c r="E144" s="29"/>
      <c r="F144" s="29" t="str">
        <f>Sheet1!E20</f>
        <v>R. Fontaine</v>
      </c>
      <c r="G144" s="29"/>
      <c r="H144" s="29"/>
      <c r="I144" s="29"/>
      <c r="J144" s="29"/>
      <c r="K144" s="29"/>
      <c r="L144" s="118"/>
      <c r="M144" s="29"/>
      <c r="N144" s="29"/>
    </row>
    <row r="145" spans="1:14" ht="12.75">
      <c r="A145" s="29" t="str">
        <f>Sheet1!A21</f>
        <v>Individual</v>
      </c>
      <c r="B145" s="118"/>
      <c r="C145" s="29"/>
      <c r="D145" s="29"/>
      <c r="E145" s="29"/>
      <c r="F145" s="29" t="str">
        <f>Sheet1!E21</f>
        <v>M. Watson</v>
      </c>
      <c r="G145" s="29"/>
      <c r="H145" s="29"/>
      <c r="I145" s="29"/>
      <c r="J145" s="29"/>
      <c r="K145" s="29"/>
      <c r="L145" s="118"/>
      <c r="M145" s="29"/>
      <c r="N145" s="29"/>
    </row>
    <row r="146" spans="1:14" ht="12.75">
      <c r="A146" s="29" t="str">
        <f>Sheet1!A22</f>
        <v>General Partnership</v>
      </c>
      <c r="B146" s="118"/>
      <c r="C146" s="29"/>
      <c r="D146" s="29"/>
      <c r="E146" s="29"/>
      <c r="F146" s="29" t="str">
        <f>Sheet1!E22</f>
        <v>M. Miller</v>
      </c>
      <c r="G146" s="29"/>
      <c r="H146" s="29"/>
      <c r="I146" s="29"/>
      <c r="J146" s="29"/>
      <c r="K146" s="29"/>
      <c r="L146" s="118"/>
      <c r="M146" s="29"/>
      <c r="N146" s="29"/>
    </row>
    <row r="147" spans="1:14" ht="12.75">
      <c r="A147" s="29" t="str">
        <f>Sheet1!A23</f>
        <v>Joint Venture</v>
      </c>
      <c r="B147" s="118"/>
      <c r="C147" s="29"/>
      <c r="D147" s="29"/>
      <c r="E147" s="29"/>
      <c r="F147" s="29" t="str">
        <f>Sheet1!E23</f>
        <v>C. Sheley</v>
      </c>
      <c r="G147" s="29"/>
      <c r="H147" s="29"/>
      <c r="I147" s="29"/>
      <c r="J147" s="29"/>
      <c r="K147" s="29"/>
      <c r="L147" s="118"/>
      <c r="M147" s="29"/>
      <c r="N147" s="29"/>
    </row>
    <row r="148" spans="1:14" ht="12.75">
      <c r="A148" s="29" t="str">
        <f>Sheet1!A24</f>
        <v>Limited Liability Partnership</v>
      </c>
      <c r="B148" s="118"/>
      <c r="C148" s="29"/>
      <c r="D148" s="29"/>
      <c r="E148" s="29"/>
      <c r="F148" s="29" t="str">
        <f>Sheet1!E24</f>
        <v>D. Sanchez</v>
      </c>
      <c r="G148" s="29"/>
      <c r="H148" s="29"/>
      <c r="I148" s="29"/>
      <c r="J148" s="29"/>
      <c r="K148" s="29"/>
      <c r="L148" s="118"/>
      <c r="M148" s="29"/>
      <c r="N148" s="29"/>
    </row>
    <row r="149" spans="1:14" ht="12.75">
      <c r="A149" s="29" t="str">
        <f>Sheet1!A25</f>
        <v>Limited Liability Limited Partnership</v>
      </c>
      <c r="B149" s="118"/>
      <c r="C149" s="29"/>
      <c r="D149" s="29"/>
      <c r="E149" s="29"/>
      <c r="F149" s="29" t="str">
        <f>Sheet1!E25</f>
        <v>L.G. "Smitty" Smith</v>
      </c>
      <c r="G149" s="29"/>
      <c r="H149" s="29"/>
      <c r="I149" s="29"/>
      <c r="J149" s="29"/>
      <c r="K149" s="29"/>
      <c r="L149" s="118"/>
      <c r="M149" s="29"/>
      <c r="N149" s="29"/>
    </row>
    <row r="150" spans="1:14" ht="12.75">
      <c r="A150" s="29" t="str">
        <f>Sheet1!A26</f>
        <v>Limited Partnership Association</v>
      </c>
      <c r="B150" s="118"/>
      <c r="C150" s="29"/>
      <c r="D150" s="29"/>
      <c r="E150" s="29"/>
      <c r="F150" s="29" t="str">
        <f>Sheet1!E26</f>
        <v>C. Regnier</v>
      </c>
      <c r="G150" s="29"/>
      <c r="H150" s="29"/>
      <c r="I150" s="29"/>
      <c r="J150" s="29"/>
      <c r="K150" s="29"/>
      <c r="L150" s="118"/>
      <c r="M150" s="29"/>
      <c r="N150" s="29"/>
    </row>
    <row r="151" spans="1:14" ht="12.75">
      <c r="A151" s="29" t="str">
        <f>Sheet1!A27</f>
        <v>Limited Liability Company</v>
      </c>
      <c r="B151" s="29"/>
      <c r="C151" s="29"/>
      <c r="D151" s="29"/>
      <c r="E151" s="29"/>
      <c r="F151" s="29" t="str">
        <f>Sheet1!E27</f>
        <v>C. Melcher</v>
      </c>
      <c r="G151" s="29"/>
      <c r="H151" s="29"/>
      <c r="I151" s="29"/>
      <c r="J151" s="29"/>
      <c r="K151" s="29"/>
      <c r="L151" s="29"/>
      <c r="M151" s="29"/>
      <c r="N151" s="29"/>
    </row>
    <row r="152" spans="1:14" ht="12.75">
      <c r="A152" s="29" t="str">
        <f>Sheet1!A28</f>
        <v>Limited Partnership  </v>
      </c>
      <c r="B152" s="29"/>
      <c r="C152" s="29"/>
      <c r="D152" s="29"/>
      <c r="E152" s="29"/>
      <c r="F152" s="29" t="str">
        <f>Sheet1!E28</f>
        <v>W. "Ted" Lonnberg</v>
      </c>
      <c r="G152" s="29"/>
      <c r="H152" s="29"/>
      <c r="I152" s="29"/>
      <c r="J152" s="29"/>
      <c r="K152" s="29"/>
      <c r="L152" s="29"/>
      <c r="M152" s="29"/>
      <c r="N152" s="29"/>
    </row>
    <row r="153" spans="1:14" ht="12.75">
      <c r="A153" s="29" t="str">
        <f>Sheet1!A29</f>
        <v>Corporation</v>
      </c>
      <c r="B153" s="29"/>
      <c r="C153" s="29"/>
      <c r="D153" s="29"/>
      <c r="E153" s="29"/>
      <c r="F153" s="29" t="str">
        <f>Sheet1!E29</f>
        <v>B. Johnson</v>
      </c>
      <c r="G153" s="29"/>
      <c r="H153" s="29"/>
      <c r="I153" s="29"/>
      <c r="J153" s="29"/>
      <c r="K153" s="29"/>
      <c r="L153" s="29"/>
      <c r="M153" s="29"/>
      <c r="N153" s="29"/>
    </row>
    <row r="154" spans="1:14" ht="12.75">
      <c r="A154" s="29" t="str">
        <f>Sheet1!A30</f>
        <v>Trust</v>
      </c>
      <c r="B154" s="29"/>
      <c r="C154" s="29"/>
      <c r="D154" s="29"/>
      <c r="E154" s="29"/>
      <c r="F154" s="29" t="str">
        <f>Sheet1!E30</f>
        <v>A. White</v>
      </c>
      <c r="G154" s="29"/>
      <c r="H154" s="29"/>
      <c r="I154" s="29"/>
      <c r="J154" s="29"/>
      <c r="K154" s="29"/>
      <c r="L154" s="29"/>
      <c r="M154" s="29"/>
      <c r="N154" s="29"/>
    </row>
    <row r="155" spans="1:14" ht="12.75">
      <c r="A155" s="29" t="str">
        <f>Sheet1!A31</f>
        <v>Estate</v>
      </c>
      <c r="B155" s="29"/>
      <c r="C155" s="29"/>
      <c r="D155" s="29"/>
      <c r="E155" s="29"/>
      <c r="F155" s="29" t="str">
        <f>Sheet1!E31</f>
        <v>W. Bland</v>
      </c>
      <c r="G155" s="29"/>
      <c r="H155" s="29"/>
      <c r="I155" s="29"/>
      <c r="J155" s="29"/>
      <c r="K155" s="29"/>
      <c r="L155" s="29"/>
      <c r="M155" s="29"/>
      <c r="N155" s="29"/>
    </row>
    <row r="156" spans="1:14" ht="12.75">
      <c r="A156" s="29"/>
      <c r="B156" s="29"/>
      <c r="C156" s="29"/>
      <c r="D156" s="29"/>
      <c r="E156" s="29"/>
      <c r="F156" s="29" t="str">
        <f>Sheet1!E32</f>
        <v>S. Hansen</v>
      </c>
      <c r="G156" s="29"/>
      <c r="H156" s="29"/>
      <c r="I156" s="29"/>
      <c r="J156" s="29"/>
      <c r="K156" s="29"/>
      <c r="L156" s="29"/>
      <c r="M156" s="29"/>
      <c r="N156" s="29"/>
    </row>
    <row r="157" spans="1:14" ht="12.75">
      <c r="A157" s="29"/>
      <c r="B157" s="29"/>
      <c r="C157" s="29"/>
      <c r="D157" s="29"/>
      <c r="E157" s="29"/>
      <c r="F157" s="29" t="str">
        <f>Sheet1!E33</f>
        <v>K. Conrad</v>
      </c>
      <c r="G157" s="29"/>
      <c r="H157" s="29"/>
      <c r="I157" s="29"/>
      <c r="J157" s="29"/>
      <c r="K157" s="29"/>
      <c r="L157" s="29"/>
      <c r="M157" s="29"/>
      <c r="N157" s="29"/>
    </row>
    <row r="158" spans="1:14" ht="12.75">
      <c r="A158" s="29" t="str">
        <f>Sheet1!A34</f>
        <v>Colorado Division of Wildlife</v>
      </c>
      <c r="B158" s="29"/>
      <c r="C158" s="29"/>
      <c r="D158" s="29"/>
      <c r="E158" s="29"/>
      <c r="F158" s="29" t="str">
        <f>Sheet1!E34</f>
        <v>M. Martin</v>
      </c>
      <c r="G158" s="29"/>
      <c r="H158" s="29"/>
      <c r="I158" s="29"/>
      <c r="J158" s="29"/>
      <c r="K158" s="29"/>
      <c r="L158" s="29"/>
      <c r="M158" s="29"/>
      <c r="N158" s="29"/>
    </row>
    <row r="159" spans="1:14" ht="12.75">
      <c r="A159" s="29" t="str">
        <f>Sheet1!A35</f>
        <v>U.S. Fish and Wildlife Service</v>
      </c>
      <c r="B159" s="29"/>
      <c r="C159" s="29"/>
      <c r="D159" s="29"/>
      <c r="E159" s="29"/>
      <c r="F159" s="29" t="str">
        <f>Sheet1!E35</f>
        <v>E. Kilpatrick</v>
      </c>
      <c r="G159" s="29"/>
      <c r="H159" s="29"/>
      <c r="I159" s="29"/>
      <c r="J159" s="29"/>
      <c r="K159" s="29"/>
      <c r="L159" s="29"/>
      <c r="M159" s="29"/>
      <c r="N159" s="29"/>
    </row>
    <row r="160" spans="1:14" ht="12.75">
      <c r="A160" s="29" t="str">
        <f>Sheet1!A36</f>
        <v>Colorado Elk Foundation</v>
      </c>
      <c r="B160" s="29"/>
      <c r="C160" s="29"/>
      <c r="D160" s="29"/>
      <c r="E160" s="29"/>
      <c r="F160" s="29" t="str">
        <f>Sheet1!E36</f>
        <v>C. Schleining</v>
      </c>
      <c r="G160" s="29"/>
      <c r="H160" s="29"/>
      <c r="I160" s="29"/>
      <c r="J160" s="29"/>
      <c r="K160" s="29"/>
      <c r="L160" s="29"/>
      <c r="M160" s="29"/>
      <c r="N160" s="29"/>
    </row>
    <row r="161" spans="1:14" ht="12.75">
      <c r="A161" s="29" t="str">
        <f>Sheet1!A37</f>
        <v>Pheasants Forever</v>
      </c>
      <c r="B161" s="29"/>
      <c r="C161" s="29"/>
      <c r="D161" s="29"/>
      <c r="E161" s="29"/>
      <c r="F161" s="29" t="str">
        <f>Sheet1!E37</f>
        <v>B. "B.J." Jones</v>
      </c>
      <c r="G161" s="29"/>
      <c r="H161" s="29"/>
      <c r="I161" s="29"/>
      <c r="J161" s="29"/>
      <c r="K161" s="29"/>
      <c r="L161" s="29"/>
      <c r="M161" s="29"/>
      <c r="N161" s="29"/>
    </row>
    <row r="162" spans="1:14" ht="12.75">
      <c r="A162" s="29" t="str">
        <f>Sheet1!A38</f>
        <v>Ducks Unlimited</v>
      </c>
      <c r="B162" s="29"/>
      <c r="C162" s="29"/>
      <c r="D162" s="29"/>
      <c r="E162" s="29"/>
      <c r="F162" s="29" t="str">
        <f>Sheet1!E38</f>
        <v>J. Hamilton</v>
      </c>
      <c r="G162" s="29"/>
      <c r="H162" s="29"/>
      <c r="I162" s="29"/>
      <c r="J162" s="29"/>
      <c r="K162" s="29"/>
      <c r="L162" s="29"/>
      <c r="M162" s="29"/>
      <c r="N162" s="29"/>
    </row>
    <row r="163" spans="1:14" ht="12.75">
      <c r="A163" s="29" t="str">
        <f>Sheet1!A39</f>
        <v>Other</v>
      </c>
      <c r="B163" s="29"/>
      <c r="C163" s="29"/>
      <c r="D163" s="29"/>
      <c r="E163" s="29"/>
      <c r="F163" s="29" t="str">
        <f>Sheet1!E39</f>
        <v>J. Moffett</v>
      </c>
      <c r="G163" s="29"/>
      <c r="H163" s="29"/>
      <c r="I163" s="29"/>
      <c r="J163" s="29"/>
      <c r="K163" s="29"/>
      <c r="L163" s="29"/>
      <c r="M163" s="29"/>
      <c r="N163" s="29"/>
    </row>
    <row r="164" spans="1:14" ht="12.75">
      <c r="A164" s="29" t="str">
        <f>Sheet1!A40</f>
        <v>Not Applicable</v>
      </c>
      <c r="B164" s="29"/>
      <c r="C164" s="29"/>
      <c r="D164" s="29"/>
      <c r="E164" s="29"/>
      <c r="F164" s="29" t="str">
        <f>Sheet1!E40</f>
        <v>R. Grigat</v>
      </c>
      <c r="G164" s="29"/>
      <c r="H164" s="29"/>
      <c r="I164" s="29"/>
      <c r="J164" s="29"/>
      <c r="K164" s="29"/>
      <c r="L164" s="29"/>
      <c r="M164" s="29"/>
      <c r="N164" s="29"/>
    </row>
    <row r="165" spans="1:14" ht="12.75">
      <c r="A165" s="29"/>
      <c r="B165" s="29"/>
      <c r="C165" s="29"/>
      <c r="D165" s="29"/>
      <c r="E165" s="29"/>
      <c r="F165" s="29" t="str">
        <f>Sheet1!E41</f>
        <v>J. Dukes</v>
      </c>
      <c r="G165" s="29"/>
      <c r="H165" s="29"/>
      <c r="I165" s="29"/>
      <c r="J165" s="29"/>
      <c r="K165" s="29"/>
      <c r="L165" s="29"/>
      <c r="M165" s="29"/>
      <c r="N165" s="29"/>
    </row>
    <row r="166" spans="1:14" ht="12.75">
      <c r="A166" s="29"/>
      <c r="B166" s="29"/>
      <c r="C166" s="29"/>
      <c r="D166" s="29"/>
      <c r="E166" s="29"/>
      <c r="F166" s="29" t="str">
        <f>Sheet1!E42</f>
        <v>T. Werner</v>
      </c>
      <c r="G166" s="29"/>
      <c r="H166" s="29"/>
      <c r="I166" s="29"/>
      <c r="J166" s="29"/>
      <c r="K166" s="29"/>
      <c r="L166" s="29"/>
      <c r="M166" s="29"/>
      <c r="N166" s="29"/>
    </row>
    <row r="167" spans="1:14" ht="12.75">
      <c r="A167" s="29"/>
      <c r="B167" s="29"/>
      <c r="C167" s="29"/>
      <c r="D167" s="29"/>
      <c r="E167" s="29"/>
      <c r="F167" s="29" t="str">
        <f>Sheet1!E43</f>
        <v>K. Falen</v>
      </c>
      <c r="G167" s="29"/>
      <c r="H167" s="29"/>
      <c r="I167" s="29"/>
      <c r="J167" s="29"/>
      <c r="K167" s="29"/>
      <c r="L167" s="29"/>
      <c r="M167" s="29"/>
      <c r="N167" s="29"/>
    </row>
    <row r="168" spans="1:14" ht="12.75">
      <c r="A168" s="29"/>
      <c r="B168" s="29"/>
      <c r="C168" s="29"/>
      <c r="D168" s="29"/>
      <c r="E168" s="29"/>
      <c r="F168" s="29" t="str">
        <f>Sheet1!E44</f>
        <v>M. "Storm" Casper</v>
      </c>
      <c r="G168" s="29"/>
      <c r="H168" s="29"/>
      <c r="I168" s="29"/>
      <c r="J168" s="29"/>
      <c r="K168" s="29"/>
      <c r="L168" s="29"/>
      <c r="M168" s="29"/>
      <c r="N168" s="29"/>
    </row>
    <row r="169" spans="1:14" ht="12.75">
      <c r="A169" s="29"/>
      <c r="B169" s="29"/>
      <c r="C169" s="29"/>
      <c r="D169" s="29"/>
      <c r="E169" s="29"/>
      <c r="F169" s="29" t="str">
        <f>Sheet1!E45</f>
        <v>M. Gigante</v>
      </c>
      <c r="G169" s="29"/>
      <c r="H169" s="29"/>
      <c r="I169" s="29"/>
      <c r="J169" s="29"/>
      <c r="K169" s="29"/>
      <c r="L169" s="29"/>
      <c r="M169" s="29"/>
      <c r="N169" s="29"/>
    </row>
    <row r="170" spans="1:14" ht="12.75">
      <c r="A170" s="29" t="str">
        <f>Sheet1!A46</f>
        <v>None</v>
      </c>
      <c r="B170" s="29"/>
      <c r="C170" s="29"/>
      <c r="D170" s="29"/>
      <c r="E170" s="29"/>
      <c r="F170" s="29" t="str">
        <f>Sheet1!E46</f>
        <v>T. Arnhold</v>
      </c>
      <c r="G170" s="29"/>
      <c r="H170" s="29"/>
      <c r="I170" s="29"/>
      <c r="J170" s="29"/>
      <c r="K170" s="29"/>
      <c r="L170" s="29"/>
      <c r="M170" s="29"/>
      <c r="N170" s="29"/>
    </row>
    <row r="171" spans="1:14" ht="12.75">
      <c r="A171" s="29" t="str">
        <f>Sheet1!A47</f>
        <v>Colorado Mule Deer Area</v>
      </c>
      <c r="B171" s="29"/>
      <c r="C171" s="29"/>
      <c r="D171" s="29"/>
      <c r="E171" s="29"/>
      <c r="F171" s="29" t="str">
        <f>Sheet1!E47</f>
        <v>K. Lutz</v>
      </c>
      <c r="G171" s="29"/>
      <c r="H171" s="29"/>
      <c r="I171" s="29"/>
      <c r="J171" s="29"/>
      <c r="K171" s="29"/>
      <c r="L171" s="29"/>
      <c r="M171" s="29"/>
      <c r="N171" s="29"/>
    </row>
    <row r="172" spans="1:14" ht="12.75">
      <c r="A172" s="29" t="str">
        <f>Sheet1!A48</f>
        <v>Preble's Meadow Jumping Mouse Area</v>
      </c>
      <c r="B172" s="29"/>
      <c r="C172" s="29"/>
      <c r="D172" s="29"/>
      <c r="E172" s="29"/>
      <c r="F172" s="29" t="str">
        <f>Sheet1!E48</f>
        <v>D. Lane</v>
      </c>
      <c r="G172" s="29"/>
      <c r="H172" s="29"/>
      <c r="I172" s="29"/>
      <c r="J172" s="29"/>
      <c r="K172" s="29"/>
      <c r="L172" s="29"/>
      <c r="M172" s="29"/>
      <c r="N172" s="29"/>
    </row>
    <row r="173" spans="1:14" ht="12.75">
      <c r="A173" s="29" t="str">
        <f>Sheet1!A49</f>
        <v>Mountain Plover Area</v>
      </c>
      <c r="B173" s="29"/>
      <c r="C173" s="29"/>
      <c r="D173" s="29"/>
      <c r="E173" s="29"/>
      <c r="F173" s="29" t="str">
        <f>Sheet1!E49</f>
        <v>L."Pete" Ward, Jr.</v>
      </c>
      <c r="G173" s="29"/>
      <c r="H173" s="29"/>
      <c r="I173" s="29"/>
      <c r="J173" s="29"/>
      <c r="K173" s="29"/>
      <c r="L173" s="29"/>
      <c r="M173" s="29"/>
      <c r="N173" s="29"/>
    </row>
    <row r="174" spans="1:14" ht="12.75">
      <c r="A174" s="29" t="str">
        <f>Sheet1!A50</f>
        <v>Lesser Prairie Chicken Area</v>
      </c>
      <c r="B174" s="29"/>
      <c r="C174" s="29"/>
      <c r="D174" s="29"/>
      <c r="E174" s="29"/>
      <c r="F174" s="29" t="str">
        <f>Sheet1!E50</f>
        <v>L. Kot</v>
      </c>
      <c r="G174" s="29"/>
      <c r="H174" s="29"/>
      <c r="I174" s="29"/>
      <c r="J174" s="29"/>
      <c r="K174" s="29"/>
      <c r="L174" s="29"/>
      <c r="M174" s="29"/>
      <c r="N174" s="29"/>
    </row>
    <row r="175" spans="1:14" ht="12.75">
      <c r="A175" s="29"/>
      <c r="B175" s="29"/>
      <c r="C175" s="29"/>
      <c r="D175" s="29"/>
      <c r="E175" s="29"/>
      <c r="F175" s="29" t="str">
        <f>Sheet1!E51</f>
        <v>L. Pearson</v>
      </c>
      <c r="G175" s="29"/>
      <c r="H175" s="29"/>
      <c r="I175" s="29"/>
      <c r="J175" s="29"/>
      <c r="K175" s="29"/>
      <c r="L175" s="29"/>
      <c r="M175" s="29"/>
      <c r="N175" s="29"/>
    </row>
    <row r="176" spans="1:14" ht="12.75">
      <c r="A176" s="29"/>
      <c r="B176" s="29"/>
      <c r="C176" s="29"/>
      <c r="D176" s="29"/>
      <c r="E176" s="29"/>
      <c r="F176" s="29" t="str">
        <f>Sheet1!E52</f>
        <v>B. Kitten</v>
      </c>
      <c r="G176" s="29"/>
      <c r="H176" s="29"/>
      <c r="I176" s="29"/>
      <c r="J176" s="29"/>
      <c r="K176" s="29"/>
      <c r="L176" s="29"/>
      <c r="M176" s="29"/>
      <c r="N176" s="29"/>
    </row>
    <row r="177" spans="1:14" ht="12.75">
      <c r="A177" s="29"/>
      <c r="B177" s="29"/>
      <c r="C177" s="29"/>
      <c r="D177" s="29"/>
      <c r="E177" s="29"/>
      <c r="F177" s="29" t="str">
        <f>Sheet1!E53</f>
        <v>L. Sutherland</v>
      </c>
      <c r="G177" s="29"/>
      <c r="H177" s="29"/>
      <c r="I177" s="29"/>
      <c r="J177" s="29"/>
      <c r="K177" s="29"/>
      <c r="L177" s="29"/>
      <c r="M177" s="29"/>
      <c r="N177" s="29"/>
    </row>
    <row r="178" spans="1:14" ht="12.75">
      <c r="A178" s="29"/>
      <c r="B178" s="29"/>
      <c r="C178" s="29"/>
      <c r="D178" s="29"/>
      <c r="E178" s="29"/>
      <c r="F178" s="29" t="str">
        <f>Sheet1!E54</f>
        <v>C. Pannebaker</v>
      </c>
      <c r="G178" s="29"/>
      <c r="H178" s="29"/>
      <c r="I178" s="29"/>
      <c r="J178" s="29"/>
      <c r="K178" s="29"/>
      <c r="L178" s="29"/>
      <c r="M178" s="29"/>
      <c r="N178" s="29"/>
    </row>
    <row r="179" spans="1:14" ht="12.75">
      <c r="A179" s="29"/>
      <c r="B179" s="29"/>
      <c r="C179" s="29"/>
      <c r="D179" s="29"/>
      <c r="E179" s="29"/>
      <c r="F179" s="29" t="str">
        <f>Sheet1!E55</f>
        <v>B. Berlinger</v>
      </c>
      <c r="G179" s="29"/>
      <c r="H179" s="29"/>
      <c r="I179" s="29"/>
      <c r="J179" s="29"/>
      <c r="K179" s="29"/>
      <c r="L179" s="29"/>
      <c r="M179" s="29"/>
      <c r="N179" s="29"/>
    </row>
    <row r="180" spans="1:14" ht="12.75">
      <c r="A180" s="29" t="str">
        <f>Sheet1!A56</f>
        <v>A.</v>
      </c>
      <c r="B180" s="29"/>
      <c r="C180" s="29"/>
      <c r="D180" s="29"/>
      <c r="E180" s="29" t="str">
        <f>Sheet1!D56</f>
        <v>B.</v>
      </c>
      <c r="F180" s="29"/>
      <c r="G180" s="29"/>
      <c r="H180" s="29"/>
      <c r="I180" s="29"/>
      <c r="J180" s="29"/>
      <c r="K180" s="29" t="str">
        <f>Sheet1!H56</f>
        <v>C.</v>
      </c>
      <c r="L180" s="29"/>
      <c r="M180" s="29"/>
      <c r="N180" s="29" t="str">
        <f>Sheet1!K56</f>
        <v>D.</v>
      </c>
    </row>
    <row r="181" spans="1:14" ht="12.75">
      <c r="A181" s="29" t="str">
        <f>Sheet1!A57</f>
        <v>none</v>
      </c>
      <c r="B181" s="29"/>
      <c r="C181" s="29"/>
      <c r="D181" s="29"/>
      <c r="E181" s="29" t="str">
        <f>Sheet1!D57</f>
        <v>none</v>
      </c>
      <c r="F181" s="29"/>
      <c r="G181" s="29"/>
      <c r="H181" s="29"/>
      <c r="I181" s="29"/>
      <c r="J181" s="29"/>
      <c r="K181" s="29" t="str">
        <f>Sheet1!H57</f>
        <v>none</v>
      </c>
      <c r="L181" s="29"/>
      <c r="M181" s="29"/>
      <c r="N181" s="29" t="str">
        <f>Sheet1!K57</f>
        <v>none</v>
      </c>
    </row>
    <row r="182" spans="1:14" ht="12.75">
      <c r="A182" s="29" t="str">
        <f>Sheet1!A58</f>
        <v>lesser prairie chicken</v>
      </c>
      <c r="B182" s="29"/>
      <c r="C182" s="29"/>
      <c r="D182" s="29"/>
      <c r="E182" s="29" t="str">
        <f>Sheet1!D58</f>
        <v>plains sharp-tailed grouse</v>
      </c>
      <c r="F182" s="29"/>
      <c r="G182" s="29"/>
      <c r="H182" s="29"/>
      <c r="I182" s="29"/>
      <c r="J182" s="29"/>
      <c r="K182" s="29" t="str">
        <f>Sheet1!H58</f>
        <v>pheasant</v>
      </c>
      <c r="L182" s="29"/>
      <c r="M182" s="29"/>
      <c r="N182" s="29" t="str">
        <f>Sheet1!K58</f>
        <v>game birds-duck</v>
      </c>
    </row>
    <row r="183" spans="1:14" ht="12.75">
      <c r="A183" s="29" t="str">
        <f>Sheet1!A59</f>
        <v>greater prairie chicken</v>
      </c>
      <c r="B183" s="29"/>
      <c r="C183" s="29"/>
      <c r="D183" s="29"/>
      <c r="E183" s="29" t="str">
        <f>Sheet1!D59</f>
        <v>bald eagle</v>
      </c>
      <c r="F183" s="29"/>
      <c r="G183" s="29"/>
      <c r="H183" s="29"/>
      <c r="I183" s="29"/>
      <c r="J183" s="29"/>
      <c r="K183" s="29" t="str">
        <f>Sheet1!H59</f>
        <v>northern bobwhite quail</v>
      </c>
      <c r="L183" s="29"/>
      <c r="M183" s="29"/>
      <c r="N183" s="29" t="str">
        <f>Sheet1!K59</f>
        <v>game birds-geese</v>
      </c>
    </row>
    <row r="184" spans="1:14" ht="12.75">
      <c r="A184" s="29" t="str">
        <f>Sheet1!A60</f>
        <v>Cassin's sparrow</v>
      </c>
      <c r="B184" s="29"/>
      <c r="C184" s="29"/>
      <c r="D184" s="29"/>
      <c r="E184" s="29" t="str">
        <f>Sheet1!D60</f>
        <v>southwest willow flycatcher</v>
      </c>
      <c r="F184" s="29"/>
      <c r="G184" s="29"/>
      <c r="H184" s="29"/>
      <c r="I184" s="29"/>
      <c r="J184" s="29"/>
      <c r="K184" s="29" t="str">
        <f>Sheet1!H60</f>
        <v>scaled quail</v>
      </c>
      <c r="L184" s="29"/>
      <c r="M184" s="29"/>
      <c r="N184" s="29" t="str">
        <f>Sheet1!K60</f>
        <v>game birds-mourning dove</v>
      </c>
    </row>
    <row r="185" spans="1:14" ht="12.75">
      <c r="A185" s="29" t="str">
        <f>Sheet1!A61</f>
        <v>long-billed curlew</v>
      </c>
      <c r="B185" s="29"/>
      <c r="C185" s="29"/>
      <c r="D185" s="29"/>
      <c r="E185" s="29" t="str">
        <f>Sheet1!D61</f>
        <v>least tern</v>
      </c>
      <c r="F185" s="29"/>
      <c r="G185" s="29"/>
      <c r="H185" s="29"/>
      <c r="I185" s="29"/>
      <c r="J185" s="29"/>
      <c r="K185" s="29" t="str">
        <f>Sheet1!H61</f>
        <v>wild turkey</v>
      </c>
      <c r="L185" s="29"/>
      <c r="M185" s="29"/>
      <c r="N185" s="29" t="str">
        <f>Sheet1!K61</f>
        <v>non-game birds-songbird</v>
      </c>
    </row>
    <row r="186" spans="1:14" ht="12.75">
      <c r="A186" s="29" t="str">
        <f>Sheet1!A62</f>
        <v>greater sandhill crane</v>
      </c>
      <c r="B186" s="29"/>
      <c r="C186" s="29"/>
      <c r="D186" s="29"/>
      <c r="E186" s="29" t="str">
        <f>Sheet1!D62</f>
        <v>Mexican spotted owl</v>
      </c>
      <c r="F186" s="29"/>
      <c r="G186" s="29"/>
      <c r="H186" s="29"/>
      <c r="I186" s="29"/>
      <c r="J186" s="29"/>
      <c r="K186" s="29" t="str">
        <f>Sheet1!H62</f>
        <v>grassland birds</v>
      </c>
      <c r="L186" s="29"/>
      <c r="M186" s="29"/>
      <c r="N186" s="29" t="str">
        <f>Sheet1!K62</f>
        <v>non-game birds-passerine</v>
      </c>
    </row>
    <row r="187" spans="1:14" ht="12.75">
      <c r="A187" s="29" t="str">
        <f>Sheet1!A63</f>
        <v>piping plover</v>
      </c>
      <c r="B187" s="29"/>
      <c r="C187" s="29"/>
      <c r="D187" s="29"/>
      <c r="E187" s="29">
        <f>Sheet1!D63</f>
        <v>0</v>
      </c>
      <c r="F187" s="29"/>
      <c r="G187" s="29"/>
      <c r="H187" s="29"/>
      <c r="I187" s="29"/>
      <c r="J187" s="29"/>
      <c r="K187" s="29">
        <f>Sheet1!H63</f>
        <v>0</v>
      </c>
      <c r="L187" s="29"/>
      <c r="M187" s="29"/>
      <c r="N187" s="29" t="str">
        <f>Sheet1!K63</f>
        <v>non-game birds-raptors</v>
      </c>
    </row>
    <row r="188" spans="1:14" ht="12.75">
      <c r="A188" s="29" t="str">
        <f>Sheet1!A64</f>
        <v>mountain plover</v>
      </c>
      <c r="B188" s="29"/>
      <c r="C188" s="29"/>
      <c r="D188" s="29"/>
      <c r="E188" s="29" t="str">
        <f>Sheet1!D64</f>
        <v>none</v>
      </c>
      <c r="F188" s="29"/>
      <c r="G188" s="29"/>
      <c r="H188" s="29"/>
      <c r="I188" s="29"/>
      <c r="J188" s="29"/>
      <c r="K188" s="29" t="str">
        <f>Sheet1!H64</f>
        <v>none</v>
      </c>
      <c r="L188" s="29"/>
      <c r="M188" s="29"/>
      <c r="N188" s="29">
        <f>Sheet1!K64</f>
        <v>0</v>
      </c>
    </row>
    <row r="189" spans="1:14" ht="12.75">
      <c r="A189" s="29" t="str">
        <f>Sheet1!A65</f>
        <v>Columbian sharp-tailed grouse</v>
      </c>
      <c r="B189" s="29"/>
      <c r="C189" s="29"/>
      <c r="D189" s="29"/>
      <c r="E189" s="29" t="str">
        <f>Sheet1!D65</f>
        <v>black footed ferret</v>
      </c>
      <c r="F189" s="29"/>
      <c r="G189" s="29"/>
      <c r="H189" s="29"/>
      <c r="I189" s="29"/>
      <c r="J189" s="29"/>
      <c r="K189" s="29" t="str">
        <f>Sheet1!H65</f>
        <v>bighorn sheep</v>
      </c>
      <c r="L189" s="29"/>
      <c r="M189" s="29"/>
      <c r="N189" s="29" t="str">
        <f>Sheet1!K65</f>
        <v>none</v>
      </c>
    </row>
    <row r="190" spans="1:14" ht="12.75">
      <c r="A190" s="29" t="str">
        <f>Sheet1!A66</f>
        <v>Gunnison's sage grouse</v>
      </c>
      <c r="B190" s="29"/>
      <c r="C190" s="29"/>
      <c r="D190" s="29"/>
      <c r="E190" s="29" t="str">
        <f>Sheet1!D66</f>
        <v>Preble's meadow jumping mouse</v>
      </c>
      <c r="F190" s="29"/>
      <c r="G190" s="29"/>
      <c r="H190" s="29"/>
      <c r="I190" s="29"/>
      <c r="J190" s="29"/>
      <c r="K190" s="29" t="str">
        <f>Sheet1!H66</f>
        <v>pronghorn antelope</v>
      </c>
      <c r="L190" s="29"/>
      <c r="M190" s="29"/>
      <c r="N190" s="29" t="str">
        <f>Sheet1!K66</f>
        <v>other</v>
      </c>
    </row>
    <row r="191" spans="1:14" ht="12.75">
      <c r="A191" s="29" t="str">
        <f>Sheet1!A67</f>
        <v>northern sage grouse</v>
      </c>
      <c r="B191" s="29"/>
      <c r="C191" s="29"/>
      <c r="D191" s="29"/>
      <c r="E191" s="29">
        <f>Sheet1!D67</f>
        <v>0</v>
      </c>
      <c r="F191" s="29"/>
      <c r="G191" s="29"/>
      <c r="H191" s="29"/>
      <c r="I191" s="29"/>
      <c r="J191" s="29"/>
      <c r="K191" s="29" t="str">
        <f>Sheet1!H67</f>
        <v>elk</v>
      </c>
      <c r="L191" s="29"/>
      <c r="M191" s="29"/>
      <c r="N191" s="29">
        <f>Sheet1!K67</f>
        <v>0</v>
      </c>
    </row>
    <row r="192" spans="1:14" ht="12.75">
      <c r="A192" s="29" t="str">
        <f>Sheet1!A68</f>
        <v>burrowing owl</v>
      </c>
      <c r="B192" s="29"/>
      <c r="C192" s="29"/>
      <c r="D192" s="29"/>
      <c r="E192" s="29" t="str">
        <f>Sheet1!D68</f>
        <v>none</v>
      </c>
      <c r="F192" s="29"/>
      <c r="G192" s="29"/>
      <c r="H192" s="29"/>
      <c r="I192" s="29"/>
      <c r="J192" s="29"/>
      <c r="K192" s="29" t="str">
        <f>Sheet1!H68</f>
        <v>mule deer</v>
      </c>
      <c r="L192" s="29"/>
      <c r="M192" s="29"/>
      <c r="N192" s="29" t="str">
        <f>Sheet1!K68</f>
        <v>none</v>
      </c>
    </row>
    <row r="193" spans="1:14" ht="12.75">
      <c r="A193" s="29" t="str">
        <f>Sheet1!A69</f>
        <v>upland sandpiper</v>
      </c>
      <c r="B193" s="29"/>
      <c r="C193" s="29"/>
      <c r="D193" s="29"/>
      <c r="E193" s="29" t="str">
        <f>Sheet1!D69</f>
        <v>Colorado pikeminnow</v>
      </c>
      <c r="F193" s="29"/>
      <c r="G193" s="29"/>
      <c r="H193" s="29"/>
      <c r="I193" s="29"/>
      <c r="J193" s="29"/>
      <c r="K193" s="29" t="str">
        <f>Sheet1!H69</f>
        <v>white-tailed deer</v>
      </c>
      <c r="L193" s="29"/>
      <c r="M193" s="29"/>
      <c r="N193" s="29" t="str">
        <f>Sheet1!K69</f>
        <v>other</v>
      </c>
    </row>
    <row r="194" spans="1:14" ht="12.75">
      <c r="A194" s="29">
        <f>Sheet1!A70</f>
        <v>0</v>
      </c>
      <c r="B194" s="29"/>
      <c r="C194" s="29"/>
      <c r="D194" s="29"/>
      <c r="E194" s="29" t="str">
        <f>Sheet1!D70</f>
        <v>humpback chub</v>
      </c>
      <c r="F194" s="29"/>
      <c r="G194" s="29"/>
      <c r="H194" s="29"/>
      <c r="I194" s="29"/>
      <c r="J194" s="29"/>
      <c r="K194" s="29">
        <f>Sheet1!H70</f>
        <v>0</v>
      </c>
      <c r="L194" s="29"/>
      <c r="M194" s="29"/>
      <c r="N194" s="29">
        <f>Sheet1!K70</f>
        <v>0</v>
      </c>
    </row>
    <row r="195" spans="1:14" ht="12.75">
      <c r="A195" s="29" t="str">
        <f>Sheet1!A71</f>
        <v>none</v>
      </c>
      <c r="B195" s="29"/>
      <c r="C195" s="29"/>
      <c r="D195" s="29"/>
      <c r="E195" s="29" t="str">
        <f>Sheet1!D71</f>
        <v>razorback sucker</v>
      </c>
      <c r="F195" s="29"/>
      <c r="G195" s="29"/>
      <c r="H195" s="29"/>
      <c r="I195" s="29"/>
      <c r="J195" s="29"/>
      <c r="K195" s="29" t="str">
        <f>Sheet1!H71</f>
        <v>none</v>
      </c>
      <c r="L195" s="29"/>
      <c r="M195" s="29"/>
      <c r="N195" s="29">
        <f>Sheet1!K71</f>
        <v>0</v>
      </c>
    </row>
    <row r="196" spans="1:14" ht="12.75">
      <c r="A196" s="29" t="str">
        <f>Sheet1!A72</f>
        <v>black-tailed prairie dog</v>
      </c>
      <c r="B196" s="29"/>
      <c r="C196" s="29"/>
      <c r="D196" s="29"/>
      <c r="E196" s="29" t="str">
        <f>Sheet1!D72</f>
        <v>bonytail chub</v>
      </c>
      <c r="F196" s="29"/>
      <c r="G196" s="29"/>
      <c r="H196" s="29"/>
      <c r="I196" s="29"/>
      <c r="J196" s="29"/>
      <c r="K196" s="29" t="str">
        <f>Sheet1!H72</f>
        <v>trout</v>
      </c>
      <c r="L196" s="29"/>
      <c r="M196" s="29"/>
      <c r="N196" s="29">
        <f>Sheet1!K72</f>
        <v>0</v>
      </c>
    </row>
    <row r="197" spans="1:14" ht="12.75">
      <c r="A197" s="29" t="str">
        <f>Sheet1!A73</f>
        <v>kit fox</v>
      </c>
      <c r="B197" s="29"/>
      <c r="C197" s="29"/>
      <c r="D197" s="29"/>
      <c r="E197" s="29" t="str">
        <f>Sheet1!D73</f>
        <v>southern redbelly dace</v>
      </c>
      <c r="F197" s="29"/>
      <c r="G197" s="29"/>
      <c r="H197" s="29"/>
      <c r="I197" s="29"/>
      <c r="J197" s="29"/>
      <c r="K197" s="29">
        <f>Sheet1!H73</f>
        <v>0</v>
      </c>
      <c r="L197" s="29"/>
      <c r="M197" s="29"/>
      <c r="N197" s="29">
        <f>Sheet1!K73</f>
        <v>0</v>
      </c>
    </row>
    <row r="198" spans="1:14" ht="12.75">
      <c r="A198" s="29" t="str">
        <f>Sheet1!A74</f>
        <v>mule deer</v>
      </c>
      <c r="B198" s="29"/>
      <c r="C198" s="29"/>
      <c r="D198" s="29"/>
      <c r="E198" s="29" t="str">
        <f>Sheet1!D74</f>
        <v>plains minnow</v>
      </c>
      <c r="F198" s="29"/>
      <c r="G198" s="29"/>
      <c r="H198" s="29"/>
      <c r="I198" s="29"/>
      <c r="J198" s="29"/>
      <c r="K198" s="29">
        <f>Sheet1!H74</f>
        <v>0</v>
      </c>
      <c r="L198" s="29"/>
      <c r="M198" s="29"/>
      <c r="N198" s="29">
        <f>Sheet1!K74</f>
        <v>0</v>
      </c>
    </row>
    <row r="199" spans="1:14" ht="12.75">
      <c r="A199" s="29">
        <f>Sheet1!A75</f>
        <v>0</v>
      </c>
      <c r="B199" s="29"/>
      <c r="C199" s="29"/>
      <c r="D199" s="29"/>
      <c r="E199" s="29" t="str">
        <f>Sheet1!D75</f>
        <v>suckermouth minnow</v>
      </c>
      <c r="F199" s="29"/>
      <c r="G199" s="29"/>
      <c r="H199" s="29"/>
      <c r="I199" s="29"/>
      <c r="J199" s="29"/>
      <c r="K199" s="29">
        <f>Sheet1!H75</f>
        <v>0</v>
      </c>
      <c r="L199" s="29"/>
      <c r="M199" s="29"/>
      <c r="N199" s="29">
        <f>Sheet1!K75</f>
        <v>0</v>
      </c>
    </row>
    <row r="200" spans="1:14" ht="12.75">
      <c r="A200" s="29" t="str">
        <f>Sheet1!A76</f>
        <v>none</v>
      </c>
      <c r="B200" s="29"/>
      <c r="C200" s="29"/>
      <c r="D200" s="29"/>
      <c r="E200" s="29" t="str">
        <f>Sheet1!D76</f>
        <v>northern redbelly dace</v>
      </c>
      <c r="F200" s="29"/>
      <c r="G200" s="29"/>
      <c r="H200" s="29"/>
      <c r="I200" s="29"/>
      <c r="J200" s="29"/>
      <c r="K200" s="29">
        <f>Sheet1!H76</f>
        <v>0</v>
      </c>
      <c r="L200" s="29"/>
      <c r="M200" s="29"/>
      <c r="N200" s="29">
        <f>Sheet1!K76</f>
        <v>0</v>
      </c>
    </row>
    <row r="201" spans="1:14" ht="12.75">
      <c r="A201" s="29" t="str">
        <f>Sheet1!A77</f>
        <v>Colorado River cutthroat trout</v>
      </c>
      <c r="B201" s="29"/>
      <c r="C201" s="29"/>
      <c r="D201" s="29"/>
      <c r="E201" s="29" t="str">
        <f>Sheet1!D77</f>
        <v>lake chub</v>
      </c>
      <c r="F201" s="29"/>
      <c r="G201" s="29"/>
      <c r="H201" s="29"/>
      <c r="I201" s="29"/>
      <c r="J201" s="29"/>
      <c r="K201" s="29">
        <f>Sheet1!H77</f>
        <v>0</v>
      </c>
      <c r="L201" s="29"/>
      <c r="M201" s="29"/>
      <c r="N201" s="29">
        <f>Sheet1!K77</f>
        <v>0</v>
      </c>
    </row>
    <row r="202" spans="1:14" ht="12.75">
      <c r="A202" s="29" t="str">
        <f>Sheet1!A78</f>
        <v>Greenback cutthroat trout</v>
      </c>
      <c r="B202" s="29"/>
      <c r="C202" s="29"/>
      <c r="D202" s="29"/>
      <c r="E202" s="29">
        <f>Sheet1!D78</f>
        <v>0</v>
      </c>
      <c r="F202" s="29"/>
      <c r="G202" s="29"/>
      <c r="H202" s="29"/>
      <c r="I202" s="29"/>
      <c r="J202" s="29"/>
      <c r="K202" s="29">
        <f>Sheet1!H78</f>
        <v>0</v>
      </c>
      <c r="L202" s="29"/>
      <c r="M202" s="29"/>
      <c r="N202" s="29">
        <f>Sheet1!K78</f>
        <v>0</v>
      </c>
    </row>
    <row r="203" spans="1:14" ht="12.75">
      <c r="A203" s="29" t="str">
        <f>Sheet1!A79</f>
        <v>Rio Grande cutthroat trout</v>
      </c>
      <c r="B203" s="29"/>
      <c r="C203" s="29"/>
      <c r="D203" s="29"/>
      <c r="E203" s="29">
        <f>Sheet1!D79</f>
        <v>0</v>
      </c>
      <c r="F203" s="29"/>
      <c r="G203" s="29"/>
      <c r="H203" s="29"/>
      <c r="I203" s="29"/>
      <c r="J203" s="29"/>
      <c r="K203" s="29">
        <f>Sheet1!H79</f>
        <v>0</v>
      </c>
      <c r="L203" s="29"/>
      <c r="M203" s="29"/>
      <c r="N203" s="29">
        <f>Sheet1!K79</f>
        <v>0</v>
      </c>
    </row>
    <row r="204" spans="1:14" ht="12.75">
      <c r="A204" s="29" t="str">
        <f>Sheet1!A80</f>
        <v>Arkansas darter</v>
      </c>
      <c r="B204" s="29"/>
      <c r="C204" s="29"/>
      <c r="D204" s="29"/>
      <c r="E204" s="29">
        <f>Sheet1!D80</f>
        <v>0</v>
      </c>
      <c r="F204" s="29"/>
      <c r="G204" s="29"/>
      <c r="H204" s="29"/>
      <c r="I204" s="29"/>
      <c r="J204" s="29"/>
      <c r="K204" s="29">
        <f>Sheet1!H80</f>
        <v>0</v>
      </c>
      <c r="L204" s="29"/>
      <c r="M204" s="29"/>
      <c r="N204" s="29">
        <f>Sheet1!K80</f>
        <v>0</v>
      </c>
    </row>
    <row r="205" spans="1:14" ht="12.75">
      <c r="A205" s="29" t="str">
        <f>Sheet1!A81</f>
        <v>flathead chub</v>
      </c>
      <c r="B205" s="29"/>
      <c r="C205" s="29"/>
      <c r="D205" s="29"/>
      <c r="E205" s="29">
        <f>Sheet1!D81</f>
        <v>0</v>
      </c>
      <c r="F205" s="29"/>
      <c r="G205" s="29"/>
      <c r="H205" s="29"/>
      <c r="I205" s="29"/>
      <c r="J205" s="29"/>
      <c r="K205" s="29">
        <f>Sheet1!H81</f>
        <v>0</v>
      </c>
      <c r="L205" s="29"/>
      <c r="M205" s="29"/>
      <c r="N205" s="29"/>
    </row>
    <row r="206" spans="1:14" ht="12.75">
      <c r="A206" s="29" t="str">
        <f>Sheet1!A82</f>
        <v>speckled chub</v>
      </c>
      <c r="B206" s="29"/>
      <c r="C206" s="29"/>
      <c r="D206" s="29"/>
      <c r="E206" s="29">
        <f>Sheet1!D82</f>
        <v>0</v>
      </c>
      <c r="F206" s="29"/>
      <c r="G206" s="29"/>
      <c r="H206" s="29"/>
      <c r="I206" s="29"/>
      <c r="J206" s="29"/>
      <c r="K206" s="29">
        <f>Sheet1!H82</f>
        <v>0</v>
      </c>
      <c r="L206" s="29"/>
      <c r="M206" s="29"/>
      <c r="N206" s="29"/>
    </row>
    <row r="207" spans="1:14" ht="12.75">
      <c r="A207" s="29" t="str">
        <f>Sheet1!A83</f>
        <v>brassy minnow</v>
      </c>
      <c r="B207" s="29"/>
      <c r="C207" s="29"/>
      <c r="D207" s="29"/>
      <c r="E207" s="29">
        <f>Sheet1!D83</f>
        <v>0</v>
      </c>
      <c r="F207" s="29"/>
      <c r="G207" s="29"/>
      <c r="H207" s="29"/>
      <c r="I207" s="29"/>
      <c r="J207" s="29"/>
      <c r="K207" s="29">
        <f>Sheet1!H83</f>
        <v>0</v>
      </c>
      <c r="L207" s="29"/>
      <c r="M207" s="29"/>
      <c r="N207" s="29"/>
    </row>
    <row r="208" spans="1:14" ht="12.75">
      <c r="A208" s="29" t="str">
        <f>Sheet1!A84</f>
        <v>stonecat</v>
      </c>
      <c r="B208" s="29"/>
      <c r="C208" s="29"/>
      <c r="D208" s="29"/>
      <c r="E208" s="29">
        <f>Sheet1!D84</f>
        <v>0</v>
      </c>
      <c r="F208" s="29"/>
      <c r="G208" s="29"/>
      <c r="H208" s="29"/>
      <c r="I208" s="29"/>
      <c r="J208" s="29"/>
      <c r="K208" s="29">
        <f>Sheet1!H84</f>
        <v>0</v>
      </c>
      <c r="L208" s="29"/>
      <c r="M208" s="29"/>
      <c r="N208" s="29"/>
    </row>
    <row r="209" spans="1:14" ht="12.75">
      <c r="A209" s="29" t="str">
        <f>Sheet1!A85</f>
        <v>plains topminnow</v>
      </c>
      <c r="B209" s="29"/>
      <c r="C209" s="29"/>
      <c r="D209" s="29"/>
      <c r="E209" s="29">
        <f>Sheet1!D85</f>
        <v>0</v>
      </c>
      <c r="F209" s="29"/>
      <c r="G209" s="29"/>
      <c r="H209" s="29"/>
      <c r="I209" s="29"/>
      <c r="J209" s="29"/>
      <c r="K209" s="29">
        <f>Sheet1!H85</f>
        <v>0</v>
      </c>
      <c r="L209" s="29"/>
      <c r="M209" s="29"/>
      <c r="N209" s="29"/>
    </row>
    <row r="210" spans="1:14" ht="12.75">
      <c r="A210" s="29" t="str">
        <f>Sheet1!A86</f>
        <v>Iowa darter</v>
      </c>
      <c r="B210" s="29"/>
      <c r="C210" s="29"/>
      <c r="D210" s="29"/>
      <c r="E210" s="29">
        <f>Sheet1!D86</f>
        <v>0</v>
      </c>
      <c r="F210" s="29"/>
      <c r="G210" s="29"/>
      <c r="H210" s="29"/>
      <c r="I210" s="29"/>
      <c r="J210" s="29"/>
      <c r="K210" s="29"/>
      <c r="L210" s="29"/>
      <c r="M210" s="29"/>
      <c r="N210" s="29"/>
    </row>
    <row r="211" spans="1:14" ht="12.75">
      <c r="A211" s="29">
        <f>Sheet1!A87</f>
        <v>0</v>
      </c>
      <c r="B211" s="29"/>
      <c r="C211" s="29"/>
      <c r="D211" s="29"/>
      <c r="E211" s="29">
        <f>Sheet1!D87</f>
        <v>0</v>
      </c>
      <c r="F211" s="29"/>
      <c r="G211" s="29"/>
      <c r="H211" s="29"/>
      <c r="I211" s="29"/>
      <c r="J211" s="29"/>
      <c r="K211" s="29"/>
      <c r="L211" s="29"/>
      <c r="M211" s="29"/>
      <c r="N211" s="29"/>
    </row>
    <row r="212" spans="1:14" ht="12.75">
      <c r="A212" s="29">
        <f>Sheet1!A88</f>
        <v>0</v>
      </c>
      <c r="B212" s="29"/>
      <c r="C212" s="29"/>
      <c r="D212" s="29"/>
      <c r="E212" s="29">
        <f>Sheet1!D88</f>
        <v>0</v>
      </c>
      <c r="F212" s="29"/>
      <c r="G212" s="29"/>
      <c r="H212" s="29"/>
      <c r="I212" s="29"/>
      <c r="J212" s="29"/>
      <c r="K212" s="29"/>
      <c r="L212" s="29"/>
      <c r="M212" s="29"/>
      <c r="N212" s="29"/>
    </row>
    <row r="213" spans="1:14" ht="12.75">
      <c r="A213" s="29">
        <f>Sheet1!A89</f>
        <v>0</v>
      </c>
      <c r="B213" s="29"/>
      <c r="C213" s="29"/>
      <c r="D213" s="29"/>
      <c r="E213" s="29">
        <f>Sheet1!D89</f>
        <v>0</v>
      </c>
      <c r="F213" s="29"/>
      <c r="G213" s="29"/>
      <c r="H213" s="29"/>
      <c r="I213" s="29"/>
      <c r="J213" s="29"/>
      <c r="K213" s="29"/>
      <c r="L213" s="29"/>
      <c r="M213" s="29"/>
      <c r="N213" s="29"/>
    </row>
    <row r="214" spans="1:14" ht="12.75">
      <c r="A214" s="29">
        <f>Sheet1!A90</f>
        <v>0</v>
      </c>
      <c r="B214" s="29"/>
      <c r="C214" s="29"/>
      <c r="D214" s="29"/>
      <c r="E214" s="29">
        <f>Sheet1!D90</f>
        <v>0</v>
      </c>
      <c r="F214" s="29"/>
      <c r="G214" s="29"/>
      <c r="H214" s="29"/>
      <c r="I214" s="29"/>
      <c r="J214" s="29"/>
      <c r="K214" s="29"/>
      <c r="L214" s="29"/>
      <c r="M214" s="29"/>
      <c r="N214" s="29"/>
    </row>
    <row r="215" spans="1:14" ht="12.75">
      <c r="A215" s="29">
        <f>Sheet1!A91</f>
        <v>0</v>
      </c>
      <c r="B215" s="29"/>
      <c r="C215" s="29"/>
      <c r="D215" s="29"/>
      <c r="E215" s="29"/>
      <c r="F215" s="29"/>
      <c r="G215" s="29"/>
      <c r="H215" s="29"/>
      <c r="I215" s="29"/>
      <c r="J215" s="29"/>
      <c r="K215" s="29"/>
      <c r="L215" s="29"/>
      <c r="M215" s="29"/>
      <c r="N215" s="29"/>
    </row>
    <row r="216" spans="1:14" ht="12.75">
      <c r="A216" s="29">
        <f>Sheet1!A92</f>
        <v>0</v>
      </c>
      <c r="B216" s="29"/>
      <c r="C216" s="29"/>
      <c r="D216" s="29"/>
      <c r="E216" s="29"/>
      <c r="F216" s="29"/>
      <c r="G216" s="29"/>
      <c r="H216" s="29"/>
      <c r="I216" s="29"/>
      <c r="J216" s="29"/>
      <c r="K216" s="29"/>
      <c r="L216" s="29"/>
      <c r="M216" s="29"/>
      <c r="N216" s="29"/>
    </row>
    <row r="217" spans="1:14" ht="12.75">
      <c r="A217" s="29">
        <f>Sheet1!A93</f>
        <v>0</v>
      </c>
      <c r="B217" s="29"/>
      <c r="C217" s="29"/>
      <c r="D217" s="29"/>
      <c r="E217" s="29"/>
      <c r="F217" s="29"/>
      <c r="G217" s="29"/>
      <c r="H217" s="29"/>
      <c r="I217" s="29"/>
      <c r="J217" s="29"/>
      <c r="K217" s="29"/>
      <c r="L217" s="29"/>
      <c r="M217" s="29"/>
      <c r="N217" s="29"/>
    </row>
    <row r="218" spans="1:14" ht="12.75">
      <c r="A218" s="29">
        <f>Sheet1!A94</f>
        <v>0</v>
      </c>
      <c r="B218" s="29"/>
      <c r="C218" s="29"/>
      <c r="D218" s="29"/>
      <c r="E218" s="29"/>
      <c r="F218" s="29"/>
      <c r="G218" s="29"/>
      <c r="H218" s="29"/>
      <c r="I218" s="29"/>
      <c r="J218" s="29"/>
      <c r="K218" s="29"/>
      <c r="L218" s="29"/>
      <c r="M218" s="29"/>
      <c r="N218" s="29"/>
    </row>
    <row r="219" spans="1:14" ht="12.75">
      <c r="A219" s="29">
        <f>Sheet1!A95</f>
        <v>0</v>
      </c>
      <c r="B219" s="29"/>
      <c r="C219" s="29"/>
      <c r="D219" s="29"/>
      <c r="E219" s="29"/>
      <c r="F219" s="29"/>
      <c r="G219" s="29"/>
      <c r="H219" s="29"/>
      <c r="I219" s="29"/>
      <c r="J219" s="29"/>
      <c r="K219" s="29"/>
      <c r="L219" s="29"/>
      <c r="M219" s="29"/>
      <c r="N219" s="29"/>
    </row>
    <row r="220" spans="1:14" ht="12.75">
      <c r="A220" s="29">
        <f>Sheet1!A96</f>
        <v>0</v>
      </c>
      <c r="B220" s="29"/>
      <c r="C220" s="29"/>
      <c r="D220" s="29"/>
      <c r="E220" s="29"/>
      <c r="F220" s="29"/>
      <c r="G220" s="29"/>
      <c r="H220" s="29"/>
      <c r="I220" s="29"/>
      <c r="J220" s="29"/>
      <c r="K220" s="29"/>
      <c r="L220" s="29"/>
      <c r="M220" s="29"/>
      <c r="N220" s="29"/>
    </row>
    <row r="221" spans="1:14" ht="12.75">
      <c r="A221" s="29">
        <f>Sheet1!A97</f>
        <v>0</v>
      </c>
      <c r="B221" s="29"/>
      <c r="C221" s="29"/>
      <c r="D221" s="29"/>
      <c r="E221" s="29"/>
      <c r="F221" s="29"/>
      <c r="G221" s="29"/>
      <c r="H221" s="29"/>
      <c r="I221" s="29"/>
      <c r="J221" s="29"/>
      <c r="K221" s="29"/>
      <c r="L221" s="29"/>
      <c r="M221" s="29"/>
      <c r="N221" s="29"/>
    </row>
  </sheetData>
  <sheetProtection sheet="1" objects="1" scenarios="1"/>
  <mergeCells count="117">
    <mergeCell ref="C112:R112"/>
    <mergeCell ref="A113:R113"/>
    <mergeCell ref="C116:H116"/>
    <mergeCell ref="B95:B97"/>
    <mergeCell ref="C95:I97"/>
    <mergeCell ref="L96:P96"/>
    <mergeCell ref="C118:H118"/>
    <mergeCell ref="L114:R114"/>
    <mergeCell ref="L115:R120"/>
    <mergeCell ref="C115:H115"/>
    <mergeCell ref="C117:I117"/>
    <mergeCell ref="C42:R42"/>
    <mergeCell ref="M34:M35"/>
    <mergeCell ref="Q41:R41"/>
    <mergeCell ref="K53:M54"/>
    <mergeCell ref="B34:J35"/>
    <mergeCell ref="K34:K35"/>
    <mergeCell ref="B39:J39"/>
    <mergeCell ref="A43:R43"/>
    <mergeCell ref="A44:I45"/>
    <mergeCell ref="C51:R51"/>
    <mergeCell ref="L88:P88"/>
    <mergeCell ref="J46:K46"/>
    <mergeCell ref="A72:R72"/>
    <mergeCell ref="Q71:R71"/>
    <mergeCell ref="A52:R52"/>
    <mergeCell ref="N56:O56"/>
    <mergeCell ref="N58:O58"/>
    <mergeCell ref="A49:I50"/>
    <mergeCell ref="J47:K47"/>
    <mergeCell ref="C64:C65"/>
    <mergeCell ref="A4:B6"/>
    <mergeCell ref="P4:Q4"/>
    <mergeCell ref="I4:O4"/>
    <mergeCell ref="I6:L7"/>
    <mergeCell ref="M6:N7"/>
    <mergeCell ref="A7:B7"/>
    <mergeCell ref="Q6:Q7"/>
    <mergeCell ref="C4:H6"/>
    <mergeCell ref="O6:P7"/>
    <mergeCell ref="B24:B26"/>
    <mergeCell ref="E25:L25"/>
    <mergeCell ref="B15:P15"/>
    <mergeCell ref="B21:B23"/>
    <mergeCell ref="A19:R19"/>
    <mergeCell ref="C21:M21"/>
    <mergeCell ref="C24:M24"/>
    <mergeCell ref="E22:L22"/>
    <mergeCell ref="O21:Q25"/>
    <mergeCell ref="C8:E8"/>
    <mergeCell ref="A10:R10"/>
    <mergeCell ref="A17:R17"/>
    <mergeCell ref="C18:R18"/>
    <mergeCell ref="A9:B9"/>
    <mergeCell ref="C9:H9"/>
    <mergeCell ref="B13:P13"/>
    <mergeCell ref="B11:P11"/>
    <mergeCell ref="B12:P12"/>
    <mergeCell ref="A14:Q14"/>
    <mergeCell ref="A1:R1"/>
    <mergeCell ref="N8:P8"/>
    <mergeCell ref="G8:H8"/>
    <mergeCell ref="I2:K2"/>
    <mergeCell ref="Q8:R8"/>
    <mergeCell ref="I8:K8"/>
    <mergeCell ref="C7:H7"/>
    <mergeCell ref="A8:B8"/>
    <mergeCell ref="C2:H3"/>
    <mergeCell ref="A2:B3"/>
    <mergeCell ref="B89:B91"/>
    <mergeCell ref="A62:R62"/>
    <mergeCell ref="L87:P87"/>
    <mergeCell ref="B86:B88"/>
    <mergeCell ref="L89:P89"/>
    <mergeCell ref="L90:P90"/>
    <mergeCell ref="C73:K73"/>
    <mergeCell ref="L73:R74"/>
    <mergeCell ref="D77:H77"/>
    <mergeCell ref="C86:I88"/>
    <mergeCell ref="B92:B94"/>
    <mergeCell ref="C92:I94"/>
    <mergeCell ref="Q111:R111"/>
    <mergeCell ref="L94:P94"/>
    <mergeCell ref="C104:I104"/>
    <mergeCell ref="Q110:R110"/>
    <mergeCell ref="Q100:R100"/>
    <mergeCell ref="C101:R101"/>
    <mergeCell ref="A102:R102"/>
    <mergeCell ref="L95:P95"/>
    <mergeCell ref="C89:I91"/>
    <mergeCell ref="D76:H76"/>
    <mergeCell ref="J81:K81"/>
    <mergeCell ref="C61:R61"/>
    <mergeCell ref="D78:H78"/>
    <mergeCell ref="C66:C67"/>
    <mergeCell ref="C68:C69"/>
    <mergeCell ref="D64:L65"/>
    <mergeCell ref="D66:L67"/>
    <mergeCell ref="D68:L69"/>
    <mergeCell ref="L92:P92"/>
    <mergeCell ref="L97:P97"/>
    <mergeCell ref="L93:P93"/>
    <mergeCell ref="Q60:R60"/>
    <mergeCell ref="L91:P91"/>
    <mergeCell ref="C82:R82"/>
    <mergeCell ref="A83:R83"/>
    <mergeCell ref="L86:P86"/>
    <mergeCell ref="D79:H79"/>
    <mergeCell ref="L75:R81"/>
    <mergeCell ref="C29:M29"/>
    <mergeCell ref="C30:M30"/>
    <mergeCell ref="C31:M31"/>
    <mergeCell ref="E36:L36"/>
    <mergeCell ref="J45:K45"/>
    <mergeCell ref="Q50:R50"/>
    <mergeCell ref="A53:H54"/>
    <mergeCell ref="N54:O54"/>
  </mergeCells>
  <dataValidations count="18">
    <dataValidation type="list" allowBlank="1" showInputMessage="1" showErrorMessage="1" sqref="C7:H7">
      <formula1>$A$125:$A$141</formula1>
    </dataValidation>
    <dataValidation type="list" allowBlank="1" showInputMessage="1" showErrorMessage="1" sqref="C8:E8">
      <formula1>$F$125:$F$179</formula1>
    </dataValidation>
    <dataValidation type="list" allowBlank="1" showInputMessage="1" showErrorMessage="1" sqref="Q15 Q11:Q13">
      <formula1>$L$2:$L$3</formula1>
    </dataValidation>
    <dataValidation type="list" allowBlank="1" showInputMessage="1" showErrorMessage="1" sqref="E22:L22">
      <formula1>$A$170:$A$174</formula1>
    </dataValidation>
    <dataValidation type="list" allowBlank="1" showInputMessage="1" showErrorMessage="1" sqref="C4:H6">
      <formula1>$A$145:$A$155</formula1>
    </dataValidation>
    <dataValidation type="list" allowBlank="1" showInputMessage="1" showErrorMessage="1" sqref="L86:P86">
      <formula1>$A$181:$A$193</formula1>
    </dataValidation>
    <dataValidation type="list" allowBlank="1" showInputMessage="1" showErrorMessage="1" sqref="L87:P87">
      <formula1>$A$195:$A$198</formula1>
    </dataValidation>
    <dataValidation type="list" allowBlank="1" showInputMessage="1" showErrorMessage="1" sqref="L88:P88">
      <formula1>$A$200:$A$210</formula1>
    </dataValidation>
    <dataValidation type="list" allowBlank="1" showInputMessage="1" showErrorMessage="1" sqref="L89:P89">
      <formula1>$E$181:$E$186</formula1>
    </dataValidation>
    <dataValidation type="list" allowBlank="1" showInputMessage="1" showErrorMessage="1" sqref="L90:P90">
      <formula1>$E$188:$E$190</formula1>
    </dataValidation>
    <dataValidation type="list" allowBlank="1" showInputMessage="1" showErrorMessage="1" sqref="L91:P91">
      <formula1>$E$192:$E$201</formula1>
    </dataValidation>
    <dataValidation type="list" allowBlank="1" showInputMessage="1" showErrorMessage="1" sqref="L92:P92">
      <formula1>$K$181:$K$186</formula1>
    </dataValidation>
    <dataValidation type="list" allowBlank="1" showInputMessage="1" showErrorMessage="1" sqref="L93:P93">
      <formula1>$K$188:$K$193</formula1>
    </dataValidation>
    <dataValidation type="list" allowBlank="1" showInputMessage="1" showErrorMessage="1" sqref="L94:P94">
      <formula1>$K$195:$K$196</formula1>
    </dataValidation>
    <dataValidation type="list" allowBlank="1" showInputMessage="1" showErrorMessage="1" sqref="L95:P95">
      <formula1>$N$181:$N$187</formula1>
    </dataValidation>
    <dataValidation type="list" allowBlank="1" showInputMessage="1" showErrorMessage="1" sqref="L96:P96">
      <formula1>$N$189:$N$190</formula1>
    </dataValidation>
    <dataValidation type="list" allowBlank="1" showInputMessage="1" showErrorMessage="1" sqref="L97:P97">
      <formula1>$N$192:$N$193</formula1>
    </dataValidation>
    <dataValidation type="list" allowBlank="1" showInputMessage="1" showErrorMessage="1" sqref="C116:H116">
      <formula1>$A$158:$A$164</formula1>
    </dataValidation>
  </dataValidations>
  <printOptions/>
  <pageMargins left="0.75" right="0.41" top="0.97" bottom="0.62" header="0.46" footer="0.37"/>
  <pageSetup horizontalDpi="600" verticalDpi="600" orientation="portrait" scale="83" r:id="rId3"/>
  <headerFooter alignWithMargins="0">
    <oddHeader>&amp;L&amp;N&amp;C&amp;"Comic Sans MS,Regular"&amp;14Environmental Quality Incentive Program (EQIP)
Lower Arkansas River Watershed-Wildlife Ranking Worksheet (C4)</oddHeader>
    <oddFooter>&amp;L&amp;12February 02, 2004&amp;C&amp;12Page &amp;P of &amp;N&amp;R&amp;12USDA-NRCS, Area 3, La Junta, CO</oddFooter>
  </headerFooter>
  <rowBreaks count="2" manualBreakCount="2">
    <brk id="50" max="17" man="1"/>
    <brk id="100" max="17" man="1"/>
  </rowBreaks>
  <legacyDrawing r:id="rId2"/>
</worksheet>
</file>

<file path=xl/worksheets/sheet5.xml><?xml version="1.0" encoding="utf-8"?>
<worksheet xmlns="http://schemas.openxmlformats.org/spreadsheetml/2006/main" xmlns:r="http://schemas.openxmlformats.org/officeDocument/2006/relationships">
  <dimension ref="A1:X184"/>
  <sheetViews>
    <sheetView showGridLines="0" workbookViewId="0" topLeftCell="A1">
      <selection activeCell="Q13" sqref="Q13"/>
    </sheetView>
  </sheetViews>
  <sheetFormatPr defaultColWidth="9.140625" defaultRowHeight="12.75"/>
  <cols>
    <col min="1" max="1" width="5.8515625" style="65" customWidth="1"/>
    <col min="2" max="2" width="7.8515625" style="65" customWidth="1"/>
    <col min="3" max="3" width="5.140625" style="65" customWidth="1"/>
    <col min="4" max="4" width="2.28125" style="65" customWidth="1"/>
    <col min="5" max="5" width="9.57421875" style="65" customWidth="1"/>
    <col min="6" max="6" width="9.421875" style="65" customWidth="1"/>
    <col min="7" max="7" width="9.57421875" style="65" customWidth="1"/>
    <col min="8" max="8" width="5.00390625" style="65" customWidth="1"/>
    <col min="9" max="10" width="5.57421875" style="65" customWidth="1"/>
    <col min="11" max="11" width="3.28125" style="65" customWidth="1"/>
    <col min="12" max="12" width="8.28125" style="65" customWidth="1"/>
    <col min="13" max="14" width="6.00390625" style="65" customWidth="1"/>
    <col min="15" max="15" width="6.421875" style="65" customWidth="1"/>
    <col min="16" max="18" width="6.00390625" style="65" customWidth="1"/>
    <col min="19" max="19" width="4.7109375" style="0" customWidth="1"/>
    <col min="20" max="20" width="13.28125" style="30" customWidth="1"/>
    <col min="21" max="21" width="9.140625" style="29" customWidth="1"/>
    <col min="22" max="24" width="9.140625" style="23" customWidth="1"/>
  </cols>
  <sheetData>
    <row r="1" spans="1:22" ht="18.75" customHeight="1" thickBot="1">
      <c r="A1" s="1784" t="s">
        <v>515</v>
      </c>
      <c r="B1" s="1785"/>
      <c r="C1" s="1785"/>
      <c r="D1" s="1785"/>
      <c r="E1" s="1785"/>
      <c r="F1" s="1785"/>
      <c r="G1" s="1785"/>
      <c r="H1" s="1785"/>
      <c r="I1" s="1785"/>
      <c r="J1" s="1785"/>
      <c r="K1" s="1785"/>
      <c r="L1" s="1785"/>
      <c r="M1" s="1785"/>
      <c r="N1" s="1785"/>
      <c r="O1" s="1785"/>
      <c r="P1" s="1785"/>
      <c r="Q1" s="1785"/>
      <c r="R1" s="1786"/>
      <c r="T1" s="32"/>
      <c r="U1" s="31"/>
      <c r="V1" s="22"/>
    </row>
    <row r="2" spans="1:22" ht="13.5" customHeight="1">
      <c r="A2" s="1809" t="s">
        <v>614</v>
      </c>
      <c r="B2" s="1810"/>
      <c r="C2" s="1805"/>
      <c r="D2" s="1806"/>
      <c r="E2" s="1806"/>
      <c r="F2" s="1806"/>
      <c r="G2" s="1807"/>
      <c r="H2" s="1789" t="s">
        <v>602</v>
      </c>
      <c r="I2" s="1790"/>
      <c r="J2" s="1790"/>
      <c r="K2" s="1791"/>
      <c r="L2" s="846" t="s">
        <v>671</v>
      </c>
      <c r="M2" s="52"/>
      <c r="N2" s="53"/>
      <c r="O2" s="52"/>
      <c r="P2" s="53"/>
      <c r="Q2" s="52"/>
      <c r="R2" s="54"/>
      <c r="T2" s="32"/>
      <c r="U2" s="31"/>
      <c r="V2" s="22"/>
    </row>
    <row r="3" spans="1:22" ht="14.25" customHeight="1">
      <c r="A3" s="1811"/>
      <c r="B3" s="1812"/>
      <c r="C3" s="1808"/>
      <c r="D3" s="1701"/>
      <c r="E3" s="1701"/>
      <c r="F3" s="1701"/>
      <c r="G3" s="1702"/>
      <c r="H3" s="1802" t="s">
        <v>615</v>
      </c>
      <c r="I3" s="1803"/>
      <c r="J3" s="1803"/>
      <c r="K3" s="1804"/>
      <c r="L3" s="847" t="s">
        <v>672</v>
      </c>
      <c r="M3" s="55"/>
      <c r="N3" s="56"/>
      <c r="O3" s="56"/>
      <c r="P3" s="55"/>
      <c r="Q3" s="56"/>
      <c r="R3" s="57"/>
      <c r="T3" s="32"/>
      <c r="U3" s="31"/>
      <c r="V3" s="22"/>
    </row>
    <row r="4" spans="1:22" ht="15" customHeight="1">
      <c r="A4" s="1752" t="s">
        <v>767</v>
      </c>
      <c r="B4" s="1753"/>
      <c r="C4" s="1699"/>
      <c r="D4" s="1699"/>
      <c r="E4" s="1699"/>
      <c r="F4" s="1699"/>
      <c r="G4" s="1700"/>
      <c r="H4" s="1690" t="s">
        <v>211</v>
      </c>
      <c r="I4" s="1691"/>
      <c r="J4" s="1691"/>
      <c r="K4" s="1691"/>
      <c r="L4" s="1691"/>
      <c r="M4" s="1692"/>
      <c r="N4" s="1686">
        <v>0</v>
      </c>
      <c r="O4" s="1687"/>
      <c r="P4" s="1787" t="s">
        <v>735</v>
      </c>
      <c r="Q4" s="1794"/>
      <c r="R4" s="1795"/>
      <c r="T4" s="32"/>
      <c r="U4" s="31"/>
      <c r="V4" s="22"/>
    </row>
    <row r="5" spans="1:22" ht="12.75">
      <c r="A5" s="1693"/>
      <c r="B5" s="1695"/>
      <c r="C5" s="1701"/>
      <c r="D5" s="1701"/>
      <c r="E5" s="1701"/>
      <c r="F5" s="1701"/>
      <c r="G5" s="1702"/>
      <c r="H5" s="1693"/>
      <c r="I5" s="1694"/>
      <c r="J5" s="1694"/>
      <c r="K5" s="1694"/>
      <c r="L5" s="1694"/>
      <c r="M5" s="1695"/>
      <c r="N5" s="1688"/>
      <c r="O5" s="1689"/>
      <c r="P5" s="1788"/>
      <c r="Q5" s="1796"/>
      <c r="R5" s="1797"/>
      <c r="T5" s="32"/>
      <c r="U5" s="31"/>
      <c r="V5" s="22"/>
    </row>
    <row r="6" spans="1:22" ht="15.75" customHeight="1">
      <c r="A6" s="1703" t="s">
        <v>603</v>
      </c>
      <c r="B6" s="1704"/>
      <c r="C6" s="1792"/>
      <c r="D6" s="1792"/>
      <c r="E6" s="1792"/>
      <c r="F6" s="1792"/>
      <c r="G6" s="1793"/>
      <c r="H6" s="1757" t="s">
        <v>1</v>
      </c>
      <c r="I6" s="1758"/>
      <c r="J6" s="1758"/>
      <c r="K6" s="1758"/>
      <c r="L6" s="1759"/>
      <c r="M6" s="1763">
        <v>0</v>
      </c>
      <c r="N6" s="1764"/>
      <c r="O6" s="1767" t="s">
        <v>605</v>
      </c>
      <c r="P6" s="1768"/>
      <c r="Q6" s="1798">
        <f>SUM(Q22,Q33,Q44,J69,J87)</f>
        <v>0</v>
      </c>
      <c r="R6" s="1799"/>
      <c r="T6" s="32"/>
      <c r="U6" s="31"/>
      <c r="V6" s="22"/>
    </row>
    <row r="7" spans="1:22" ht="15" customHeight="1" thickBot="1">
      <c r="A7" s="1705" t="s">
        <v>604</v>
      </c>
      <c r="B7" s="1706"/>
      <c r="C7" s="1696"/>
      <c r="D7" s="1697"/>
      <c r="E7" s="1698"/>
      <c r="F7" s="144" t="s">
        <v>616</v>
      </c>
      <c r="G7" s="106">
        <f ca="1">IF(C7="","",NOW())</f>
      </c>
      <c r="H7" s="1760"/>
      <c r="I7" s="1761"/>
      <c r="J7" s="1761"/>
      <c r="K7" s="1761"/>
      <c r="L7" s="1762"/>
      <c r="M7" s="1765"/>
      <c r="N7" s="1766"/>
      <c r="O7" s="1769"/>
      <c r="P7" s="1770"/>
      <c r="Q7" s="1800"/>
      <c r="R7" s="1801"/>
      <c r="T7" s="32"/>
      <c r="U7" s="31"/>
      <c r="V7" s="22"/>
    </row>
    <row r="8" spans="1:22" ht="17.25" customHeight="1" thickBot="1">
      <c r="A8" s="925" t="s">
        <v>823</v>
      </c>
      <c r="B8" s="924"/>
      <c r="C8" s="1781">
        <f>IF(G7="","",IF($R$11&gt;0,"LOW PRIORITY",IF(Q13="YES","HIGH PRIORITY","MEDIUM PRIORITY")))</f>
      </c>
      <c r="D8" s="1782"/>
      <c r="E8" s="1782"/>
      <c r="F8" s="1782"/>
      <c r="G8" s="1783"/>
      <c r="H8" s="145"/>
      <c r="I8" s="145"/>
      <c r="J8" s="145"/>
      <c r="K8" s="145"/>
      <c r="L8" s="145"/>
      <c r="M8" s="69"/>
      <c r="N8" s="69"/>
      <c r="O8" s="146"/>
      <c r="P8" s="146"/>
      <c r="Q8" s="147"/>
      <c r="R8" s="148"/>
      <c r="T8" s="32"/>
      <c r="U8" s="31"/>
      <c r="V8" s="22"/>
    </row>
    <row r="9" spans="1:22" ht="17.25" customHeight="1" thickBot="1">
      <c r="A9" s="1771" t="s">
        <v>516</v>
      </c>
      <c r="B9" s="1772"/>
      <c r="C9" s="1772"/>
      <c r="D9" s="1772"/>
      <c r="E9" s="1772"/>
      <c r="F9" s="1772"/>
      <c r="G9" s="1772"/>
      <c r="H9" s="1772"/>
      <c r="I9" s="1772"/>
      <c r="J9" s="1772"/>
      <c r="K9" s="1772"/>
      <c r="L9" s="1772"/>
      <c r="M9" s="1775"/>
      <c r="N9" s="1775"/>
      <c r="O9" s="1772"/>
      <c r="P9" s="1772"/>
      <c r="Q9" s="1772"/>
      <c r="R9" s="1773"/>
      <c r="T9" s="23"/>
      <c r="U9" s="31"/>
      <c r="V9" s="22"/>
    </row>
    <row r="10" spans="1:22" ht="42" customHeight="1" thickBot="1">
      <c r="A10" s="149" t="s">
        <v>541</v>
      </c>
      <c r="B10" s="1777" t="s">
        <v>534</v>
      </c>
      <c r="C10" s="1777"/>
      <c r="D10" s="1777"/>
      <c r="E10" s="1777"/>
      <c r="F10" s="1777"/>
      <c r="G10" s="1777"/>
      <c r="H10" s="1777"/>
      <c r="I10" s="1777"/>
      <c r="J10" s="1777"/>
      <c r="K10" s="1777"/>
      <c r="L10" s="1777"/>
      <c r="M10" s="1777"/>
      <c r="N10" s="1777"/>
      <c r="O10" s="1777"/>
      <c r="P10" s="1777"/>
      <c r="Q10" s="127"/>
      <c r="R10" s="150"/>
      <c r="T10" s="32"/>
      <c r="U10" s="31"/>
      <c r="V10" s="22"/>
    </row>
    <row r="11" spans="1:22" ht="27.75" customHeight="1" thickBot="1">
      <c r="A11" s="151" t="s">
        <v>542</v>
      </c>
      <c r="B11" s="1776" t="s">
        <v>279</v>
      </c>
      <c r="C11" s="1776"/>
      <c r="D11" s="1776"/>
      <c r="E11" s="1776"/>
      <c r="F11" s="1776"/>
      <c r="G11" s="1776"/>
      <c r="H11" s="1776"/>
      <c r="I11" s="1776"/>
      <c r="J11" s="1776"/>
      <c r="K11" s="1776"/>
      <c r="L11" s="1776"/>
      <c r="M11" s="1776"/>
      <c r="N11" s="1776"/>
      <c r="O11" s="1776"/>
      <c r="P11" s="1776"/>
      <c r="Q11" s="128"/>
      <c r="R11" s="152">
        <f>COUNTIF(Q10:Q11,"YES")</f>
        <v>0</v>
      </c>
      <c r="T11" s="32"/>
      <c r="U11" s="31"/>
      <c r="V11" s="22"/>
    </row>
    <row r="12" spans="1:22" ht="45.75" customHeight="1" thickBot="1">
      <c r="A12" s="1778" t="s">
        <v>533</v>
      </c>
      <c r="B12" s="1779"/>
      <c r="C12" s="1779"/>
      <c r="D12" s="1779"/>
      <c r="E12" s="1779"/>
      <c r="F12" s="1779"/>
      <c r="G12" s="1779"/>
      <c r="H12" s="1779"/>
      <c r="I12" s="1779"/>
      <c r="J12" s="1779"/>
      <c r="K12" s="1779"/>
      <c r="L12" s="1779"/>
      <c r="M12" s="1779"/>
      <c r="N12" s="1779"/>
      <c r="O12" s="1779"/>
      <c r="P12" s="1779"/>
      <c r="Q12" s="1780"/>
      <c r="R12" s="153"/>
      <c r="T12" s="32"/>
      <c r="U12" s="31"/>
      <c r="V12" s="22"/>
    </row>
    <row r="13" spans="1:22" ht="27" customHeight="1" thickBot="1">
      <c r="A13" s="154" t="s">
        <v>364</v>
      </c>
      <c r="B13" s="1681" t="s">
        <v>790</v>
      </c>
      <c r="C13" s="1681"/>
      <c r="D13" s="1681"/>
      <c r="E13" s="1681"/>
      <c r="F13" s="1681"/>
      <c r="G13" s="1681"/>
      <c r="H13" s="1681"/>
      <c r="I13" s="1681"/>
      <c r="J13" s="1681"/>
      <c r="K13" s="1681"/>
      <c r="L13" s="1681"/>
      <c r="M13" s="1681"/>
      <c r="N13" s="1681"/>
      <c r="O13" s="1681"/>
      <c r="P13" s="1682"/>
      <c r="Q13" s="129"/>
      <c r="R13" s="155"/>
      <c r="T13" s="32"/>
      <c r="U13" s="31"/>
      <c r="V13" s="22"/>
    </row>
    <row r="14" spans="1:22" ht="15" customHeight="1" thickBot="1">
      <c r="A14" s="1683" t="s">
        <v>791</v>
      </c>
      <c r="B14" s="1684"/>
      <c r="C14" s="1684"/>
      <c r="D14" s="1684"/>
      <c r="E14" s="1684"/>
      <c r="F14" s="1684"/>
      <c r="G14" s="1684"/>
      <c r="H14" s="1684"/>
      <c r="I14" s="1684"/>
      <c r="J14" s="1684"/>
      <c r="K14" s="1684"/>
      <c r="L14" s="1684"/>
      <c r="M14" s="1684"/>
      <c r="N14" s="1684"/>
      <c r="O14" s="1684"/>
      <c r="P14" s="1684"/>
      <c r="Q14" s="1685"/>
      <c r="R14" s="153"/>
      <c r="T14" s="32"/>
      <c r="U14" s="31"/>
      <c r="V14" s="22"/>
    </row>
    <row r="15" spans="1:22" ht="17.25" customHeight="1" thickBot="1">
      <c r="A15" s="1771" t="s">
        <v>517</v>
      </c>
      <c r="B15" s="1772"/>
      <c r="C15" s="1772"/>
      <c r="D15" s="1772"/>
      <c r="E15" s="1772"/>
      <c r="F15" s="1772"/>
      <c r="G15" s="1772"/>
      <c r="H15" s="1772"/>
      <c r="I15" s="1772"/>
      <c r="J15" s="1772"/>
      <c r="K15" s="1772"/>
      <c r="L15" s="1772"/>
      <c r="M15" s="1772"/>
      <c r="N15" s="1772"/>
      <c r="O15" s="1772"/>
      <c r="P15" s="1772"/>
      <c r="Q15" s="1772"/>
      <c r="R15" s="1773"/>
      <c r="T15" s="32"/>
      <c r="U15" s="31"/>
      <c r="V15" s="22"/>
    </row>
    <row r="16" spans="1:22" ht="15.75">
      <c r="A16" s="1738" t="s">
        <v>798</v>
      </c>
      <c r="B16" s="1734"/>
      <c r="C16" s="1734"/>
      <c r="D16" s="1734" t="s">
        <v>754</v>
      </c>
      <c r="E16" s="1734"/>
      <c r="F16" s="1734"/>
      <c r="G16" s="1734"/>
      <c r="H16" s="1734"/>
      <c r="I16" s="1734"/>
      <c r="J16" s="1734"/>
      <c r="K16" s="1734"/>
      <c r="L16" s="1734"/>
      <c r="M16" s="1734"/>
      <c r="N16" s="1734"/>
      <c r="O16" s="1734"/>
      <c r="P16" s="1734"/>
      <c r="Q16" s="1734"/>
      <c r="R16" s="1735"/>
      <c r="T16" s="32"/>
      <c r="U16" s="31"/>
      <c r="V16" s="22"/>
    </row>
    <row r="17" spans="1:22" ht="13.5" thickBot="1">
      <c r="A17" s="1707" t="s">
        <v>753</v>
      </c>
      <c r="B17" s="1708"/>
      <c r="C17" s="1708"/>
      <c r="D17" s="1708"/>
      <c r="E17" s="1708"/>
      <c r="F17" s="1708"/>
      <c r="G17" s="1708"/>
      <c r="H17" s="1708"/>
      <c r="I17" s="1708"/>
      <c r="J17" s="1708"/>
      <c r="K17" s="1708"/>
      <c r="L17" s="1708"/>
      <c r="M17" s="1708"/>
      <c r="N17" s="1708"/>
      <c r="O17" s="1708"/>
      <c r="P17" s="1708"/>
      <c r="Q17" s="1708"/>
      <c r="R17" s="1709"/>
      <c r="T17" s="32"/>
      <c r="U17" s="31"/>
      <c r="V17" s="22"/>
    </row>
    <row r="18" spans="1:22" ht="16.5" customHeight="1" thickTop="1">
      <c r="A18" s="1732"/>
      <c r="B18" s="1774"/>
      <c r="C18" s="157"/>
      <c r="D18" s="157"/>
      <c r="E18" s="157"/>
      <c r="F18" s="157"/>
      <c r="G18" s="157"/>
      <c r="H18" s="157"/>
      <c r="I18" s="157"/>
      <c r="J18" s="157"/>
      <c r="K18" s="157"/>
      <c r="L18" s="157"/>
      <c r="M18" s="157"/>
      <c r="N18" s="157"/>
      <c r="O18" s="157"/>
      <c r="P18" s="157"/>
      <c r="Q18" s="157"/>
      <c r="R18" s="158"/>
      <c r="T18" s="32"/>
      <c r="U18" s="31"/>
      <c r="V18" s="22"/>
    </row>
    <row r="19" spans="1:22" ht="24" customHeight="1">
      <c r="A19" s="1732"/>
      <c r="B19" s="1733"/>
      <c r="C19" s="58"/>
      <c r="D19" s="1748" t="s">
        <v>807</v>
      </c>
      <c r="E19" s="1749"/>
      <c r="F19" s="1749"/>
      <c r="G19" s="1749"/>
      <c r="H19" s="1749"/>
      <c r="I19" s="1749"/>
      <c r="J19" s="1749"/>
      <c r="K19" s="1749"/>
      <c r="L19" s="1749"/>
      <c r="M19" s="1749"/>
      <c r="N19" s="1749"/>
      <c r="O19" s="1749"/>
      <c r="P19" s="1750"/>
      <c r="Q19" s="157"/>
      <c r="R19" s="158"/>
      <c r="T19" s="48"/>
      <c r="U19" s="31"/>
      <c r="V19" s="22"/>
    </row>
    <row r="20" spans="1:22" ht="24" customHeight="1">
      <c r="A20" s="1732"/>
      <c r="B20" s="1733"/>
      <c r="C20" s="59"/>
      <c r="D20" s="1754" t="s">
        <v>751</v>
      </c>
      <c r="E20" s="1755"/>
      <c r="F20" s="1755"/>
      <c r="G20" s="1755"/>
      <c r="H20" s="1755"/>
      <c r="I20" s="1755"/>
      <c r="J20" s="1755"/>
      <c r="K20" s="1755"/>
      <c r="L20" s="1755"/>
      <c r="M20" s="1755"/>
      <c r="N20" s="1755"/>
      <c r="O20" s="1755"/>
      <c r="P20" s="1756"/>
      <c r="Q20" s="157"/>
      <c r="R20" s="159">
        <v>2</v>
      </c>
      <c r="T20" s="32"/>
      <c r="U20" s="31"/>
      <c r="V20" s="22"/>
    </row>
    <row r="21" spans="1:22" ht="8.25" customHeight="1" thickBot="1">
      <c r="A21" s="160"/>
      <c r="B21" s="157"/>
      <c r="C21" s="161"/>
      <c r="D21" s="162"/>
      <c r="E21" s="162"/>
      <c r="F21" s="162"/>
      <c r="G21" s="162"/>
      <c r="H21" s="162"/>
      <c r="I21" s="162"/>
      <c r="J21" s="162"/>
      <c r="K21" s="162"/>
      <c r="L21" s="162"/>
      <c r="M21" s="162"/>
      <c r="N21" s="162"/>
      <c r="O21" s="162"/>
      <c r="P21" s="162"/>
      <c r="Q21" s="157"/>
      <c r="R21" s="158"/>
      <c r="T21" s="32"/>
      <c r="U21" s="31"/>
      <c r="V21" s="22"/>
    </row>
    <row r="22" spans="1:22" ht="15.75" customHeight="1" thickBot="1">
      <c r="A22" s="163"/>
      <c r="B22" s="164"/>
      <c r="C22" s="165"/>
      <c r="D22" s="166"/>
      <c r="E22" s="166"/>
      <c r="F22" s="166"/>
      <c r="G22" s="166"/>
      <c r="H22" s="166"/>
      <c r="I22" s="166"/>
      <c r="J22" s="166"/>
      <c r="K22" s="166"/>
      <c r="L22" s="166"/>
      <c r="M22" s="166"/>
      <c r="N22" s="166"/>
      <c r="O22" s="166"/>
      <c r="P22" s="167" t="s">
        <v>721</v>
      </c>
      <c r="Q22" s="1736">
        <f>IF(R20=1,10,0)</f>
        <v>0</v>
      </c>
      <c r="R22" s="1737"/>
      <c r="T22" s="32"/>
      <c r="U22" s="31"/>
      <c r="V22" s="22"/>
    </row>
    <row r="23" spans="1:22" ht="15.75" customHeight="1">
      <c r="A23" s="1738" t="s">
        <v>799</v>
      </c>
      <c r="B23" s="1734"/>
      <c r="C23" s="1734"/>
      <c r="D23" s="1734" t="s">
        <v>701</v>
      </c>
      <c r="E23" s="1734"/>
      <c r="F23" s="1734"/>
      <c r="G23" s="1734"/>
      <c r="H23" s="1734"/>
      <c r="I23" s="1734"/>
      <c r="J23" s="1734"/>
      <c r="K23" s="1734"/>
      <c r="L23" s="1734"/>
      <c r="M23" s="1734"/>
      <c r="N23" s="1734"/>
      <c r="O23" s="1734"/>
      <c r="P23" s="1734"/>
      <c r="Q23" s="1734"/>
      <c r="R23" s="1735"/>
      <c r="T23" s="32"/>
      <c r="U23" s="31"/>
      <c r="V23" s="22"/>
    </row>
    <row r="24" spans="1:22" ht="15.75" customHeight="1" thickBot="1">
      <c r="A24" s="1707" t="s">
        <v>800</v>
      </c>
      <c r="B24" s="1708"/>
      <c r="C24" s="1708"/>
      <c r="D24" s="1708"/>
      <c r="E24" s="1708"/>
      <c r="F24" s="1708"/>
      <c r="G24" s="1708"/>
      <c r="H24" s="1708"/>
      <c r="I24" s="1708"/>
      <c r="J24" s="1708"/>
      <c r="K24" s="1708"/>
      <c r="L24" s="1708"/>
      <c r="M24" s="1708"/>
      <c r="N24" s="1708"/>
      <c r="O24" s="1708"/>
      <c r="P24" s="1708"/>
      <c r="Q24" s="1708"/>
      <c r="R24" s="1709"/>
      <c r="T24" s="32"/>
      <c r="U24" s="31"/>
      <c r="V24" s="22"/>
    </row>
    <row r="25" spans="1:22" ht="12.75" customHeight="1" thickTop="1">
      <c r="A25" s="168"/>
      <c r="B25" s="169"/>
      <c r="C25" s="170"/>
      <c r="D25" s="170"/>
      <c r="E25" s="170"/>
      <c r="F25" s="170"/>
      <c r="G25" s="170"/>
      <c r="H25" s="170"/>
      <c r="I25" s="170"/>
      <c r="J25" s="170"/>
      <c r="K25" s="170"/>
      <c r="L25" s="170"/>
      <c r="M25" s="170"/>
      <c r="N25" s="170"/>
      <c r="O25" s="170"/>
      <c r="P25" s="170"/>
      <c r="Q25" s="170"/>
      <c r="R25" s="171"/>
      <c r="T25" s="32"/>
      <c r="U25" s="31"/>
      <c r="V25" s="22"/>
    </row>
    <row r="26" spans="1:22" ht="15.75" customHeight="1">
      <c r="A26" s="172"/>
      <c r="B26" s="169"/>
      <c r="C26" s="173" t="s">
        <v>703</v>
      </c>
      <c r="D26" s="174"/>
      <c r="E26" s="1751" t="s">
        <v>702</v>
      </c>
      <c r="F26" s="1751"/>
      <c r="G26" s="1751"/>
      <c r="H26" s="1751"/>
      <c r="I26" s="1751"/>
      <c r="J26" s="1751"/>
      <c r="K26" s="1751"/>
      <c r="L26" s="1751"/>
      <c r="M26" s="142" t="s">
        <v>671</v>
      </c>
      <c r="N26" s="60" t="s">
        <v>672</v>
      </c>
      <c r="O26" s="142"/>
      <c r="P26" s="175" t="s">
        <v>705</v>
      </c>
      <c r="Q26" s="116">
        <f>IF(R26=1,10,0)</f>
        <v>0</v>
      </c>
      <c r="R26" s="176">
        <v>2</v>
      </c>
      <c r="T26" s="32"/>
      <c r="U26" s="31"/>
      <c r="V26" s="22"/>
    </row>
    <row r="27" spans="1:22" ht="18.75" customHeight="1">
      <c r="A27" s="172"/>
      <c r="B27" s="169"/>
      <c r="C27" s="157"/>
      <c r="D27" s="174"/>
      <c r="E27" s="177"/>
      <c r="F27" s="177"/>
      <c r="G27" s="177"/>
      <c r="H27" s="177"/>
      <c r="I27" s="177"/>
      <c r="J27" s="177"/>
      <c r="K27" s="177"/>
      <c r="L27" s="177"/>
      <c r="M27" s="174"/>
      <c r="N27" s="174"/>
      <c r="O27" s="174"/>
      <c r="P27" s="175"/>
      <c r="Q27" s="178"/>
      <c r="R27" s="179"/>
      <c r="T27" s="32"/>
      <c r="U27" s="31"/>
      <c r="V27" s="22"/>
    </row>
    <row r="28" spans="1:22" ht="30.75" customHeight="1">
      <c r="A28" s="172"/>
      <c r="B28" s="169"/>
      <c r="C28" s="180" t="s">
        <v>704</v>
      </c>
      <c r="D28" s="174"/>
      <c r="E28" s="1751" t="s">
        <v>736</v>
      </c>
      <c r="F28" s="1751"/>
      <c r="G28" s="1751"/>
      <c r="H28" s="1751"/>
      <c r="I28" s="1751"/>
      <c r="J28" s="1751"/>
      <c r="K28" s="1751"/>
      <c r="L28" s="142"/>
      <c r="M28" s="142" t="s">
        <v>671</v>
      </c>
      <c r="N28" s="60" t="s">
        <v>672</v>
      </c>
      <c r="O28" s="174"/>
      <c r="P28" s="181" t="s">
        <v>723</v>
      </c>
      <c r="Q28" s="116">
        <f>IF(R28=1,10,0)</f>
        <v>0</v>
      </c>
      <c r="R28" s="176">
        <v>2</v>
      </c>
      <c r="T28" s="32"/>
      <c r="U28" s="31"/>
      <c r="V28" s="22"/>
    </row>
    <row r="29" spans="1:22" ht="15.75" customHeight="1">
      <c r="A29" s="172"/>
      <c r="B29" s="169"/>
      <c r="C29" s="173"/>
      <c r="D29" s="174"/>
      <c r="E29" s="177"/>
      <c r="F29" s="177"/>
      <c r="G29" s="177"/>
      <c r="H29" s="177"/>
      <c r="I29" s="177"/>
      <c r="J29" s="177"/>
      <c r="K29" s="177"/>
      <c r="L29" s="177"/>
      <c r="M29" s="174"/>
      <c r="N29" s="174"/>
      <c r="O29" s="174"/>
      <c r="P29" s="175"/>
      <c r="Q29" s="178"/>
      <c r="R29" s="176"/>
      <c r="T29" s="32"/>
      <c r="U29" s="31"/>
      <c r="V29" s="22"/>
    </row>
    <row r="30" spans="1:22" ht="15.75" customHeight="1">
      <c r="A30" s="172"/>
      <c r="B30" s="169"/>
      <c r="C30" s="182" t="s">
        <v>724</v>
      </c>
      <c r="D30" s="1730" t="s">
        <v>801</v>
      </c>
      <c r="E30" s="1730"/>
      <c r="F30" s="1730"/>
      <c r="G30" s="1731"/>
      <c r="H30" s="1725"/>
      <c r="I30" s="1726"/>
      <c r="J30" s="183" t="s">
        <v>80</v>
      </c>
      <c r="K30" s="177"/>
      <c r="L30" s="177"/>
      <c r="M30" s="174"/>
      <c r="N30" s="174"/>
      <c r="O30" s="181" t="s">
        <v>143</v>
      </c>
      <c r="P30" s="1723">
        <f>IF(H30="","",100/H30)</f>
      </c>
      <c r="Q30" s="1724"/>
      <c r="R30" s="176"/>
      <c r="T30" s="32"/>
      <c r="U30" s="31"/>
      <c r="V30" s="22"/>
    </row>
    <row r="31" spans="1:22" ht="15.75" customHeight="1">
      <c r="A31" s="172"/>
      <c r="B31" s="169"/>
      <c r="C31" s="173" t="s">
        <v>725</v>
      </c>
      <c r="D31" s="1730" t="s">
        <v>802</v>
      </c>
      <c r="E31" s="1730"/>
      <c r="F31" s="1730"/>
      <c r="G31" s="1731"/>
      <c r="H31" s="1725"/>
      <c r="I31" s="1726"/>
      <c r="J31" s="183" t="s">
        <v>81</v>
      </c>
      <c r="K31" s="177"/>
      <c r="L31" s="177"/>
      <c r="M31" s="174"/>
      <c r="N31" s="174"/>
      <c r="O31" s="181" t="s">
        <v>144</v>
      </c>
      <c r="P31" s="1723">
        <f>IF(H31="","",1000/H31)</f>
      </c>
      <c r="Q31" s="1724"/>
      <c r="R31" s="176"/>
      <c r="T31" s="32"/>
      <c r="U31" s="31"/>
      <c r="V31" s="22"/>
    </row>
    <row r="32" spans="1:22" ht="6" customHeight="1" thickBot="1">
      <c r="A32" s="172"/>
      <c r="B32" s="169"/>
      <c r="C32" s="173"/>
      <c r="D32" s="174"/>
      <c r="E32" s="177"/>
      <c r="F32" s="177"/>
      <c r="G32" s="177"/>
      <c r="H32" s="177"/>
      <c r="I32" s="177"/>
      <c r="J32" s="177"/>
      <c r="K32" s="177"/>
      <c r="L32" s="177"/>
      <c r="M32" s="174"/>
      <c r="N32" s="174"/>
      <c r="O32" s="174"/>
      <c r="P32" s="175"/>
      <c r="Q32" s="184"/>
      <c r="R32" s="179"/>
      <c r="T32" s="32"/>
      <c r="U32" s="31"/>
      <c r="V32" s="22"/>
    </row>
    <row r="33" spans="1:22" ht="15.75" thickBot="1">
      <c r="A33" s="185" t="s">
        <v>738</v>
      </c>
      <c r="B33" s="164"/>
      <c r="C33" s="165"/>
      <c r="D33" s="165"/>
      <c r="E33" s="165"/>
      <c r="F33" s="165"/>
      <c r="G33" s="165"/>
      <c r="H33" s="165"/>
      <c r="I33" s="165"/>
      <c r="J33" s="165"/>
      <c r="K33" s="165"/>
      <c r="L33" s="165"/>
      <c r="M33" s="165"/>
      <c r="N33" s="165"/>
      <c r="O33" s="165"/>
      <c r="P33" s="167" t="s">
        <v>722</v>
      </c>
      <c r="Q33" s="1736">
        <f>SUM(Q26,Q28,P30,P31)</f>
        <v>0</v>
      </c>
      <c r="R33" s="1739"/>
      <c r="T33" s="32"/>
      <c r="U33" s="31"/>
      <c r="V33" s="22"/>
    </row>
    <row r="34" spans="1:22" ht="15.75">
      <c r="A34" s="1738" t="s">
        <v>803</v>
      </c>
      <c r="B34" s="1734"/>
      <c r="C34" s="1734"/>
      <c r="D34" s="1734" t="s">
        <v>676</v>
      </c>
      <c r="E34" s="1734"/>
      <c r="F34" s="1734"/>
      <c r="G34" s="1734"/>
      <c r="H34" s="1734"/>
      <c r="I34" s="1734"/>
      <c r="J34" s="1734"/>
      <c r="K34" s="1734"/>
      <c r="L34" s="1734"/>
      <c r="M34" s="1734"/>
      <c r="N34" s="1734"/>
      <c r="O34" s="1734"/>
      <c r="P34" s="1734"/>
      <c r="Q34" s="1734"/>
      <c r="R34" s="1735"/>
      <c r="T34" s="32"/>
      <c r="U34" s="31"/>
      <c r="V34" s="22"/>
    </row>
    <row r="35" spans="1:22" ht="39.75" customHeight="1" thickBot="1">
      <c r="A35" s="1727" t="s">
        <v>710</v>
      </c>
      <c r="B35" s="1728"/>
      <c r="C35" s="1728"/>
      <c r="D35" s="1728"/>
      <c r="E35" s="1728"/>
      <c r="F35" s="1728"/>
      <c r="G35" s="1728"/>
      <c r="H35" s="1728"/>
      <c r="I35" s="1728"/>
      <c r="J35" s="1728"/>
      <c r="K35" s="1728"/>
      <c r="L35" s="1728"/>
      <c r="M35" s="1728"/>
      <c r="N35" s="1728"/>
      <c r="O35" s="1728"/>
      <c r="P35" s="1728"/>
      <c r="Q35" s="1728"/>
      <c r="R35" s="1729"/>
      <c r="T35" s="32"/>
      <c r="U35" s="31"/>
      <c r="V35" s="22"/>
    </row>
    <row r="36" spans="1:22" ht="6" customHeight="1" thickTop="1">
      <c r="A36" s="186"/>
      <c r="B36" s="187"/>
      <c r="C36" s="187"/>
      <c r="D36" s="187"/>
      <c r="E36" s="187"/>
      <c r="F36" s="187"/>
      <c r="G36" s="187"/>
      <c r="H36" s="187"/>
      <c r="I36" s="187"/>
      <c r="J36" s="187"/>
      <c r="K36" s="187"/>
      <c r="L36" s="188"/>
      <c r="M36" s="188"/>
      <c r="N36" s="188"/>
      <c r="O36" s="188"/>
      <c r="P36" s="188"/>
      <c r="Q36" s="188"/>
      <c r="R36" s="189"/>
      <c r="T36" s="32"/>
      <c r="U36" s="31"/>
      <c r="V36" s="22"/>
    </row>
    <row r="37" spans="1:22" ht="15.75" customHeight="1">
      <c r="A37" s="160"/>
      <c r="B37" s="190"/>
      <c r="C37" s="1847" t="s">
        <v>76</v>
      </c>
      <c r="D37" s="1847"/>
      <c r="E37" s="1847"/>
      <c r="F37" s="1847"/>
      <c r="G37" s="1847"/>
      <c r="H37" s="1847"/>
      <c r="I37" s="1847"/>
      <c r="J37" s="1847"/>
      <c r="K37" s="1848"/>
      <c r="L37" s="1740">
        <v>0</v>
      </c>
      <c r="M37" s="1741"/>
      <c r="N37" s="191" t="s">
        <v>783</v>
      </c>
      <c r="O37" s="191"/>
      <c r="P37" s="192"/>
      <c r="Q37" s="193"/>
      <c r="R37" s="194"/>
      <c r="T37" s="32"/>
      <c r="U37" s="31"/>
      <c r="V37" s="22"/>
    </row>
    <row r="38" spans="1:22" ht="15.75" customHeight="1">
      <c r="A38" s="160"/>
      <c r="B38" s="190"/>
      <c r="C38" s="190"/>
      <c r="D38" s="190"/>
      <c r="E38" s="1845" t="s">
        <v>142</v>
      </c>
      <c r="F38" s="1845"/>
      <c r="G38" s="1845"/>
      <c r="H38" s="1845"/>
      <c r="I38" s="1845"/>
      <c r="J38" s="1845"/>
      <c r="K38" s="1846"/>
      <c r="L38" s="1849">
        <f>N4</f>
        <v>0</v>
      </c>
      <c r="M38" s="1850"/>
      <c r="N38" s="195" t="s">
        <v>376</v>
      </c>
      <c r="O38" s="169"/>
      <c r="P38" s="175"/>
      <c r="Q38" s="196"/>
      <c r="R38" s="197"/>
      <c r="T38" s="32"/>
      <c r="U38" s="31"/>
      <c r="V38" s="22"/>
    </row>
    <row r="39" spans="1:22" ht="8.25" customHeight="1">
      <c r="A39" s="160"/>
      <c r="B39" s="190"/>
      <c r="C39" s="190"/>
      <c r="D39" s="190"/>
      <c r="E39" s="190"/>
      <c r="F39" s="190"/>
      <c r="G39" s="190"/>
      <c r="H39" s="190"/>
      <c r="I39" s="169"/>
      <c r="J39" s="169"/>
      <c r="K39" s="169"/>
      <c r="L39" s="156"/>
      <c r="M39" s="156"/>
      <c r="N39" s="198"/>
      <c r="O39" s="169"/>
      <c r="P39" s="175"/>
      <c r="Q39" s="196"/>
      <c r="R39" s="197"/>
      <c r="T39" s="32"/>
      <c r="U39" s="31"/>
      <c r="V39" s="22"/>
    </row>
    <row r="40" spans="1:22" ht="15.75" customHeight="1" thickBot="1">
      <c r="A40" s="160"/>
      <c r="B40" s="190"/>
      <c r="C40" s="190"/>
      <c r="D40" s="190"/>
      <c r="E40" s="190"/>
      <c r="F40" s="169"/>
      <c r="G40" s="198" t="s">
        <v>822</v>
      </c>
      <c r="H40" s="1829">
        <f>IF(L38=0,0,L37/L38)</f>
        <v>0</v>
      </c>
      <c r="I40" s="1830"/>
      <c r="J40" s="199" t="s">
        <v>784</v>
      </c>
      <c r="K40" s="200"/>
      <c r="L40" s="169"/>
      <c r="M40" s="169"/>
      <c r="N40" s="169"/>
      <c r="O40" s="169"/>
      <c r="P40" s="175"/>
      <c r="Q40" s="196"/>
      <c r="R40" s="197"/>
      <c r="T40" s="32"/>
      <c r="U40" s="31"/>
      <c r="V40" s="22"/>
    </row>
    <row r="41" spans="1:22" ht="15.75" customHeight="1" thickBot="1" thickTop="1">
      <c r="A41" s="160"/>
      <c r="B41" s="190"/>
      <c r="C41" s="190"/>
      <c r="D41" s="190"/>
      <c r="E41" s="190"/>
      <c r="F41" s="169"/>
      <c r="G41" s="198"/>
      <c r="H41" s="201"/>
      <c r="I41" s="201"/>
      <c r="J41" s="199"/>
      <c r="K41" s="200"/>
      <c r="L41" s="169"/>
      <c r="M41" s="169"/>
      <c r="N41" s="202" t="s">
        <v>42</v>
      </c>
      <c r="O41" s="141">
        <f>IF(H40=0,0,1138.5*H40^-1.0182)</f>
        <v>0</v>
      </c>
      <c r="P41" s="170" t="s">
        <v>41</v>
      </c>
      <c r="Q41" s="196"/>
      <c r="R41" s="197"/>
      <c r="T41" s="32"/>
      <c r="U41" s="31"/>
      <c r="V41" s="22"/>
    </row>
    <row r="42" spans="1:22" ht="3.75" customHeight="1" thickTop="1">
      <c r="A42" s="160"/>
      <c r="B42" s="190"/>
      <c r="C42" s="190"/>
      <c r="D42" s="190"/>
      <c r="E42" s="190"/>
      <c r="F42" s="169"/>
      <c r="G42" s="198"/>
      <c r="H42" s="201"/>
      <c r="I42" s="201"/>
      <c r="J42" s="199"/>
      <c r="K42" s="200"/>
      <c r="L42" s="169"/>
      <c r="M42" s="169"/>
      <c r="N42" s="169"/>
      <c r="O42" s="169"/>
      <c r="P42" s="175"/>
      <c r="Q42" s="196"/>
      <c r="R42" s="197"/>
      <c r="T42" s="32"/>
      <c r="U42" s="31"/>
      <c r="V42" s="22"/>
    </row>
    <row r="43" spans="1:22" ht="15" customHeight="1" thickBot="1">
      <c r="A43" s="1837" t="s">
        <v>711</v>
      </c>
      <c r="B43" s="1838"/>
      <c r="C43" s="1838"/>
      <c r="D43" s="1838"/>
      <c r="E43" s="1838"/>
      <c r="F43" s="1838"/>
      <c r="G43" s="1838"/>
      <c r="H43" s="1838"/>
      <c r="I43" s="1838"/>
      <c r="J43" s="199"/>
      <c r="K43" s="200"/>
      <c r="L43" s="169"/>
      <c r="M43" s="169"/>
      <c r="N43" s="169"/>
      <c r="O43" s="169"/>
      <c r="P43" s="175"/>
      <c r="Q43" s="196"/>
      <c r="R43" s="197"/>
      <c r="T43" s="32"/>
      <c r="U43" s="31"/>
      <c r="V43" s="22"/>
    </row>
    <row r="44" spans="1:22" ht="15" customHeight="1" thickBot="1">
      <c r="A44" s="1839"/>
      <c r="B44" s="1840"/>
      <c r="C44" s="1840"/>
      <c r="D44" s="1840"/>
      <c r="E44" s="1840"/>
      <c r="F44" s="1840"/>
      <c r="G44" s="1840"/>
      <c r="H44" s="1840"/>
      <c r="I44" s="1840"/>
      <c r="J44" s="203"/>
      <c r="K44" s="204"/>
      <c r="L44" s="164"/>
      <c r="M44" s="164"/>
      <c r="N44" s="164"/>
      <c r="O44" s="164"/>
      <c r="P44" s="167" t="s">
        <v>737</v>
      </c>
      <c r="Q44" s="1736">
        <f>IF(O41&lt;0,0,IF(O41&gt;20,20,O41))</f>
        <v>0</v>
      </c>
      <c r="R44" s="1737"/>
      <c r="T44" s="32"/>
      <c r="U44" s="31"/>
      <c r="V44" s="22"/>
    </row>
    <row r="45" spans="1:22" ht="18.75" customHeight="1" thickBot="1">
      <c r="A45" s="1771" t="s">
        <v>518</v>
      </c>
      <c r="B45" s="1772"/>
      <c r="C45" s="1772"/>
      <c r="D45" s="1772"/>
      <c r="E45" s="1772"/>
      <c r="F45" s="1772"/>
      <c r="G45" s="1772"/>
      <c r="H45" s="1772"/>
      <c r="I45" s="1772"/>
      <c r="J45" s="1772"/>
      <c r="K45" s="1772"/>
      <c r="L45" s="1772"/>
      <c r="M45" s="1772"/>
      <c r="N45" s="1772"/>
      <c r="O45" s="1772"/>
      <c r="P45" s="1772"/>
      <c r="Q45" s="1772"/>
      <c r="R45" s="1773"/>
      <c r="T45" s="32"/>
      <c r="U45" s="31"/>
      <c r="V45" s="22"/>
    </row>
    <row r="46" spans="1:22" ht="17.25" customHeight="1">
      <c r="A46" s="1738" t="s">
        <v>798</v>
      </c>
      <c r="B46" s="1734"/>
      <c r="C46" s="1734"/>
      <c r="D46" s="963" t="s">
        <v>726</v>
      </c>
      <c r="E46" s="963"/>
      <c r="F46" s="963"/>
      <c r="G46" s="963"/>
      <c r="H46" s="963"/>
      <c r="I46" s="963"/>
      <c r="J46" s="963"/>
      <c r="K46" s="1313"/>
      <c r="L46" s="1742" t="s">
        <v>805</v>
      </c>
      <c r="M46" s="1743"/>
      <c r="N46" s="1743"/>
      <c r="O46" s="1743"/>
      <c r="P46" s="1743"/>
      <c r="Q46" s="1743"/>
      <c r="R46" s="1744"/>
      <c r="T46" s="32"/>
      <c r="U46" s="31"/>
      <c r="V46" s="22"/>
    </row>
    <row r="47" spans="1:22" ht="24.75" customHeight="1" thickBot="1">
      <c r="A47" s="1826" t="s">
        <v>759</v>
      </c>
      <c r="B47" s="1827"/>
      <c r="C47" s="1827"/>
      <c r="D47" s="1827"/>
      <c r="E47" s="1827"/>
      <c r="F47" s="1827"/>
      <c r="G47" s="1827"/>
      <c r="H47" s="1827"/>
      <c r="I47" s="1827"/>
      <c r="J47" s="1827"/>
      <c r="K47" s="1828"/>
      <c r="L47" s="1831"/>
      <c r="M47" s="1832"/>
      <c r="N47" s="1832"/>
      <c r="O47" s="1832"/>
      <c r="P47" s="1832"/>
      <c r="Q47" s="1832"/>
      <c r="R47" s="1833"/>
      <c r="T47" s="32"/>
      <c r="U47" s="31"/>
      <c r="V47" s="22"/>
    </row>
    <row r="48" spans="1:22" ht="23.25" customHeight="1">
      <c r="A48" s="1841" t="s">
        <v>755</v>
      </c>
      <c r="B48" s="1842"/>
      <c r="C48" s="1842"/>
      <c r="D48" s="205"/>
      <c r="E48" s="1834" t="s">
        <v>729</v>
      </c>
      <c r="F48" s="1834"/>
      <c r="G48" s="1835" t="s">
        <v>731</v>
      </c>
      <c r="H48" s="1835"/>
      <c r="I48" s="205"/>
      <c r="J48" s="206"/>
      <c r="K48" s="207"/>
      <c r="L48" s="1831"/>
      <c r="M48" s="1832"/>
      <c r="N48" s="1832"/>
      <c r="O48" s="1832"/>
      <c r="P48" s="1832"/>
      <c r="Q48" s="1832"/>
      <c r="R48" s="1833"/>
      <c r="T48" s="32"/>
      <c r="U48" s="31"/>
      <c r="V48" s="22"/>
    </row>
    <row r="49" spans="1:22" ht="18" customHeight="1">
      <c r="A49" s="1843"/>
      <c r="B49" s="1844"/>
      <c r="C49" s="1844"/>
      <c r="D49" s="169"/>
      <c r="E49" s="208" t="s">
        <v>727</v>
      </c>
      <c r="F49" s="208" t="s">
        <v>728</v>
      </c>
      <c r="G49" s="1836"/>
      <c r="H49" s="1836"/>
      <c r="I49" s="169"/>
      <c r="J49" s="209"/>
      <c r="K49" s="210"/>
      <c r="L49" s="1710"/>
      <c r="M49" s="1711"/>
      <c r="N49" s="1711"/>
      <c r="O49" s="1711"/>
      <c r="P49" s="1711"/>
      <c r="Q49" s="1711"/>
      <c r="R49" s="1712"/>
      <c r="T49" s="70"/>
      <c r="U49" s="31"/>
      <c r="V49" s="22"/>
    </row>
    <row r="50" spans="1:22" ht="15.75" customHeight="1">
      <c r="A50" s="211"/>
      <c r="B50" s="212"/>
      <c r="C50" s="212"/>
      <c r="D50" s="169"/>
      <c r="E50" s="213" t="s">
        <v>741</v>
      </c>
      <c r="F50" s="213" t="s">
        <v>742</v>
      </c>
      <c r="G50" s="1722" t="s">
        <v>743</v>
      </c>
      <c r="H50" s="1722"/>
      <c r="I50" s="169"/>
      <c r="J50" s="209"/>
      <c r="K50" s="179"/>
      <c r="L50" s="1713"/>
      <c r="M50" s="1714"/>
      <c r="N50" s="1714"/>
      <c r="O50" s="1714"/>
      <c r="P50" s="1714"/>
      <c r="Q50" s="1714"/>
      <c r="R50" s="1715"/>
      <c r="T50" s="32"/>
      <c r="U50" s="31"/>
      <c r="V50" s="22"/>
    </row>
    <row r="51" spans="1:22" ht="40.5" customHeight="1">
      <c r="A51" s="214" t="s">
        <v>703</v>
      </c>
      <c r="B51" s="1566" t="s">
        <v>730</v>
      </c>
      <c r="C51" s="1566"/>
      <c r="D51" s="1566"/>
      <c r="E51" s="169"/>
      <c r="F51" s="198"/>
      <c r="G51" s="169"/>
      <c r="H51" s="169"/>
      <c r="I51" s="216" t="s">
        <v>91</v>
      </c>
      <c r="J51" s="217">
        <f>IF(K51=1,0,IF(K51=2,5,10))</f>
        <v>0</v>
      </c>
      <c r="K51" s="179">
        <v>1</v>
      </c>
      <c r="L51" s="1713"/>
      <c r="M51" s="1714"/>
      <c r="N51" s="1714"/>
      <c r="O51" s="1714"/>
      <c r="P51" s="1714"/>
      <c r="Q51" s="1714"/>
      <c r="R51" s="1715"/>
      <c r="T51" s="32"/>
      <c r="U51" s="31"/>
      <c r="V51" s="22"/>
    </row>
    <row r="52" spans="1:22" ht="9.75" customHeight="1">
      <c r="A52" s="211"/>
      <c r="B52" s="218"/>
      <c r="C52" s="218"/>
      <c r="D52" s="218"/>
      <c r="E52" s="169"/>
      <c r="F52" s="198"/>
      <c r="G52" s="169"/>
      <c r="H52" s="169"/>
      <c r="I52" s="169"/>
      <c r="J52" s="209"/>
      <c r="K52" s="210"/>
      <c r="L52" s="1713"/>
      <c r="M52" s="1714"/>
      <c r="N52" s="1714"/>
      <c r="O52" s="1714"/>
      <c r="P52" s="1714"/>
      <c r="Q52" s="1714"/>
      <c r="R52" s="1715"/>
      <c r="T52" s="32"/>
      <c r="U52" s="31"/>
      <c r="V52" s="22"/>
    </row>
    <row r="53" spans="1:22" ht="30" customHeight="1">
      <c r="A53" s="214" t="s">
        <v>704</v>
      </c>
      <c r="B53" s="1825" t="s">
        <v>813</v>
      </c>
      <c r="C53" s="1825"/>
      <c r="D53" s="169"/>
      <c r="E53" s="169"/>
      <c r="F53" s="198"/>
      <c r="G53" s="169"/>
      <c r="H53" s="169"/>
      <c r="I53" s="216" t="s">
        <v>92</v>
      </c>
      <c r="J53" s="217">
        <f>IF(K53=1,0,IF(K53=2,5,10))</f>
        <v>0</v>
      </c>
      <c r="K53" s="179">
        <v>1</v>
      </c>
      <c r="L53" s="1713"/>
      <c r="M53" s="1714"/>
      <c r="N53" s="1714"/>
      <c r="O53" s="1714"/>
      <c r="P53" s="1714"/>
      <c r="Q53" s="1714"/>
      <c r="R53" s="1715"/>
      <c r="T53" s="32"/>
      <c r="U53" s="31"/>
      <c r="V53" s="22"/>
    </row>
    <row r="54" spans="1:22" ht="16.5" customHeight="1">
      <c r="A54" s="211"/>
      <c r="B54" s="218"/>
      <c r="C54" s="218"/>
      <c r="D54" s="169"/>
      <c r="E54" s="169"/>
      <c r="F54" s="198"/>
      <c r="G54" s="169"/>
      <c r="H54" s="169"/>
      <c r="I54" s="216"/>
      <c r="J54" s="209"/>
      <c r="K54" s="210"/>
      <c r="L54" s="1713"/>
      <c r="M54" s="1714"/>
      <c r="N54" s="1714"/>
      <c r="O54" s="1714"/>
      <c r="P54" s="1714"/>
      <c r="Q54" s="1714"/>
      <c r="R54" s="1715"/>
      <c r="T54" s="32"/>
      <c r="U54" s="31"/>
      <c r="V54" s="22"/>
    </row>
    <row r="55" spans="1:22" ht="27" customHeight="1">
      <c r="A55" s="214" t="s">
        <v>724</v>
      </c>
      <c r="B55" s="1825" t="s">
        <v>732</v>
      </c>
      <c r="C55" s="1825"/>
      <c r="D55" s="218"/>
      <c r="E55" s="169"/>
      <c r="F55" s="198"/>
      <c r="G55" s="169"/>
      <c r="H55" s="169"/>
      <c r="I55" s="216" t="s">
        <v>93</v>
      </c>
      <c r="J55" s="219">
        <f>IF(K55=1,0,IF(K55=2,5,10))</f>
        <v>0</v>
      </c>
      <c r="K55" s="210">
        <v>1</v>
      </c>
      <c r="L55" s="1713"/>
      <c r="M55" s="1714"/>
      <c r="N55" s="1714"/>
      <c r="O55" s="1714"/>
      <c r="P55" s="1714"/>
      <c r="Q55" s="1714"/>
      <c r="R55" s="1715"/>
      <c r="T55" s="32"/>
      <c r="U55" s="31"/>
      <c r="V55" s="22"/>
    </row>
    <row r="56" spans="1:22" ht="12" customHeight="1">
      <c r="A56" s="211"/>
      <c r="B56" s="218"/>
      <c r="C56" s="218"/>
      <c r="D56" s="218"/>
      <c r="E56" s="169"/>
      <c r="F56" s="198"/>
      <c r="G56" s="169"/>
      <c r="H56" s="169"/>
      <c r="I56" s="216"/>
      <c r="J56" s="209"/>
      <c r="K56" s="210"/>
      <c r="L56" s="1713"/>
      <c r="M56" s="1714"/>
      <c r="N56" s="1714"/>
      <c r="O56" s="1714"/>
      <c r="P56" s="1714"/>
      <c r="Q56" s="1714"/>
      <c r="R56" s="1715"/>
      <c r="T56" s="32"/>
      <c r="U56" s="31"/>
      <c r="V56" s="22"/>
    </row>
    <row r="57" spans="1:22" ht="30" customHeight="1">
      <c r="A57" s="214" t="s">
        <v>725</v>
      </c>
      <c r="B57" s="1566" t="s">
        <v>733</v>
      </c>
      <c r="C57" s="1566"/>
      <c r="D57" s="220"/>
      <c r="E57" s="169"/>
      <c r="F57" s="198"/>
      <c r="G57" s="169"/>
      <c r="H57" s="169"/>
      <c r="I57" s="216" t="s">
        <v>94</v>
      </c>
      <c r="J57" s="219">
        <f>IF(K57=1,0,IF(K57=2,5,10))</f>
        <v>0</v>
      </c>
      <c r="K57" s="210">
        <v>1</v>
      </c>
      <c r="L57" s="1713"/>
      <c r="M57" s="1714"/>
      <c r="N57" s="1714"/>
      <c r="O57" s="1714"/>
      <c r="P57" s="1714"/>
      <c r="Q57" s="1714"/>
      <c r="R57" s="1715"/>
      <c r="T57" s="32"/>
      <c r="U57" s="31"/>
      <c r="V57" s="22"/>
    </row>
    <row r="58" spans="1:22" ht="12.75" customHeight="1">
      <c r="A58" s="211"/>
      <c r="B58" s="220"/>
      <c r="C58" s="220"/>
      <c r="D58" s="220"/>
      <c r="E58" s="169"/>
      <c r="F58" s="198"/>
      <c r="G58" s="169"/>
      <c r="H58" s="169"/>
      <c r="I58" s="216"/>
      <c r="J58" s="209"/>
      <c r="K58" s="210"/>
      <c r="L58" s="1713"/>
      <c r="M58" s="1714"/>
      <c r="N58" s="1714"/>
      <c r="O58" s="1714"/>
      <c r="P58" s="1714"/>
      <c r="Q58" s="1714"/>
      <c r="R58" s="1715"/>
      <c r="T58" s="32"/>
      <c r="U58" s="31"/>
      <c r="V58" s="22"/>
    </row>
    <row r="59" spans="1:22" ht="33.75" customHeight="1">
      <c r="A59" s="214" t="s">
        <v>734</v>
      </c>
      <c r="B59" s="1566" t="s">
        <v>814</v>
      </c>
      <c r="C59" s="1566"/>
      <c r="D59" s="220"/>
      <c r="E59" s="169"/>
      <c r="F59" s="198"/>
      <c r="G59" s="169"/>
      <c r="H59" s="169"/>
      <c r="I59" s="216" t="s">
        <v>785</v>
      </c>
      <c r="J59" s="219">
        <f>IF(K59=1,0,IF(K59=2,5,10))</f>
        <v>0</v>
      </c>
      <c r="K59" s="210">
        <v>1</v>
      </c>
      <c r="L59" s="1713"/>
      <c r="M59" s="1714"/>
      <c r="N59" s="1714"/>
      <c r="O59" s="1714"/>
      <c r="P59" s="1714"/>
      <c r="Q59" s="1714"/>
      <c r="R59" s="1715"/>
      <c r="T59" s="32"/>
      <c r="U59" s="31"/>
      <c r="V59" s="22"/>
    </row>
    <row r="60" spans="1:22" ht="3" customHeight="1" thickBot="1">
      <c r="A60" s="211"/>
      <c r="B60" s="221"/>
      <c r="C60" s="220"/>
      <c r="D60" s="220"/>
      <c r="E60" s="169"/>
      <c r="F60" s="198"/>
      <c r="G60" s="169"/>
      <c r="H60" s="169"/>
      <c r="I60" s="169"/>
      <c r="J60" s="222"/>
      <c r="K60" s="210"/>
      <c r="L60" s="1713"/>
      <c r="M60" s="1714"/>
      <c r="N60" s="1714"/>
      <c r="O60" s="1714"/>
      <c r="P60" s="1714"/>
      <c r="Q60" s="1714"/>
      <c r="R60" s="1715"/>
      <c r="T60" s="32"/>
      <c r="U60" s="31"/>
      <c r="V60" s="22"/>
    </row>
    <row r="61" spans="1:22" ht="24" customHeight="1">
      <c r="A61" s="223" t="s">
        <v>756</v>
      </c>
      <c r="B61" s="221"/>
      <c r="C61" s="220"/>
      <c r="D61" s="220"/>
      <c r="E61" s="169"/>
      <c r="F61" s="198"/>
      <c r="G61" s="169"/>
      <c r="H61" s="169"/>
      <c r="I61" s="169"/>
      <c r="J61" s="209"/>
      <c r="K61" s="179"/>
      <c r="L61" s="1713"/>
      <c r="M61" s="1714"/>
      <c r="N61" s="1714"/>
      <c r="O61" s="1714"/>
      <c r="P61" s="1714"/>
      <c r="Q61" s="1714"/>
      <c r="R61" s="1715"/>
      <c r="T61" s="32"/>
      <c r="U61" s="31"/>
      <c r="V61" s="22"/>
    </row>
    <row r="62" spans="1:22" ht="17.25" customHeight="1">
      <c r="A62" s="224"/>
      <c r="B62" s="221"/>
      <c r="C62" s="225"/>
      <c r="D62" s="1719" t="s">
        <v>757</v>
      </c>
      <c r="E62" s="1720"/>
      <c r="F62" s="1720"/>
      <c r="G62" s="1720"/>
      <c r="H62" s="1721"/>
      <c r="I62" s="226" t="s">
        <v>98</v>
      </c>
      <c r="J62" s="209" t="b">
        <v>0</v>
      </c>
      <c r="K62" s="227">
        <f aca="true" t="shared" si="0" ref="K62:K67">IF(J62=TRUE,8,0)</f>
        <v>0</v>
      </c>
      <c r="L62" s="1713"/>
      <c r="M62" s="1714"/>
      <c r="N62" s="1714"/>
      <c r="O62" s="1714"/>
      <c r="P62" s="1714"/>
      <c r="Q62" s="1714"/>
      <c r="R62" s="1715"/>
      <c r="T62" s="32"/>
      <c r="U62" s="31"/>
      <c r="V62" s="22"/>
    </row>
    <row r="63" spans="1:22" ht="17.25" customHeight="1">
      <c r="A63" s="224"/>
      <c r="B63" s="221"/>
      <c r="C63" s="225"/>
      <c r="D63" s="1719" t="s">
        <v>758</v>
      </c>
      <c r="E63" s="1720"/>
      <c r="F63" s="1720"/>
      <c r="G63" s="1720"/>
      <c r="H63" s="1721"/>
      <c r="I63" s="226" t="s">
        <v>99</v>
      </c>
      <c r="J63" s="209" t="b">
        <v>0</v>
      </c>
      <c r="K63" s="227">
        <f t="shared" si="0"/>
        <v>0</v>
      </c>
      <c r="L63" s="1713"/>
      <c r="M63" s="1714"/>
      <c r="N63" s="1714"/>
      <c r="O63" s="1714"/>
      <c r="P63" s="1714"/>
      <c r="Q63" s="1714"/>
      <c r="R63" s="1715"/>
      <c r="T63" s="32"/>
      <c r="U63" s="31"/>
      <c r="V63" s="22"/>
    </row>
    <row r="64" spans="1:22" ht="17.25" customHeight="1">
      <c r="A64" s="211"/>
      <c r="B64" s="221"/>
      <c r="C64" s="225"/>
      <c r="D64" s="1719" t="s">
        <v>806</v>
      </c>
      <c r="E64" s="1720"/>
      <c r="F64" s="1720"/>
      <c r="G64" s="1720"/>
      <c r="H64" s="1721"/>
      <c r="I64" s="226" t="s">
        <v>100</v>
      </c>
      <c r="J64" s="209" t="b">
        <v>0</v>
      </c>
      <c r="K64" s="227">
        <f t="shared" si="0"/>
        <v>0</v>
      </c>
      <c r="L64" s="1714"/>
      <c r="M64" s="1714"/>
      <c r="N64" s="1714"/>
      <c r="O64" s="1714"/>
      <c r="P64" s="1714"/>
      <c r="Q64" s="1714"/>
      <c r="R64" s="1715"/>
      <c r="T64" s="32"/>
      <c r="U64" s="31"/>
      <c r="V64" s="22"/>
    </row>
    <row r="65" spans="1:22" ht="17.25" customHeight="1" thickBot="1">
      <c r="A65" s="211"/>
      <c r="B65" s="221"/>
      <c r="C65" s="225"/>
      <c r="D65" s="1719" t="s">
        <v>808</v>
      </c>
      <c r="E65" s="1720"/>
      <c r="F65" s="1720"/>
      <c r="G65" s="1720"/>
      <c r="H65" s="1721"/>
      <c r="I65" s="226" t="s">
        <v>101</v>
      </c>
      <c r="J65" s="222" t="b">
        <v>0</v>
      </c>
      <c r="K65" s="227">
        <f t="shared" si="0"/>
        <v>0</v>
      </c>
      <c r="L65" s="1714"/>
      <c r="M65" s="1714"/>
      <c r="N65" s="1714"/>
      <c r="O65" s="1714"/>
      <c r="P65" s="1714"/>
      <c r="Q65" s="1714"/>
      <c r="R65" s="1715"/>
      <c r="T65" s="32"/>
      <c r="U65" s="31"/>
      <c r="V65" s="22"/>
    </row>
    <row r="66" spans="1:22" ht="17.25" customHeight="1" thickBot="1">
      <c r="A66" s="211"/>
      <c r="B66" s="221"/>
      <c r="C66" s="225"/>
      <c r="D66" s="1719" t="s">
        <v>582</v>
      </c>
      <c r="E66" s="1720"/>
      <c r="F66" s="1720"/>
      <c r="G66" s="1720"/>
      <c r="H66" s="1721"/>
      <c r="I66" s="226" t="s">
        <v>103</v>
      </c>
      <c r="J66" s="222" t="b">
        <v>0</v>
      </c>
      <c r="K66" s="227">
        <f t="shared" si="0"/>
        <v>0</v>
      </c>
      <c r="L66" s="1713"/>
      <c r="M66" s="1714"/>
      <c r="N66" s="1714"/>
      <c r="O66" s="1714"/>
      <c r="P66" s="1714"/>
      <c r="Q66" s="1714"/>
      <c r="R66" s="1715"/>
      <c r="T66" s="32"/>
      <c r="U66" s="31"/>
      <c r="V66" s="22"/>
    </row>
    <row r="67" spans="1:22" ht="17.25" customHeight="1" thickBot="1">
      <c r="A67" s="211"/>
      <c r="B67" s="221"/>
      <c r="C67" s="225"/>
      <c r="D67" s="1719" t="s">
        <v>22</v>
      </c>
      <c r="E67" s="1720"/>
      <c r="F67" s="1720"/>
      <c r="G67" s="1720"/>
      <c r="H67" s="1721"/>
      <c r="I67" s="226" t="s">
        <v>104</v>
      </c>
      <c r="J67" s="222" t="b">
        <v>0</v>
      </c>
      <c r="K67" s="227">
        <f t="shared" si="0"/>
        <v>0</v>
      </c>
      <c r="L67" s="1713"/>
      <c r="M67" s="1714"/>
      <c r="N67" s="1714"/>
      <c r="O67" s="1714"/>
      <c r="P67" s="1714"/>
      <c r="Q67" s="1714"/>
      <c r="R67" s="1715"/>
      <c r="T67" s="32"/>
      <c r="U67" s="31"/>
      <c r="V67" s="22"/>
    </row>
    <row r="68" spans="1:22" ht="4.5" customHeight="1" thickBot="1">
      <c r="A68" s="211"/>
      <c r="B68" s="221"/>
      <c r="C68" s="220"/>
      <c r="D68" s="220"/>
      <c r="E68" s="169"/>
      <c r="F68" s="198"/>
      <c r="G68" s="169"/>
      <c r="H68" s="169"/>
      <c r="I68" s="169"/>
      <c r="J68" s="222"/>
      <c r="K68" s="179"/>
      <c r="L68" s="1713"/>
      <c r="M68" s="1714"/>
      <c r="N68" s="1714"/>
      <c r="O68" s="1714"/>
      <c r="P68" s="1714"/>
      <c r="Q68" s="1714"/>
      <c r="R68" s="1715"/>
      <c r="T68" s="32"/>
      <c r="U68" s="31"/>
      <c r="V68" s="22"/>
    </row>
    <row r="69" spans="1:22" ht="17.25" customHeight="1" thickBot="1">
      <c r="A69" s="228" t="s">
        <v>786</v>
      </c>
      <c r="B69" s="164"/>
      <c r="C69" s="229"/>
      <c r="D69" s="229"/>
      <c r="E69" s="164"/>
      <c r="F69" s="164"/>
      <c r="G69" s="164"/>
      <c r="H69" s="164"/>
      <c r="I69" s="167" t="s">
        <v>740</v>
      </c>
      <c r="J69" s="1126">
        <f>SUM(J51,J53,J55,J57,J59,K62,K63,K64,K65,K66,K67)</f>
        <v>0</v>
      </c>
      <c r="K69" s="1127"/>
      <c r="L69" s="1716"/>
      <c r="M69" s="1717"/>
      <c r="N69" s="1717"/>
      <c r="O69" s="1717"/>
      <c r="P69" s="1717"/>
      <c r="Q69" s="1717"/>
      <c r="R69" s="1718"/>
      <c r="T69" s="32"/>
      <c r="U69" s="31"/>
      <c r="V69" s="22"/>
    </row>
    <row r="70" spans="1:22" ht="14.25" customHeight="1">
      <c r="A70" s="230" t="s">
        <v>799</v>
      </c>
      <c r="B70" s="231"/>
      <c r="C70" s="232"/>
      <c r="D70" s="1734" t="s">
        <v>811</v>
      </c>
      <c r="E70" s="1734"/>
      <c r="F70" s="1734"/>
      <c r="G70" s="1734"/>
      <c r="H70" s="1734"/>
      <c r="I70" s="1734"/>
      <c r="J70" s="1734"/>
      <c r="K70" s="1735"/>
      <c r="L70" s="1742" t="s">
        <v>809</v>
      </c>
      <c r="M70" s="1743"/>
      <c r="N70" s="1743"/>
      <c r="O70" s="1743"/>
      <c r="P70" s="1743"/>
      <c r="Q70" s="1743"/>
      <c r="R70" s="1744"/>
      <c r="T70" s="32"/>
      <c r="U70" s="31"/>
      <c r="V70" s="22"/>
    </row>
    <row r="71" spans="1:22" ht="36.75" customHeight="1">
      <c r="A71" s="1819" t="s">
        <v>228</v>
      </c>
      <c r="B71" s="1820"/>
      <c r="C71" s="1820"/>
      <c r="D71" s="1820"/>
      <c r="E71" s="1820"/>
      <c r="F71" s="1820"/>
      <c r="G71" s="1820"/>
      <c r="H71" s="1820"/>
      <c r="I71" s="1820"/>
      <c r="J71" s="1820"/>
      <c r="K71" s="1821"/>
      <c r="L71" s="1745"/>
      <c r="M71" s="1746"/>
      <c r="N71" s="1746"/>
      <c r="O71" s="1746"/>
      <c r="P71" s="1746"/>
      <c r="Q71" s="1746"/>
      <c r="R71" s="1747"/>
      <c r="T71" s="32"/>
      <c r="U71" s="31"/>
      <c r="V71" s="22"/>
    </row>
    <row r="72" spans="1:22" ht="15.75" customHeight="1" thickBot="1">
      <c r="A72" s="1822"/>
      <c r="B72" s="1823"/>
      <c r="C72" s="1823"/>
      <c r="D72" s="1823"/>
      <c r="E72" s="1823"/>
      <c r="F72" s="1823"/>
      <c r="G72" s="1823"/>
      <c r="H72" s="1823"/>
      <c r="I72" s="1823"/>
      <c r="J72" s="1823"/>
      <c r="K72" s="1824"/>
      <c r="L72" s="1710"/>
      <c r="M72" s="1711"/>
      <c r="N72" s="1711"/>
      <c r="O72" s="1711"/>
      <c r="P72" s="1711"/>
      <c r="Q72" s="1711"/>
      <c r="R72" s="1712"/>
      <c r="T72" s="32"/>
      <c r="U72" s="31"/>
      <c r="V72" s="22"/>
    </row>
    <row r="73" spans="1:22" ht="14.25" customHeight="1">
      <c r="A73" s="233"/>
      <c r="B73" s="234"/>
      <c r="C73" s="234"/>
      <c r="D73" s="234"/>
      <c r="E73" s="234"/>
      <c r="F73" s="198" t="s">
        <v>744</v>
      </c>
      <c r="G73" s="61">
        <v>0</v>
      </c>
      <c r="H73" s="199" t="s">
        <v>380</v>
      </c>
      <c r="I73" s="234"/>
      <c r="J73" s="234"/>
      <c r="K73" s="235"/>
      <c r="L73" s="1713"/>
      <c r="M73" s="1714"/>
      <c r="N73" s="1714"/>
      <c r="O73" s="1714"/>
      <c r="P73" s="1714"/>
      <c r="Q73" s="1714"/>
      <c r="R73" s="1715"/>
      <c r="T73" s="32"/>
      <c r="U73" s="31"/>
      <c r="V73" s="22"/>
    </row>
    <row r="74" spans="1:22" ht="12.75">
      <c r="A74" s="160"/>
      <c r="B74" s="169"/>
      <c r="C74" s="169"/>
      <c r="D74" s="169"/>
      <c r="E74" s="169"/>
      <c r="F74" s="198" t="s">
        <v>622</v>
      </c>
      <c r="G74" s="62">
        <v>0</v>
      </c>
      <c r="H74" s="199" t="s">
        <v>381</v>
      </c>
      <c r="I74" s="169"/>
      <c r="J74" s="169"/>
      <c r="K74" s="210"/>
      <c r="L74" s="1713"/>
      <c r="M74" s="1714"/>
      <c r="N74" s="1714"/>
      <c r="O74" s="1714"/>
      <c r="P74" s="1714"/>
      <c r="Q74" s="1714"/>
      <c r="R74" s="1715"/>
      <c r="T74" s="32"/>
      <c r="U74" s="31"/>
      <c r="V74" s="22"/>
    </row>
    <row r="75" spans="1:22" ht="13.5" customHeight="1">
      <c r="A75" s="160"/>
      <c r="B75" s="169"/>
      <c r="C75" s="169"/>
      <c r="D75" s="169"/>
      <c r="E75" s="169"/>
      <c r="F75" s="198" t="s">
        <v>745</v>
      </c>
      <c r="G75" s="63">
        <f>IF(G74=0,0,G73/G74)</f>
        <v>0</v>
      </c>
      <c r="H75" s="199" t="s">
        <v>787</v>
      </c>
      <c r="I75" s="169"/>
      <c r="J75" s="169"/>
      <c r="K75" s="210"/>
      <c r="L75" s="1713"/>
      <c r="M75" s="1714"/>
      <c r="N75" s="1714"/>
      <c r="O75" s="1714"/>
      <c r="P75" s="1714"/>
      <c r="Q75" s="1714"/>
      <c r="R75" s="1715"/>
      <c r="T75" s="32"/>
      <c r="U75" s="31"/>
      <c r="V75" s="22"/>
    </row>
    <row r="76" spans="1:22" ht="4.5" customHeight="1">
      <c r="A76" s="160"/>
      <c r="B76" s="169"/>
      <c r="C76" s="169"/>
      <c r="D76" s="169"/>
      <c r="E76" s="169"/>
      <c r="F76" s="198"/>
      <c r="G76" s="236"/>
      <c r="H76" s="169"/>
      <c r="I76" s="169"/>
      <c r="J76" s="169"/>
      <c r="K76" s="210"/>
      <c r="L76" s="1713"/>
      <c r="M76" s="1714"/>
      <c r="N76" s="1714"/>
      <c r="O76" s="1714"/>
      <c r="P76" s="1714"/>
      <c r="Q76" s="1714"/>
      <c r="R76" s="1715"/>
      <c r="T76" s="32"/>
      <c r="U76" s="31"/>
      <c r="V76" s="22"/>
    </row>
    <row r="77" spans="1:22" ht="13.5" customHeight="1">
      <c r="A77" s="160"/>
      <c r="B77" s="169"/>
      <c r="C77" s="169"/>
      <c r="D77" s="169"/>
      <c r="E77" s="169"/>
      <c r="F77" s="198"/>
      <c r="G77" s="236" t="s">
        <v>810</v>
      </c>
      <c r="H77" s="94">
        <f>K80</f>
        <v>0</v>
      </c>
      <c r="I77" s="199" t="s">
        <v>383</v>
      </c>
      <c r="J77" s="169"/>
      <c r="K77" s="210"/>
      <c r="L77" s="1713"/>
      <c r="M77" s="1714"/>
      <c r="N77" s="1714"/>
      <c r="O77" s="1714"/>
      <c r="P77" s="1714"/>
      <c r="Q77" s="1714"/>
      <c r="R77" s="1715"/>
      <c r="T77" s="32"/>
      <c r="U77" s="31"/>
      <c r="V77" s="22"/>
    </row>
    <row r="78" spans="1:22" ht="21" customHeight="1">
      <c r="A78" s="160"/>
      <c r="B78" s="169"/>
      <c r="C78" s="169"/>
      <c r="D78" s="169"/>
      <c r="E78" s="169"/>
      <c r="F78" s="198"/>
      <c r="G78" s="237"/>
      <c r="H78" s="169"/>
      <c r="I78" s="169"/>
      <c r="J78" s="169"/>
      <c r="K78" s="210"/>
      <c r="L78" s="1713"/>
      <c r="M78" s="1714"/>
      <c r="N78" s="1714"/>
      <c r="O78" s="1714"/>
      <c r="P78" s="1714"/>
      <c r="Q78" s="1714"/>
      <c r="R78" s="1715"/>
      <c r="T78" s="32"/>
      <c r="U78" s="31"/>
      <c r="V78" s="22"/>
    </row>
    <row r="79" spans="1:22" ht="26.25" customHeight="1" thickBot="1">
      <c r="A79" s="160"/>
      <c r="B79" s="169"/>
      <c r="C79" s="238"/>
      <c r="D79" s="1815" t="s">
        <v>748</v>
      </c>
      <c r="E79" s="1816"/>
      <c r="F79" s="1816"/>
      <c r="G79" s="1816"/>
      <c r="H79" s="1816"/>
      <c r="I79" s="1817"/>
      <c r="J79" s="169"/>
      <c r="K79" s="210"/>
      <c r="L79" s="1713"/>
      <c r="M79" s="1714"/>
      <c r="N79" s="1714"/>
      <c r="O79" s="1714"/>
      <c r="P79" s="1714"/>
      <c r="Q79" s="1714"/>
      <c r="R79" s="1715"/>
      <c r="T79" s="32"/>
      <c r="U79" s="31"/>
      <c r="V79" s="22"/>
    </row>
    <row r="80" spans="1:22" ht="27" customHeight="1" thickBot="1">
      <c r="A80" s="160"/>
      <c r="B80" s="169"/>
      <c r="C80" s="238"/>
      <c r="D80" s="1815" t="s">
        <v>812</v>
      </c>
      <c r="E80" s="1816"/>
      <c r="F80" s="1816"/>
      <c r="G80" s="1816"/>
      <c r="H80" s="1816"/>
      <c r="I80" s="1817"/>
      <c r="J80" s="218"/>
      <c r="K80" s="239">
        <f>IF(G$75&lt;1,0,IF(G$75&lt;6,5,(IF(G$75&lt;16,7.5,(IF(G$75&lt;30,10,12.5))))))</f>
        <v>0</v>
      </c>
      <c r="L80" s="1713"/>
      <c r="M80" s="1714"/>
      <c r="N80" s="1714"/>
      <c r="O80" s="1714"/>
      <c r="P80" s="1714"/>
      <c r="Q80" s="1714"/>
      <c r="R80" s="1715"/>
      <c r="T80" s="32"/>
      <c r="U80" s="31"/>
      <c r="V80" s="22"/>
    </row>
    <row r="81" spans="1:22" ht="15" customHeight="1">
      <c r="A81" s="160"/>
      <c r="B81" s="169"/>
      <c r="C81" s="240"/>
      <c r="D81" s="1818"/>
      <c r="E81" s="1818"/>
      <c r="F81" s="1818"/>
      <c r="G81" s="1818"/>
      <c r="H81" s="1818"/>
      <c r="I81" s="1818"/>
      <c r="J81" s="169"/>
      <c r="K81" s="207"/>
      <c r="L81" s="1713"/>
      <c r="M81" s="1714"/>
      <c r="N81" s="1714"/>
      <c r="O81" s="1714"/>
      <c r="P81" s="1714"/>
      <c r="Q81" s="1714"/>
      <c r="R81" s="1715"/>
      <c r="T81" s="32"/>
      <c r="U81" s="31"/>
      <c r="V81" s="22"/>
    </row>
    <row r="82" spans="1:22" ht="13.5" thickBot="1">
      <c r="A82" s="160"/>
      <c r="B82" s="169"/>
      <c r="C82" s="169"/>
      <c r="D82" s="169"/>
      <c r="E82" s="169"/>
      <c r="F82" s="169"/>
      <c r="G82" s="198" t="s">
        <v>693</v>
      </c>
      <c r="H82" s="64">
        <f>IF(G75=0,0,IF(K82=1,10,IF(K82=2,5,0)))</f>
        <v>0</v>
      </c>
      <c r="I82" s="199" t="s">
        <v>788</v>
      </c>
      <c r="J82" s="169"/>
      <c r="K82" s="241">
        <v>1</v>
      </c>
      <c r="L82" s="1713"/>
      <c r="M82" s="1714"/>
      <c r="N82" s="1714"/>
      <c r="O82" s="1714"/>
      <c r="P82" s="1714"/>
      <c r="Q82" s="1714"/>
      <c r="R82" s="1715"/>
      <c r="T82" s="32"/>
      <c r="U82" s="31"/>
      <c r="V82" s="22"/>
    </row>
    <row r="83" spans="1:22" ht="12" customHeight="1">
      <c r="A83" s="160"/>
      <c r="B83" s="169"/>
      <c r="C83" s="169"/>
      <c r="D83" s="169"/>
      <c r="E83" s="169"/>
      <c r="F83" s="169"/>
      <c r="G83" s="198"/>
      <c r="H83" s="242"/>
      <c r="I83" s="169"/>
      <c r="J83" s="169"/>
      <c r="K83" s="210"/>
      <c r="L83" s="1713"/>
      <c r="M83" s="1714"/>
      <c r="N83" s="1714"/>
      <c r="O83" s="1714"/>
      <c r="P83" s="1714"/>
      <c r="Q83" s="1714"/>
      <c r="R83" s="1715"/>
      <c r="T83" s="32"/>
      <c r="U83" s="31"/>
      <c r="V83" s="22"/>
    </row>
    <row r="84" spans="1:22" ht="12.75" customHeight="1">
      <c r="A84" s="243"/>
      <c r="B84" s="169" t="s">
        <v>749</v>
      </c>
      <c r="C84" s="169"/>
      <c r="D84" s="169"/>
      <c r="E84" s="169"/>
      <c r="F84" s="198"/>
      <c r="G84" s="198"/>
      <c r="H84" s="242"/>
      <c r="I84" s="169"/>
      <c r="J84" s="169"/>
      <c r="K84" s="210"/>
      <c r="L84" s="1713"/>
      <c r="M84" s="1714"/>
      <c r="N84" s="1714"/>
      <c r="O84" s="1714"/>
      <c r="P84" s="1714"/>
      <c r="Q84" s="1714"/>
      <c r="R84" s="1715"/>
      <c r="T84" s="32"/>
      <c r="U84" s="31"/>
      <c r="V84" s="22"/>
    </row>
    <row r="85" spans="1:22" ht="15" customHeight="1">
      <c r="A85" s="243"/>
      <c r="B85" s="169" t="s">
        <v>750</v>
      </c>
      <c r="C85" s="169"/>
      <c r="D85" s="169"/>
      <c r="E85" s="169"/>
      <c r="F85" s="169"/>
      <c r="G85" s="198"/>
      <c r="H85" s="242"/>
      <c r="I85" s="169"/>
      <c r="J85" s="169"/>
      <c r="K85" s="210"/>
      <c r="L85" s="1713"/>
      <c r="M85" s="1714"/>
      <c r="N85" s="1714"/>
      <c r="O85" s="1714"/>
      <c r="P85" s="1714"/>
      <c r="Q85" s="1714"/>
      <c r="R85" s="1715"/>
      <c r="T85" s="32"/>
      <c r="U85" s="31"/>
      <c r="V85" s="22"/>
    </row>
    <row r="86" spans="1:22" ht="9" customHeight="1" thickBot="1">
      <c r="A86" s="160"/>
      <c r="B86" s="169"/>
      <c r="C86" s="169"/>
      <c r="D86" s="169"/>
      <c r="E86" s="169"/>
      <c r="F86" s="169"/>
      <c r="G86" s="198"/>
      <c r="H86" s="242"/>
      <c r="I86" s="169"/>
      <c r="J86" s="169"/>
      <c r="K86" s="210"/>
      <c r="L86" s="1713"/>
      <c r="M86" s="1714"/>
      <c r="N86" s="1714"/>
      <c r="O86" s="1714"/>
      <c r="P86" s="1714"/>
      <c r="Q86" s="1714"/>
      <c r="R86" s="1715"/>
      <c r="T86" s="32"/>
      <c r="U86" s="31"/>
      <c r="V86" s="22"/>
    </row>
    <row r="87" spans="1:22" ht="15.75" customHeight="1" thickBot="1">
      <c r="A87" s="244" t="s">
        <v>789</v>
      </c>
      <c r="B87" s="164"/>
      <c r="C87" s="164"/>
      <c r="D87" s="164"/>
      <c r="E87" s="164"/>
      <c r="F87" s="164"/>
      <c r="G87" s="164"/>
      <c r="H87" s="164"/>
      <c r="I87" s="167" t="s">
        <v>747</v>
      </c>
      <c r="J87" s="1813">
        <f>IF(H82=0,0,H77+H82)</f>
        <v>0</v>
      </c>
      <c r="K87" s="1814"/>
      <c r="L87" s="1716"/>
      <c r="M87" s="1717"/>
      <c r="N87" s="1717"/>
      <c r="O87" s="1717"/>
      <c r="P87" s="1717"/>
      <c r="Q87" s="1717"/>
      <c r="R87" s="1718"/>
      <c r="T87" s="32"/>
      <c r="U87" s="31"/>
      <c r="V87" s="22"/>
    </row>
    <row r="88" spans="20:22" ht="12.75">
      <c r="T88" s="32"/>
      <c r="U88" s="31"/>
      <c r="V88" s="22"/>
    </row>
    <row r="89" spans="20:22" ht="12.75">
      <c r="T89" s="32"/>
      <c r="U89" s="31"/>
      <c r="V89" s="22"/>
    </row>
    <row r="90" spans="1:22" ht="12.75">
      <c r="A90" s="23"/>
      <c r="B90" s="23"/>
      <c r="C90" s="23"/>
      <c r="D90" s="23"/>
      <c r="E90" s="23"/>
      <c r="F90" s="23"/>
      <c r="G90" s="23"/>
      <c r="H90" s="23"/>
      <c r="I90" s="23"/>
      <c r="J90" s="23"/>
      <c r="K90" s="23"/>
      <c r="L90" s="23"/>
      <c r="T90" s="32"/>
      <c r="U90" s="31"/>
      <c r="V90" s="22"/>
    </row>
    <row r="91" spans="1:22" ht="12.75">
      <c r="A91" s="23"/>
      <c r="B91" s="23"/>
      <c r="C91" s="23"/>
      <c r="D91" s="23"/>
      <c r="E91" s="23"/>
      <c r="F91" s="23"/>
      <c r="G91" s="23"/>
      <c r="H91" s="23"/>
      <c r="I91" s="23"/>
      <c r="J91" s="23"/>
      <c r="K91" s="23"/>
      <c r="L91" s="23"/>
      <c r="T91" s="32"/>
      <c r="U91" s="31"/>
      <c r="V91" s="22"/>
    </row>
    <row r="92" spans="1:22" ht="12.75">
      <c r="A92" s="29" t="str">
        <f>Sheet1!A1</f>
        <v>Canon City, CO Field Office</v>
      </c>
      <c r="B92" s="29"/>
      <c r="C92" s="29"/>
      <c r="D92" s="29"/>
      <c r="E92" s="29"/>
      <c r="F92" s="29"/>
      <c r="G92" s="29" t="str">
        <f>Sheet1!E1</f>
        <v>B. Gohlke</v>
      </c>
      <c r="H92" s="23"/>
      <c r="I92" s="23"/>
      <c r="J92" s="23"/>
      <c r="K92" s="23"/>
      <c r="L92" s="23"/>
      <c r="T92" s="32"/>
      <c r="U92" s="31"/>
      <c r="V92" s="22"/>
    </row>
    <row r="93" spans="1:22" ht="12.75">
      <c r="A93" s="29" t="str">
        <f>Sheet1!A2</f>
        <v>Cheyenne Wells, CO Field Office</v>
      </c>
      <c r="B93" s="29"/>
      <c r="C93" s="29"/>
      <c r="D93" s="29"/>
      <c r="E93" s="29"/>
      <c r="F93" s="29"/>
      <c r="G93" s="29" t="str">
        <f>Sheet1!E2</f>
        <v>G. Langer</v>
      </c>
      <c r="H93" s="23"/>
      <c r="I93" s="23"/>
      <c r="J93" s="23"/>
      <c r="K93" s="23"/>
      <c r="L93" s="23"/>
      <c r="T93" s="32"/>
      <c r="U93" s="31"/>
      <c r="V93" s="22"/>
    </row>
    <row r="94" spans="1:22" ht="12.75">
      <c r="A94" s="29" t="str">
        <f>Sheet1!A3</f>
        <v>Colorado Springs, CO Field Office</v>
      </c>
      <c r="B94" s="29"/>
      <c r="C94" s="29"/>
      <c r="D94" s="29"/>
      <c r="E94" s="29"/>
      <c r="F94" s="29"/>
      <c r="G94" s="29" t="str">
        <f>Sheet1!E3</f>
        <v>J. Valentine</v>
      </c>
      <c r="H94" s="23"/>
      <c r="I94" s="23"/>
      <c r="J94" s="23"/>
      <c r="K94" s="23"/>
      <c r="L94" s="23"/>
      <c r="T94" s="32"/>
      <c r="U94" s="31"/>
      <c r="V94" s="22"/>
    </row>
    <row r="95" spans="1:22" ht="12.75">
      <c r="A95" s="29" t="str">
        <f>Sheet1!A4</f>
        <v>Eads, CO Field Office</v>
      </c>
      <c r="B95" s="29"/>
      <c r="C95" s="29"/>
      <c r="D95" s="29"/>
      <c r="E95" s="29"/>
      <c r="F95" s="29"/>
      <c r="G95" s="29" t="str">
        <f>Sheet1!E4</f>
        <v>R. Castle</v>
      </c>
      <c r="H95" s="23"/>
      <c r="I95" s="23"/>
      <c r="J95" s="23"/>
      <c r="K95" s="23"/>
      <c r="L95" s="23"/>
      <c r="T95" s="32"/>
      <c r="U95" s="31"/>
      <c r="V95" s="22"/>
    </row>
    <row r="96" spans="1:22" ht="12.75">
      <c r="A96" s="29" t="str">
        <f>Sheet1!A5</f>
        <v>Holly, CO Northeast Prowers SCD</v>
      </c>
      <c r="B96" s="29"/>
      <c r="C96" s="29"/>
      <c r="D96" s="29"/>
      <c r="E96" s="29"/>
      <c r="F96" s="29"/>
      <c r="G96" s="29" t="str">
        <f>Sheet1!E5</f>
        <v>R. Rhoades</v>
      </c>
      <c r="H96" s="23"/>
      <c r="I96" s="23"/>
      <c r="J96" s="23"/>
      <c r="K96" s="23"/>
      <c r="L96" s="23"/>
      <c r="T96" s="32"/>
      <c r="U96" s="31"/>
      <c r="V96" s="22"/>
    </row>
    <row r="97" spans="1:22" ht="12.75">
      <c r="A97" s="29" t="str">
        <f>Sheet1!A6</f>
        <v>Hugo, CO Field Office</v>
      </c>
      <c r="B97" s="29"/>
      <c r="C97" s="29"/>
      <c r="D97" s="29"/>
      <c r="E97" s="29"/>
      <c r="F97" s="29"/>
      <c r="G97" s="29" t="str">
        <f>Sheet1!E6</f>
        <v>B. Fortman</v>
      </c>
      <c r="H97" s="23"/>
      <c r="I97" s="23"/>
      <c r="J97" s="23"/>
      <c r="K97" s="23"/>
      <c r="L97" s="23"/>
      <c r="T97" s="32"/>
      <c r="U97" s="31"/>
      <c r="V97" s="22"/>
    </row>
    <row r="98" spans="1:22" ht="12.75">
      <c r="A98" s="29" t="str">
        <f>Sheet1!A7</f>
        <v>Lamar, CO  Field Office</v>
      </c>
      <c r="B98" s="29"/>
      <c r="C98" s="29"/>
      <c r="D98" s="29"/>
      <c r="E98" s="29"/>
      <c r="F98" s="29"/>
      <c r="G98" s="29" t="str">
        <f>Sheet1!E7</f>
        <v>L. Borrego</v>
      </c>
      <c r="H98" s="23"/>
      <c r="I98" s="23"/>
      <c r="J98" s="23"/>
      <c r="K98" s="23"/>
      <c r="L98" s="23"/>
      <c r="T98" s="32"/>
      <c r="U98" s="31"/>
      <c r="V98" s="22"/>
    </row>
    <row r="99" spans="1:22" ht="12.75">
      <c r="A99" s="29" t="str">
        <f>Sheet1!A8</f>
        <v>Las Animas, CO Field Office</v>
      </c>
      <c r="B99" s="29"/>
      <c r="C99" s="29"/>
      <c r="D99" s="29"/>
      <c r="E99" s="29"/>
      <c r="F99" s="29"/>
      <c r="G99" s="29" t="str">
        <f>Sheet1!E8</f>
        <v>M. Clark</v>
      </c>
      <c r="H99" s="23"/>
      <c r="I99" s="23"/>
      <c r="J99" s="23"/>
      <c r="K99" s="23"/>
      <c r="L99" s="23"/>
      <c r="T99" s="32"/>
      <c r="U99" s="31"/>
      <c r="V99" s="22"/>
    </row>
    <row r="100" spans="1:22" ht="12.75">
      <c r="A100" s="29" t="str">
        <f>Sheet1!A9</f>
        <v>Pueblo, CO Field Office</v>
      </c>
      <c r="B100" s="29"/>
      <c r="C100" s="29"/>
      <c r="D100" s="29"/>
      <c r="E100" s="29"/>
      <c r="F100" s="29"/>
      <c r="G100" s="29" t="str">
        <f>Sheet1!E9</f>
        <v>B. Klinkerman</v>
      </c>
      <c r="H100" s="23"/>
      <c r="I100" s="23"/>
      <c r="J100" s="23"/>
      <c r="K100" s="23"/>
      <c r="L100" s="23"/>
      <c r="T100" s="32"/>
      <c r="U100" s="31"/>
      <c r="V100" s="22"/>
    </row>
    <row r="101" spans="1:22" ht="12.75">
      <c r="A101" s="29" t="str">
        <f>Sheet1!A10</f>
        <v>Rocky Ford, CO Field Office</v>
      </c>
      <c r="B101" s="29"/>
      <c r="C101" s="29"/>
      <c r="D101" s="29"/>
      <c r="E101" s="29"/>
      <c r="F101" s="29"/>
      <c r="G101" s="29" t="str">
        <f>Sheet1!E10</f>
        <v>D. Miller</v>
      </c>
      <c r="H101" s="23"/>
      <c r="I101" s="23"/>
      <c r="J101" s="23"/>
      <c r="K101" s="23"/>
      <c r="L101" s="23"/>
      <c r="T101" s="32"/>
      <c r="U101" s="31"/>
      <c r="V101" s="22"/>
    </row>
    <row r="102" spans="1:22" ht="12.75">
      <c r="A102" s="29" t="str">
        <f>Sheet1!A11</f>
        <v>Salida, CO Field Office</v>
      </c>
      <c r="B102" s="29"/>
      <c r="C102" s="29"/>
      <c r="D102" s="29"/>
      <c r="E102" s="29"/>
      <c r="F102" s="29"/>
      <c r="G102" s="29" t="str">
        <f>Sheet1!E11</f>
        <v>D. Russell</v>
      </c>
      <c r="H102" s="23"/>
      <c r="I102" s="23"/>
      <c r="J102" s="23"/>
      <c r="K102" s="23"/>
      <c r="L102" s="23"/>
      <c r="T102" s="32"/>
      <c r="U102" s="31"/>
      <c r="V102" s="22"/>
    </row>
    <row r="103" spans="1:22" ht="12.75">
      <c r="A103" s="29" t="str">
        <f>Sheet1!A12</f>
        <v>Silver Cliff, CO Field Office</v>
      </c>
      <c r="B103" s="29"/>
      <c r="C103" s="29"/>
      <c r="D103" s="29"/>
      <c r="E103" s="29"/>
      <c r="F103" s="29"/>
      <c r="G103" s="29" t="str">
        <f>Sheet1!E12</f>
        <v>M. Williams</v>
      </c>
      <c r="H103" s="23"/>
      <c r="I103" s="23"/>
      <c r="J103" s="23"/>
      <c r="K103" s="23"/>
      <c r="L103" s="23"/>
      <c r="T103" s="32"/>
      <c r="U103" s="31"/>
      <c r="V103" s="22"/>
    </row>
    <row r="104" spans="1:22" ht="12.75">
      <c r="A104" s="29" t="str">
        <f>Sheet1!A13</f>
        <v>Simla, CO Field Office</v>
      </c>
      <c r="B104" s="29"/>
      <c r="C104" s="29"/>
      <c r="D104" s="29"/>
      <c r="E104" s="29"/>
      <c r="F104" s="29"/>
      <c r="G104" s="29" t="str">
        <f>Sheet1!E13</f>
        <v>F. Edens</v>
      </c>
      <c r="H104" s="23"/>
      <c r="I104" s="23"/>
      <c r="J104" s="23"/>
      <c r="K104" s="23"/>
      <c r="L104" s="23"/>
      <c r="T104" s="32"/>
      <c r="U104" s="31"/>
      <c r="V104" s="22"/>
    </row>
    <row r="105" spans="1:22" ht="12.75">
      <c r="A105" s="29" t="str">
        <f>Sheet1!A14</f>
        <v>Springfield, CO Field Office</v>
      </c>
      <c r="B105" s="29"/>
      <c r="C105" s="29"/>
      <c r="D105" s="29"/>
      <c r="E105" s="29"/>
      <c r="F105" s="29"/>
      <c r="G105" s="29" t="str">
        <f>Sheet1!E14</f>
        <v>J. "Wade" Sigler</v>
      </c>
      <c r="H105" s="23"/>
      <c r="I105" s="23"/>
      <c r="J105" s="23"/>
      <c r="K105" s="23"/>
      <c r="L105" s="23"/>
      <c r="T105" s="32"/>
      <c r="U105" s="31"/>
      <c r="V105" s="22"/>
    </row>
    <row r="106" spans="1:22" ht="12.75">
      <c r="A106" s="29" t="str">
        <f>Sheet1!A15</f>
        <v>Trinidad, CO Field Office</v>
      </c>
      <c r="B106" s="29"/>
      <c r="C106" s="29"/>
      <c r="D106" s="29"/>
      <c r="E106" s="29"/>
      <c r="F106" s="29"/>
      <c r="G106" s="29" t="str">
        <f>Sheet1!E15</f>
        <v>C. Waugh</v>
      </c>
      <c r="H106" s="23"/>
      <c r="I106" s="23"/>
      <c r="J106" s="23"/>
      <c r="K106" s="23"/>
      <c r="L106" s="23"/>
      <c r="T106" s="32"/>
      <c r="U106" s="31"/>
      <c r="V106" s="22"/>
    </row>
    <row r="107" spans="1:22" ht="14.25" customHeight="1">
      <c r="A107" s="29" t="str">
        <f>Sheet1!A16</f>
        <v>Walsenburg, CO Field Office</v>
      </c>
      <c r="B107" s="29"/>
      <c r="C107" s="29"/>
      <c r="D107" s="29"/>
      <c r="E107" s="29"/>
      <c r="F107" s="29"/>
      <c r="G107" s="29" t="str">
        <f>Sheet1!E16</f>
        <v>S. Smith</v>
      </c>
      <c r="H107" s="23"/>
      <c r="I107" s="23"/>
      <c r="J107" s="23"/>
      <c r="K107" s="23"/>
      <c r="L107" s="23"/>
      <c r="T107" s="32"/>
      <c r="U107" s="31"/>
      <c r="V107" s="22"/>
    </row>
    <row r="108" spans="1:22" ht="14.25" customHeight="1">
      <c r="A108" s="29" t="str">
        <f>Sheet1!A17</f>
        <v>Woodland Park, CO Teller/Park SCD</v>
      </c>
      <c r="B108" s="29"/>
      <c r="C108" s="29"/>
      <c r="D108" s="29"/>
      <c r="E108" s="29"/>
      <c r="F108" s="29"/>
      <c r="G108" s="29" t="str">
        <f>Sheet1!E17</f>
        <v>J. Nelson</v>
      </c>
      <c r="H108" s="23"/>
      <c r="I108" s="23"/>
      <c r="J108" s="23"/>
      <c r="K108" s="23"/>
      <c r="L108" s="23"/>
      <c r="T108" s="32"/>
      <c r="U108" s="31"/>
      <c r="V108" s="22"/>
    </row>
    <row r="109" spans="1:22" ht="12.75" customHeight="1">
      <c r="A109" s="29"/>
      <c r="B109" s="29"/>
      <c r="C109" s="29"/>
      <c r="D109" s="29"/>
      <c r="E109" s="29"/>
      <c r="F109" s="29"/>
      <c r="G109" s="29" t="str">
        <f>Sheet1!E18</f>
        <v>J. Sperry</v>
      </c>
      <c r="H109" s="23"/>
      <c r="I109" s="23"/>
      <c r="J109" s="23"/>
      <c r="K109" s="23"/>
      <c r="L109" s="23"/>
      <c r="T109" s="32"/>
      <c r="U109" s="31"/>
      <c r="V109" s="22"/>
    </row>
    <row r="110" spans="1:24" ht="15.75" customHeight="1">
      <c r="A110" s="29"/>
      <c r="B110" s="29"/>
      <c r="C110" s="29"/>
      <c r="D110" s="29"/>
      <c r="E110" s="29"/>
      <c r="F110" s="29"/>
      <c r="G110" s="29" t="str">
        <f>Sheet1!E19</f>
        <v>R. Romano</v>
      </c>
      <c r="H110" s="23"/>
      <c r="I110" s="23"/>
      <c r="J110" s="23"/>
      <c r="K110" s="23"/>
      <c r="L110" s="23"/>
      <c r="S110" s="32"/>
      <c r="T110" s="22"/>
      <c r="U110" s="22"/>
      <c r="X110"/>
    </row>
    <row r="111" spans="1:24" ht="15.75" customHeight="1">
      <c r="A111" s="29"/>
      <c r="B111" s="29"/>
      <c r="C111" s="29"/>
      <c r="D111" s="29"/>
      <c r="E111" s="29"/>
      <c r="F111" s="29"/>
      <c r="G111" s="29" t="str">
        <f>Sheet1!E20</f>
        <v>R. Fontaine</v>
      </c>
      <c r="H111" s="23"/>
      <c r="I111" s="23"/>
      <c r="J111" s="23"/>
      <c r="K111" s="23"/>
      <c r="L111" s="23"/>
      <c r="S111" s="32"/>
      <c r="T111" s="22"/>
      <c r="U111" s="22"/>
      <c r="X111"/>
    </row>
    <row r="112" spans="1:24" ht="16.5" customHeight="1">
      <c r="A112" s="29" t="str">
        <f>Sheet1!A21</f>
        <v>Individual</v>
      </c>
      <c r="B112" s="29"/>
      <c r="C112" s="29"/>
      <c r="D112" s="29"/>
      <c r="E112" s="29"/>
      <c r="F112" s="29"/>
      <c r="G112" s="29" t="str">
        <f>Sheet1!E21</f>
        <v>M. Watson</v>
      </c>
      <c r="H112" s="23"/>
      <c r="I112" s="23"/>
      <c r="J112" s="23"/>
      <c r="K112" s="23"/>
      <c r="L112" s="23"/>
      <c r="S112" s="32"/>
      <c r="T112" s="22"/>
      <c r="U112" s="22"/>
      <c r="X112"/>
    </row>
    <row r="113" spans="1:22" ht="15" customHeight="1">
      <c r="A113" s="29" t="str">
        <f>Sheet1!A22</f>
        <v>General Partnership</v>
      </c>
      <c r="B113" s="29"/>
      <c r="C113" s="29"/>
      <c r="D113" s="29"/>
      <c r="E113" s="29"/>
      <c r="F113" s="29"/>
      <c r="G113" s="29" t="str">
        <f>Sheet1!E22</f>
        <v>M. Miller</v>
      </c>
      <c r="H113" s="23"/>
      <c r="I113" s="23"/>
      <c r="J113" s="23"/>
      <c r="K113" s="23"/>
      <c r="L113" s="23"/>
      <c r="T113" s="32"/>
      <c r="U113" s="31"/>
      <c r="V113" s="22"/>
    </row>
    <row r="114" spans="1:22" ht="15.75" customHeight="1">
      <c r="A114" s="29" t="str">
        <f>Sheet1!A23</f>
        <v>Joint Venture</v>
      </c>
      <c r="B114" s="29"/>
      <c r="C114" s="29"/>
      <c r="D114" s="29"/>
      <c r="E114" s="29"/>
      <c r="F114" s="29"/>
      <c r="G114" s="29" t="str">
        <f>Sheet1!E23</f>
        <v>C. Sheley</v>
      </c>
      <c r="H114" s="23"/>
      <c r="I114" s="23"/>
      <c r="J114" s="23"/>
      <c r="K114" s="23"/>
      <c r="L114" s="23"/>
      <c r="T114" s="32"/>
      <c r="U114" s="31"/>
      <c r="V114" s="22"/>
    </row>
    <row r="115" spans="1:22" ht="15" customHeight="1">
      <c r="A115" s="29" t="str">
        <f>Sheet1!A24</f>
        <v>Limited Liability Partnership</v>
      </c>
      <c r="B115" s="29"/>
      <c r="C115" s="29"/>
      <c r="D115" s="29"/>
      <c r="E115" s="29"/>
      <c r="F115" s="29"/>
      <c r="G115" s="29" t="str">
        <f>Sheet1!E24</f>
        <v>D. Sanchez</v>
      </c>
      <c r="H115" s="23"/>
      <c r="I115" s="23"/>
      <c r="J115" s="23"/>
      <c r="K115" s="23"/>
      <c r="L115" s="23"/>
      <c r="T115" s="32"/>
      <c r="U115" s="31"/>
      <c r="V115" s="22"/>
    </row>
    <row r="116" spans="1:22" ht="13.5" customHeight="1">
      <c r="A116" s="29" t="str">
        <f>Sheet1!A25</f>
        <v>Limited Liability Limited Partnership</v>
      </c>
      <c r="B116" s="29"/>
      <c r="C116" s="29"/>
      <c r="D116" s="29"/>
      <c r="E116" s="29"/>
      <c r="F116" s="29"/>
      <c r="G116" s="29" t="str">
        <f>Sheet1!E25</f>
        <v>L.G. "Smitty" Smith</v>
      </c>
      <c r="H116" s="23"/>
      <c r="I116" s="23"/>
      <c r="J116" s="23"/>
      <c r="K116" s="23"/>
      <c r="L116" s="23"/>
      <c r="T116" s="32"/>
      <c r="U116" s="31"/>
      <c r="V116" s="22"/>
    </row>
    <row r="117" spans="1:22" ht="15" customHeight="1">
      <c r="A117" s="29" t="str">
        <f>Sheet1!A26</f>
        <v>Limited Partnership Association</v>
      </c>
      <c r="B117" s="29"/>
      <c r="C117" s="29"/>
      <c r="D117" s="29"/>
      <c r="E117" s="29"/>
      <c r="F117" s="29"/>
      <c r="G117" s="29" t="str">
        <f>Sheet1!E26</f>
        <v>C. Regnier</v>
      </c>
      <c r="H117" s="23"/>
      <c r="I117" s="23"/>
      <c r="J117" s="23"/>
      <c r="K117" s="23"/>
      <c r="L117" s="23"/>
      <c r="T117" s="32"/>
      <c r="U117" s="31"/>
      <c r="V117" s="22"/>
    </row>
    <row r="118" spans="1:22" ht="15.75" customHeight="1">
      <c r="A118" s="29" t="str">
        <f>Sheet1!A27</f>
        <v>Limited Liability Company</v>
      </c>
      <c r="B118" s="29"/>
      <c r="C118" s="29"/>
      <c r="D118" s="29"/>
      <c r="E118" s="29"/>
      <c r="F118" s="29"/>
      <c r="G118" s="29" t="str">
        <f>Sheet1!E27</f>
        <v>C. Melcher</v>
      </c>
      <c r="H118" s="23"/>
      <c r="I118" s="23"/>
      <c r="J118" s="23"/>
      <c r="K118" s="23"/>
      <c r="L118" s="23"/>
      <c r="T118" s="32"/>
      <c r="U118" s="31"/>
      <c r="V118" s="22"/>
    </row>
    <row r="119" spans="1:22" ht="15.75" customHeight="1">
      <c r="A119" s="29" t="str">
        <f>Sheet1!A28</f>
        <v>Limited Partnership  </v>
      </c>
      <c r="B119" s="29"/>
      <c r="C119" s="29"/>
      <c r="D119" s="29"/>
      <c r="E119" s="29"/>
      <c r="F119" s="29"/>
      <c r="G119" s="29" t="str">
        <f>Sheet1!E28</f>
        <v>W. "Ted" Lonnberg</v>
      </c>
      <c r="H119" s="23"/>
      <c r="I119" s="23"/>
      <c r="J119" s="23"/>
      <c r="K119" s="23"/>
      <c r="L119" s="23"/>
      <c r="T119" s="32"/>
      <c r="U119" s="31"/>
      <c r="V119" s="22"/>
    </row>
    <row r="120" spans="1:22" ht="12.75">
      <c r="A120" s="29" t="str">
        <f>Sheet1!A29</f>
        <v>Corporation</v>
      </c>
      <c r="B120" s="29"/>
      <c r="C120" s="29"/>
      <c r="D120" s="29"/>
      <c r="E120" s="29"/>
      <c r="F120" s="29"/>
      <c r="G120" s="29" t="str">
        <f>Sheet1!E29</f>
        <v>B. Johnson</v>
      </c>
      <c r="H120" s="23"/>
      <c r="I120" s="23"/>
      <c r="J120" s="23"/>
      <c r="K120" s="23"/>
      <c r="L120" s="23"/>
      <c r="T120" s="32"/>
      <c r="U120" s="31"/>
      <c r="V120" s="22"/>
    </row>
    <row r="121" spans="1:22" ht="12.75">
      <c r="A121" s="29" t="str">
        <f>Sheet1!A30</f>
        <v>Trust</v>
      </c>
      <c r="B121" s="29"/>
      <c r="C121" s="29"/>
      <c r="D121" s="29"/>
      <c r="E121" s="29"/>
      <c r="F121" s="29"/>
      <c r="G121" s="29" t="str">
        <f>Sheet1!E30</f>
        <v>A. White</v>
      </c>
      <c r="H121" s="23"/>
      <c r="I121" s="23"/>
      <c r="J121" s="23"/>
      <c r="K121" s="23"/>
      <c r="L121" s="23"/>
      <c r="T121" s="32"/>
      <c r="U121" s="31"/>
      <c r="V121" s="22"/>
    </row>
    <row r="122" spans="1:12" ht="12.75">
      <c r="A122" s="29" t="str">
        <f>Sheet1!A31</f>
        <v>Estate</v>
      </c>
      <c r="B122" s="29"/>
      <c r="C122" s="29"/>
      <c r="D122" s="29"/>
      <c r="E122" s="29"/>
      <c r="F122" s="29"/>
      <c r="G122" s="29" t="str">
        <f>Sheet1!E31</f>
        <v>W. Bland</v>
      </c>
      <c r="H122" s="23"/>
      <c r="I122" s="23"/>
      <c r="J122" s="23"/>
      <c r="K122" s="23"/>
      <c r="L122" s="23"/>
    </row>
    <row r="123" spans="1:12" ht="12.75">
      <c r="A123" s="29"/>
      <c r="B123" s="29"/>
      <c r="C123" s="29"/>
      <c r="D123" s="29"/>
      <c r="E123" s="29"/>
      <c r="F123" s="29"/>
      <c r="G123" s="29" t="str">
        <f>Sheet1!E32</f>
        <v>S. Hansen</v>
      </c>
      <c r="H123" s="23"/>
      <c r="I123" s="23"/>
      <c r="J123" s="23"/>
      <c r="K123" s="23"/>
      <c r="L123" s="23"/>
    </row>
    <row r="124" spans="1:12" ht="12.75">
      <c r="A124" s="29"/>
      <c r="B124" s="29"/>
      <c r="C124" s="29"/>
      <c r="D124" s="29"/>
      <c r="E124" s="29"/>
      <c r="F124" s="29"/>
      <c r="G124" s="29" t="str">
        <f>Sheet1!E33</f>
        <v>K. Conrad</v>
      </c>
      <c r="H124" s="23"/>
      <c r="I124" s="23"/>
      <c r="J124" s="23"/>
      <c r="K124" s="23"/>
      <c r="L124" s="23"/>
    </row>
    <row r="125" spans="1:12" ht="12.75" customHeight="1">
      <c r="A125" s="29" t="str">
        <f>Sheet1!A34</f>
        <v>Colorado Division of Wildlife</v>
      </c>
      <c r="B125" s="29"/>
      <c r="C125" s="29"/>
      <c r="D125" s="29"/>
      <c r="E125" s="29"/>
      <c r="F125" s="29"/>
      <c r="G125" s="29" t="str">
        <f>Sheet1!E34</f>
        <v>M. Martin</v>
      </c>
      <c r="H125" s="23"/>
      <c r="I125" s="23"/>
      <c r="J125" s="23"/>
      <c r="K125" s="23"/>
      <c r="L125" s="23"/>
    </row>
    <row r="126" spans="1:12" ht="12.75" customHeight="1">
      <c r="A126" s="29" t="str">
        <f>Sheet1!A35</f>
        <v>U.S. Fish and Wildlife Service</v>
      </c>
      <c r="B126" s="29"/>
      <c r="C126" s="29"/>
      <c r="D126" s="29"/>
      <c r="E126" s="29"/>
      <c r="F126" s="29"/>
      <c r="G126" s="29" t="str">
        <f>Sheet1!E35</f>
        <v>E. Kilpatrick</v>
      </c>
      <c r="H126" s="23"/>
      <c r="I126" s="23"/>
      <c r="J126" s="23"/>
      <c r="K126" s="23"/>
      <c r="L126" s="23"/>
    </row>
    <row r="127" spans="1:12" ht="12.75" customHeight="1">
      <c r="A127" s="29" t="str">
        <f>Sheet1!A36</f>
        <v>Colorado Elk Foundation</v>
      </c>
      <c r="B127" s="29"/>
      <c r="C127" s="29"/>
      <c r="D127" s="29"/>
      <c r="E127" s="29"/>
      <c r="F127" s="29"/>
      <c r="G127" s="29" t="str">
        <f>Sheet1!E36</f>
        <v>C. Schleining</v>
      </c>
      <c r="H127" s="23"/>
      <c r="I127" s="23"/>
      <c r="J127" s="23"/>
      <c r="K127" s="23"/>
      <c r="L127" s="23"/>
    </row>
    <row r="128" spans="1:12" ht="14.25" customHeight="1">
      <c r="A128" s="29" t="str">
        <f>Sheet1!A37</f>
        <v>Pheasants Forever</v>
      </c>
      <c r="B128" s="29"/>
      <c r="C128" s="29"/>
      <c r="D128" s="29"/>
      <c r="E128" s="29"/>
      <c r="F128" s="29"/>
      <c r="G128" s="29" t="str">
        <f>Sheet1!E37</f>
        <v>B. "B.J." Jones</v>
      </c>
      <c r="H128" s="23"/>
      <c r="I128" s="23"/>
      <c r="J128" s="23"/>
      <c r="K128" s="23"/>
      <c r="L128" s="23"/>
    </row>
    <row r="129" spans="1:12" ht="12.75">
      <c r="A129" s="29" t="str">
        <f>Sheet1!A38</f>
        <v>Ducks Unlimited</v>
      </c>
      <c r="B129" s="29"/>
      <c r="C129" s="29"/>
      <c r="D129" s="29"/>
      <c r="E129" s="29"/>
      <c r="F129" s="29"/>
      <c r="G129" s="29" t="str">
        <f>Sheet1!E38</f>
        <v>J. Hamilton</v>
      </c>
      <c r="H129" s="23"/>
      <c r="I129" s="23"/>
      <c r="J129" s="23"/>
      <c r="K129" s="23"/>
      <c r="L129" s="23"/>
    </row>
    <row r="130" spans="1:12" ht="12.75">
      <c r="A130" s="29" t="str">
        <f>Sheet1!A39</f>
        <v>Other</v>
      </c>
      <c r="B130" s="29"/>
      <c r="C130" s="29"/>
      <c r="D130" s="29"/>
      <c r="E130" s="29"/>
      <c r="F130" s="29"/>
      <c r="G130" s="29" t="str">
        <f>Sheet1!E39</f>
        <v>J. Moffett</v>
      </c>
      <c r="H130" s="23"/>
      <c r="I130" s="23"/>
      <c r="J130" s="23"/>
      <c r="K130" s="23"/>
      <c r="L130" s="23"/>
    </row>
    <row r="131" spans="1:12" ht="12.75">
      <c r="A131" s="29"/>
      <c r="B131" s="29"/>
      <c r="C131" s="29"/>
      <c r="D131" s="29"/>
      <c r="E131" s="29"/>
      <c r="F131" s="29"/>
      <c r="G131" s="29" t="str">
        <f>Sheet1!E40</f>
        <v>R. Grigat</v>
      </c>
      <c r="H131" s="23"/>
      <c r="I131" s="23"/>
      <c r="J131" s="23"/>
      <c r="K131" s="23"/>
      <c r="L131" s="23"/>
    </row>
    <row r="132" spans="1:12" ht="12.75">
      <c r="A132" s="29" t="str">
        <f>Sheet1!H36</f>
        <v>Veal Calves</v>
      </c>
      <c r="B132" s="29"/>
      <c r="C132" s="29"/>
      <c r="D132" s="29"/>
      <c r="E132" s="29"/>
      <c r="F132" s="29"/>
      <c r="G132" s="29" t="str">
        <f>Sheet1!E41</f>
        <v>J. Dukes</v>
      </c>
      <c r="H132" s="23"/>
      <c r="I132" s="23"/>
      <c r="J132" s="23"/>
      <c r="K132" s="23"/>
      <c r="L132" s="23"/>
    </row>
    <row r="133" spans="1:12" ht="12.75">
      <c r="A133" s="29" t="str">
        <f>Sheet1!H37</f>
        <v>Dairy</v>
      </c>
      <c r="B133" s="29"/>
      <c r="C133" s="29"/>
      <c r="D133" s="29"/>
      <c r="E133" s="29"/>
      <c r="F133" s="29"/>
      <c r="G133" s="29" t="str">
        <f>Sheet1!E42</f>
        <v>T. Werner</v>
      </c>
      <c r="H133" s="23"/>
      <c r="I133" s="23"/>
      <c r="J133" s="23"/>
      <c r="K133" s="23"/>
      <c r="L133" s="23"/>
    </row>
    <row r="134" spans="1:12" ht="12.75">
      <c r="A134" s="29" t="str">
        <f>Sheet1!H38</f>
        <v>Swine</v>
      </c>
      <c r="B134" s="117"/>
      <c r="C134" s="117"/>
      <c r="D134" s="117"/>
      <c r="E134" s="117"/>
      <c r="F134" s="29"/>
      <c r="G134" s="29" t="str">
        <f>Sheet1!E43</f>
        <v>K. Falen</v>
      </c>
      <c r="H134" s="23"/>
      <c r="I134" s="23"/>
      <c r="J134" s="23"/>
      <c r="K134" s="23"/>
      <c r="L134" s="23"/>
    </row>
    <row r="135" spans="1:12" ht="12.75">
      <c r="A135" s="29" t="str">
        <f>Sheet1!H39</f>
        <v>Sheep</v>
      </c>
      <c r="B135" s="117"/>
      <c r="C135" s="117"/>
      <c r="D135" s="117"/>
      <c r="E135" s="117"/>
      <c r="F135" s="29"/>
      <c r="G135" s="29" t="str">
        <f>Sheet1!E44</f>
        <v>M. "Storm" Casper</v>
      </c>
      <c r="H135" s="23"/>
      <c r="I135" s="23"/>
      <c r="J135" s="23"/>
      <c r="K135" s="23"/>
      <c r="L135" s="23"/>
    </row>
    <row r="136" spans="1:12" ht="12.75">
      <c r="A136" s="29" t="str">
        <f>Sheet1!H40</f>
        <v>Turkey</v>
      </c>
      <c r="B136" s="117"/>
      <c r="C136" s="117"/>
      <c r="D136" s="117"/>
      <c r="E136" s="117"/>
      <c r="F136" s="29"/>
      <c r="G136" s="29" t="str">
        <f>Sheet1!E45</f>
        <v>M. Gigante</v>
      </c>
      <c r="H136" s="23"/>
      <c r="I136" s="23"/>
      <c r="J136" s="23"/>
      <c r="K136" s="23"/>
      <c r="L136" s="23"/>
    </row>
    <row r="137" spans="1:12" ht="12.75">
      <c r="A137" s="29" t="str">
        <f>Sheet1!H41</f>
        <v>Chicken</v>
      </c>
      <c r="B137" s="117"/>
      <c r="C137" s="117"/>
      <c r="D137" s="117"/>
      <c r="E137" s="117"/>
      <c r="F137" s="29"/>
      <c r="G137" s="29" t="str">
        <f>Sheet1!E46</f>
        <v>T. Arnhold</v>
      </c>
      <c r="H137" s="23"/>
      <c r="I137" s="23"/>
      <c r="J137" s="23"/>
      <c r="K137" s="23"/>
      <c r="L137" s="23"/>
    </row>
    <row r="138" spans="1:12" ht="12.75">
      <c r="A138" s="29" t="str">
        <f>Sheet1!H42</f>
        <v>Beef Cattle</v>
      </c>
      <c r="B138" s="117"/>
      <c r="C138" s="117"/>
      <c r="D138" s="117"/>
      <c r="E138" s="117"/>
      <c r="F138" s="29"/>
      <c r="G138" s="29" t="str">
        <f>Sheet1!E47</f>
        <v>K. Lutz</v>
      </c>
      <c r="H138" s="23"/>
      <c r="I138" s="23"/>
      <c r="J138" s="23"/>
      <c r="K138" s="23"/>
      <c r="L138" s="23"/>
    </row>
    <row r="139" spans="1:12" ht="12.75">
      <c r="A139" s="29"/>
      <c r="B139" s="117"/>
      <c r="C139" s="117"/>
      <c r="D139" s="117"/>
      <c r="E139" s="117"/>
      <c r="F139" s="29"/>
      <c r="G139" s="29" t="str">
        <f>Sheet1!E48</f>
        <v>D. Lane</v>
      </c>
      <c r="H139" s="23"/>
      <c r="I139" s="23"/>
      <c r="J139" s="23"/>
      <c r="K139" s="23"/>
      <c r="L139" s="23"/>
    </row>
    <row r="140" spans="1:12" ht="12.75">
      <c r="A140" s="29"/>
      <c r="B140" s="117"/>
      <c r="C140" s="117"/>
      <c r="D140" s="117"/>
      <c r="E140" s="117"/>
      <c r="F140" s="29"/>
      <c r="G140" s="29" t="str">
        <f>Sheet1!E49</f>
        <v>L."Pete" Ward, Jr.</v>
      </c>
      <c r="H140" s="23"/>
      <c r="I140" s="23"/>
      <c r="J140" s="23"/>
      <c r="K140" s="23"/>
      <c r="L140" s="23"/>
    </row>
    <row r="141" spans="1:12" ht="12.75">
      <c r="A141" s="29"/>
      <c r="B141" s="117"/>
      <c r="C141" s="117"/>
      <c r="D141" s="117"/>
      <c r="E141" s="117"/>
      <c r="F141" s="29"/>
      <c r="G141" s="29" t="str">
        <f>Sheet1!E50</f>
        <v>L. Kot</v>
      </c>
      <c r="H141" s="23"/>
      <c r="I141" s="23"/>
      <c r="J141" s="23"/>
      <c r="K141" s="23"/>
      <c r="L141" s="23"/>
    </row>
    <row r="142" spans="1:12" ht="12.75">
      <c r="A142" s="29"/>
      <c r="B142" s="117"/>
      <c r="C142" s="117"/>
      <c r="D142" s="117"/>
      <c r="E142" s="117"/>
      <c r="F142" s="29"/>
      <c r="G142" s="29" t="str">
        <f>Sheet1!E51</f>
        <v>L. Pearson</v>
      </c>
      <c r="H142" s="23"/>
      <c r="I142" s="23"/>
      <c r="J142" s="23"/>
      <c r="K142" s="23"/>
      <c r="L142" s="23"/>
    </row>
    <row r="143" spans="1:12" ht="12.75">
      <c r="A143" s="29"/>
      <c r="B143" s="117"/>
      <c r="C143" s="117"/>
      <c r="D143" s="117"/>
      <c r="E143" s="117"/>
      <c r="F143" s="29"/>
      <c r="G143" s="29" t="str">
        <f>Sheet1!E52</f>
        <v>B. Kitten</v>
      </c>
      <c r="H143" s="23"/>
      <c r="I143" s="23"/>
      <c r="J143" s="23"/>
      <c r="K143" s="23"/>
      <c r="L143" s="23"/>
    </row>
    <row r="144" spans="1:12" ht="12.75">
      <c r="A144" s="29"/>
      <c r="B144" s="117"/>
      <c r="C144" s="117"/>
      <c r="D144" s="117"/>
      <c r="E144" s="117"/>
      <c r="F144" s="29"/>
      <c r="G144" s="29" t="str">
        <f>Sheet1!E53</f>
        <v>L. Sutherland</v>
      </c>
      <c r="H144" s="23"/>
      <c r="I144" s="23"/>
      <c r="J144" s="23"/>
      <c r="K144" s="23"/>
      <c r="L144" s="23"/>
    </row>
    <row r="145" spans="1:12" ht="12.75">
      <c r="A145" s="29"/>
      <c r="B145" s="117"/>
      <c r="C145" s="117"/>
      <c r="D145" s="117"/>
      <c r="E145" s="117"/>
      <c r="F145" s="29"/>
      <c r="G145" s="29" t="str">
        <f>Sheet1!E54</f>
        <v>C. Pannebaker</v>
      </c>
      <c r="H145" s="23"/>
      <c r="I145" s="23"/>
      <c r="J145" s="23"/>
      <c r="K145" s="23"/>
      <c r="L145" s="23"/>
    </row>
    <row r="146" spans="1:12" ht="12.75">
      <c r="A146" s="29"/>
      <c r="B146" s="117"/>
      <c r="C146" s="117"/>
      <c r="D146" s="117"/>
      <c r="E146" s="117"/>
      <c r="F146" s="29"/>
      <c r="G146" s="29" t="str">
        <f>Sheet1!E55</f>
        <v>B. Berlinger</v>
      </c>
      <c r="H146" s="23"/>
      <c r="I146" s="23"/>
      <c r="J146" s="23"/>
      <c r="K146" s="23"/>
      <c r="L146" s="23"/>
    </row>
    <row r="147" spans="1:12" ht="12.75">
      <c r="A147" s="23"/>
      <c r="B147" s="73"/>
      <c r="C147" s="73"/>
      <c r="D147" s="73"/>
      <c r="E147" s="73"/>
      <c r="F147" s="23"/>
      <c r="G147" s="23"/>
      <c r="H147" s="23"/>
      <c r="I147" s="23"/>
      <c r="J147" s="23"/>
      <c r="K147" s="23"/>
      <c r="L147" s="23"/>
    </row>
    <row r="148" spans="1:12" ht="12.75">
      <c r="A148" s="23"/>
      <c r="B148" s="73"/>
      <c r="C148" s="73"/>
      <c r="D148" s="73"/>
      <c r="E148" s="73"/>
      <c r="F148" s="23"/>
      <c r="G148" s="23"/>
      <c r="H148" s="23"/>
      <c r="I148" s="23"/>
      <c r="J148" s="23"/>
      <c r="K148" s="23"/>
      <c r="L148" s="23"/>
    </row>
    <row r="149" spans="1:12" ht="12.75">
      <c r="A149" s="23"/>
      <c r="B149" s="73"/>
      <c r="C149" s="73"/>
      <c r="D149" s="73"/>
      <c r="E149" s="73"/>
      <c r="F149" s="23"/>
      <c r="G149" s="23"/>
      <c r="H149" s="23"/>
      <c r="I149" s="23"/>
      <c r="J149" s="23"/>
      <c r="K149" s="23"/>
      <c r="L149" s="23"/>
    </row>
    <row r="150" spans="1:12" ht="12.75">
      <c r="A150" s="23"/>
      <c r="B150" s="73"/>
      <c r="C150" s="73"/>
      <c r="D150" s="73"/>
      <c r="E150" s="73"/>
      <c r="F150" s="23"/>
      <c r="G150" s="23"/>
      <c r="H150" s="23"/>
      <c r="I150" s="23"/>
      <c r="J150" s="23"/>
      <c r="K150" s="23"/>
      <c r="L150" s="23"/>
    </row>
    <row r="151" spans="1:12" ht="12.75">
      <c r="A151" s="23"/>
      <c r="B151" s="73"/>
      <c r="C151" s="73"/>
      <c r="D151" s="73"/>
      <c r="E151" s="73"/>
      <c r="F151" s="23"/>
      <c r="G151" s="23"/>
      <c r="H151" s="23"/>
      <c r="I151" s="23"/>
      <c r="J151" s="23"/>
      <c r="K151" s="23"/>
      <c r="L151" s="23"/>
    </row>
    <row r="152" spans="1:12" ht="12.75">
      <c r="A152" s="23"/>
      <c r="B152" s="73"/>
      <c r="C152" s="73"/>
      <c r="D152" s="73"/>
      <c r="E152" s="73"/>
      <c r="F152" s="23"/>
      <c r="G152" s="23"/>
      <c r="H152" s="23"/>
      <c r="I152" s="23"/>
      <c r="J152" s="23"/>
      <c r="K152" s="23"/>
      <c r="L152" s="23"/>
    </row>
    <row r="153" spans="1:12" ht="12.75">
      <c r="A153" s="23"/>
      <c r="B153" s="73"/>
      <c r="C153" s="73"/>
      <c r="D153" s="73"/>
      <c r="E153" s="73"/>
      <c r="F153" s="23"/>
      <c r="G153" s="23"/>
      <c r="H153" s="23"/>
      <c r="I153" s="23"/>
      <c r="J153" s="23"/>
      <c r="K153" s="23"/>
      <c r="L153" s="23"/>
    </row>
    <row r="154" spans="1:12" ht="12.75">
      <c r="A154" s="23"/>
      <c r="B154" s="73"/>
      <c r="C154" s="73"/>
      <c r="D154" s="73"/>
      <c r="E154" s="73"/>
      <c r="F154" s="23"/>
      <c r="G154" s="23"/>
      <c r="H154" s="23"/>
      <c r="I154" s="23"/>
      <c r="J154" s="23"/>
      <c r="K154" s="23"/>
      <c r="L154" s="23"/>
    </row>
    <row r="155" spans="1:12" ht="12.75">
      <c r="A155" s="23"/>
      <c r="B155" s="73"/>
      <c r="C155" s="73"/>
      <c r="D155" s="73"/>
      <c r="E155" s="73"/>
      <c r="F155" s="23"/>
      <c r="G155" s="23"/>
      <c r="H155" s="23"/>
      <c r="I155" s="23"/>
      <c r="J155" s="23"/>
      <c r="K155" s="23"/>
      <c r="L155" s="23"/>
    </row>
    <row r="156" spans="1:12" ht="12.75">
      <c r="A156" s="23"/>
      <c r="B156" s="73"/>
      <c r="C156" s="73"/>
      <c r="D156" s="73"/>
      <c r="E156" s="73"/>
      <c r="F156" s="23"/>
      <c r="G156" s="23"/>
      <c r="H156" s="23"/>
      <c r="I156" s="23"/>
      <c r="J156" s="23"/>
      <c r="K156" s="23"/>
      <c r="L156" s="23"/>
    </row>
    <row r="157" spans="1:12" ht="12.75">
      <c r="A157" s="23"/>
      <c r="B157" s="73"/>
      <c r="C157" s="73"/>
      <c r="D157" s="73"/>
      <c r="E157" s="73"/>
      <c r="F157" s="23"/>
      <c r="G157" s="23"/>
      <c r="H157" s="23"/>
      <c r="I157" s="23"/>
      <c r="J157" s="23"/>
      <c r="K157" s="23"/>
      <c r="L157" s="23"/>
    </row>
    <row r="158" spans="1:12" ht="12.75">
      <c r="A158" s="23"/>
      <c r="B158" s="73"/>
      <c r="C158" s="73"/>
      <c r="D158" s="73"/>
      <c r="E158" s="73"/>
      <c r="F158" s="23"/>
      <c r="G158" s="23"/>
      <c r="H158" s="23"/>
      <c r="I158" s="23"/>
      <c r="J158" s="23"/>
      <c r="K158" s="23"/>
      <c r="L158" s="23"/>
    </row>
    <row r="159" spans="1:12" ht="12.75">
      <c r="A159" s="23"/>
      <c r="B159" s="73"/>
      <c r="C159" s="73"/>
      <c r="D159" s="73"/>
      <c r="E159" s="73"/>
      <c r="F159" s="23"/>
      <c r="G159" s="23"/>
      <c r="H159" s="23"/>
      <c r="I159" s="23"/>
      <c r="J159" s="23"/>
      <c r="K159" s="23"/>
      <c r="L159" s="23"/>
    </row>
    <row r="160" spans="1:12" ht="12.75">
      <c r="A160" s="23"/>
      <c r="B160" s="73"/>
      <c r="C160" s="73"/>
      <c r="D160" s="73"/>
      <c r="E160" s="73"/>
      <c r="F160" s="23"/>
      <c r="G160" s="23"/>
      <c r="H160" s="23"/>
      <c r="I160" s="23"/>
      <c r="J160" s="23"/>
      <c r="K160" s="23"/>
      <c r="L160" s="23"/>
    </row>
    <row r="161" spans="1:12" ht="12.75">
      <c r="A161" s="23"/>
      <c r="B161" s="73"/>
      <c r="C161" s="73"/>
      <c r="D161" s="73"/>
      <c r="E161" s="73"/>
      <c r="F161" s="23"/>
      <c r="G161" s="23"/>
      <c r="H161" s="23"/>
      <c r="I161" s="23"/>
      <c r="J161" s="23"/>
      <c r="K161" s="23"/>
      <c r="L161" s="23"/>
    </row>
    <row r="162" spans="1:12" ht="12.75">
      <c r="A162" s="23"/>
      <c r="B162" s="73"/>
      <c r="C162" s="73"/>
      <c r="D162" s="73"/>
      <c r="E162" s="73"/>
      <c r="F162" s="23"/>
      <c r="G162" s="23"/>
      <c r="H162" s="23"/>
      <c r="I162" s="23"/>
      <c r="J162" s="23"/>
      <c r="K162" s="23"/>
      <c r="L162" s="23"/>
    </row>
    <row r="163" spans="1:12" ht="12.75">
      <c r="A163" s="23"/>
      <c r="B163" s="23"/>
      <c r="C163" s="23"/>
      <c r="D163" s="23"/>
      <c r="E163" s="23"/>
      <c r="F163" s="23"/>
      <c r="G163" s="23"/>
      <c r="H163" s="23"/>
      <c r="I163" s="23"/>
      <c r="J163" s="23"/>
      <c r="K163" s="23"/>
      <c r="L163" s="23"/>
    </row>
    <row r="164" spans="1:12" ht="12.75">
      <c r="A164" s="23"/>
      <c r="B164" s="23"/>
      <c r="C164" s="23"/>
      <c r="D164" s="23"/>
      <c r="E164" s="23"/>
      <c r="F164" s="23"/>
      <c r="G164" s="23"/>
      <c r="H164" s="23"/>
      <c r="I164" s="23"/>
      <c r="J164" s="23"/>
      <c r="K164" s="23"/>
      <c r="L164" s="23"/>
    </row>
    <row r="165" spans="1:12" ht="12.75">
      <c r="A165" s="23"/>
      <c r="B165" s="23"/>
      <c r="C165" s="23"/>
      <c r="D165" s="23"/>
      <c r="E165" s="23"/>
      <c r="F165" s="23"/>
      <c r="G165" s="23"/>
      <c r="H165" s="23"/>
      <c r="I165" s="23"/>
      <c r="J165" s="23"/>
      <c r="K165" s="23"/>
      <c r="L165" s="23"/>
    </row>
    <row r="166" spans="1:12" ht="12.75">
      <c r="A166" s="23"/>
      <c r="B166" s="23"/>
      <c r="C166" s="23"/>
      <c r="D166" s="23"/>
      <c r="E166" s="23"/>
      <c r="F166" s="23"/>
      <c r="G166" s="23"/>
      <c r="H166" s="23"/>
      <c r="I166" s="23"/>
      <c r="J166" s="23"/>
      <c r="K166" s="23"/>
      <c r="L166" s="23"/>
    </row>
    <row r="167" spans="1:12" ht="12.75">
      <c r="A167" s="23"/>
      <c r="B167" s="23"/>
      <c r="C167" s="23"/>
      <c r="D167" s="23"/>
      <c r="E167" s="23"/>
      <c r="F167" s="23"/>
      <c r="G167" s="23"/>
      <c r="H167" s="23"/>
      <c r="I167" s="23"/>
      <c r="J167" s="23"/>
      <c r="K167" s="23"/>
      <c r="L167" s="23"/>
    </row>
    <row r="168" spans="1:12" ht="12.75">
      <c r="A168" s="23"/>
      <c r="B168" s="23"/>
      <c r="C168" s="23"/>
      <c r="D168" s="23"/>
      <c r="E168" s="23"/>
      <c r="F168" s="23"/>
      <c r="G168" s="23"/>
      <c r="H168" s="23"/>
      <c r="I168" s="23"/>
      <c r="J168" s="23"/>
      <c r="K168" s="23"/>
      <c r="L168" s="23"/>
    </row>
    <row r="169" spans="1:12" ht="12.75">
      <c r="A169" s="23"/>
      <c r="B169" s="23"/>
      <c r="C169" s="23"/>
      <c r="D169" s="23"/>
      <c r="E169" s="23"/>
      <c r="F169" s="23"/>
      <c r="G169" s="23"/>
      <c r="H169" s="23"/>
      <c r="I169" s="23"/>
      <c r="J169" s="23"/>
      <c r="K169" s="23"/>
      <c r="L169" s="23"/>
    </row>
    <row r="170" spans="1:12" ht="12.75">
      <c r="A170" s="23"/>
      <c r="B170" s="23"/>
      <c r="C170" s="23"/>
      <c r="D170" s="23"/>
      <c r="E170" s="23"/>
      <c r="F170" s="23"/>
      <c r="G170" s="23"/>
      <c r="H170" s="23"/>
      <c r="I170" s="23"/>
      <c r="J170" s="23"/>
      <c r="K170" s="23"/>
      <c r="L170" s="23"/>
    </row>
    <row r="171" spans="1:12" ht="12.75">
      <c r="A171" s="23"/>
      <c r="B171" s="23"/>
      <c r="C171" s="23"/>
      <c r="D171" s="23"/>
      <c r="E171" s="23"/>
      <c r="F171" s="23"/>
      <c r="G171" s="23"/>
      <c r="H171" s="23"/>
      <c r="I171" s="23"/>
      <c r="J171" s="23"/>
      <c r="K171" s="23"/>
      <c r="L171" s="23"/>
    </row>
    <row r="172" spans="1:12" ht="12.75">
      <c r="A172" s="23"/>
      <c r="B172" s="23"/>
      <c r="C172" s="23"/>
      <c r="D172" s="23"/>
      <c r="E172" s="23"/>
      <c r="F172" s="23"/>
      <c r="G172" s="23"/>
      <c r="H172" s="23"/>
      <c r="I172" s="23"/>
      <c r="J172" s="23"/>
      <c r="K172" s="23"/>
      <c r="L172" s="23"/>
    </row>
    <row r="173" spans="1:12" ht="12.75">
      <c r="A173" s="23"/>
      <c r="B173" s="23"/>
      <c r="C173" s="23"/>
      <c r="D173" s="23"/>
      <c r="E173" s="23"/>
      <c r="F173" s="23"/>
      <c r="G173" s="23"/>
      <c r="H173" s="23"/>
      <c r="I173" s="23"/>
      <c r="J173" s="23"/>
      <c r="K173" s="23"/>
      <c r="L173" s="23"/>
    </row>
    <row r="174" spans="1:12" ht="12.75">
      <c r="A174" s="23"/>
      <c r="B174" s="23"/>
      <c r="C174" s="23"/>
      <c r="D174" s="23"/>
      <c r="E174" s="23"/>
      <c r="F174" s="23"/>
      <c r="G174" s="23"/>
      <c r="H174" s="23"/>
      <c r="I174" s="23"/>
      <c r="J174" s="23"/>
      <c r="K174" s="23"/>
      <c r="L174" s="23"/>
    </row>
    <row r="175" spans="1:12" ht="12.75">
      <c r="A175" s="23"/>
      <c r="B175" s="23"/>
      <c r="C175" s="23"/>
      <c r="D175" s="23"/>
      <c r="E175" s="23"/>
      <c r="F175" s="23"/>
      <c r="G175" s="23"/>
      <c r="H175" s="23"/>
      <c r="I175" s="23"/>
      <c r="J175" s="23"/>
      <c r="K175" s="23"/>
      <c r="L175" s="23"/>
    </row>
    <row r="176" spans="1:12" ht="12.75">
      <c r="A176" s="23"/>
      <c r="B176" s="23"/>
      <c r="C176" s="23"/>
      <c r="D176" s="23"/>
      <c r="E176" s="23"/>
      <c r="F176" s="23"/>
      <c r="G176" s="23"/>
      <c r="H176" s="23"/>
      <c r="I176" s="23"/>
      <c r="J176" s="23"/>
      <c r="K176" s="23"/>
      <c r="L176" s="23"/>
    </row>
    <row r="177" spans="1:12" ht="12.75">
      <c r="A177" s="23"/>
      <c r="B177" s="23"/>
      <c r="C177" s="23"/>
      <c r="D177" s="23"/>
      <c r="E177" s="23"/>
      <c r="F177" s="23"/>
      <c r="G177" s="23"/>
      <c r="H177" s="23"/>
      <c r="I177" s="23"/>
      <c r="J177" s="23"/>
      <c r="K177" s="23"/>
      <c r="L177" s="23"/>
    </row>
    <row r="178" spans="1:12" ht="12.75">
      <c r="A178" s="23"/>
      <c r="B178" s="23"/>
      <c r="C178" s="23"/>
      <c r="D178" s="23"/>
      <c r="E178" s="23"/>
      <c r="F178" s="23"/>
      <c r="G178" s="23"/>
      <c r="H178" s="23"/>
      <c r="I178" s="23"/>
      <c r="J178" s="23"/>
      <c r="K178" s="23"/>
      <c r="L178" s="23"/>
    </row>
    <row r="179" spans="1:12" ht="12.75">
      <c r="A179" s="23"/>
      <c r="B179" s="23"/>
      <c r="C179" s="23"/>
      <c r="D179" s="23"/>
      <c r="E179" s="23"/>
      <c r="F179" s="23"/>
      <c r="G179" s="23"/>
      <c r="H179" s="23"/>
      <c r="I179" s="23"/>
      <c r="J179" s="23"/>
      <c r="K179" s="23"/>
      <c r="L179" s="23"/>
    </row>
    <row r="180" spans="1:12" ht="12.75">
      <c r="A180" s="23"/>
      <c r="B180" s="23"/>
      <c r="C180" s="23"/>
      <c r="D180" s="23"/>
      <c r="E180" s="23"/>
      <c r="F180" s="23"/>
      <c r="G180" s="23"/>
      <c r="H180" s="23"/>
      <c r="I180" s="23"/>
      <c r="J180" s="23"/>
      <c r="K180" s="23"/>
      <c r="L180" s="23"/>
    </row>
    <row r="181" spans="1:12" ht="12.75">
      <c r="A181" s="23"/>
      <c r="B181" s="23"/>
      <c r="C181" s="23"/>
      <c r="D181" s="23"/>
      <c r="E181" s="23"/>
      <c r="F181" s="23"/>
      <c r="G181" s="23"/>
      <c r="H181" s="23"/>
      <c r="I181" s="23"/>
      <c r="J181" s="23"/>
      <c r="K181" s="23"/>
      <c r="L181" s="23"/>
    </row>
    <row r="182" spans="1:12" ht="12.75">
      <c r="A182" s="23"/>
      <c r="B182" s="23"/>
      <c r="C182" s="23"/>
      <c r="D182" s="23"/>
      <c r="E182" s="23"/>
      <c r="F182" s="23"/>
      <c r="G182" s="23"/>
      <c r="H182" s="23"/>
      <c r="I182" s="23"/>
      <c r="J182" s="23"/>
      <c r="K182" s="23"/>
      <c r="L182" s="23"/>
    </row>
    <row r="183" spans="1:12" ht="12.75">
      <c r="A183" s="23"/>
      <c r="B183" s="23"/>
      <c r="C183" s="23"/>
      <c r="D183" s="23"/>
      <c r="E183" s="23"/>
      <c r="F183" s="23"/>
      <c r="G183" s="23"/>
      <c r="H183" s="23"/>
      <c r="I183" s="23"/>
      <c r="J183" s="23"/>
      <c r="K183" s="23"/>
      <c r="L183" s="23"/>
    </row>
    <row r="184" spans="1:12" ht="12.75">
      <c r="A184" s="23"/>
      <c r="B184" s="23"/>
      <c r="C184" s="23"/>
      <c r="D184" s="23"/>
      <c r="E184" s="23"/>
      <c r="F184" s="23"/>
      <c r="G184" s="23"/>
      <c r="H184" s="23"/>
      <c r="I184" s="23"/>
      <c r="J184" s="23"/>
      <c r="K184" s="23"/>
      <c r="L184" s="23"/>
    </row>
  </sheetData>
  <sheetProtection sheet="1" objects="1" scenarios="1"/>
  <mergeCells count="89">
    <mergeCell ref="E38:K38"/>
    <mergeCell ref="C37:K37"/>
    <mergeCell ref="L38:M38"/>
    <mergeCell ref="A45:R45"/>
    <mergeCell ref="D66:H66"/>
    <mergeCell ref="H40:I40"/>
    <mergeCell ref="Q44:R44"/>
    <mergeCell ref="L46:R48"/>
    <mergeCell ref="E48:F48"/>
    <mergeCell ref="G48:H49"/>
    <mergeCell ref="A43:I44"/>
    <mergeCell ref="A48:C49"/>
    <mergeCell ref="D67:H67"/>
    <mergeCell ref="B59:C59"/>
    <mergeCell ref="B51:D51"/>
    <mergeCell ref="D46:K46"/>
    <mergeCell ref="B57:C57"/>
    <mergeCell ref="B55:C55"/>
    <mergeCell ref="A47:K47"/>
    <mergeCell ref="A46:C46"/>
    <mergeCell ref="D65:H65"/>
    <mergeCell ref="B53:C53"/>
    <mergeCell ref="A34:C34"/>
    <mergeCell ref="P31:Q31"/>
    <mergeCell ref="H30:I30"/>
    <mergeCell ref="J87:K87"/>
    <mergeCell ref="J69:K69"/>
    <mergeCell ref="D80:I80"/>
    <mergeCell ref="D79:I79"/>
    <mergeCell ref="D81:I81"/>
    <mergeCell ref="A71:K72"/>
    <mergeCell ref="D70:K70"/>
    <mergeCell ref="A1:R1"/>
    <mergeCell ref="P4:P5"/>
    <mergeCell ref="H2:K2"/>
    <mergeCell ref="C6:G6"/>
    <mergeCell ref="Q4:R5"/>
    <mergeCell ref="Q6:R7"/>
    <mergeCell ref="H3:K3"/>
    <mergeCell ref="C2:G3"/>
    <mergeCell ref="A2:B3"/>
    <mergeCell ref="A16:C16"/>
    <mergeCell ref="A8:B8"/>
    <mergeCell ref="A15:R15"/>
    <mergeCell ref="A18:B18"/>
    <mergeCell ref="A9:R9"/>
    <mergeCell ref="B11:P11"/>
    <mergeCell ref="B10:P10"/>
    <mergeCell ref="A17:R17"/>
    <mergeCell ref="A12:Q12"/>
    <mergeCell ref="C8:G8"/>
    <mergeCell ref="D19:P19"/>
    <mergeCell ref="E28:K28"/>
    <mergeCell ref="A4:B5"/>
    <mergeCell ref="E26:L26"/>
    <mergeCell ref="D20:P20"/>
    <mergeCell ref="H6:L7"/>
    <mergeCell ref="M6:N7"/>
    <mergeCell ref="O6:P7"/>
    <mergeCell ref="D16:R16"/>
    <mergeCell ref="A19:B19"/>
    <mergeCell ref="L72:R87"/>
    <mergeCell ref="A20:B20"/>
    <mergeCell ref="D34:R34"/>
    <mergeCell ref="Q22:R22"/>
    <mergeCell ref="D23:R23"/>
    <mergeCell ref="A23:C23"/>
    <mergeCell ref="D30:G30"/>
    <mergeCell ref="Q33:R33"/>
    <mergeCell ref="L37:M37"/>
    <mergeCell ref="L70:R71"/>
    <mergeCell ref="A24:R24"/>
    <mergeCell ref="L49:R69"/>
    <mergeCell ref="D63:H63"/>
    <mergeCell ref="G50:H50"/>
    <mergeCell ref="D64:H64"/>
    <mergeCell ref="D62:H62"/>
    <mergeCell ref="P30:Q30"/>
    <mergeCell ref="H31:I31"/>
    <mergeCell ref="A35:R35"/>
    <mergeCell ref="D31:G31"/>
    <mergeCell ref="B13:P13"/>
    <mergeCell ref="A14:Q14"/>
    <mergeCell ref="N4:O5"/>
    <mergeCell ref="H4:M5"/>
    <mergeCell ref="C7:E7"/>
    <mergeCell ref="C4:G5"/>
    <mergeCell ref="A6:B6"/>
    <mergeCell ref="A7:B7"/>
  </mergeCells>
  <dataValidations count="5">
    <dataValidation type="list" allowBlank="1" showInputMessage="1" showErrorMessage="1" sqref="C6:G6">
      <formula1>$A$92:$A$108</formula1>
    </dataValidation>
    <dataValidation type="list" allowBlank="1" showInputMessage="1" showErrorMessage="1" sqref="Q10:Q11 Q13">
      <formula1>$L$2:$L$3</formula1>
    </dataValidation>
    <dataValidation type="list" allowBlank="1" showInputMessage="1" showErrorMessage="1" sqref="C4:G5">
      <formula1>$A$112:$A$122</formula1>
    </dataValidation>
    <dataValidation type="list" showInputMessage="1" showErrorMessage="1" sqref="C7:E7">
      <formula1>$G$92:$G$146</formula1>
    </dataValidation>
    <dataValidation type="list" allowBlank="1" showInputMessage="1" showErrorMessage="1" sqref="Q4:R5">
      <formula1>$A$132:$A$138</formula1>
    </dataValidation>
  </dataValidations>
  <printOptions/>
  <pageMargins left="0.57" right="0.34" top="0.92" bottom="0.6" header="0.43" footer="0.35"/>
  <pageSetup horizontalDpi="600" verticalDpi="600" orientation="portrait" scale="83" r:id="rId3"/>
  <headerFooter alignWithMargins="0">
    <oddHeader>&amp;C&amp;"Comic Sans MS,Regular"&amp;14Environmental Quality Incentive Program (EQIP)
Lower Arkansas Watershed-Water Quality/Animal Waste Management Ranking Worksheet (C5)</oddHeader>
    <oddFooter>&amp;L&amp;12October 02, 2004&amp;C&amp;12Page &amp;P of  &amp;N&amp;R&amp;12USDA-NRCS, Area 3, La Junta, CO</oddFooter>
  </headerFooter>
  <rowBreaks count="1" manualBreakCount="1">
    <brk id="44" max="17" man="1"/>
  </rowBreaks>
  <legacyDrawing r:id="rId2"/>
</worksheet>
</file>

<file path=xl/worksheets/sheet6.xml><?xml version="1.0" encoding="utf-8"?>
<worksheet xmlns="http://schemas.openxmlformats.org/spreadsheetml/2006/main" xmlns:r="http://schemas.openxmlformats.org/officeDocument/2006/relationships">
  <dimension ref="A1:O86"/>
  <sheetViews>
    <sheetView workbookViewId="0" topLeftCell="A16">
      <selection activeCell="C42" sqref="C42"/>
    </sheetView>
  </sheetViews>
  <sheetFormatPr defaultColWidth="9.140625" defaultRowHeight="12.75"/>
  <cols>
    <col min="6" max="6" width="9.00390625" style="0" customWidth="1"/>
    <col min="7" max="7" width="4.57421875" style="0" customWidth="1"/>
    <col min="11" max="11" width="3.00390625" style="0" customWidth="1"/>
  </cols>
  <sheetData>
    <row r="1" spans="1:15" ht="12.75">
      <c r="A1" t="s">
        <v>273</v>
      </c>
      <c r="E1" t="s">
        <v>274</v>
      </c>
      <c r="H1" t="s">
        <v>637</v>
      </c>
      <c r="L1" t="s">
        <v>596</v>
      </c>
      <c r="O1" t="s">
        <v>475</v>
      </c>
    </row>
    <row r="2" spans="1:15" ht="12.75">
      <c r="A2" t="s">
        <v>282</v>
      </c>
      <c r="E2" t="s">
        <v>362</v>
      </c>
      <c r="H2" t="s">
        <v>638</v>
      </c>
      <c r="L2" t="s">
        <v>423</v>
      </c>
      <c r="O2" t="s">
        <v>476</v>
      </c>
    </row>
    <row r="3" spans="1:15" ht="12.75">
      <c r="A3" t="s">
        <v>284</v>
      </c>
      <c r="E3" t="s">
        <v>283</v>
      </c>
      <c r="H3" t="s">
        <v>346</v>
      </c>
      <c r="L3" t="s">
        <v>424</v>
      </c>
      <c r="O3" t="s">
        <v>477</v>
      </c>
    </row>
    <row r="4" spans="1:15" ht="12.75">
      <c r="A4" t="s">
        <v>286</v>
      </c>
      <c r="E4" t="s">
        <v>285</v>
      </c>
      <c r="H4" t="s">
        <v>347</v>
      </c>
      <c r="L4" t="s">
        <v>425</v>
      </c>
      <c r="O4" t="s">
        <v>478</v>
      </c>
    </row>
    <row r="5" spans="1:15" ht="12.75">
      <c r="A5" t="s">
        <v>634</v>
      </c>
      <c r="E5" t="s">
        <v>659</v>
      </c>
      <c r="H5" t="s">
        <v>348</v>
      </c>
      <c r="L5" t="s">
        <v>426</v>
      </c>
      <c r="O5" t="s">
        <v>479</v>
      </c>
    </row>
    <row r="6" spans="1:15" ht="12.75">
      <c r="A6" t="s">
        <v>288</v>
      </c>
      <c r="E6" t="s">
        <v>287</v>
      </c>
      <c r="H6" t="s">
        <v>349</v>
      </c>
      <c r="L6" t="s">
        <v>427</v>
      </c>
      <c r="O6" t="s">
        <v>654</v>
      </c>
    </row>
    <row r="7" spans="1:15" ht="12.75">
      <c r="A7" t="s">
        <v>290</v>
      </c>
      <c r="E7" t="s">
        <v>289</v>
      </c>
      <c r="H7" t="s">
        <v>350</v>
      </c>
      <c r="L7" t="s">
        <v>428</v>
      </c>
      <c r="O7" t="s">
        <v>480</v>
      </c>
    </row>
    <row r="8" spans="1:15" ht="12.75">
      <c r="A8" t="s">
        <v>292</v>
      </c>
      <c r="E8" t="s">
        <v>291</v>
      </c>
      <c r="H8" t="s">
        <v>351</v>
      </c>
      <c r="L8" t="s">
        <v>429</v>
      </c>
      <c r="O8" t="s">
        <v>481</v>
      </c>
    </row>
    <row r="9" spans="1:15" ht="12.75">
      <c r="A9" t="s">
        <v>294</v>
      </c>
      <c r="E9" t="s">
        <v>293</v>
      </c>
      <c r="H9" t="s">
        <v>407</v>
      </c>
      <c r="L9" t="s">
        <v>430</v>
      </c>
      <c r="O9" t="s">
        <v>482</v>
      </c>
    </row>
    <row r="10" spans="1:15" ht="12.75">
      <c r="A10" t="s">
        <v>296</v>
      </c>
      <c r="E10" t="s">
        <v>295</v>
      </c>
      <c r="H10" t="s">
        <v>408</v>
      </c>
      <c r="L10" t="s">
        <v>431</v>
      </c>
      <c r="O10" t="s">
        <v>483</v>
      </c>
    </row>
    <row r="11" spans="1:15" ht="12.75">
      <c r="A11" t="s">
        <v>665</v>
      </c>
      <c r="E11" t="s">
        <v>297</v>
      </c>
      <c r="H11" t="s">
        <v>409</v>
      </c>
      <c r="L11" t="s">
        <v>432</v>
      </c>
      <c r="O11" t="s">
        <v>484</v>
      </c>
    </row>
    <row r="12" spans="1:15" ht="12.75">
      <c r="A12" t="s">
        <v>666</v>
      </c>
      <c r="E12" t="s">
        <v>298</v>
      </c>
      <c r="H12" t="s">
        <v>410</v>
      </c>
      <c r="L12" t="s">
        <v>433</v>
      </c>
      <c r="O12" t="s">
        <v>489</v>
      </c>
    </row>
    <row r="13" spans="1:15" ht="12.75">
      <c r="A13" t="s">
        <v>300</v>
      </c>
      <c r="E13" t="s">
        <v>299</v>
      </c>
      <c r="H13" t="s">
        <v>411</v>
      </c>
      <c r="L13" t="s">
        <v>434</v>
      </c>
      <c r="O13" t="s">
        <v>490</v>
      </c>
    </row>
    <row r="14" spans="1:15" ht="12.75">
      <c r="A14" t="s">
        <v>302</v>
      </c>
      <c r="E14" t="s">
        <v>53</v>
      </c>
      <c r="H14" t="s">
        <v>412</v>
      </c>
      <c r="L14" t="s">
        <v>435</v>
      </c>
      <c r="O14">
        <v>0</v>
      </c>
    </row>
    <row r="15" spans="1:15" ht="12.75">
      <c r="A15" t="s">
        <v>304</v>
      </c>
      <c r="E15" t="s">
        <v>301</v>
      </c>
      <c r="H15" t="s">
        <v>413</v>
      </c>
      <c r="L15" t="s">
        <v>436</v>
      </c>
      <c r="O15" t="s">
        <v>491</v>
      </c>
    </row>
    <row r="16" spans="1:15" ht="12.75">
      <c r="A16" t="s">
        <v>306</v>
      </c>
      <c r="E16" t="s">
        <v>303</v>
      </c>
      <c r="H16" t="s">
        <v>414</v>
      </c>
      <c r="L16" t="s">
        <v>437</v>
      </c>
      <c r="O16" t="s">
        <v>492</v>
      </c>
    </row>
    <row r="17" spans="1:15" ht="12.75">
      <c r="A17" t="s">
        <v>635</v>
      </c>
      <c r="E17" t="s">
        <v>305</v>
      </c>
      <c r="H17" t="s">
        <v>415</v>
      </c>
      <c r="L17" t="s">
        <v>438</v>
      </c>
      <c r="O17" t="s">
        <v>493</v>
      </c>
    </row>
    <row r="18" spans="5:15" ht="12.75">
      <c r="E18" t="s">
        <v>307</v>
      </c>
      <c r="H18" t="s">
        <v>416</v>
      </c>
      <c r="L18" t="s">
        <v>439</v>
      </c>
      <c r="O18" t="s">
        <v>494</v>
      </c>
    </row>
    <row r="19" spans="5:15" ht="12.75">
      <c r="E19" t="s">
        <v>308</v>
      </c>
      <c r="H19" t="s">
        <v>417</v>
      </c>
      <c r="L19" t="s">
        <v>440</v>
      </c>
      <c r="O19" t="s">
        <v>611</v>
      </c>
    </row>
    <row r="20" spans="5:12" ht="12.75">
      <c r="E20" t="s">
        <v>39</v>
      </c>
      <c r="H20" t="s">
        <v>418</v>
      </c>
      <c r="L20" t="s">
        <v>441</v>
      </c>
    </row>
    <row r="21" spans="1:12" ht="12.75">
      <c r="A21" t="s">
        <v>768</v>
      </c>
      <c r="E21" t="s">
        <v>309</v>
      </c>
      <c r="H21" t="s">
        <v>419</v>
      </c>
      <c r="L21" t="s">
        <v>442</v>
      </c>
    </row>
    <row r="22" spans="1:12" ht="12.75">
      <c r="A22" t="s">
        <v>313</v>
      </c>
      <c r="E22" t="s">
        <v>310</v>
      </c>
      <c r="H22" t="s">
        <v>420</v>
      </c>
      <c r="L22" t="s">
        <v>443</v>
      </c>
    </row>
    <row r="23" spans="1:12" ht="12.75">
      <c r="A23" t="s">
        <v>314</v>
      </c>
      <c r="E23" t="s">
        <v>311</v>
      </c>
      <c r="H23" t="s">
        <v>712</v>
      </c>
      <c r="L23" t="s">
        <v>444</v>
      </c>
    </row>
    <row r="24" spans="1:12" ht="12.75">
      <c r="A24" t="s">
        <v>316</v>
      </c>
      <c r="E24" t="s">
        <v>312</v>
      </c>
      <c r="H24" t="s">
        <v>840</v>
      </c>
      <c r="L24" t="s">
        <v>445</v>
      </c>
    </row>
    <row r="25" spans="1:12" ht="12.75">
      <c r="A25" t="s">
        <v>769</v>
      </c>
      <c r="E25" t="s">
        <v>752</v>
      </c>
      <c r="H25" t="s">
        <v>685</v>
      </c>
      <c r="L25" t="s">
        <v>447</v>
      </c>
    </row>
    <row r="26" spans="1:12" ht="12.75">
      <c r="A26" t="s">
        <v>319</v>
      </c>
      <c r="E26" t="s">
        <v>315</v>
      </c>
      <c r="H26" t="s">
        <v>686</v>
      </c>
      <c r="L26" t="s">
        <v>464</v>
      </c>
    </row>
    <row r="27" spans="1:12" ht="12.75">
      <c r="A27" t="s">
        <v>321</v>
      </c>
      <c r="E27" t="s">
        <v>51</v>
      </c>
      <c r="H27" t="s">
        <v>687</v>
      </c>
      <c r="L27" t="s">
        <v>465</v>
      </c>
    </row>
    <row r="28" spans="1:12" ht="12.75">
      <c r="A28" t="s">
        <v>323</v>
      </c>
      <c r="E28" t="s">
        <v>52</v>
      </c>
      <c r="H28" t="s">
        <v>689</v>
      </c>
      <c r="L28" t="s">
        <v>466</v>
      </c>
    </row>
    <row r="29" spans="1:12" ht="12.75">
      <c r="A29" t="s">
        <v>325</v>
      </c>
      <c r="E29" t="s">
        <v>317</v>
      </c>
      <c r="L29" t="s">
        <v>467</v>
      </c>
    </row>
    <row r="30" spans="1:12" ht="12.75">
      <c r="A30" t="s">
        <v>327</v>
      </c>
      <c r="E30" t="s">
        <v>318</v>
      </c>
      <c r="L30" t="s">
        <v>468</v>
      </c>
    </row>
    <row r="31" spans="1:5" ht="12.75">
      <c r="A31" t="s">
        <v>329</v>
      </c>
      <c r="E31" t="s">
        <v>320</v>
      </c>
    </row>
    <row r="32" spans="5:8" ht="12.75">
      <c r="E32" t="s">
        <v>322</v>
      </c>
      <c r="H32" t="s">
        <v>421</v>
      </c>
    </row>
    <row r="33" spans="5:8" ht="12.75">
      <c r="E33" t="s">
        <v>324</v>
      </c>
      <c r="H33" t="s">
        <v>422</v>
      </c>
    </row>
    <row r="34" spans="1:5" ht="12.75">
      <c r="A34" t="s">
        <v>764</v>
      </c>
      <c r="E34" t="s">
        <v>326</v>
      </c>
    </row>
    <row r="35" spans="1:5" ht="12.75">
      <c r="A35" t="s">
        <v>765</v>
      </c>
      <c r="E35" t="s">
        <v>328</v>
      </c>
    </row>
    <row r="36" spans="1:8" ht="12.75">
      <c r="A36" t="s">
        <v>369</v>
      </c>
      <c r="E36" t="s">
        <v>330</v>
      </c>
      <c r="H36" t="s">
        <v>469</v>
      </c>
    </row>
    <row r="37" spans="1:8" ht="12.75">
      <c r="A37" t="s">
        <v>370</v>
      </c>
      <c r="E37" t="s">
        <v>40</v>
      </c>
      <c r="H37" t="s">
        <v>470</v>
      </c>
    </row>
    <row r="38" spans="1:8" ht="12.75">
      <c r="A38" t="s">
        <v>154</v>
      </c>
      <c r="E38" t="s">
        <v>331</v>
      </c>
      <c r="H38" t="s">
        <v>471</v>
      </c>
    </row>
    <row r="39" spans="1:8" ht="12.75">
      <c r="A39" t="s">
        <v>490</v>
      </c>
      <c r="E39" t="s">
        <v>332</v>
      </c>
      <c r="H39" t="s">
        <v>472</v>
      </c>
    </row>
    <row r="40" spans="1:8" ht="12.75">
      <c r="A40" t="s">
        <v>596</v>
      </c>
      <c r="E40" t="s">
        <v>2</v>
      </c>
      <c r="H40" t="s">
        <v>473</v>
      </c>
    </row>
    <row r="41" spans="5:8" ht="12.75">
      <c r="E41" t="s">
        <v>333</v>
      </c>
      <c r="H41" t="s">
        <v>474</v>
      </c>
    </row>
    <row r="42" spans="5:8" ht="12.75">
      <c r="E42" t="s">
        <v>334</v>
      </c>
      <c r="H42" t="s">
        <v>815</v>
      </c>
    </row>
    <row r="43" ht="12.75">
      <c r="E43" t="s">
        <v>335</v>
      </c>
    </row>
    <row r="44" ht="12.75">
      <c r="E44" t="s">
        <v>336</v>
      </c>
    </row>
    <row r="45" ht="12.75">
      <c r="E45" t="s">
        <v>337</v>
      </c>
    </row>
    <row r="46" spans="1:5" ht="12.75">
      <c r="A46" t="s">
        <v>155</v>
      </c>
      <c r="E46" t="s">
        <v>338</v>
      </c>
    </row>
    <row r="47" spans="1:5" ht="12.75">
      <c r="A47" t="s">
        <v>151</v>
      </c>
      <c r="E47" t="s">
        <v>339</v>
      </c>
    </row>
    <row r="48" spans="1:5" ht="12.75">
      <c r="A48" t="s">
        <v>152</v>
      </c>
      <c r="E48" t="s">
        <v>340</v>
      </c>
    </row>
    <row r="49" spans="1:5" ht="12.75">
      <c r="A49" t="s">
        <v>153</v>
      </c>
      <c r="E49" t="s">
        <v>54</v>
      </c>
    </row>
    <row r="50" spans="1:5" ht="12.75">
      <c r="A50" t="s">
        <v>182</v>
      </c>
      <c r="E50" t="s">
        <v>341</v>
      </c>
    </row>
    <row r="51" ht="12.75">
      <c r="E51" t="s">
        <v>342</v>
      </c>
    </row>
    <row r="52" ht="12.75">
      <c r="E52" t="s">
        <v>343</v>
      </c>
    </row>
    <row r="53" ht="12.75">
      <c r="E53" t="s">
        <v>636</v>
      </c>
    </row>
    <row r="54" ht="12.75">
      <c r="E54" t="s">
        <v>344</v>
      </c>
    </row>
    <row r="55" ht="12.75">
      <c r="E55" t="s">
        <v>345</v>
      </c>
    </row>
    <row r="56" spans="1:11" ht="12.75">
      <c r="A56" s="92" t="s">
        <v>3</v>
      </c>
      <c r="D56" s="92" t="s">
        <v>4</v>
      </c>
      <c r="H56" s="92" t="s">
        <v>5</v>
      </c>
      <c r="K56" s="92" t="s">
        <v>6</v>
      </c>
    </row>
    <row r="57" spans="1:11" ht="12.75">
      <c r="A57" s="93" t="s">
        <v>611</v>
      </c>
      <c r="D57" s="93" t="s">
        <v>611</v>
      </c>
      <c r="E57" s="93"/>
      <c r="F57" s="93"/>
      <c r="G57" s="93"/>
      <c r="H57" s="93" t="s">
        <v>611</v>
      </c>
      <c r="I57" s="93"/>
      <c r="J57" s="93"/>
      <c r="K57" s="93" t="s">
        <v>611</v>
      </c>
    </row>
    <row r="58" spans="1:11" ht="12.75">
      <c r="A58" t="s">
        <v>184</v>
      </c>
      <c r="D58" t="s">
        <v>198</v>
      </c>
      <c r="H58" t="s">
        <v>223</v>
      </c>
      <c r="K58" t="s">
        <v>253</v>
      </c>
    </row>
    <row r="59" spans="1:11" ht="12.75">
      <c r="A59" t="s">
        <v>185</v>
      </c>
      <c r="D59" t="s">
        <v>199</v>
      </c>
      <c r="H59" t="s">
        <v>255</v>
      </c>
      <c r="K59" t="s">
        <v>250</v>
      </c>
    </row>
    <row r="60" spans="1:11" ht="12.75">
      <c r="A60" t="s">
        <v>495</v>
      </c>
      <c r="D60" t="s">
        <v>216</v>
      </c>
      <c r="H60" t="s">
        <v>227</v>
      </c>
      <c r="K60" t="s">
        <v>251</v>
      </c>
    </row>
    <row r="61" spans="1:11" ht="12.75">
      <c r="A61" t="s">
        <v>186</v>
      </c>
      <c r="D61" t="s">
        <v>7</v>
      </c>
      <c r="H61" t="s">
        <v>249</v>
      </c>
      <c r="K61" t="s">
        <v>254</v>
      </c>
    </row>
    <row r="62" spans="1:11" ht="12.75">
      <c r="A62" t="s">
        <v>187</v>
      </c>
      <c r="D62" t="s">
        <v>8</v>
      </c>
      <c r="H62" t="s">
        <v>257</v>
      </c>
      <c r="K62" t="s">
        <v>252</v>
      </c>
    </row>
    <row r="63" spans="1:11" ht="12.75">
      <c r="A63" t="s">
        <v>188</v>
      </c>
      <c r="D63">
        <v>0</v>
      </c>
      <c r="H63">
        <v>0</v>
      </c>
      <c r="K63" t="s">
        <v>256</v>
      </c>
    </row>
    <row r="64" spans="1:11" ht="12.75">
      <c r="A64" t="s">
        <v>189</v>
      </c>
      <c r="D64" t="s">
        <v>611</v>
      </c>
      <c r="H64" t="s">
        <v>611</v>
      </c>
      <c r="K64">
        <v>0</v>
      </c>
    </row>
    <row r="65" spans="1:11" ht="12.75">
      <c r="A65" t="s">
        <v>496</v>
      </c>
      <c r="D65" t="s">
        <v>210</v>
      </c>
      <c r="H65" t="s">
        <v>224</v>
      </c>
      <c r="K65" t="s">
        <v>611</v>
      </c>
    </row>
    <row r="66" spans="1:11" ht="12.75">
      <c r="A66" t="s">
        <v>497</v>
      </c>
      <c r="D66" t="s">
        <v>658</v>
      </c>
      <c r="H66" t="s">
        <v>797</v>
      </c>
      <c r="K66" t="s">
        <v>795</v>
      </c>
    </row>
    <row r="67" spans="1:11" ht="12.75">
      <c r="A67" t="s">
        <v>190</v>
      </c>
      <c r="D67">
        <v>0</v>
      </c>
      <c r="H67" t="s">
        <v>225</v>
      </c>
      <c r="K67">
        <v>0</v>
      </c>
    </row>
    <row r="68" spans="1:11" ht="12.75">
      <c r="A68" t="s">
        <v>191</v>
      </c>
      <c r="D68" t="s">
        <v>611</v>
      </c>
      <c r="H68" t="s">
        <v>195</v>
      </c>
      <c r="K68" t="s">
        <v>611</v>
      </c>
    </row>
    <row r="69" spans="1:11" ht="12.75">
      <c r="A69" t="s">
        <v>192</v>
      </c>
      <c r="D69" t="s">
        <v>503</v>
      </c>
      <c r="H69" t="s">
        <v>226</v>
      </c>
      <c r="K69" t="s">
        <v>795</v>
      </c>
    </row>
    <row r="70" spans="1:4" ht="12.75">
      <c r="A70">
        <v>0</v>
      </c>
      <c r="D70" t="s">
        <v>212</v>
      </c>
    </row>
    <row r="71" spans="1:8" ht="12.75">
      <c r="A71" t="s">
        <v>611</v>
      </c>
      <c r="D71" t="s">
        <v>504</v>
      </c>
      <c r="H71" t="s">
        <v>611</v>
      </c>
    </row>
    <row r="72" spans="1:8" ht="12.75">
      <c r="A72" t="s">
        <v>193</v>
      </c>
      <c r="D72" t="s">
        <v>213</v>
      </c>
      <c r="H72" t="s">
        <v>258</v>
      </c>
    </row>
    <row r="73" spans="1:4" ht="12.75">
      <c r="A73" t="s">
        <v>194</v>
      </c>
      <c r="D73" t="s">
        <v>217</v>
      </c>
    </row>
    <row r="74" spans="1:4" ht="12.75">
      <c r="A74" t="s">
        <v>195</v>
      </c>
      <c r="D74" t="s">
        <v>214</v>
      </c>
    </row>
    <row r="75" spans="1:4" ht="12.75">
      <c r="A75">
        <v>0</v>
      </c>
      <c r="D75" t="s">
        <v>215</v>
      </c>
    </row>
    <row r="76" spans="1:4" ht="12.75">
      <c r="A76" t="s">
        <v>611</v>
      </c>
      <c r="D76" t="s">
        <v>221</v>
      </c>
    </row>
    <row r="77" spans="1:4" ht="12.75">
      <c r="A77" t="s">
        <v>498</v>
      </c>
      <c r="D77" t="s">
        <v>222</v>
      </c>
    </row>
    <row r="78" ht="12.75">
      <c r="A78" t="s">
        <v>499</v>
      </c>
    </row>
    <row r="79" ht="12.75">
      <c r="A79" t="s">
        <v>500</v>
      </c>
    </row>
    <row r="80" ht="12.75">
      <c r="A80" t="s">
        <v>501</v>
      </c>
    </row>
    <row r="81" ht="12.75">
      <c r="A81" t="s">
        <v>196</v>
      </c>
    </row>
    <row r="82" ht="12.75">
      <c r="A82" t="s">
        <v>197</v>
      </c>
    </row>
    <row r="83" ht="12.75">
      <c r="A83" t="s">
        <v>218</v>
      </c>
    </row>
    <row r="84" ht="12.75">
      <c r="A84" t="s">
        <v>219</v>
      </c>
    </row>
    <row r="85" ht="12.75">
      <c r="A85" t="s">
        <v>220</v>
      </c>
    </row>
    <row r="86" ht="12.75">
      <c r="A86" t="s">
        <v>502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 Sutherland</dc:creator>
  <cp:keywords/>
  <dc:description/>
  <cp:lastModifiedBy>mike.gillespie</cp:lastModifiedBy>
  <cp:lastPrinted>2004-03-01T18:09:01Z</cp:lastPrinted>
  <dcterms:created xsi:type="dcterms:W3CDTF">2002-07-26T15:14:10Z</dcterms:created>
  <dcterms:modified xsi:type="dcterms:W3CDTF">2004-03-02T21:06:47Z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-1142871573</vt:i4>
  </property>
  <property fmtid="{D5CDD505-2E9C-101B-9397-08002B2CF9AE}" pid="3" name="_EmailSubject">
    <vt:lpwstr>EQIP Rankings</vt:lpwstr>
  </property>
  <property fmtid="{D5CDD505-2E9C-101B-9397-08002B2CF9AE}" pid="4" name="_AuthorEmail">
    <vt:lpwstr>Anthony.Puga@co.usda.gov</vt:lpwstr>
  </property>
  <property fmtid="{D5CDD505-2E9C-101B-9397-08002B2CF9AE}" pid="5" name="_AuthorEmailDisplayName">
    <vt:lpwstr>Tony Puga</vt:lpwstr>
  </property>
  <property fmtid="{D5CDD505-2E9C-101B-9397-08002B2CF9AE}" pid="6" name="_PreviousAdHocReviewCycleID">
    <vt:i4>1631790357</vt:i4>
  </property>
  <property fmtid="{D5CDD505-2E9C-101B-9397-08002B2CF9AE}" pid="7" name="_ReviewingToolsShownOnce">
    <vt:lpwstr/>
  </property>
</Properties>
</file>