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'Sheet1'!$A$4:$H$270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<sst xmlns="http://schemas.openxmlformats.org/spreadsheetml/2006/main" count="557" uniqueCount="414">
  <si>
    <t>Interfaces with Offsite Service Providers</t>
  </si>
  <si>
    <t>Safety Related Buildings and Structures</t>
  </si>
  <si>
    <t>Non-Safety Related Buildings &amp; Structures</t>
  </si>
  <si>
    <t>Utility Systems</t>
  </si>
  <si>
    <t>Design Integration</t>
  </si>
  <si>
    <t>Neutral Beam Injection System - Swain</t>
  </si>
  <si>
    <t>Building and Structures - Dilling</t>
  </si>
  <si>
    <t>Systems Engineering - Heitzenroeder</t>
  </si>
  <si>
    <t>Construction Management - Dilling / Heitzenroeder</t>
  </si>
  <si>
    <t xml:space="preserve">Tokamak Support Structure - Titus \ Heitzenroeder \ Waganer </t>
  </si>
  <si>
    <t>WBS No.</t>
  </si>
  <si>
    <t>Title</t>
  </si>
  <si>
    <t>Comments</t>
  </si>
  <si>
    <t>Plasma Facing Components - Ulrickson / Dreimeyer</t>
  </si>
  <si>
    <t>First Wall</t>
  </si>
  <si>
    <t>Wall Conditioning Systems</t>
  </si>
  <si>
    <t>Primary VV shell</t>
  </si>
  <si>
    <t>VV Supports</t>
  </si>
  <si>
    <t>Local I&amp;C and Sensors</t>
  </si>
  <si>
    <t>Cryostat - Nelson</t>
  </si>
  <si>
    <t>Magnetic Field Measurement System</t>
  </si>
  <si>
    <t>Measurement Systems R&amp;D</t>
  </si>
  <si>
    <t>Site Power Supplies - Woolley / Neumeyer</t>
  </si>
  <si>
    <t>Substations &amp;Utilities Interfaces</t>
  </si>
  <si>
    <t>AC Distribution Systems</t>
  </si>
  <si>
    <t>Emergency Power Supply Systems</t>
  </si>
  <si>
    <t>In-Vessel Measurement Systems - Nelson</t>
  </si>
  <si>
    <t>Based on one laser tracker and two Faro arms</t>
  </si>
  <si>
    <t>Level of Estimate</t>
  </si>
  <si>
    <t>Summary</t>
  </si>
  <si>
    <t>Detail</t>
  </si>
  <si>
    <t>X</t>
  </si>
  <si>
    <t>1.1.1</t>
  </si>
  <si>
    <t>1.1.2</t>
  </si>
  <si>
    <t>1.2.1</t>
  </si>
  <si>
    <t>1.2.2</t>
  </si>
  <si>
    <t>1.2.3</t>
  </si>
  <si>
    <t>1.2.4</t>
  </si>
  <si>
    <t>1.2.5</t>
  </si>
  <si>
    <t>1.2.6</t>
  </si>
  <si>
    <t>Outer Divertor Modules</t>
  </si>
  <si>
    <t>Baffle Structures</t>
  </si>
  <si>
    <t>Inner Divertor Plates</t>
  </si>
  <si>
    <t xml:space="preserve">Est. Cost </t>
  </si>
  <si>
    <t>1.4.1</t>
  </si>
  <si>
    <t>1.4.2</t>
  </si>
  <si>
    <t>1.4.3</t>
  </si>
  <si>
    <t>1.4.4</t>
  </si>
  <si>
    <t>1.4.5</t>
  </si>
  <si>
    <t>1.5.1</t>
  </si>
  <si>
    <t>1.5.2</t>
  </si>
  <si>
    <t>1.6.1</t>
  </si>
  <si>
    <t>1.6.2</t>
  </si>
  <si>
    <t>1.6.3</t>
  </si>
  <si>
    <t>2.1.1</t>
  </si>
  <si>
    <t>2.1.2</t>
  </si>
  <si>
    <t>Vacuum Pumping System - M. Gouge</t>
  </si>
  <si>
    <t>4.1.1</t>
  </si>
  <si>
    <t>4.1.2</t>
  </si>
  <si>
    <t>4.1.3</t>
  </si>
  <si>
    <t>Common Magnet Electrical Power Equipment</t>
  </si>
  <si>
    <t>Central Column Supports</t>
  </si>
  <si>
    <t>Gravity Supports</t>
  </si>
  <si>
    <t>Compression Rings</t>
  </si>
  <si>
    <t>TF Coil Radial Compression</t>
  </si>
  <si>
    <t>4 - Power Systems</t>
  </si>
  <si>
    <t>Instrumentation and Control Systems -Oliaro</t>
  </si>
  <si>
    <t>Data Acquisition Systems - Oliaro</t>
  </si>
  <si>
    <t>Network Infrastructure and Distribution - Oliaro</t>
  </si>
  <si>
    <t>Tokamak &amp; Hot Cell Building</t>
  </si>
  <si>
    <t>Radioactive Systems Support Building</t>
  </si>
  <si>
    <t xml:space="preserve">Tritium &amp; Vacuum Pumping Building </t>
  </si>
  <si>
    <t>Radwaste Systems Building</t>
  </si>
  <si>
    <t>Emergency Power Supply Building</t>
  </si>
  <si>
    <t>Assembly &amp; Mockup Building</t>
  </si>
  <si>
    <t>Magnet Power Conversion Building</t>
  </si>
  <si>
    <t>Cooling System/Heat Rejection Building</t>
  </si>
  <si>
    <t>Cryogenics Systems Building</t>
  </si>
  <si>
    <t>ICRF Power Supply Building</t>
  </si>
  <si>
    <t>Laboratory Office Building</t>
  </si>
  <si>
    <t>Operations and Control Building</t>
  </si>
  <si>
    <t>Plant Utilities Building</t>
  </si>
  <si>
    <t>Plant Heat Rejection System</t>
  </si>
  <si>
    <t>Water De-Tritiation System</t>
  </si>
  <si>
    <t>Toxic Material Treatment System</t>
  </si>
  <si>
    <t>Inert Gas Distribution System</t>
  </si>
  <si>
    <t>Breathing Air System</t>
  </si>
  <si>
    <t>Compressed Air System</t>
  </si>
  <si>
    <t>Potable Water Treatment System</t>
  </si>
  <si>
    <t>Demineralized Water Treatment System</t>
  </si>
  <si>
    <t>Sanitary Drainage System</t>
  </si>
  <si>
    <t>Industrial Drainage System</t>
  </si>
  <si>
    <t>Fire Protection System</t>
  </si>
  <si>
    <t>TF Magnet Assembly (Winding Pack into Cases)</t>
  </si>
  <si>
    <t>Vacuum Vessel &amp; In-Vessel Structures - Nelson</t>
  </si>
  <si>
    <t>VV Port Extensions &amp; Duct Shielding</t>
  </si>
  <si>
    <t>VV Port Closure Systems &amp; Penetration Shielding</t>
  </si>
  <si>
    <t>1.6.1.1</t>
  </si>
  <si>
    <t>1.6.1.2</t>
  </si>
  <si>
    <t>1.6.3.1</t>
  </si>
  <si>
    <t>1.6.3.2</t>
  </si>
  <si>
    <t>Antennas</t>
  </si>
  <si>
    <t>Tuning &amp; Matching Systems</t>
  </si>
  <si>
    <t>Transmission Lines</t>
  </si>
  <si>
    <t>RF Sources</t>
  </si>
  <si>
    <t>DC Power Supplies</t>
  </si>
  <si>
    <t>Gas Fueling System</t>
  </si>
  <si>
    <t>Pellet Injector Fueling System</t>
  </si>
  <si>
    <t xml:space="preserve">TF Coil Power Supplies </t>
  </si>
  <si>
    <t xml:space="preserve">PF Coils Power Supplies </t>
  </si>
  <si>
    <t xml:space="preserve">FEC Coil Power Supplies </t>
  </si>
  <si>
    <t xml:space="preserve">IC Coil Power Supplies </t>
  </si>
  <si>
    <t>4.2.1</t>
  </si>
  <si>
    <t>4.2.2</t>
  </si>
  <si>
    <t>4.2.3</t>
  </si>
  <si>
    <t>Startup Diagnostics (Phase I) - Young / Ellis</t>
  </si>
  <si>
    <t>ICRF/Divertor Check (Phase II) Diagnostics - Young/Ellis</t>
  </si>
  <si>
    <t>Full Physics DD (Phase III) Diagnostics - Young/Ellis</t>
  </si>
  <si>
    <t>Full Phsics DT (Phase IV) Diagnostics - Young/Ellis</t>
  </si>
  <si>
    <t>Project Management &amp; Control - Simmons</t>
  </si>
  <si>
    <t>Configuration Management &amp; Control</t>
  </si>
  <si>
    <t>Pre-Operational Planning - Simmons</t>
  </si>
  <si>
    <t>Operational Spares - Simmons</t>
  </si>
  <si>
    <t>PHASE I ONLY</t>
  </si>
  <si>
    <t>Environmental and Safety Management - Petti/Simmons</t>
  </si>
  <si>
    <t>1 - Fusion Core Systems</t>
  </si>
  <si>
    <t>1.1.3</t>
  </si>
  <si>
    <t>1.1.4</t>
  </si>
  <si>
    <t>1.1.5</t>
  </si>
  <si>
    <t>1.1.6</t>
  </si>
  <si>
    <t>1.1.7</t>
  </si>
  <si>
    <t>VV Heating &amp; Cooling Systems (Inside Cryostat)</t>
  </si>
  <si>
    <t>Toroidal Field Magnets and Structures</t>
  </si>
  <si>
    <t>Poloidal Field Magnets and Structures</t>
  </si>
  <si>
    <t>Field Error Correction Coils</t>
  </si>
  <si>
    <t>Resistive Wall Mode Coils</t>
  </si>
  <si>
    <t>PF Power and Cryogen Interfaces</t>
  </si>
  <si>
    <t xml:space="preserve"> </t>
  </si>
  <si>
    <t>Cryostat Shell &amp; Structure</t>
  </si>
  <si>
    <t>Main Assembly Support Ringf &amp; Central Column Supports</t>
  </si>
  <si>
    <t>Main Assembly Support Ring</t>
  </si>
  <si>
    <t>Radial Compression Mechanism &amp; Interface Elements</t>
  </si>
  <si>
    <t>Future Upgrade - WBS Placeholder Only</t>
  </si>
  <si>
    <t>2 - Auxiliary Systems</t>
  </si>
  <si>
    <t>Gas &amp; Pellet Injection Fueling Systems - M. Gouge</t>
  </si>
  <si>
    <t>High Vacuum Pumping Systems</t>
  </si>
  <si>
    <t>2.2.1</t>
  </si>
  <si>
    <t>2.2.2</t>
  </si>
  <si>
    <t>2.2.3</t>
  </si>
  <si>
    <t>Roughing &amp; Backing Pumping Systems</t>
  </si>
  <si>
    <t>2.3.1</t>
  </si>
  <si>
    <t>2.3.2</t>
  </si>
  <si>
    <t>Fuel Recovery &amp; Processing System</t>
  </si>
  <si>
    <t>Fuel Recovery and Processing Systems - C. Gentile</t>
  </si>
  <si>
    <t>Radiation Monitoring Systems</t>
  </si>
  <si>
    <t>RF Heating/Current Drive Systems  - Swain</t>
  </si>
  <si>
    <t>ICRF Systems</t>
  </si>
  <si>
    <t>2.4.2</t>
  </si>
  <si>
    <t>2.4.1</t>
  </si>
  <si>
    <t>2.4.1.1</t>
  </si>
  <si>
    <t>2.4.1.2</t>
  </si>
  <si>
    <t>2.4.1.3</t>
  </si>
  <si>
    <t>2.4.1.4</t>
  </si>
  <si>
    <t>2.4.1.5</t>
  </si>
  <si>
    <t>2.4.1.6</t>
  </si>
  <si>
    <t>ECRF Systems (Later Upgrade)</t>
  </si>
  <si>
    <t>Lower Hybrid Systems (Later Upgrade)</t>
  </si>
  <si>
    <t>2.4.3</t>
  </si>
  <si>
    <t xml:space="preserve">3 - Diagnostic Systems </t>
  </si>
  <si>
    <t>Experimental Magnet Power Supply Systems - Woolley / Neumeyer</t>
  </si>
  <si>
    <t>4.2.4</t>
  </si>
  <si>
    <t>RWM Coil Power Supplies (Upgrade)</t>
  </si>
  <si>
    <t>4.2.5</t>
  </si>
  <si>
    <t>4.2.6</t>
  </si>
  <si>
    <t>5 - Central Instrumentation &amp; Controls</t>
  </si>
  <si>
    <t>6 - Site and Facilities</t>
  </si>
  <si>
    <t>Facility Modifications - Dilling</t>
  </si>
  <si>
    <t>Site &amp; Facility Improvements</t>
  </si>
  <si>
    <t>6.2.1</t>
  </si>
  <si>
    <t>6.2.1.1</t>
  </si>
  <si>
    <t>6.2.1.2</t>
  </si>
  <si>
    <t>6.2.1.3</t>
  </si>
  <si>
    <t>6.2.1.4</t>
  </si>
  <si>
    <t>6.2.1.5</t>
  </si>
  <si>
    <t>6.2.2</t>
  </si>
  <si>
    <t>6.2.2.1</t>
  </si>
  <si>
    <t>6.2.2.2</t>
  </si>
  <si>
    <t>6.2.2.3</t>
  </si>
  <si>
    <t>6.2.2.4</t>
  </si>
  <si>
    <t>6.2.2.5</t>
  </si>
  <si>
    <t>6.2.2.6</t>
  </si>
  <si>
    <t>6.2.2.7</t>
  </si>
  <si>
    <t>6.2.2.8</t>
  </si>
  <si>
    <t>6.3.1</t>
  </si>
  <si>
    <t>PFC Cooling Water Systems (Outside Cryostat)</t>
  </si>
  <si>
    <t>6.3.2</t>
  </si>
  <si>
    <t>6.3.3</t>
  </si>
  <si>
    <t>6.3.4</t>
  </si>
  <si>
    <t>VV Heating &amp; Cooling Water Systems (Outside Cryostat)</t>
  </si>
  <si>
    <t>Secondary Component Cooling &amp; Chilled Water Systems</t>
  </si>
  <si>
    <t>Water Cooling Systems - Dilling</t>
  </si>
  <si>
    <t>Cryogenic Cooling Systems - Dilling</t>
  </si>
  <si>
    <t>6.4.1</t>
  </si>
  <si>
    <t>6.4.2</t>
  </si>
  <si>
    <t>Liquid Nitrogen Cooling Piping and Hardware</t>
  </si>
  <si>
    <t>Liquid Helium Cooling Piping and Hardware</t>
  </si>
  <si>
    <t>Waste Handling and Treatment Systems</t>
  </si>
  <si>
    <t>Liquid Radioactive Waste Treatment System</t>
  </si>
  <si>
    <t>6.5.1</t>
  </si>
  <si>
    <t>6.5.2</t>
  </si>
  <si>
    <t>6.5.3</t>
  </si>
  <si>
    <t>6.5.4</t>
  </si>
  <si>
    <t>6.5.5</t>
  </si>
  <si>
    <t>Low Level Solid Waste Treatment System</t>
  </si>
  <si>
    <t>High Level Solid Waste Processing System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</si>
  <si>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</si>
  <si>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</si>
  <si>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</si>
  <si>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</si>
  <si>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</si>
  <si>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</si>
  <si>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</si>
  <si>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</si>
  <si>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7 - Machine Assembly and Remote Maintenance</t>
  </si>
  <si>
    <t>Torus Systems Assembly and Installation. - Heitzenroeder</t>
  </si>
  <si>
    <t>Ancillary Systems Assembly and Installation - Heitzenroeder</t>
  </si>
  <si>
    <t>Special Machine Assembly Tools &amp; Equip..- Heitzenroeder</t>
  </si>
  <si>
    <t>7.4.1</t>
  </si>
  <si>
    <t>7.4.2</t>
  </si>
  <si>
    <t>Mechanical Position Measurement/Metrology Systems</t>
  </si>
  <si>
    <t>7.4.3</t>
  </si>
  <si>
    <t>7.5.1</t>
  </si>
  <si>
    <t>7.5.1.1</t>
  </si>
  <si>
    <t>7.5.1.2</t>
  </si>
  <si>
    <t>7.5.2</t>
  </si>
  <si>
    <t>In-Vessel Inspection Systems</t>
  </si>
  <si>
    <t>7.5.2.1</t>
  </si>
  <si>
    <t>In-Vessel Metrology System</t>
  </si>
  <si>
    <t>7.5.2.2</t>
  </si>
  <si>
    <t>In-Vessel Viewing System</t>
  </si>
  <si>
    <t>7.5.3</t>
  </si>
  <si>
    <t xml:space="preserve">Port Assembly Handling Systems </t>
  </si>
  <si>
    <t>7.5.3.1</t>
  </si>
  <si>
    <t>7.5.3.2</t>
  </si>
  <si>
    <t>7.5.3.3</t>
  </si>
  <si>
    <t>Midplane Port Handling Vehicle</t>
  </si>
  <si>
    <t>Auxiliary Port Handling Vehicle</t>
  </si>
  <si>
    <t>Dexterous Manipulators</t>
  </si>
  <si>
    <t>7.5.4</t>
  </si>
  <si>
    <t>Remote Handing Tools</t>
  </si>
  <si>
    <t>7.5.4.1</t>
  </si>
  <si>
    <t>7.5.4.2</t>
  </si>
  <si>
    <t>7.5.4.3</t>
  </si>
  <si>
    <t>Pipe Cutting, Welding &amp; Inspection Tools</t>
  </si>
  <si>
    <t>Lip-Seal Cuuting, Welding &amp; Inspection Tools</t>
  </si>
  <si>
    <t>Power Wrenches for Port Assembly Attachments</t>
  </si>
  <si>
    <t>7.5.5</t>
  </si>
  <si>
    <t>7.5.5.1</t>
  </si>
  <si>
    <t>7.5.5.2</t>
  </si>
  <si>
    <t>7.5.5.3</t>
  </si>
  <si>
    <t>Containment and Transport Systems</t>
  </si>
  <si>
    <t>Transfer Casks</t>
  </si>
  <si>
    <t>Cask Docking Interfaces</t>
  </si>
  <si>
    <t>Cask Transport Air Cushion Vehicles</t>
  </si>
  <si>
    <t>7.5.5.4</t>
  </si>
  <si>
    <t>Midplane Port Shielded Enclosure</t>
  </si>
  <si>
    <t>7.5.6</t>
  </si>
  <si>
    <t>Remote Handling Control Room &amp; Test Stand</t>
  </si>
  <si>
    <t>7.5.6.1</t>
  </si>
  <si>
    <t>7.5.6.2</t>
  </si>
  <si>
    <t>Remote Handling Control Room Equipment</t>
  </si>
  <si>
    <t>Test Stand Group Labor</t>
  </si>
  <si>
    <t>Remote Handling Systems - Burgess</t>
  </si>
  <si>
    <t>Hot Cell Facility Remote Handling Systems - Burgess</t>
  </si>
  <si>
    <t>7.6.1</t>
  </si>
  <si>
    <t>7.6.2</t>
  </si>
  <si>
    <t>7.6.3</t>
  </si>
  <si>
    <t>7.6.4</t>
  </si>
  <si>
    <t>7.6.5</t>
  </si>
  <si>
    <t>Hot Cell Viewing Systems</t>
  </si>
  <si>
    <t>8 - Project Support &amp; Oversight</t>
  </si>
  <si>
    <t>8.2.1</t>
  </si>
  <si>
    <t>8.2.2</t>
  </si>
  <si>
    <t>9 - Preparations for Operations</t>
  </si>
  <si>
    <t>Pre-Opeational and Integrated Systems Testing - Heitzenroeder</t>
  </si>
  <si>
    <t>6.1.1</t>
  </si>
  <si>
    <t>6.1.2</t>
  </si>
  <si>
    <t>None Anticipated</t>
  </si>
  <si>
    <t>Combined with 7.5.4.1</t>
  </si>
  <si>
    <t>Plasma Facing Components Cooling Water (Inside Cryostat)</t>
  </si>
  <si>
    <t>Limiters &amp; Armor</t>
  </si>
  <si>
    <t>1.3.1</t>
  </si>
  <si>
    <t>1.3.2</t>
  </si>
  <si>
    <t>1.3.3</t>
  </si>
  <si>
    <t>1.3.4</t>
  </si>
  <si>
    <t>TF Power &amp; Cryogen Interfaces</t>
  </si>
  <si>
    <t>2.1.3</t>
  </si>
  <si>
    <t>2.1.4</t>
  </si>
  <si>
    <t>Fuel Storage System</t>
  </si>
  <si>
    <t>Disruption Control Systems</t>
  </si>
  <si>
    <t>Deleted</t>
  </si>
  <si>
    <t>Hot Cell Bridge Crane Systems</t>
  </si>
  <si>
    <t>Hot Cell Bridge Mounted Manipulator Systems</t>
  </si>
  <si>
    <t>Hot Cell Shielded Window Workstations</t>
  </si>
  <si>
    <t>Hot Cell Component Repair Stations</t>
  </si>
  <si>
    <t>7.6.5.1</t>
  </si>
  <si>
    <t>Port Assembly Repair Station</t>
  </si>
  <si>
    <t>7.6.5.2</t>
  </si>
  <si>
    <t>Divertor Repair Station</t>
  </si>
  <si>
    <t>Cryopump Repair Station</t>
  </si>
  <si>
    <t>7.6.6</t>
  </si>
  <si>
    <t>Hot Cell Component Handling Fixtures</t>
  </si>
  <si>
    <t>7.6.6.1</t>
  </si>
  <si>
    <t>Divertor Module Handling Fixtures</t>
  </si>
  <si>
    <t>7.6.6.2</t>
  </si>
  <si>
    <t>Port Assembly Handling Fixtures</t>
  </si>
  <si>
    <t>Limiter Module Handling Fixtures</t>
  </si>
  <si>
    <t>First Wall Module Handling Fixtures</t>
  </si>
  <si>
    <t>Already in Above Numbers</t>
  </si>
  <si>
    <t>1.3.5</t>
  </si>
  <si>
    <t>TF Winding Pack</t>
  </si>
  <si>
    <t>TF Cases &amp; Support Structure</t>
  </si>
  <si>
    <t>1.4.1.1</t>
  </si>
  <si>
    <t>1.4.1.2</t>
  </si>
  <si>
    <t>1.4.1.3</t>
  </si>
  <si>
    <t>CS/Inner Ring Coils Winding Packs</t>
  </si>
  <si>
    <t>Central Solenoid and Inner Ring Coils (PF1/2 Upper &amp; Lower)</t>
  </si>
  <si>
    <t>CS/Inner Ring Coils Cases and Support Structures</t>
  </si>
  <si>
    <t>CS/Inner Ring Coils Assembly (Winding Pack into Cases)</t>
  </si>
  <si>
    <t>Outer Ring Coils (PF3/4 Upper &amp; Lower)</t>
  </si>
  <si>
    <t>Outer Ring Coils Winding Packs</t>
  </si>
  <si>
    <t>Outer Ring Coils Cases and Support Structures</t>
  </si>
  <si>
    <t>1.4.2.1</t>
  </si>
  <si>
    <t>1.4.2.2</t>
  </si>
  <si>
    <t>1.4.2.3</t>
  </si>
  <si>
    <t>1.4.6</t>
  </si>
  <si>
    <t>PF Magnets Engineering Design/Support</t>
  </si>
  <si>
    <t>TF Magnets Engineering Design/Support</t>
  </si>
  <si>
    <t>End-Effectors</t>
  </si>
  <si>
    <t>In-Vessel Transporters</t>
  </si>
  <si>
    <t>Articulated Booms</t>
  </si>
  <si>
    <t>Vaccum &amp; Fluid Systems</t>
  </si>
  <si>
    <t>Diagnostic Roughting &amp; Backing Systems</t>
  </si>
  <si>
    <t>NOT IN BASELINE =&gt; LATER UPGRADE</t>
  </si>
  <si>
    <t>Outer Ring Coils Shrouds &amp; Assembly</t>
  </si>
  <si>
    <t>1.4.7</t>
  </si>
  <si>
    <t>PF Coil R&amp;D</t>
  </si>
  <si>
    <t>PFC R&amp;D</t>
  </si>
  <si>
    <t>FY-02 $K</t>
  </si>
  <si>
    <t>1.5.3</t>
  </si>
  <si>
    <t>1.5.4</t>
  </si>
  <si>
    <t>Thermal Shields</t>
  </si>
  <si>
    <t>Using Existing Equipment</t>
  </si>
  <si>
    <t>Assumes All Power Supplied by Grid =&gt; +~$34.3M if MG</t>
  </si>
  <si>
    <t>TOTAL DIRECT COSTS</t>
  </si>
  <si>
    <t>CONTINGENCY @ 25.5% (US ACCOUNTING ONLY)</t>
  </si>
  <si>
    <t>LAB ENGINEERING @ 20% (US ACCOUTNTING ONLY)</t>
  </si>
  <si>
    <t>INDIRECT CAPITAL COSTS</t>
  </si>
  <si>
    <t>Research and Development During Construction</t>
  </si>
  <si>
    <t>1.R - Fusion Power Core</t>
  </si>
  <si>
    <t>1.1.R</t>
  </si>
  <si>
    <t>Formerly 1.1.8</t>
  </si>
  <si>
    <t>1.2.R</t>
  </si>
  <si>
    <t>Vacuum Vessel R&amp;D</t>
  </si>
  <si>
    <t>1.3.R</t>
  </si>
  <si>
    <t>None Required</t>
  </si>
  <si>
    <t>TF Magnet  R&amp;D</t>
  </si>
  <si>
    <t>Formerly 1.3.6</t>
  </si>
  <si>
    <t>1.4.R</t>
  </si>
  <si>
    <t>PF Magnet  R&amp;D</t>
  </si>
  <si>
    <t>Formerly 1.4.7</t>
  </si>
  <si>
    <t>1.5.R</t>
  </si>
  <si>
    <t>Cryostat R&amp;D</t>
  </si>
  <si>
    <t>1.6.R</t>
  </si>
  <si>
    <t>Machine Support Structure R&amp;D</t>
  </si>
  <si>
    <t>2.R - Auxiliary Systems</t>
  </si>
  <si>
    <t>2.1.R</t>
  </si>
  <si>
    <t>Fueling R&amp;D</t>
  </si>
  <si>
    <t>2.2.R</t>
  </si>
  <si>
    <t>Vacuum Pumping R&amp;D</t>
  </si>
  <si>
    <t>2.3.R</t>
  </si>
  <si>
    <t>Fuel Processing R&amp;D</t>
  </si>
  <si>
    <t>2.4.1.R</t>
  </si>
  <si>
    <t>ICRF R&amp;D</t>
  </si>
  <si>
    <t>Formerly 2.4.1.7</t>
  </si>
  <si>
    <t>2.4.2.R</t>
  </si>
  <si>
    <t>2.4.3.R</t>
  </si>
  <si>
    <t>2.5.R</t>
  </si>
  <si>
    <t>ECRF R&amp;D</t>
  </si>
  <si>
    <t>LHH R&amp;D</t>
  </si>
  <si>
    <t>NB R&amp;D</t>
  </si>
  <si>
    <t>2.6.R</t>
  </si>
  <si>
    <t>Device Instrumentation &amp; Diagnostics R&amp;D</t>
  </si>
  <si>
    <t>2.7.R</t>
  </si>
  <si>
    <t>Central Instrumentation &amp; Control R&amp;D</t>
  </si>
  <si>
    <t>2.8.R</t>
  </si>
  <si>
    <t>Power Supplies R&amp;D</t>
  </si>
  <si>
    <t>3.R - Remote Handling &amp; Machine Assembly</t>
  </si>
  <si>
    <t>3.3.R</t>
  </si>
  <si>
    <t>Special Assembly Tooling R&amp;D</t>
  </si>
  <si>
    <t>3.4.R</t>
  </si>
  <si>
    <t>Power Core Metrology R&amp;D</t>
  </si>
  <si>
    <t>3.5.R</t>
  </si>
  <si>
    <t>Power Core Remote Handling R&amp;D</t>
  </si>
  <si>
    <t>3.6.R</t>
  </si>
  <si>
    <t>Hot Cell Remote Handling R&amp;D</t>
  </si>
  <si>
    <t>Total Research and Development During Construction</t>
  </si>
  <si>
    <t>Total Project Support and Oversight</t>
  </si>
  <si>
    <t>Scientific Support - Meade</t>
  </si>
  <si>
    <t>TOTAL DIRECT AND INDIRECT CAPTAL COSTS</t>
  </si>
  <si>
    <t>TOTAL INDIRECT COSTS</t>
  </si>
  <si>
    <t>DOES NOT INCLUDE CONTINGENCY OR LAB ENGINEERING</t>
  </si>
  <si>
    <t>NOT IN ITER ESTIMATE</t>
  </si>
  <si>
    <t>COMISSIONING (PREPARATION FOR OPERATIONS)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</si>
</sst>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\K_;\(&quot;$&quot;###0.0\K\)"/>
    <numFmt numFmtId="169" formatCode="&quot;$&quot;#,##0\K_);\(&quot;$&quot;#,##0\K\)"/>
    <numFmt numFmtId="170" formatCode="&quot;$&quot;#,##0.0\K_;_(&quot;$&quot;###0.0\K\)"/>
    <numFmt numFmtId="171" formatCode="&quot;$&quot;#,##0.0\K_;"/>
    <numFmt numFmtId="172" formatCode="#,##0.0"/>
    <numFmt numFmtId="173" formatCode="&quot;$&quot;#,##0.0\K_);\(&quot;$&quot;###0.0\K\)"/>
    <numFmt numFmtId="174" formatCode="#,##0.000"/>
    <numFmt numFmtId="175" formatCode="#,##0.00000"/>
    <numFmt numFmtId="176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Geneva"/>
      <family val="0"/>
    </font>
    <font>
      <sz val="10"/>
      <color indexed="8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Geneva"/>
      <family val="0"/>
    </font>
    <font>
      <b/>
      <u val="single"/>
      <sz val="14"/>
      <color indexed="8"/>
      <name val="Arial"/>
      <family val="2"/>
    </font>
    <font>
      <b/>
      <sz val="14"/>
      <color indexed="8"/>
      <name val="Geneva"/>
      <family val="0"/>
    </font>
    <font>
      <b/>
      <i/>
      <sz val="10"/>
      <color indexed="8"/>
      <name val="Arial"/>
      <family val="2"/>
    </font>
    <font>
      <b/>
      <u val="single"/>
      <sz val="12"/>
      <name val="Geneva"/>
      <family val="0"/>
    </font>
    <font>
      <b/>
      <sz val="12"/>
      <name val="Geneva"/>
      <family val="0"/>
    </font>
    <font>
      <b/>
      <sz val="14"/>
      <name val="Arial"/>
      <family val="2"/>
    </font>
    <font>
      <b/>
      <i/>
      <sz val="10"/>
      <color indexed="8"/>
      <name val="Geneva"/>
      <family val="0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Geneva"/>
      <family val="0"/>
    </font>
    <font>
      <i/>
      <sz val="10"/>
      <name val="Geneva"/>
      <family val="0"/>
    </font>
    <font>
      <b/>
      <i/>
      <u val="single"/>
      <sz val="12"/>
      <color indexed="8"/>
      <name val="Geneva"/>
      <family val="0"/>
    </font>
    <font>
      <i/>
      <u val="single"/>
      <sz val="12"/>
      <name val="Arial"/>
      <family val="0"/>
    </font>
    <font>
      <b/>
      <i/>
      <sz val="12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1" fontId="0" fillId="0" borderId="0" xfId="0" applyNumberFormat="1" applyFill="1" applyAlignment="1">
      <alignment/>
    </xf>
    <xf numFmtId="171" fontId="2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71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171" fontId="16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71" fontId="15" fillId="0" borderId="0" xfId="0" applyNumberFormat="1" applyFont="1" applyFill="1" applyAlignment="1">
      <alignment horizontal="right"/>
    </xf>
    <xf numFmtId="171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7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71" fontId="7" fillId="0" borderId="0" xfId="0" applyNumberFormat="1" applyFont="1" applyFill="1" applyAlignment="1">
      <alignment horizontal="left"/>
    </xf>
    <xf numFmtId="171" fontId="1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71" fontId="0" fillId="3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71" fontId="25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71" fontId="0" fillId="0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0" fontId="27" fillId="0" borderId="0" xfId="0" applyNumberFormat="1" applyFont="1" applyFill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Fill="1" applyAlignment="1">
      <alignment/>
    </xf>
    <xf numFmtId="171" fontId="15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/>
    </xf>
    <xf numFmtId="173" fontId="25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7" fillId="4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27" fillId="4" borderId="0" xfId="0" applyFont="1" applyFill="1" applyAlignment="1">
      <alignment horizontal="center"/>
    </xf>
    <xf numFmtId="171" fontId="0" fillId="4" borderId="0" xfId="0" applyNumberFormat="1" applyFont="1" applyFill="1" applyAlignment="1">
      <alignment horizontal="left"/>
    </xf>
    <xf numFmtId="10" fontId="27" fillId="4" borderId="0" xfId="0" applyNumberFormat="1" applyFont="1" applyFill="1" applyAlignment="1">
      <alignment horizontal="left"/>
    </xf>
    <xf numFmtId="0" fontId="3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8" fillId="4" borderId="0" xfId="0" applyFont="1" applyFill="1" applyAlignment="1">
      <alignment horizontal="center" wrapText="1"/>
    </xf>
    <xf numFmtId="171" fontId="17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171" fontId="0" fillId="4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/>
    </xf>
    <xf numFmtId="175" fontId="11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175" fontId="33" fillId="0" borderId="0" xfId="0" applyNumberFormat="1" applyFont="1" applyFill="1" applyAlignment="1">
      <alignment horizontal="left"/>
    </xf>
    <xf numFmtId="176" fontId="14" fillId="0" borderId="0" xfId="0" applyNumberFormat="1" applyFont="1" applyFill="1" applyAlignment="1">
      <alignment/>
    </xf>
    <xf numFmtId="167" fontId="7" fillId="0" borderId="0" xfId="0" applyNumberFormat="1" applyFont="1" applyAlignment="1">
      <alignment horizontal="right"/>
    </xf>
    <xf numFmtId="171" fontId="25" fillId="0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left"/>
    </xf>
    <xf numFmtId="0" fontId="8" fillId="4" borderId="0" xfId="0" applyFont="1" applyFill="1" applyAlignment="1">
      <alignment horizontal="left" wrapText="1"/>
    </xf>
    <xf numFmtId="171" fontId="17" fillId="4" borderId="0" xfId="0" applyNumberFormat="1" applyFont="1" applyFill="1" applyAlignment="1">
      <alignment horizontal="left"/>
    </xf>
    <xf numFmtId="171" fontId="25" fillId="0" borderId="0" xfId="0" applyNumberFormat="1" applyFont="1" applyFill="1" applyAlignment="1">
      <alignment/>
    </xf>
    <xf numFmtId="0" fontId="11" fillId="0" borderId="0" xfId="0" applyFont="1" applyAlignment="1">
      <alignment horizontal="centerContinuous"/>
    </xf>
    <xf numFmtId="0" fontId="34" fillId="0" borderId="0" xfId="0" applyFont="1" applyFill="1" applyAlignment="1">
      <alignment horizontal="centerContinuous"/>
    </xf>
    <xf numFmtId="171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centerContinuous"/>
    </xf>
    <xf numFmtId="0" fontId="36" fillId="0" borderId="0" xfId="0" applyFont="1" applyFill="1" applyAlignment="1">
      <alignment horizontal="centerContinuous"/>
    </xf>
    <xf numFmtId="171" fontId="36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171" fontId="28" fillId="0" borderId="0" xfId="0" applyNumberFormat="1" applyFont="1" applyFill="1" applyAlignment="1">
      <alignment/>
    </xf>
    <xf numFmtId="0" fontId="25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Continuous"/>
    </xf>
    <xf numFmtId="171" fontId="28" fillId="5" borderId="0" xfId="0" applyNumberFormat="1" applyFont="1" applyFill="1" applyAlignment="1">
      <alignment/>
    </xf>
    <xf numFmtId="0" fontId="28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171" fontId="12" fillId="5" borderId="0" xfId="0" applyNumberFormat="1" applyFont="1" applyFill="1" applyAlignment="1">
      <alignment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Fill="1" applyAlignment="1">
      <alignment horizontal="centerContinuous"/>
    </xf>
    <xf numFmtId="171" fontId="40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Alignment="1">
      <alignment/>
    </xf>
    <xf numFmtId="173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5" fillId="6" borderId="0" xfId="0" applyFont="1" applyFill="1" applyAlignment="1">
      <alignment/>
    </xf>
    <xf numFmtId="0" fontId="41" fillId="6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2"/>
  <sheetViews>
    <sheetView tabSelected="1" zoomScale="60" zoomScaleNormal="60" workbookViewId="0" topLeftCell="A1">
      <selection activeCell="L255" sqref="L255"/>
    </sheetView>
  </sheetViews>
  <sheetFormatPr defaultColWidth="9.140625" defaultRowHeight="12.75"/>
  <cols>
    <col min="1" max="1" width="8.57421875" style="0" customWidth="1"/>
    <col min="2" max="2" width="9.8515625" style="0" customWidth="1"/>
    <col min="3" max="3" width="3.57421875" style="0" customWidth="1"/>
    <col min="4" max="4" width="56.7109375" style="4" customWidth="1"/>
    <col min="5" max="6" width="10.7109375" style="4" customWidth="1"/>
    <col min="7" max="7" width="22.8515625" style="15" customWidth="1"/>
    <col min="8" max="8" width="59.7109375" style="5" customWidth="1"/>
    <col min="9" max="11" width="8.8515625" style="0" customWidth="1"/>
    <col min="12" max="12" width="14.8515625" style="0" customWidth="1"/>
    <col min="13" max="16384" width="8.8515625" style="0" customWidth="1"/>
  </cols>
  <sheetData>
    <row r="1" spans="1:8" ht="12.75">
      <c r="A1" s="1" t="s">
        <v>10</v>
      </c>
      <c r="B1" s="1"/>
      <c r="C1" s="1"/>
      <c r="D1" s="1" t="s">
        <v>11</v>
      </c>
      <c r="E1" s="8" t="s">
        <v>28</v>
      </c>
      <c r="F1" s="10"/>
      <c r="G1" s="16" t="s">
        <v>43</v>
      </c>
      <c r="H1" s="11" t="s">
        <v>12</v>
      </c>
    </row>
    <row r="2" spans="1:8" ht="12.75">
      <c r="A2" s="1"/>
      <c r="B2" s="1"/>
      <c r="C2" s="1"/>
      <c r="D2" s="1"/>
      <c r="E2" s="9" t="s">
        <v>29</v>
      </c>
      <c r="F2" s="9" t="s">
        <v>30</v>
      </c>
      <c r="G2" s="16" t="s">
        <v>348</v>
      </c>
      <c r="H2" s="6"/>
    </row>
    <row r="3" spans="1:8" s="26" customFormat="1" ht="12.75">
      <c r="A3" s="23"/>
      <c r="B3" s="23"/>
      <c r="C3" s="23"/>
      <c r="D3" s="23"/>
      <c r="E3" s="24"/>
      <c r="F3" s="24"/>
      <c r="G3" s="25"/>
      <c r="H3" s="23"/>
    </row>
    <row r="4" spans="1:8" s="34" customFormat="1" ht="18">
      <c r="A4" s="32" t="s">
        <v>125</v>
      </c>
      <c r="B4" s="32"/>
      <c r="C4" s="32"/>
      <c r="D4" s="32"/>
      <c r="E4" s="33"/>
      <c r="F4" s="33"/>
      <c r="G4" s="177">
        <f>G5+G15+G23+G30+G45+G51</f>
        <v>317105.60000000003</v>
      </c>
      <c r="H4" s="172"/>
    </row>
    <row r="5" spans="1:8" s="29" customFormat="1" ht="15.75">
      <c r="A5" s="36">
        <v>1.1</v>
      </c>
      <c r="B5" s="37" t="s">
        <v>13</v>
      </c>
      <c r="C5" s="36"/>
      <c r="E5" s="38"/>
      <c r="F5" s="38"/>
      <c r="G5" s="105">
        <f>SUM(G6:G12)</f>
        <v>55814.399999999994</v>
      </c>
      <c r="H5" s="171"/>
    </row>
    <row r="6" spans="1:8" s="20" customFormat="1" ht="15">
      <c r="A6" s="35" t="s">
        <v>32</v>
      </c>
      <c r="C6" s="20" t="s">
        <v>14</v>
      </c>
      <c r="E6" s="12"/>
      <c r="F6" s="12" t="s">
        <v>31</v>
      </c>
      <c r="G6" s="19">
        <f>0.8*18279</f>
        <v>14623.2</v>
      </c>
      <c r="H6" s="31"/>
    </row>
    <row r="7" spans="1:8" s="20" customFormat="1" ht="15">
      <c r="A7" s="35" t="s">
        <v>33</v>
      </c>
      <c r="C7" s="20" t="s">
        <v>40</v>
      </c>
      <c r="E7" s="12"/>
      <c r="F7" s="12" t="s">
        <v>31</v>
      </c>
      <c r="G7" s="19">
        <f>0.8*27950</f>
        <v>22360</v>
      </c>
      <c r="H7" s="31"/>
    </row>
    <row r="8" spans="1:8" s="20" customFormat="1" ht="15">
      <c r="A8" s="35" t="s">
        <v>126</v>
      </c>
      <c r="C8" s="20" t="s">
        <v>41</v>
      </c>
      <c r="E8" s="12"/>
      <c r="F8" s="12" t="s">
        <v>31</v>
      </c>
      <c r="G8" s="19">
        <f>0.8*9854</f>
        <v>7883.200000000001</v>
      </c>
      <c r="H8" s="31"/>
    </row>
    <row r="9" spans="1:8" s="20" customFormat="1" ht="15">
      <c r="A9" s="35" t="s">
        <v>127</v>
      </c>
      <c r="C9" s="20" t="s">
        <v>42</v>
      </c>
      <c r="E9" s="12"/>
      <c r="F9" s="12" t="s">
        <v>31</v>
      </c>
      <c r="G9" s="19">
        <f>0.8*5940</f>
        <v>4752</v>
      </c>
      <c r="H9" s="31"/>
    </row>
    <row r="10" spans="1:8" s="20" customFormat="1" ht="15">
      <c r="A10" s="35" t="s">
        <v>128</v>
      </c>
      <c r="C10" s="20" t="s">
        <v>290</v>
      </c>
      <c r="E10" s="12"/>
      <c r="F10" s="12" t="s">
        <v>31</v>
      </c>
      <c r="G10" s="19">
        <f>0.8*2394</f>
        <v>1915.2</v>
      </c>
      <c r="H10" s="31"/>
    </row>
    <row r="11" spans="1:8" s="20" customFormat="1" ht="15">
      <c r="A11" s="35" t="s">
        <v>129</v>
      </c>
      <c r="C11" s="20" t="s">
        <v>15</v>
      </c>
      <c r="E11" s="21"/>
      <c r="F11" s="12" t="s">
        <v>31</v>
      </c>
      <c r="G11" s="19">
        <f>0.8*5351</f>
        <v>4280.8</v>
      </c>
      <c r="H11" s="31"/>
    </row>
    <row r="12" spans="1:8" s="133" customFormat="1" ht="12.75">
      <c r="A12" s="132" t="s">
        <v>130</v>
      </c>
      <c r="C12" s="133" t="s">
        <v>289</v>
      </c>
      <c r="E12" s="152"/>
      <c r="F12" s="135"/>
      <c r="G12" s="153"/>
      <c r="H12" s="154" t="s">
        <v>318</v>
      </c>
    </row>
    <row r="14" spans="1:8" s="20" customFormat="1" ht="12.75">
      <c r="A14" s="35"/>
      <c r="E14" s="21"/>
      <c r="F14" s="12"/>
      <c r="G14" s="131"/>
      <c r="H14" s="125"/>
    </row>
    <row r="15" spans="1:8" s="29" customFormat="1" ht="15.75">
      <c r="A15" s="36">
        <v>1.2</v>
      </c>
      <c r="B15" s="27" t="s">
        <v>94</v>
      </c>
      <c r="C15" s="36"/>
      <c r="E15" s="28"/>
      <c r="F15" s="39"/>
      <c r="G15" s="67">
        <f>SUM(G16:G21)</f>
        <v>119464.00000000001</v>
      </c>
      <c r="H15" s="40"/>
    </row>
    <row r="16" spans="1:8" s="35" customFormat="1" ht="12.75">
      <c r="A16" s="35" t="s">
        <v>34</v>
      </c>
      <c r="C16" s="44" t="s">
        <v>16</v>
      </c>
      <c r="F16" s="12" t="s">
        <v>31</v>
      </c>
      <c r="G16" s="56">
        <f>0.8*22861</f>
        <v>18288.8</v>
      </c>
      <c r="H16" s="148"/>
    </row>
    <row r="17" spans="1:8" s="35" customFormat="1" ht="12.75">
      <c r="A17" s="35" t="s">
        <v>35</v>
      </c>
      <c r="C17" s="44" t="s">
        <v>95</v>
      </c>
      <c r="F17" s="12" t="s">
        <v>31</v>
      </c>
      <c r="G17" s="56">
        <f>0.8*116901</f>
        <v>93520.8</v>
      </c>
      <c r="H17" s="148"/>
    </row>
    <row r="18" spans="1:8" s="35" customFormat="1" ht="12.75">
      <c r="A18" s="35" t="s">
        <v>36</v>
      </c>
      <c r="C18" s="44" t="s">
        <v>96</v>
      </c>
      <c r="F18" s="12" t="s">
        <v>31</v>
      </c>
      <c r="G18" s="56">
        <f>0.8*6450</f>
        <v>5160</v>
      </c>
      <c r="H18" s="148"/>
    </row>
    <row r="19" spans="1:8" s="35" customFormat="1" ht="12.75">
      <c r="A19" s="35" t="s">
        <v>37</v>
      </c>
      <c r="C19" s="44" t="s">
        <v>131</v>
      </c>
      <c r="F19" s="12" t="s">
        <v>31</v>
      </c>
      <c r="G19" s="56">
        <f>0.8*775</f>
        <v>620</v>
      </c>
      <c r="H19" s="148"/>
    </row>
    <row r="20" spans="1:8" s="35" customFormat="1" ht="12.75">
      <c r="A20" s="35" t="s">
        <v>38</v>
      </c>
      <c r="C20" s="44" t="s">
        <v>17</v>
      </c>
      <c r="F20" s="12" t="s">
        <v>31</v>
      </c>
      <c r="G20" s="56">
        <f>0.8*1812</f>
        <v>1449.6000000000001</v>
      </c>
      <c r="H20" s="45"/>
    </row>
    <row r="21" spans="1:8" s="35" customFormat="1" ht="12.75">
      <c r="A21" s="35" t="s">
        <v>39</v>
      </c>
      <c r="C21" s="44" t="s">
        <v>18</v>
      </c>
      <c r="F21" s="12" t="s">
        <v>31</v>
      </c>
      <c r="G21" s="56">
        <f>0.8*531</f>
        <v>424.8</v>
      </c>
      <c r="H21" s="45"/>
    </row>
    <row r="22" spans="3:8" s="35" customFormat="1" ht="12.75">
      <c r="C22" s="44"/>
      <c r="F22" s="12"/>
      <c r="G22" s="56"/>
      <c r="H22" s="45"/>
    </row>
    <row r="23" spans="1:8" s="29" customFormat="1" ht="15.75">
      <c r="A23" s="30">
        <v>1.3</v>
      </c>
      <c r="B23" s="27" t="s">
        <v>132</v>
      </c>
      <c r="C23" s="30"/>
      <c r="E23" s="28"/>
      <c r="F23" s="28"/>
      <c r="G23" s="105">
        <f>SUM(G24:G28)</f>
        <v>102600.8</v>
      </c>
      <c r="H23" s="173"/>
    </row>
    <row r="24" spans="1:8" s="35" customFormat="1" ht="12.75" customHeight="1">
      <c r="A24" s="35" t="s">
        <v>291</v>
      </c>
      <c r="C24" s="20" t="s">
        <v>320</v>
      </c>
      <c r="E24" s="21"/>
      <c r="F24" s="21" t="s">
        <v>31</v>
      </c>
      <c r="G24" s="56">
        <f>0.8*103586</f>
        <v>82868.8</v>
      </c>
      <c r="H24" s="155"/>
    </row>
    <row r="25" spans="1:8" s="35" customFormat="1" ht="12.75" customHeight="1">
      <c r="A25" s="35" t="s">
        <v>292</v>
      </c>
      <c r="C25" s="20" t="s">
        <v>321</v>
      </c>
      <c r="E25" s="21" t="s">
        <v>31</v>
      </c>
      <c r="F25" s="21"/>
      <c r="G25" s="56">
        <f>0.8*5970</f>
        <v>4776</v>
      </c>
      <c r="H25" s="155"/>
    </row>
    <row r="26" spans="1:8" s="35" customFormat="1" ht="12.75" customHeight="1">
      <c r="A26" s="35" t="s">
        <v>293</v>
      </c>
      <c r="C26" s="20" t="s">
        <v>93</v>
      </c>
      <c r="E26" s="21"/>
      <c r="F26" s="21" t="s">
        <v>31</v>
      </c>
      <c r="G26" s="56">
        <f>0.8*2622</f>
        <v>2097.6</v>
      </c>
      <c r="H26" s="155"/>
    </row>
    <row r="27" spans="1:8" s="35" customFormat="1" ht="12.75" customHeight="1">
      <c r="A27" s="35" t="s">
        <v>294</v>
      </c>
      <c r="C27" s="20" t="s">
        <v>295</v>
      </c>
      <c r="E27" s="21"/>
      <c r="F27" s="21" t="s">
        <v>31</v>
      </c>
      <c r="G27" s="56">
        <f>0.8*1954</f>
        <v>1563.2</v>
      </c>
      <c r="H27" s="155"/>
    </row>
    <row r="28" spans="1:8" s="35" customFormat="1" ht="12.75" customHeight="1">
      <c r="A28" s="35" t="s">
        <v>319</v>
      </c>
      <c r="C28" s="20" t="s">
        <v>337</v>
      </c>
      <c r="E28" s="21"/>
      <c r="F28" s="21" t="s">
        <v>31</v>
      </c>
      <c r="G28" s="56">
        <f>0.8*14119</f>
        <v>11295.2</v>
      </c>
      <c r="H28" s="125"/>
    </row>
    <row r="29" spans="1:8" s="20" customFormat="1" ht="12.75">
      <c r="A29" s="35"/>
      <c r="B29" s="113"/>
      <c r="D29" s="2"/>
      <c r="E29" s="12"/>
      <c r="F29" s="12"/>
      <c r="G29" s="54"/>
      <c r="H29" s="125" t="s">
        <v>137</v>
      </c>
    </row>
    <row r="30" spans="1:8" s="29" customFormat="1" ht="15.75">
      <c r="A30" s="30">
        <v>1.4</v>
      </c>
      <c r="B30" s="27" t="s">
        <v>133</v>
      </c>
      <c r="C30" s="30"/>
      <c r="E30" s="28"/>
      <c r="F30" s="28"/>
      <c r="G30" s="105">
        <f>G31+G35+G39+G40+G42+G43</f>
        <v>29776.800000000003</v>
      </c>
      <c r="H30" s="126"/>
    </row>
    <row r="31" spans="1:8" s="35" customFormat="1" ht="12.75" customHeight="1">
      <c r="A31" s="35" t="s">
        <v>44</v>
      </c>
      <c r="C31" s="20" t="s">
        <v>326</v>
      </c>
      <c r="E31" s="21"/>
      <c r="F31" s="21" t="s">
        <v>31</v>
      </c>
      <c r="G31" s="19">
        <f>SUM(G32:G34)</f>
        <v>6847.200000000001</v>
      </c>
      <c r="H31" s="174"/>
    </row>
    <row r="32" spans="2:8" s="113" customFormat="1" ht="12.75" customHeight="1">
      <c r="B32" s="113" t="s">
        <v>322</v>
      </c>
      <c r="C32" s="2"/>
      <c r="D32" s="149" t="s">
        <v>325</v>
      </c>
      <c r="E32" s="12"/>
      <c r="F32" s="12"/>
      <c r="G32" s="17">
        <f>0.8*6713</f>
        <v>5370.400000000001</v>
      </c>
      <c r="H32" s="126"/>
    </row>
    <row r="33" spans="2:8" s="113" customFormat="1" ht="12.75" customHeight="1">
      <c r="B33" s="113" t="s">
        <v>323</v>
      </c>
      <c r="C33" s="2"/>
      <c r="D33" s="149" t="s">
        <v>327</v>
      </c>
      <c r="E33" s="12"/>
      <c r="F33" s="12"/>
      <c r="G33" s="17">
        <f>0.8*1147</f>
        <v>917.6</v>
      </c>
      <c r="H33" s="156" t="s">
        <v>137</v>
      </c>
    </row>
    <row r="34" spans="2:8" s="113" customFormat="1" ht="12.75" customHeight="1">
      <c r="B34" s="113" t="s">
        <v>324</v>
      </c>
      <c r="C34" s="2"/>
      <c r="D34" s="149" t="s">
        <v>328</v>
      </c>
      <c r="E34" s="12"/>
      <c r="F34" s="12"/>
      <c r="G34" s="17">
        <f>0.8*699</f>
        <v>559.2</v>
      </c>
      <c r="H34" s="156"/>
    </row>
    <row r="35" spans="1:8" s="35" customFormat="1" ht="12.75" customHeight="1">
      <c r="A35" s="35" t="s">
        <v>45</v>
      </c>
      <c r="C35" s="20" t="s">
        <v>329</v>
      </c>
      <c r="E35" s="21"/>
      <c r="F35" s="21" t="s">
        <v>31</v>
      </c>
      <c r="G35" s="19">
        <f>SUM(G36:G38)</f>
        <v>12978.400000000001</v>
      </c>
      <c r="H35" s="174"/>
    </row>
    <row r="36" spans="2:8" s="149" customFormat="1" ht="12.75" customHeight="1">
      <c r="B36" s="113" t="s">
        <v>332</v>
      </c>
      <c r="D36" s="149" t="s">
        <v>330</v>
      </c>
      <c r="G36" s="54">
        <f>0.8*9443</f>
        <v>7554.400000000001</v>
      </c>
      <c r="H36" s="157"/>
    </row>
    <row r="37" spans="2:8" s="149" customFormat="1" ht="12.75" customHeight="1">
      <c r="B37" s="113" t="s">
        <v>333</v>
      </c>
      <c r="D37" s="149" t="s">
        <v>331</v>
      </c>
      <c r="G37" s="54">
        <f>0.8*311</f>
        <v>248.8</v>
      </c>
      <c r="H37" s="158"/>
    </row>
    <row r="38" spans="2:8" s="149" customFormat="1" ht="12.75" customHeight="1">
      <c r="B38" s="113" t="s">
        <v>334</v>
      </c>
      <c r="D38" s="149" t="s">
        <v>344</v>
      </c>
      <c r="G38" s="54">
        <f>0.8*6469</f>
        <v>5175.200000000001</v>
      </c>
      <c r="H38" s="158"/>
    </row>
    <row r="39" spans="1:8" s="35" customFormat="1" ht="12.75" customHeight="1">
      <c r="A39" s="35" t="s">
        <v>46</v>
      </c>
      <c r="C39" s="20" t="s">
        <v>136</v>
      </c>
      <c r="E39" s="21"/>
      <c r="F39" s="21"/>
      <c r="G39" s="19">
        <f>0.8*1250</f>
        <v>1000</v>
      </c>
      <c r="H39" s="155"/>
    </row>
    <row r="40" spans="1:8" s="35" customFormat="1" ht="12.75" customHeight="1">
      <c r="A40" s="35" t="s">
        <v>47</v>
      </c>
      <c r="C40" s="20" t="s">
        <v>134</v>
      </c>
      <c r="E40" s="21"/>
      <c r="F40" s="21" t="s">
        <v>31</v>
      </c>
      <c r="G40" s="19">
        <f>0.8*1999</f>
        <v>1599.2</v>
      </c>
      <c r="H40" s="142"/>
    </row>
    <row r="41" spans="1:8" s="35" customFormat="1" ht="12.75" customHeight="1">
      <c r="A41" s="35" t="s">
        <v>48</v>
      </c>
      <c r="C41" s="20" t="s">
        <v>135</v>
      </c>
      <c r="E41" s="21"/>
      <c r="F41" s="21"/>
      <c r="G41" s="19"/>
      <c r="H41" s="142" t="s">
        <v>142</v>
      </c>
    </row>
    <row r="42" spans="1:8" s="44" customFormat="1" ht="12.75" customHeight="1">
      <c r="A42" s="35" t="s">
        <v>335</v>
      </c>
      <c r="C42" s="44" t="s">
        <v>336</v>
      </c>
      <c r="F42" s="21" t="s">
        <v>31</v>
      </c>
      <c r="G42" s="19">
        <f>0.8*7959</f>
        <v>6367.200000000001</v>
      </c>
      <c r="H42" s="142"/>
    </row>
    <row r="43" spans="1:8" s="44" customFormat="1" ht="12.75" customHeight="1">
      <c r="A43" s="35" t="s">
        <v>345</v>
      </c>
      <c r="C43" s="44" t="s">
        <v>346</v>
      </c>
      <c r="F43" s="44" t="s">
        <v>31</v>
      </c>
      <c r="G43" s="19">
        <f>0.8*1231</f>
        <v>984.8000000000001</v>
      </c>
      <c r="H43" s="142"/>
    </row>
    <row r="44" spans="4:8" ht="12.75">
      <c r="D44" s="2"/>
      <c r="E44" s="12"/>
      <c r="F44" s="41"/>
      <c r="G44" s="42"/>
      <c r="H44" s="43"/>
    </row>
    <row r="45" spans="1:8" s="29" customFormat="1" ht="15.75">
      <c r="A45" s="36">
        <v>1.5</v>
      </c>
      <c r="B45" s="27" t="s">
        <v>19</v>
      </c>
      <c r="C45" s="36"/>
      <c r="E45" s="28"/>
      <c r="F45" s="39"/>
      <c r="G45" s="67">
        <f>SUM(G46:G49)</f>
        <v>1599.2</v>
      </c>
      <c r="H45" s="40"/>
    </row>
    <row r="46" spans="1:8" s="20" customFormat="1" ht="15.75">
      <c r="A46" s="35" t="s">
        <v>49</v>
      </c>
      <c r="C46" s="20" t="s">
        <v>138</v>
      </c>
      <c r="E46" s="28"/>
      <c r="F46" s="12" t="s">
        <v>31</v>
      </c>
      <c r="G46" s="56">
        <f>0.8*1808</f>
        <v>1446.4</v>
      </c>
      <c r="H46" s="51"/>
    </row>
    <row r="47" spans="1:8" s="20" customFormat="1" ht="15.75">
      <c r="A47" s="35" t="s">
        <v>50</v>
      </c>
      <c r="C47" s="20" t="s">
        <v>341</v>
      </c>
      <c r="E47" s="28"/>
      <c r="F47" s="12" t="s">
        <v>31</v>
      </c>
      <c r="G47" s="56">
        <f>0.8*115</f>
        <v>92</v>
      </c>
      <c r="H47" s="51"/>
    </row>
    <row r="48" spans="1:8" s="20" customFormat="1" ht="15.75">
      <c r="A48" s="176" t="s">
        <v>349</v>
      </c>
      <c r="C48" s="20" t="s">
        <v>351</v>
      </c>
      <c r="E48" s="28"/>
      <c r="F48" s="12" t="s">
        <v>31</v>
      </c>
      <c r="G48" s="56">
        <f>0.8*0</f>
        <v>0</v>
      </c>
      <c r="H48" s="51"/>
    </row>
    <row r="49" spans="1:8" s="20" customFormat="1" ht="15.75">
      <c r="A49" s="176" t="s">
        <v>350</v>
      </c>
      <c r="C49" s="20" t="s">
        <v>18</v>
      </c>
      <c r="E49" s="28"/>
      <c r="F49" s="12" t="s">
        <v>31</v>
      </c>
      <c r="G49" s="56">
        <f>0.8*76</f>
        <v>60.800000000000004</v>
      </c>
      <c r="H49" s="51"/>
    </row>
    <row r="50" spans="4:8" ht="12.75">
      <c r="D50" s="2"/>
      <c r="E50" s="12"/>
      <c r="F50" s="41"/>
      <c r="G50" s="42"/>
      <c r="H50" s="43"/>
    </row>
    <row r="51" spans="1:8" s="29" customFormat="1" ht="15.75">
      <c r="A51" s="36">
        <v>1.6</v>
      </c>
      <c r="B51" s="27" t="s">
        <v>9</v>
      </c>
      <c r="C51" s="36"/>
      <c r="E51" s="28"/>
      <c r="F51" s="39"/>
      <c r="G51" s="67">
        <f>G52+G55+G56</f>
        <v>7850.4000000000015</v>
      </c>
      <c r="H51" s="175"/>
    </row>
    <row r="52" spans="1:8" s="20" customFormat="1" ht="12.75">
      <c r="A52" s="35" t="s">
        <v>51</v>
      </c>
      <c r="C52" s="20" t="s">
        <v>139</v>
      </c>
      <c r="E52" s="21"/>
      <c r="F52" s="12"/>
      <c r="G52" s="56">
        <f>SUM(G53:G54)</f>
        <v>1320.8000000000002</v>
      </c>
      <c r="H52" s="53"/>
    </row>
    <row r="53" spans="1:8" s="2" customFormat="1" ht="12.75">
      <c r="A53" s="113"/>
      <c r="B53" s="113" t="s">
        <v>97</v>
      </c>
      <c r="D53" s="2" t="s">
        <v>61</v>
      </c>
      <c r="E53" s="12"/>
      <c r="F53" s="12" t="s">
        <v>31</v>
      </c>
      <c r="G53" s="66">
        <f>0.8*1052</f>
        <v>841.6</v>
      </c>
      <c r="H53" s="53"/>
    </row>
    <row r="54" spans="1:8" s="2" customFormat="1" ht="12.75">
      <c r="A54" s="113"/>
      <c r="B54" s="113" t="s">
        <v>98</v>
      </c>
      <c r="D54" s="2" t="s">
        <v>140</v>
      </c>
      <c r="E54" s="12"/>
      <c r="F54" s="12" t="s">
        <v>31</v>
      </c>
      <c r="G54" s="66">
        <f>0.8*599</f>
        <v>479.20000000000005</v>
      </c>
      <c r="H54" s="53"/>
    </row>
    <row r="55" spans="1:8" s="20" customFormat="1" ht="12.75">
      <c r="A55" s="35" t="s">
        <v>52</v>
      </c>
      <c r="B55" s="35"/>
      <c r="C55" s="20" t="s">
        <v>62</v>
      </c>
      <c r="E55" s="21"/>
      <c r="F55" s="12" t="s">
        <v>31</v>
      </c>
      <c r="G55" s="56">
        <f>0.8*1153</f>
        <v>922.4000000000001</v>
      </c>
      <c r="H55" s="53"/>
    </row>
    <row r="56" spans="1:8" s="20" customFormat="1" ht="12.75">
      <c r="A56" s="35" t="s">
        <v>53</v>
      </c>
      <c r="B56" s="35"/>
      <c r="C56" s="20" t="s">
        <v>64</v>
      </c>
      <c r="E56" s="21"/>
      <c r="F56" s="12"/>
      <c r="G56" s="56">
        <f>SUM(G57:G58)</f>
        <v>5607.200000000001</v>
      </c>
      <c r="H56" s="53"/>
    </row>
    <row r="57" spans="1:8" s="2" customFormat="1" ht="12.75">
      <c r="A57" s="113"/>
      <c r="B57" s="113" t="s">
        <v>99</v>
      </c>
      <c r="D57" s="2" t="s">
        <v>63</v>
      </c>
      <c r="E57" s="12"/>
      <c r="F57" s="12" t="s">
        <v>31</v>
      </c>
      <c r="G57" s="42">
        <f>0.8*4053</f>
        <v>3242.4</v>
      </c>
      <c r="H57" s="53"/>
    </row>
    <row r="58" spans="1:8" s="2" customFormat="1" ht="12.75">
      <c r="A58" s="113"/>
      <c r="B58" s="113" t="s">
        <v>100</v>
      </c>
      <c r="D58" s="2" t="s">
        <v>141</v>
      </c>
      <c r="E58" s="12"/>
      <c r="F58" s="12" t="s">
        <v>31</v>
      </c>
      <c r="G58" s="42">
        <f>0.8*2956</f>
        <v>2364.8</v>
      </c>
      <c r="H58" s="53"/>
    </row>
    <row r="59" spans="4:6" ht="12.75">
      <c r="D59" s="2"/>
      <c r="E59" s="12"/>
      <c r="F59" s="12"/>
    </row>
    <row r="60" spans="1:8" s="34" customFormat="1" ht="18">
      <c r="A60" s="47" t="s">
        <v>143</v>
      </c>
      <c r="B60" s="47"/>
      <c r="C60" s="47"/>
      <c r="E60" s="48"/>
      <c r="F60" s="48"/>
      <c r="G60" s="177">
        <f>G61+G67+G72+G76+G89</f>
        <v>74824.00000000001</v>
      </c>
      <c r="H60" s="49"/>
    </row>
    <row r="61" spans="1:8" s="62" customFormat="1" ht="15.75">
      <c r="A61" s="60">
        <v>2.1</v>
      </c>
      <c r="B61" s="61" t="s">
        <v>144</v>
      </c>
      <c r="C61" s="60"/>
      <c r="E61" s="68"/>
      <c r="F61" s="63"/>
      <c r="G61" s="67">
        <f>SUM(G62:G65)</f>
        <v>3974.4</v>
      </c>
      <c r="H61" s="40"/>
    </row>
    <row r="62" spans="1:8" s="20" customFormat="1" ht="12.75">
      <c r="A62" s="35" t="s">
        <v>54</v>
      </c>
      <c r="C62" s="20" t="s">
        <v>298</v>
      </c>
      <c r="E62" s="21"/>
      <c r="F62" s="12" t="s">
        <v>31</v>
      </c>
      <c r="G62" s="19">
        <f>0.8*505</f>
        <v>404</v>
      </c>
      <c r="H62" s="22"/>
    </row>
    <row r="63" spans="1:8" s="20" customFormat="1" ht="12.75">
      <c r="A63" s="35" t="s">
        <v>55</v>
      </c>
      <c r="C63" s="20" t="s">
        <v>107</v>
      </c>
      <c r="E63" s="21"/>
      <c r="F63" s="12" t="s">
        <v>31</v>
      </c>
      <c r="G63" s="19">
        <f>0.8*2180</f>
        <v>1744</v>
      </c>
      <c r="H63" s="22"/>
    </row>
    <row r="64" spans="1:8" s="20" customFormat="1" ht="12.75">
      <c r="A64" s="35" t="s">
        <v>296</v>
      </c>
      <c r="C64" s="20" t="s">
        <v>106</v>
      </c>
      <c r="E64" s="21"/>
      <c r="F64" s="12" t="s">
        <v>31</v>
      </c>
      <c r="G64" s="19">
        <f>0.8*1023</f>
        <v>818.4000000000001</v>
      </c>
      <c r="H64" s="22"/>
    </row>
    <row r="65" spans="1:8" s="20" customFormat="1" ht="12.75">
      <c r="A65" s="35" t="s">
        <v>297</v>
      </c>
      <c r="C65" s="20" t="s">
        <v>299</v>
      </c>
      <c r="E65" s="21"/>
      <c r="F65" s="12" t="s">
        <v>31</v>
      </c>
      <c r="G65" s="19">
        <f>0.8*1260</f>
        <v>1008</v>
      </c>
      <c r="H65" s="22"/>
    </row>
    <row r="66" spans="1:8" s="20" customFormat="1" ht="12.75">
      <c r="A66" s="35"/>
      <c r="E66" s="21"/>
      <c r="F66" s="21"/>
      <c r="G66" s="18"/>
      <c r="H66" s="22"/>
    </row>
    <row r="67" spans="1:8" s="57" customFormat="1" ht="15.75">
      <c r="A67" s="36">
        <v>2.2</v>
      </c>
      <c r="B67" s="64" t="s">
        <v>56</v>
      </c>
      <c r="C67" s="36"/>
      <c r="E67" s="68" t="s">
        <v>31</v>
      </c>
      <c r="F67" s="58"/>
      <c r="G67" s="67">
        <f>SUM(G68:G70)</f>
        <v>10537.6</v>
      </c>
      <c r="H67" s="40"/>
    </row>
    <row r="68" spans="1:8" s="20" customFormat="1" ht="12.75">
      <c r="A68" s="35" t="s">
        <v>146</v>
      </c>
      <c r="C68" s="20" t="s">
        <v>145</v>
      </c>
      <c r="E68" s="21"/>
      <c r="F68" s="21"/>
      <c r="G68" s="19">
        <f>0.8*8363</f>
        <v>6690.400000000001</v>
      </c>
      <c r="H68" s="22"/>
    </row>
    <row r="69" spans="1:8" s="20" customFormat="1" ht="12.75">
      <c r="A69" s="35" t="s">
        <v>147</v>
      </c>
      <c r="C69" s="20" t="s">
        <v>149</v>
      </c>
      <c r="E69" s="21"/>
      <c r="F69" s="21"/>
      <c r="G69" s="19">
        <f>0.8*2671</f>
        <v>2136.8</v>
      </c>
      <c r="H69" s="22"/>
    </row>
    <row r="70" spans="1:8" s="20" customFormat="1" ht="12.75">
      <c r="A70" s="35" t="s">
        <v>148</v>
      </c>
      <c r="C70" s="20" t="s">
        <v>342</v>
      </c>
      <c r="E70" s="21"/>
      <c r="F70" s="21"/>
      <c r="G70" s="19">
        <f>0.8*2138</f>
        <v>1710.4</v>
      </c>
      <c r="H70" s="22"/>
    </row>
    <row r="71" spans="1:8" s="20" customFormat="1" ht="12.75">
      <c r="A71" s="35"/>
      <c r="E71" s="21"/>
      <c r="F71" s="21"/>
      <c r="G71" s="18"/>
      <c r="H71" s="22"/>
    </row>
    <row r="72" spans="1:8" s="57" customFormat="1" ht="15.75">
      <c r="A72" s="36">
        <v>2.3</v>
      </c>
      <c r="B72" s="64" t="s">
        <v>153</v>
      </c>
      <c r="C72" s="36"/>
      <c r="E72" s="151" t="s">
        <v>31</v>
      </c>
      <c r="F72" s="58"/>
      <c r="G72" s="105">
        <f>G73</f>
        <v>3407.2000000000003</v>
      </c>
      <c r="H72" s="40"/>
    </row>
    <row r="73" spans="1:8" s="20" customFormat="1" ht="12.75">
      <c r="A73" s="35" t="s">
        <v>150</v>
      </c>
      <c r="C73" s="20" t="s">
        <v>152</v>
      </c>
      <c r="E73" s="21"/>
      <c r="F73" s="21"/>
      <c r="G73" s="19">
        <f>0.8*4259</f>
        <v>3407.2000000000003</v>
      </c>
      <c r="H73" s="22"/>
    </row>
    <row r="74" spans="1:8" s="20" customFormat="1" ht="12.75">
      <c r="A74" s="35" t="s">
        <v>151</v>
      </c>
      <c r="C74" s="20" t="s">
        <v>154</v>
      </c>
      <c r="E74" s="21"/>
      <c r="F74" s="21"/>
      <c r="G74" s="19">
        <v>0</v>
      </c>
      <c r="H74" s="125" t="s">
        <v>352</v>
      </c>
    </row>
    <row r="75" spans="5:8" s="20" customFormat="1" ht="12.75">
      <c r="E75" s="21"/>
      <c r="F75" s="21"/>
      <c r="G75" s="18"/>
      <c r="H75" s="22"/>
    </row>
    <row r="76" spans="1:8" s="37" customFormat="1" ht="15.75">
      <c r="A76" s="36">
        <v>2.4</v>
      </c>
      <c r="B76" s="27" t="s">
        <v>155</v>
      </c>
      <c r="E76" s="38"/>
      <c r="F76" s="38"/>
      <c r="G76" s="105">
        <f>G77+G85+G87+G89</f>
        <v>56904.80000000001</v>
      </c>
      <c r="H76" s="40"/>
    </row>
    <row r="77" spans="1:8" s="20" customFormat="1" ht="12.75">
      <c r="A77" s="35" t="s">
        <v>158</v>
      </c>
      <c r="C77" s="20" t="s">
        <v>156</v>
      </c>
      <c r="E77" s="21"/>
      <c r="F77" s="12"/>
      <c r="G77" s="19">
        <f>SUM(G78:G83)</f>
        <v>56904.80000000001</v>
      </c>
      <c r="H77" s="22"/>
    </row>
    <row r="78" spans="1:8" s="20" customFormat="1" ht="12.75">
      <c r="A78" s="35"/>
      <c r="B78" s="113" t="s">
        <v>159</v>
      </c>
      <c r="D78" s="2" t="s">
        <v>101</v>
      </c>
      <c r="E78" s="21"/>
      <c r="F78" s="12" t="s">
        <v>31</v>
      </c>
      <c r="G78" s="54">
        <f>0.8*8780</f>
        <v>7024</v>
      </c>
      <c r="H78" s="22"/>
    </row>
    <row r="79" spans="1:8" s="20" customFormat="1" ht="12.75">
      <c r="A79" s="35"/>
      <c r="B79" s="113" t="s">
        <v>160</v>
      </c>
      <c r="D79" s="2" t="s">
        <v>102</v>
      </c>
      <c r="E79" s="21"/>
      <c r="F79" s="12" t="s">
        <v>31</v>
      </c>
      <c r="G79" s="54">
        <f>0.8*2692</f>
        <v>2153.6</v>
      </c>
      <c r="H79" s="22"/>
    </row>
    <row r="80" spans="1:8" s="20" customFormat="1" ht="12.75">
      <c r="A80" s="35"/>
      <c r="B80" s="113" t="s">
        <v>161</v>
      </c>
      <c r="D80" s="2" t="s">
        <v>103</v>
      </c>
      <c r="E80" s="21"/>
      <c r="F80" s="12" t="s">
        <v>31</v>
      </c>
      <c r="G80" s="54">
        <f>0.8*3573</f>
        <v>2858.4</v>
      </c>
      <c r="H80" s="22"/>
    </row>
    <row r="81" spans="1:8" s="20" customFormat="1" ht="12.75">
      <c r="A81" s="35"/>
      <c r="B81" s="113" t="s">
        <v>162</v>
      </c>
      <c r="D81" s="2" t="s">
        <v>104</v>
      </c>
      <c r="E81" s="21"/>
      <c r="F81" s="12" t="s">
        <v>31</v>
      </c>
      <c r="G81" s="54">
        <f>0.8*37177</f>
        <v>29741.600000000002</v>
      </c>
      <c r="H81" s="22"/>
    </row>
    <row r="82" spans="1:8" s="20" customFormat="1" ht="12.75">
      <c r="A82" s="35"/>
      <c r="B82" s="113" t="s">
        <v>163</v>
      </c>
      <c r="D82" s="2" t="s">
        <v>105</v>
      </c>
      <c r="E82" s="2"/>
      <c r="F82" s="12" t="s">
        <v>31</v>
      </c>
      <c r="G82" s="54">
        <f>0.8*14031</f>
        <v>11224.800000000001</v>
      </c>
      <c r="H82" s="22"/>
    </row>
    <row r="83" spans="2:8" s="20" customFormat="1" ht="12.75">
      <c r="B83" s="113" t="s">
        <v>164</v>
      </c>
      <c r="D83" s="2" t="s">
        <v>18</v>
      </c>
      <c r="E83" s="2"/>
      <c r="F83" s="12" t="s">
        <v>31</v>
      </c>
      <c r="G83" s="54">
        <f>0.8*4878</f>
        <v>3902.4</v>
      </c>
      <c r="H83" s="22"/>
    </row>
    <row r="84" spans="1:8" s="2" customFormat="1" ht="12.75">
      <c r="A84" s="113"/>
      <c r="E84" s="12"/>
      <c r="H84" s="53"/>
    </row>
    <row r="85" spans="1:8" s="133" customFormat="1" ht="12.75">
      <c r="A85" s="132" t="s">
        <v>157</v>
      </c>
      <c r="C85" s="133" t="s">
        <v>165</v>
      </c>
      <c r="E85" s="134"/>
      <c r="F85" s="135"/>
      <c r="G85" s="135"/>
      <c r="H85" s="150" t="s">
        <v>343</v>
      </c>
    </row>
    <row r="86" spans="1:8" s="2" customFormat="1" ht="12.75">
      <c r="A86" s="113"/>
      <c r="B86" s="113"/>
      <c r="C86" s="113"/>
      <c r="D86" s="113"/>
      <c r="E86" s="12"/>
      <c r="H86" s="53"/>
    </row>
    <row r="87" spans="1:8" s="133" customFormat="1" ht="12.75" customHeight="1">
      <c r="A87" s="132" t="s">
        <v>167</v>
      </c>
      <c r="C87" s="133" t="s">
        <v>166</v>
      </c>
      <c r="E87" s="134"/>
      <c r="F87" s="135"/>
      <c r="G87" s="135"/>
      <c r="H87" s="150" t="s">
        <v>343</v>
      </c>
    </row>
    <row r="88" spans="1:8" s="2" customFormat="1" ht="12.75">
      <c r="A88" s="113"/>
      <c r="B88" s="113"/>
      <c r="C88" s="113"/>
      <c r="D88" s="113"/>
      <c r="E88" s="12"/>
      <c r="H88" s="53"/>
    </row>
    <row r="89" spans="1:8" s="59" customFormat="1" ht="15.75">
      <c r="A89" s="159">
        <v>2.5</v>
      </c>
      <c r="B89" s="159" t="s">
        <v>5</v>
      </c>
      <c r="C89" s="159"/>
      <c r="D89" s="178"/>
      <c r="E89" s="179"/>
      <c r="F89" s="179"/>
      <c r="G89" s="180"/>
      <c r="H89" s="150" t="s">
        <v>343</v>
      </c>
    </row>
    <row r="90" spans="4:6" ht="12.75">
      <c r="D90" s="3"/>
      <c r="E90" s="13"/>
      <c r="F90" s="13"/>
    </row>
    <row r="91" spans="4:6" ht="12.75">
      <c r="D91" s="3"/>
      <c r="E91" s="13"/>
      <c r="F91" s="13"/>
    </row>
    <row r="92" spans="1:8" ht="18">
      <c r="A92" s="47" t="s">
        <v>168</v>
      </c>
      <c r="B92" s="7"/>
      <c r="C92" s="7"/>
      <c r="D92" s="3"/>
      <c r="E92" s="13"/>
      <c r="F92" s="13"/>
      <c r="G92" s="123">
        <f>G93+G94+G95+G96</f>
        <v>17879.2</v>
      </c>
      <c r="H92" s="127" t="s">
        <v>123</v>
      </c>
    </row>
    <row r="93" spans="1:7" s="57" customFormat="1" ht="15.75">
      <c r="A93" s="36">
        <v>3.1</v>
      </c>
      <c r="B93" s="64" t="s">
        <v>115</v>
      </c>
      <c r="C93" s="114"/>
      <c r="E93" s="58"/>
      <c r="F93" s="58"/>
      <c r="G93" s="105">
        <f>0.8*22349</f>
        <v>17879.2</v>
      </c>
    </row>
    <row r="94" spans="1:8" s="161" customFormat="1" ht="15.75">
      <c r="A94" s="159">
        <v>3.2</v>
      </c>
      <c r="B94" s="160" t="s">
        <v>116</v>
      </c>
      <c r="C94" s="159"/>
      <c r="E94" s="162"/>
      <c r="F94" s="162"/>
      <c r="G94" s="163"/>
      <c r="H94" s="150" t="s">
        <v>343</v>
      </c>
    </row>
    <row r="95" spans="1:8" s="161" customFormat="1" ht="15.75">
      <c r="A95" s="159">
        <v>3.3</v>
      </c>
      <c r="B95" s="160" t="s">
        <v>117</v>
      </c>
      <c r="C95" s="159"/>
      <c r="E95" s="162"/>
      <c r="F95" s="162"/>
      <c r="G95" s="163"/>
      <c r="H95" s="150" t="s">
        <v>343</v>
      </c>
    </row>
    <row r="96" spans="1:8" s="161" customFormat="1" ht="15.75">
      <c r="A96" s="159">
        <v>3.4</v>
      </c>
      <c r="B96" s="160" t="s">
        <v>118</v>
      </c>
      <c r="C96" s="159"/>
      <c r="E96" s="162"/>
      <c r="F96" s="162"/>
      <c r="G96" s="163"/>
      <c r="H96" s="150" t="s">
        <v>343</v>
      </c>
    </row>
    <row r="97" spans="3:8" s="81" customFormat="1" ht="12.75">
      <c r="C97" s="93"/>
      <c r="D97" s="82"/>
      <c r="E97" s="80"/>
      <c r="F97" s="80"/>
      <c r="G97" s="83"/>
      <c r="H97" s="84"/>
    </row>
    <row r="98" spans="1:8" s="34" customFormat="1" ht="18">
      <c r="A98" s="47" t="s">
        <v>65</v>
      </c>
      <c r="B98" s="47"/>
      <c r="C98" s="47"/>
      <c r="E98" s="48"/>
      <c r="F98" s="48"/>
      <c r="G98" s="123">
        <f>G99+G103</f>
        <v>127920</v>
      </c>
      <c r="H98" s="49" t="s">
        <v>353</v>
      </c>
    </row>
    <row r="99" spans="1:8" s="57" customFormat="1" ht="15.75">
      <c r="A99" s="36">
        <v>4.1</v>
      </c>
      <c r="B99" s="64" t="s">
        <v>22</v>
      </c>
      <c r="C99" s="36"/>
      <c r="E99" s="58"/>
      <c r="F99" s="69" t="s">
        <v>31</v>
      </c>
      <c r="G99" s="105">
        <f>0.8*13000</f>
        <v>10400</v>
      </c>
      <c r="H99" s="40"/>
    </row>
    <row r="100" spans="1:7" ht="12.75">
      <c r="A100" s="35" t="s">
        <v>57</v>
      </c>
      <c r="C100" s="20" t="s">
        <v>23</v>
      </c>
      <c r="E100" s="13"/>
      <c r="F100" s="12"/>
      <c r="G100" s="17"/>
    </row>
    <row r="101" spans="1:7" ht="12.75">
      <c r="A101" s="35" t="s">
        <v>58</v>
      </c>
      <c r="C101" s="20" t="s">
        <v>24</v>
      </c>
      <c r="E101" s="13"/>
      <c r="F101" s="12"/>
      <c r="G101" s="17"/>
    </row>
    <row r="102" spans="1:7" ht="12.75">
      <c r="A102" s="35" t="s">
        <v>59</v>
      </c>
      <c r="C102" s="20" t="s">
        <v>25</v>
      </c>
      <c r="E102" s="13"/>
      <c r="F102" s="12"/>
      <c r="G102" s="17"/>
    </row>
    <row r="103" spans="1:8" s="65" customFormat="1" ht="15.75">
      <c r="A103" s="36">
        <v>4.2</v>
      </c>
      <c r="B103" s="64" t="s">
        <v>169</v>
      </c>
      <c r="C103" s="36"/>
      <c r="E103" s="28"/>
      <c r="F103" s="12" t="s">
        <v>31</v>
      </c>
      <c r="G103" s="105">
        <f>0.8*146900</f>
        <v>117520</v>
      </c>
      <c r="H103" s="40"/>
    </row>
    <row r="104" spans="1:8" s="20" customFormat="1" ht="12.75">
      <c r="A104" s="35" t="s">
        <v>112</v>
      </c>
      <c r="C104" s="20" t="s">
        <v>108</v>
      </c>
      <c r="E104" s="21"/>
      <c r="F104" s="21"/>
      <c r="G104" s="18"/>
      <c r="H104" s="22"/>
    </row>
    <row r="105" spans="1:8" s="20" customFormat="1" ht="12.75">
      <c r="A105" s="35" t="s">
        <v>113</v>
      </c>
      <c r="C105" s="20" t="s">
        <v>109</v>
      </c>
      <c r="E105" s="21"/>
      <c r="F105" s="21"/>
      <c r="G105" s="18"/>
      <c r="H105" s="22"/>
    </row>
    <row r="106" spans="1:8" s="20" customFormat="1" ht="12.75">
      <c r="A106" s="35" t="s">
        <v>114</v>
      </c>
      <c r="C106" s="20" t="s">
        <v>110</v>
      </c>
      <c r="E106" s="21"/>
      <c r="F106" s="21"/>
      <c r="G106" s="18"/>
      <c r="H106" s="22"/>
    </row>
    <row r="107" spans="1:8" s="20" customFormat="1" ht="12.75">
      <c r="A107" s="35" t="s">
        <v>170</v>
      </c>
      <c r="C107" s="20" t="s">
        <v>171</v>
      </c>
      <c r="E107" s="21"/>
      <c r="F107" s="21"/>
      <c r="G107" s="18"/>
      <c r="H107" s="22"/>
    </row>
    <row r="108" spans="1:8" s="20" customFormat="1" ht="12.75">
      <c r="A108" s="35" t="s">
        <v>172</v>
      </c>
      <c r="C108" s="20" t="s">
        <v>111</v>
      </c>
      <c r="E108" s="21"/>
      <c r="F108" s="21"/>
      <c r="G108" s="18"/>
      <c r="H108" s="22"/>
    </row>
    <row r="109" spans="1:8" s="20" customFormat="1" ht="12.75">
      <c r="A109" s="35" t="s">
        <v>173</v>
      </c>
      <c r="C109" s="20" t="s">
        <v>60</v>
      </c>
      <c r="E109" s="21"/>
      <c r="F109" s="21"/>
      <c r="G109" s="18"/>
      <c r="H109" s="22"/>
    </row>
    <row r="110" spans="1:6" ht="12.75">
      <c r="A110" s="20"/>
      <c r="C110" s="20"/>
      <c r="E110" s="13"/>
      <c r="F110" s="13"/>
    </row>
    <row r="111" spans="4:6" ht="12.75">
      <c r="D111" s="3"/>
      <c r="E111" s="13"/>
      <c r="F111" s="13"/>
    </row>
    <row r="112" spans="1:8" s="34" customFormat="1" ht="18">
      <c r="A112" s="94" t="s">
        <v>174</v>
      </c>
      <c r="B112" s="95"/>
      <c r="C112" s="95"/>
      <c r="E112" s="48"/>
      <c r="F112" s="48"/>
      <c r="G112" s="123">
        <f>SUM(G113:G115)</f>
        <v>15280.8</v>
      </c>
      <c r="H112" s="49"/>
    </row>
    <row r="113" spans="1:8" s="77" customFormat="1" ht="15.75">
      <c r="A113" s="36">
        <v>5.1</v>
      </c>
      <c r="B113" s="75" t="s">
        <v>66</v>
      </c>
      <c r="C113" s="76"/>
      <c r="E113" s="78"/>
      <c r="F113" s="14" t="s">
        <v>31</v>
      </c>
      <c r="G113" s="105">
        <f>0.8*7626</f>
        <v>6100.8</v>
      </c>
      <c r="H113" s="79"/>
    </row>
    <row r="114" spans="1:8" s="77" customFormat="1" ht="15.75">
      <c r="A114" s="36">
        <v>5.2</v>
      </c>
      <c r="B114" s="75" t="s">
        <v>67</v>
      </c>
      <c r="C114" s="76"/>
      <c r="E114" s="78"/>
      <c r="F114" s="14" t="s">
        <v>31</v>
      </c>
      <c r="G114" s="105">
        <f>0.8*6870</f>
        <v>5496</v>
      </c>
      <c r="H114" s="79"/>
    </row>
    <row r="115" spans="1:8" s="77" customFormat="1" ht="15.75">
      <c r="A115" s="36">
        <v>5.3</v>
      </c>
      <c r="B115" s="90" t="s">
        <v>68</v>
      </c>
      <c r="C115" s="76"/>
      <c r="E115" s="92"/>
      <c r="F115" s="14" t="s">
        <v>31</v>
      </c>
      <c r="G115" s="105">
        <f>0.8*4605</f>
        <v>3684</v>
      </c>
      <c r="H115" s="79"/>
    </row>
    <row r="116" spans="3:8" s="72" customFormat="1" ht="12.75">
      <c r="C116" s="73"/>
      <c r="D116" s="74"/>
      <c r="E116" s="14"/>
      <c r="F116" s="14"/>
      <c r="G116" s="107"/>
      <c r="H116" s="71"/>
    </row>
    <row r="117" spans="3:8" s="72" customFormat="1" ht="12.75">
      <c r="C117" s="73"/>
      <c r="D117" s="74"/>
      <c r="E117" s="14"/>
      <c r="F117" s="14"/>
      <c r="G117" s="70"/>
      <c r="H117" s="71"/>
    </row>
    <row r="118" spans="1:8" s="103" customFormat="1" ht="18">
      <c r="A118" s="47" t="s">
        <v>175</v>
      </c>
      <c r="B118" s="47"/>
      <c r="C118" s="98"/>
      <c r="D118" s="99"/>
      <c r="E118" s="100"/>
      <c r="F118" s="100"/>
      <c r="G118" s="181">
        <f>G119+G122+G138+G143+G146+G152</f>
        <v>119901.6</v>
      </c>
      <c r="H118" s="102"/>
    </row>
    <row r="119" spans="1:8" s="77" customFormat="1" ht="15.75">
      <c r="A119" s="36">
        <v>6.1</v>
      </c>
      <c r="B119" s="75" t="s">
        <v>176</v>
      </c>
      <c r="C119" s="76"/>
      <c r="E119" s="78"/>
      <c r="F119" s="78"/>
      <c r="G119" s="105">
        <f>SUM(G120:G121)</f>
        <v>14376</v>
      </c>
      <c r="H119" s="79"/>
    </row>
    <row r="120" spans="1:8" s="81" customFormat="1" ht="12.75">
      <c r="A120" s="115" t="s">
        <v>285</v>
      </c>
      <c r="C120" s="82" t="s">
        <v>177</v>
      </c>
      <c r="E120" s="80"/>
      <c r="F120" s="14" t="s">
        <v>31</v>
      </c>
      <c r="G120" s="104">
        <f>0.8*15419</f>
        <v>12335.2</v>
      </c>
      <c r="H120" s="84"/>
    </row>
    <row r="121" spans="1:8" s="81" customFormat="1" ht="12.75">
      <c r="A121" s="115" t="s">
        <v>286</v>
      </c>
      <c r="C121" s="82" t="s">
        <v>0</v>
      </c>
      <c r="E121" s="80"/>
      <c r="F121" s="14" t="s">
        <v>31</v>
      </c>
      <c r="G121" s="104">
        <f>0.8*2551</f>
        <v>2040.8000000000002</v>
      </c>
      <c r="H121" s="84"/>
    </row>
    <row r="122" spans="1:8" s="77" customFormat="1" ht="15.75">
      <c r="A122" s="36">
        <v>6.2</v>
      </c>
      <c r="B122" s="75" t="s">
        <v>6</v>
      </c>
      <c r="C122" s="76"/>
      <c r="E122" s="78"/>
      <c r="F122" s="78"/>
      <c r="G122" s="105">
        <f>G123+G129</f>
        <v>78015.20000000001</v>
      </c>
      <c r="H122" s="79"/>
    </row>
    <row r="123" spans="1:8" s="81" customFormat="1" ht="12.75">
      <c r="A123" s="115" t="s">
        <v>178</v>
      </c>
      <c r="C123" s="82" t="s">
        <v>1</v>
      </c>
      <c r="E123" s="80"/>
      <c r="F123" s="80"/>
      <c r="G123" s="19">
        <f>SUM(G124:G128)</f>
        <v>49310.40000000001</v>
      </c>
      <c r="H123" s="84"/>
    </row>
    <row r="124" spans="1:8" s="86" customFormat="1" ht="12.75">
      <c r="A124" s="85"/>
      <c r="B124" s="113" t="s">
        <v>179</v>
      </c>
      <c r="C124" s="74"/>
      <c r="D124" s="86" t="s">
        <v>69</v>
      </c>
      <c r="E124" s="14"/>
      <c r="F124" s="14" t="s">
        <v>31</v>
      </c>
      <c r="G124" s="87">
        <f>0.8*51507</f>
        <v>41205.600000000006</v>
      </c>
      <c r="H124" s="88"/>
    </row>
    <row r="125" spans="2:8" s="86" customFormat="1" ht="12.75">
      <c r="B125" s="113" t="s">
        <v>180</v>
      </c>
      <c r="C125" s="74"/>
      <c r="D125" s="86" t="s">
        <v>70</v>
      </c>
      <c r="E125" s="14"/>
      <c r="F125" s="14" t="s">
        <v>31</v>
      </c>
      <c r="G125" s="87">
        <f>0.8*3607</f>
        <v>2885.6000000000004</v>
      </c>
      <c r="H125" s="88"/>
    </row>
    <row r="126" spans="2:8" s="164" customFormat="1" ht="12.75">
      <c r="B126" s="136" t="s">
        <v>181</v>
      </c>
      <c r="C126" s="165"/>
      <c r="D126" s="164" t="s">
        <v>71</v>
      </c>
      <c r="E126" s="166"/>
      <c r="F126" s="166" t="s">
        <v>31</v>
      </c>
      <c r="G126" s="167">
        <v>0</v>
      </c>
      <c r="H126" s="164" t="s">
        <v>300</v>
      </c>
    </row>
    <row r="127" spans="2:8" s="86" customFormat="1" ht="12.75">
      <c r="B127" s="113" t="s">
        <v>182</v>
      </c>
      <c r="C127" s="74"/>
      <c r="D127" s="86" t="s">
        <v>72</v>
      </c>
      <c r="E127" s="14"/>
      <c r="F127" s="14" t="s">
        <v>31</v>
      </c>
      <c r="G127" s="87">
        <f>0.8*4518</f>
        <v>3614.4</v>
      </c>
      <c r="H127" s="88"/>
    </row>
    <row r="128" spans="2:8" s="86" customFormat="1" ht="12.75">
      <c r="B128" s="113" t="s">
        <v>183</v>
      </c>
      <c r="C128" s="74"/>
      <c r="D128" s="86" t="s">
        <v>73</v>
      </c>
      <c r="E128" s="14"/>
      <c r="F128" s="14" t="s">
        <v>31</v>
      </c>
      <c r="G128" s="87">
        <f>0.8*2006</f>
        <v>1604.8000000000002</v>
      </c>
      <c r="H128" s="88"/>
    </row>
    <row r="129" spans="1:8" s="81" customFormat="1" ht="12.75">
      <c r="A129" s="115" t="s">
        <v>184</v>
      </c>
      <c r="C129" s="82" t="s">
        <v>2</v>
      </c>
      <c r="E129" s="80"/>
      <c r="F129" s="80"/>
      <c r="G129" s="104">
        <f>SUM(G130:G137)</f>
        <v>28704.8</v>
      </c>
      <c r="H129" s="84"/>
    </row>
    <row r="130" spans="1:8" s="86" customFormat="1" ht="12.75">
      <c r="A130" s="85"/>
      <c r="B130" s="137" t="s">
        <v>185</v>
      </c>
      <c r="C130" s="74"/>
      <c r="D130" s="86" t="s">
        <v>74</v>
      </c>
      <c r="E130" s="14"/>
      <c r="F130" s="14" t="s">
        <v>31</v>
      </c>
      <c r="G130" s="106">
        <f>0.8*11143</f>
        <v>8914.4</v>
      </c>
      <c r="H130" s="88"/>
    </row>
    <row r="131" spans="2:8" s="86" customFormat="1" ht="12.75">
      <c r="B131" s="137" t="s">
        <v>186</v>
      </c>
      <c r="C131" s="74"/>
      <c r="D131" s="86" t="s">
        <v>75</v>
      </c>
      <c r="E131" s="14"/>
      <c r="F131" s="14" t="s">
        <v>31</v>
      </c>
      <c r="G131" s="106">
        <f>0.8*4692</f>
        <v>3753.6000000000004</v>
      </c>
      <c r="H131" s="88"/>
    </row>
    <row r="132" spans="2:8" s="86" customFormat="1" ht="12.75">
      <c r="B132" s="137" t="s">
        <v>187</v>
      </c>
      <c r="C132" s="74"/>
      <c r="D132" s="86" t="s">
        <v>76</v>
      </c>
      <c r="E132" s="14"/>
      <c r="F132" s="14" t="s">
        <v>31</v>
      </c>
      <c r="G132" s="106">
        <f>0.8*501</f>
        <v>400.8</v>
      </c>
      <c r="H132" s="88"/>
    </row>
    <row r="133" spans="2:8" s="86" customFormat="1" ht="12.75">
      <c r="B133" s="137" t="s">
        <v>188</v>
      </c>
      <c r="C133" s="74"/>
      <c r="D133" s="86" t="s">
        <v>77</v>
      </c>
      <c r="E133" s="14"/>
      <c r="F133" s="14" t="s">
        <v>31</v>
      </c>
      <c r="G133" s="106">
        <f>0.8*474</f>
        <v>379.20000000000005</v>
      </c>
      <c r="H133" s="88"/>
    </row>
    <row r="134" spans="2:8" s="86" customFormat="1" ht="12.75">
      <c r="B134" s="137" t="s">
        <v>189</v>
      </c>
      <c r="C134" s="74"/>
      <c r="D134" s="86" t="s">
        <v>78</v>
      </c>
      <c r="E134" s="14"/>
      <c r="F134" s="14" t="s">
        <v>31</v>
      </c>
      <c r="G134" s="106">
        <f>0.8*6188</f>
        <v>4950.400000000001</v>
      </c>
      <c r="H134" s="88"/>
    </row>
    <row r="135" spans="2:8" s="86" customFormat="1" ht="12.75">
      <c r="B135" s="137" t="s">
        <v>190</v>
      </c>
      <c r="C135" s="74"/>
      <c r="D135" s="86" t="s">
        <v>79</v>
      </c>
      <c r="E135" s="14"/>
      <c r="F135" s="14" t="s">
        <v>31</v>
      </c>
      <c r="G135" s="106">
        <f>0.8*11000</f>
        <v>8800</v>
      </c>
      <c r="H135" s="88"/>
    </row>
    <row r="136" spans="2:8" s="86" customFormat="1" ht="12.75">
      <c r="B136" s="137" t="s">
        <v>191</v>
      </c>
      <c r="C136" s="74"/>
      <c r="D136" s="86" t="s">
        <v>80</v>
      </c>
      <c r="E136" s="14"/>
      <c r="F136" s="14" t="s">
        <v>31</v>
      </c>
      <c r="G136" s="106">
        <f>0.8*1177</f>
        <v>941.6</v>
      </c>
      <c r="H136" s="88"/>
    </row>
    <row r="137" spans="2:8" s="86" customFormat="1" ht="12.75">
      <c r="B137" s="137" t="s">
        <v>192</v>
      </c>
      <c r="C137" s="74"/>
      <c r="D137" s="86" t="s">
        <v>81</v>
      </c>
      <c r="E137" s="14"/>
      <c r="F137" s="14" t="s">
        <v>31</v>
      </c>
      <c r="G137" s="106">
        <f>0.8*706</f>
        <v>564.8000000000001</v>
      </c>
      <c r="H137" s="88"/>
    </row>
    <row r="138" spans="1:8" s="77" customFormat="1" ht="15.75">
      <c r="A138" s="36">
        <v>6.3</v>
      </c>
      <c r="B138" s="75" t="s">
        <v>200</v>
      </c>
      <c r="C138" s="76"/>
      <c r="E138" s="78"/>
      <c r="F138" s="78"/>
      <c r="G138" s="105">
        <f>SUM(G139:G142)</f>
        <v>5542.4</v>
      </c>
      <c r="H138" s="79"/>
    </row>
    <row r="139" spans="1:8" s="115" customFormat="1" ht="12.75" customHeight="1">
      <c r="A139" s="35" t="s">
        <v>193</v>
      </c>
      <c r="B139" s="82"/>
      <c r="C139" s="138" t="s">
        <v>194</v>
      </c>
      <c r="E139" s="124"/>
      <c r="F139" s="139"/>
      <c r="G139" s="19">
        <f>0.8*1232</f>
        <v>985.6</v>
      </c>
      <c r="H139" s="79"/>
    </row>
    <row r="140" spans="1:8" s="115" customFormat="1" ht="12.75" customHeight="1">
      <c r="A140" s="35" t="s">
        <v>195</v>
      </c>
      <c r="B140" s="82"/>
      <c r="C140" s="138" t="s">
        <v>198</v>
      </c>
      <c r="E140" s="124"/>
      <c r="F140" s="139"/>
      <c r="G140" s="19">
        <f>0.8*390</f>
        <v>312</v>
      </c>
      <c r="H140" s="79"/>
    </row>
    <row r="141" spans="1:8" s="115" customFormat="1" ht="12.75" customHeight="1">
      <c r="A141" s="35" t="s">
        <v>196</v>
      </c>
      <c r="B141" s="82"/>
      <c r="C141" s="55" t="s">
        <v>199</v>
      </c>
      <c r="E141" s="139"/>
      <c r="F141" s="139"/>
      <c r="G141" s="19">
        <f>0.8*3691</f>
        <v>2952.8</v>
      </c>
      <c r="H141" s="141"/>
    </row>
    <row r="142" spans="1:8" s="115" customFormat="1" ht="12.75" customHeight="1">
      <c r="A142" s="35" t="s">
        <v>197</v>
      </c>
      <c r="B142" s="82"/>
      <c r="C142" s="55" t="s">
        <v>82</v>
      </c>
      <c r="E142" s="139"/>
      <c r="F142" s="139"/>
      <c r="G142" s="19">
        <f>0.8*1615</f>
        <v>1292</v>
      </c>
      <c r="H142" s="141"/>
    </row>
    <row r="143" spans="1:8" s="77" customFormat="1" ht="15.75">
      <c r="A143" s="36">
        <v>6.4</v>
      </c>
      <c r="B143" s="75" t="s">
        <v>201</v>
      </c>
      <c r="C143" s="76"/>
      <c r="E143" s="78"/>
      <c r="F143" s="78"/>
      <c r="G143" s="105">
        <f>G144+G145</f>
        <v>1203.2</v>
      </c>
      <c r="H143" s="79"/>
    </row>
    <row r="144" spans="1:8" s="115" customFormat="1" ht="12.75" customHeight="1">
      <c r="A144" s="35" t="s">
        <v>202</v>
      </c>
      <c r="B144" s="82"/>
      <c r="C144" s="138" t="s">
        <v>204</v>
      </c>
      <c r="E144" s="124"/>
      <c r="F144" s="80" t="s">
        <v>31</v>
      </c>
      <c r="G144" s="19">
        <f>0.8*881</f>
        <v>704.8000000000001</v>
      </c>
      <c r="H144" s="142"/>
    </row>
    <row r="145" spans="1:8" s="115" customFormat="1" ht="12.75" customHeight="1">
      <c r="A145" s="35" t="s">
        <v>203</v>
      </c>
      <c r="B145" s="82"/>
      <c r="C145" s="138" t="s">
        <v>205</v>
      </c>
      <c r="E145" s="124"/>
      <c r="F145" s="80" t="s">
        <v>31</v>
      </c>
      <c r="G145" s="19">
        <f>0.8*623</f>
        <v>498.40000000000003</v>
      </c>
      <c r="H145" s="142"/>
    </row>
    <row r="146" spans="1:8" s="77" customFormat="1" ht="15.75">
      <c r="A146" s="36">
        <v>6.5</v>
      </c>
      <c r="B146" s="75" t="s">
        <v>206</v>
      </c>
      <c r="C146" s="76"/>
      <c r="E146" s="78"/>
      <c r="F146" s="78"/>
      <c r="G146" s="105">
        <f>SUM(G147:G151)</f>
        <v>7469.600000000001</v>
      </c>
      <c r="H146" s="79"/>
    </row>
    <row r="147" spans="1:8" s="115" customFormat="1" ht="12.75" customHeight="1">
      <c r="A147" s="35" t="s">
        <v>208</v>
      </c>
      <c r="B147" s="82"/>
      <c r="C147" s="55" t="s">
        <v>207</v>
      </c>
      <c r="E147" s="143"/>
      <c r="F147" s="97" t="s">
        <v>31</v>
      </c>
      <c r="G147" s="104">
        <f>0.8*1741</f>
        <v>1392.8000000000002</v>
      </c>
      <c r="H147" s="144"/>
    </row>
    <row r="148" spans="1:8" s="115" customFormat="1" ht="12.75" customHeight="1">
      <c r="A148" s="35" t="s">
        <v>209</v>
      </c>
      <c r="B148" s="82"/>
      <c r="C148" s="55" t="s">
        <v>83</v>
      </c>
      <c r="D148" s="81"/>
      <c r="E148" s="143"/>
      <c r="F148" s="97" t="s">
        <v>31</v>
      </c>
      <c r="G148" s="104">
        <f>0.8*6062</f>
        <v>4849.6</v>
      </c>
      <c r="H148" s="144"/>
    </row>
    <row r="149" spans="1:8" s="115" customFormat="1" ht="12.75" customHeight="1">
      <c r="A149" s="35" t="s">
        <v>210</v>
      </c>
      <c r="B149" s="82"/>
      <c r="C149" s="55" t="s">
        <v>214</v>
      </c>
      <c r="D149" s="81"/>
      <c r="E149" s="143"/>
      <c r="F149" s="97" t="s">
        <v>31</v>
      </c>
      <c r="G149" s="104">
        <f>0.8*798</f>
        <v>638.4000000000001</v>
      </c>
      <c r="H149" s="144"/>
    </row>
    <row r="150" spans="1:8" s="115" customFormat="1" ht="12.75" customHeight="1">
      <c r="A150" s="35" t="s">
        <v>211</v>
      </c>
      <c r="B150" s="82"/>
      <c r="C150" s="55" t="s">
        <v>213</v>
      </c>
      <c r="D150" s="81"/>
      <c r="E150" s="143"/>
      <c r="F150" s="97" t="s">
        <v>31</v>
      </c>
      <c r="G150" s="104">
        <f>0.8*127</f>
        <v>101.60000000000001</v>
      </c>
      <c r="H150" s="144"/>
    </row>
    <row r="151" spans="1:8" s="115" customFormat="1" ht="12.75" customHeight="1">
      <c r="A151" s="35" t="s">
        <v>212</v>
      </c>
      <c r="B151" s="82"/>
      <c r="C151" s="55" t="s">
        <v>84</v>
      </c>
      <c r="D151" s="81"/>
      <c r="E151" s="143"/>
      <c r="F151" s="97" t="s">
        <v>31</v>
      </c>
      <c r="G151" s="104">
        <f>0.8*609</f>
        <v>487.20000000000005</v>
      </c>
      <c r="H151" s="144"/>
    </row>
    <row r="152" spans="1:8" s="77" customFormat="1" ht="15.75">
      <c r="A152" s="36">
        <v>6.6</v>
      </c>
      <c r="B152" s="75" t="s">
        <v>3</v>
      </c>
      <c r="C152" s="76"/>
      <c r="E152" s="78"/>
      <c r="F152" s="78"/>
      <c r="G152" s="105">
        <f>SUM(G153:G160)</f>
        <v>13295.2</v>
      </c>
      <c r="H152" s="79"/>
    </row>
    <row r="153" spans="1:8" s="115" customFormat="1" ht="12.75" customHeight="1">
      <c r="A153" s="35" t="s">
        <v>215</v>
      </c>
      <c r="B153" s="82"/>
      <c r="C153" s="55" t="s">
        <v>85</v>
      </c>
      <c r="E153" s="143"/>
      <c r="F153" s="97" t="s">
        <v>31</v>
      </c>
      <c r="G153" s="104">
        <f>0.8*749</f>
        <v>599.2</v>
      </c>
      <c r="H153" s="144"/>
    </row>
    <row r="154" spans="1:8" s="115" customFormat="1" ht="12.75" customHeight="1">
      <c r="A154" s="35" t="s">
        <v>216</v>
      </c>
      <c r="B154" s="82"/>
      <c r="C154" s="55" t="s">
        <v>86</v>
      </c>
      <c r="D154" s="81"/>
      <c r="E154" s="143"/>
      <c r="F154" s="97" t="s">
        <v>31</v>
      </c>
      <c r="G154" s="104">
        <f>0.8*842</f>
        <v>673.6</v>
      </c>
      <c r="H154" s="144"/>
    </row>
    <row r="155" spans="1:8" s="115" customFormat="1" ht="12.75" customHeight="1">
      <c r="A155" s="35" t="s">
        <v>217</v>
      </c>
      <c r="B155" s="82"/>
      <c r="C155" s="55" t="s">
        <v>87</v>
      </c>
      <c r="D155" s="81"/>
      <c r="E155" s="143"/>
      <c r="F155" s="97" t="s">
        <v>31</v>
      </c>
      <c r="G155" s="104">
        <f>0.8*4207</f>
        <v>3365.6000000000004</v>
      </c>
      <c r="H155" s="144"/>
    </row>
    <row r="156" spans="1:8" s="115" customFormat="1" ht="12.75" customHeight="1">
      <c r="A156" s="35" t="s">
        <v>218</v>
      </c>
      <c r="B156" s="82"/>
      <c r="C156" s="55" t="s">
        <v>88</v>
      </c>
      <c r="D156" s="81"/>
      <c r="E156" s="143"/>
      <c r="F156" s="97" t="s">
        <v>31</v>
      </c>
      <c r="G156" s="104">
        <f>0.8*3255</f>
        <v>2604</v>
      </c>
      <c r="H156" s="144"/>
    </row>
    <row r="157" spans="1:8" s="115" customFormat="1" ht="12.75" customHeight="1">
      <c r="A157" s="35" t="s">
        <v>219</v>
      </c>
      <c r="B157" s="82"/>
      <c r="C157" s="55" t="s">
        <v>89</v>
      </c>
      <c r="D157" s="81"/>
      <c r="E157" s="143"/>
      <c r="F157" s="97" t="s">
        <v>31</v>
      </c>
      <c r="G157" s="104">
        <f>0.8*885</f>
        <v>708</v>
      </c>
      <c r="H157" s="144"/>
    </row>
    <row r="158" spans="1:8" s="115" customFormat="1" ht="12.75" customHeight="1">
      <c r="A158" s="35" t="s">
        <v>220</v>
      </c>
      <c r="B158" s="82"/>
      <c r="C158" s="55" t="s">
        <v>90</v>
      </c>
      <c r="E158" s="143"/>
      <c r="F158" s="97" t="s">
        <v>31</v>
      </c>
      <c r="G158" s="104">
        <f>0.8*1728</f>
        <v>1382.4</v>
      </c>
      <c r="H158" s="144"/>
    </row>
    <row r="159" spans="1:8" s="115" customFormat="1" ht="12.75" customHeight="1">
      <c r="A159" s="35" t="s">
        <v>221</v>
      </c>
      <c r="B159" s="82"/>
      <c r="C159" s="55" t="s">
        <v>91</v>
      </c>
      <c r="E159" s="143"/>
      <c r="F159" s="97" t="s">
        <v>31</v>
      </c>
      <c r="G159" s="104">
        <f>0.8*1728</f>
        <v>1382.4</v>
      </c>
      <c r="H159" s="144"/>
    </row>
    <row r="160" spans="1:8" s="115" customFormat="1" ht="12.75" customHeight="1">
      <c r="A160" s="35" t="s">
        <v>222</v>
      </c>
      <c r="B160" s="82"/>
      <c r="C160" s="55" t="s">
        <v>92</v>
      </c>
      <c r="E160" s="143"/>
      <c r="F160" s="97" t="s">
        <v>31</v>
      </c>
      <c r="G160" s="104">
        <f>0.8*3225</f>
        <v>2580</v>
      </c>
      <c r="H160" s="144"/>
    </row>
    <row r="161" spans="1:8" s="115" customFormat="1" ht="12.75" customHeight="1">
      <c r="A161" s="35"/>
      <c r="B161" s="82"/>
      <c r="C161" s="55"/>
      <c r="E161" s="78"/>
      <c r="F161" s="139"/>
      <c r="G161" s="140"/>
      <c r="H161" s="79"/>
    </row>
    <row r="162" spans="1:8" s="115" customFormat="1" ht="12.75" customHeight="1">
      <c r="A162" s="35"/>
      <c r="B162" s="82"/>
      <c r="C162" s="55"/>
      <c r="E162" s="78"/>
      <c r="F162" s="139"/>
      <c r="G162" s="140"/>
      <c r="H162" s="79"/>
    </row>
    <row r="163" spans="1:8" s="103" customFormat="1" ht="18">
      <c r="A163" s="47" t="s">
        <v>223</v>
      </c>
      <c r="B163" s="47"/>
      <c r="C163" s="98"/>
      <c r="D163" s="108"/>
      <c r="E163" s="109"/>
      <c r="F163" s="109"/>
      <c r="G163" s="101">
        <f>G164+G165+G166+G167+G171+G194</f>
        <v>66979.20000000001</v>
      </c>
      <c r="H163" s="102"/>
    </row>
    <row r="164" spans="1:8" s="77" customFormat="1" ht="18">
      <c r="A164" s="36">
        <v>7.1</v>
      </c>
      <c r="B164" s="90" t="s">
        <v>224</v>
      </c>
      <c r="C164" s="76"/>
      <c r="E164" s="92"/>
      <c r="F164" s="128" t="s">
        <v>31</v>
      </c>
      <c r="G164" s="105">
        <f>0.8*6183</f>
        <v>4946.400000000001</v>
      </c>
      <c r="H164" s="102"/>
    </row>
    <row r="165" spans="1:8" s="77" customFormat="1" ht="18">
      <c r="A165" s="36">
        <v>7.2</v>
      </c>
      <c r="B165" s="90" t="s">
        <v>225</v>
      </c>
      <c r="C165" s="76"/>
      <c r="E165" s="92"/>
      <c r="F165" s="128" t="s">
        <v>31</v>
      </c>
      <c r="G165" s="105">
        <f>0.8*1802</f>
        <v>1441.6000000000001</v>
      </c>
      <c r="H165" s="102"/>
    </row>
    <row r="166" spans="1:8" s="77" customFormat="1" ht="18">
      <c r="A166" s="36">
        <v>7.3</v>
      </c>
      <c r="B166" s="90" t="s">
        <v>226</v>
      </c>
      <c r="C166" s="76"/>
      <c r="E166" s="92"/>
      <c r="F166" s="128" t="s">
        <v>31</v>
      </c>
      <c r="G166" s="105">
        <f>0.8*2212</f>
        <v>1769.6000000000001</v>
      </c>
      <c r="H166" s="102"/>
    </row>
    <row r="167" spans="1:8" s="29" customFormat="1" ht="15.75">
      <c r="A167" s="36">
        <v>7.4</v>
      </c>
      <c r="B167" s="27" t="s">
        <v>26</v>
      </c>
      <c r="C167" s="36"/>
      <c r="E167" s="38"/>
      <c r="F167" s="46"/>
      <c r="G167" s="67">
        <f>SUM(G168:G170)</f>
        <v>551.2</v>
      </c>
      <c r="H167" s="40"/>
    </row>
    <row r="168" spans="1:8" s="20" customFormat="1" ht="12.75">
      <c r="A168" s="35" t="s">
        <v>227</v>
      </c>
      <c r="C168" s="55" t="s">
        <v>20</v>
      </c>
      <c r="E168" s="69" t="s">
        <v>31</v>
      </c>
      <c r="F168" s="52"/>
      <c r="G168" s="56">
        <f>0.8*174</f>
        <v>139.20000000000002</v>
      </c>
      <c r="H168" s="51"/>
    </row>
    <row r="169" spans="1:8" s="20" customFormat="1" ht="12.75">
      <c r="A169" s="35" t="s">
        <v>228</v>
      </c>
      <c r="C169" s="55" t="s">
        <v>229</v>
      </c>
      <c r="E169" s="69" t="s">
        <v>31</v>
      </c>
      <c r="F169" s="52"/>
      <c r="G169" s="56">
        <f>0.8*515</f>
        <v>412</v>
      </c>
      <c r="H169" s="51" t="s">
        <v>27</v>
      </c>
    </row>
    <row r="170" spans="1:8" s="20" customFormat="1" ht="12.75">
      <c r="A170" s="35" t="s">
        <v>230</v>
      </c>
      <c r="C170" s="55" t="s">
        <v>21</v>
      </c>
      <c r="E170" s="69" t="s">
        <v>31</v>
      </c>
      <c r="F170" s="50"/>
      <c r="G170" s="56">
        <v>0</v>
      </c>
      <c r="H170" s="51" t="s">
        <v>287</v>
      </c>
    </row>
    <row r="171" spans="1:8" s="29" customFormat="1" ht="15.75">
      <c r="A171" s="36">
        <v>7.5</v>
      </c>
      <c r="B171" s="27" t="s">
        <v>272</v>
      </c>
      <c r="C171" s="36"/>
      <c r="D171" s="27"/>
      <c r="E171" s="28"/>
      <c r="F171" s="39"/>
      <c r="G171" s="67">
        <f>G172+G175+G178+G182+G186+G191</f>
        <v>43060.00000000001</v>
      </c>
      <c r="H171" s="40"/>
    </row>
    <row r="172" spans="1:8" s="20" customFormat="1" ht="15.75">
      <c r="A172" s="35" t="s">
        <v>231</v>
      </c>
      <c r="C172" s="20" t="s">
        <v>339</v>
      </c>
      <c r="E172" s="12"/>
      <c r="F172" s="50" t="s">
        <v>31</v>
      </c>
      <c r="G172" s="56">
        <f>SUM(G173:G174)</f>
        <v>10855.2</v>
      </c>
      <c r="H172" s="40"/>
    </row>
    <row r="173" spans="1:8" s="2" customFormat="1" ht="15.75">
      <c r="A173" s="113"/>
      <c r="B173" s="113" t="s">
        <v>232</v>
      </c>
      <c r="D173" s="2" t="s">
        <v>340</v>
      </c>
      <c r="E173" s="12"/>
      <c r="F173" s="41"/>
      <c r="G173" s="66">
        <f>0.8*5137</f>
        <v>4109.6</v>
      </c>
      <c r="H173" s="40"/>
    </row>
    <row r="174" spans="1:8" s="2" customFormat="1" ht="15.75">
      <c r="A174" s="113"/>
      <c r="B174" s="113" t="s">
        <v>233</v>
      </c>
      <c r="D174" s="2" t="s">
        <v>338</v>
      </c>
      <c r="E174" s="12"/>
      <c r="F174" s="41"/>
      <c r="G174" s="66">
        <f>0.8*8432</f>
        <v>6745.6</v>
      </c>
      <c r="H174" s="40"/>
    </row>
    <row r="175" spans="1:8" s="20" customFormat="1" ht="15.75">
      <c r="A175" s="35" t="s">
        <v>234</v>
      </c>
      <c r="C175" s="20" t="s">
        <v>235</v>
      </c>
      <c r="E175" s="12"/>
      <c r="F175" s="50" t="s">
        <v>31</v>
      </c>
      <c r="G175" s="56">
        <f>SUM(G176:G177)</f>
        <v>2202.4</v>
      </c>
      <c r="H175" s="40"/>
    </row>
    <row r="176" spans="1:8" s="2" customFormat="1" ht="15.75">
      <c r="A176" s="113"/>
      <c r="B176" s="113" t="s">
        <v>236</v>
      </c>
      <c r="D176" s="2" t="s">
        <v>237</v>
      </c>
      <c r="E176" s="12"/>
      <c r="F176" s="41" t="s">
        <v>31</v>
      </c>
      <c r="G176" s="66">
        <f>0.8*2234</f>
        <v>1787.2</v>
      </c>
      <c r="H176" s="40"/>
    </row>
    <row r="177" spans="1:8" s="2" customFormat="1" ht="15.75">
      <c r="A177" s="113"/>
      <c r="B177" s="113" t="s">
        <v>238</v>
      </c>
      <c r="D177" s="2" t="s">
        <v>239</v>
      </c>
      <c r="E177" s="12"/>
      <c r="F177" s="41" t="s">
        <v>31</v>
      </c>
      <c r="G177" s="66">
        <f>0.8*519</f>
        <v>415.20000000000005</v>
      </c>
      <c r="H177" s="40"/>
    </row>
    <row r="178" spans="1:8" s="20" customFormat="1" ht="15.75">
      <c r="A178" s="35" t="s">
        <v>240</v>
      </c>
      <c r="C178" s="20" t="s">
        <v>241</v>
      </c>
      <c r="E178" s="12" t="s">
        <v>31</v>
      </c>
      <c r="F178" s="50"/>
      <c r="G178" s="56">
        <f>SUM(G179:G181)</f>
        <v>13470.400000000001</v>
      </c>
      <c r="H178" s="40"/>
    </row>
    <row r="179" spans="1:8" s="2" customFormat="1" ht="15.75">
      <c r="A179" s="113"/>
      <c r="B179" s="113" t="s">
        <v>242</v>
      </c>
      <c r="D179" s="2" t="s">
        <v>245</v>
      </c>
      <c r="E179" s="12"/>
      <c r="F179" s="41"/>
      <c r="G179" s="66">
        <f>0.8*8128</f>
        <v>6502.400000000001</v>
      </c>
      <c r="H179" s="40"/>
    </row>
    <row r="180" spans="1:8" s="2" customFormat="1" ht="15.75">
      <c r="A180" s="113"/>
      <c r="B180" s="113" t="s">
        <v>243</v>
      </c>
      <c r="D180" s="2" t="s">
        <v>246</v>
      </c>
      <c r="E180" s="12"/>
      <c r="F180" s="41"/>
      <c r="G180" s="66">
        <f>0.8*7105</f>
        <v>5684</v>
      </c>
      <c r="H180" s="40"/>
    </row>
    <row r="181" spans="1:8" s="2" customFormat="1" ht="15.75">
      <c r="A181" s="113"/>
      <c r="B181" s="113" t="s">
        <v>244</v>
      </c>
      <c r="D181" s="2" t="s">
        <v>247</v>
      </c>
      <c r="E181" s="12"/>
      <c r="F181" s="41"/>
      <c r="G181" s="66">
        <f>0.8*1605</f>
        <v>1284</v>
      </c>
      <c r="H181" s="40"/>
    </row>
    <row r="182" spans="1:8" s="20" customFormat="1" ht="15.75">
      <c r="A182" s="35" t="s">
        <v>248</v>
      </c>
      <c r="C182" s="20" t="s">
        <v>249</v>
      </c>
      <c r="E182" s="12" t="s">
        <v>31</v>
      </c>
      <c r="F182" s="50"/>
      <c r="G182" s="56">
        <f>SUM(G183:G185)</f>
        <v>5176.800000000001</v>
      </c>
      <c r="H182" s="40"/>
    </row>
    <row r="183" spans="1:8" s="2" customFormat="1" ht="15.75">
      <c r="A183" s="113"/>
      <c r="B183" s="113" t="s">
        <v>250</v>
      </c>
      <c r="D183" s="2" t="s">
        <v>253</v>
      </c>
      <c r="E183" s="12"/>
      <c r="F183" s="41"/>
      <c r="G183" s="66">
        <f>0.8*6319</f>
        <v>5055.200000000001</v>
      </c>
      <c r="H183" s="40"/>
    </row>
    <row r="184" spans="1:8" s="2" customFormat="1" ht="12.75">
      <c r="A184" s="113"/>
      <c r="B184" s="113" t="s">
        <v>251</v>
      </c>
      <c r="D184" s="2" t="s">
        <v>254</v>
      </c>
      <c r="E184" s="12"/>
      <c r="F184" s="41"/>
      <c r="G184" s="66">
        <v>0</v>
      </c>
      <c r="H184" s="43" t="s">
        <v>288</v>
      </c>
    </row>
    <row r="185" spans="1:8" s="2" customFormat="1" ht="15.75">
      <c r="A185" s="113"/>
      <c r="B185" s="113" t="s">
        <v>252</v>
      </c>
      <c r="D185" s="2" t="s">
        <v>255</v>
      </c>
      <c r="E185" s="12"/>
      <c r="F185" s="41"/>
      <c r="G185" s="66">
        <f>0.8*152</f>
        <v>121.60000000000001</v>
      </c>
      <c r="H185" s="40"/>
    </row>
    <row r="186" spans="1:8" s="20" customFormat="1" ht="15.75">
      <c r="A186" s="35" t="s">
        <v>256</v>
      </c>
      <c r="C186" s="20" t="s">
        <v>260</v>
      </c>
      <c r="E186" s="12" t="s">
        <v>31</v>
      </c>
      <c r="F186" s="50"/>
      <c r="G186" s="56">
        <f>SUM(G187:G190)</f>
        <v>7810.400000000001</v>
      </c>
      <c r="H186" s="40"/>
    </row>
    <row r="187" spans="1:8" s="2" customFormat="1" ht="15.75">
      <c r="A187" s="113"/>
      <c r="B187" s="113" t="s">
        <v>257</v>
      </c>
      <c r="D187" s="2" t="s">
        <v>261</v>
      </c>
      <c r="E187" s="12"/>
      <c r="F187" s="41"/>
      <c r="G187" s="66">
        <f>0.8*5693</f>
        <v>4554.400000000001</v>
      </c>
      <c r="H187" s="40"/>
    </row>
    <row r="188" spans="1:8" s="2" customFormat="1" ht="15.75">
      <c r="A188" s="113"/>
      <c r="B188" s="113" t="s">
        <v>258</v>
      </c>
      <c r="D188" s="2" t="s">
        <v>262</v>
      </c>
      <c r="E188" s="12"/>
      <c r="F188" s="41"/>
      <c r="G188" s="66">
        <f>0.8*339</f>
        <v>271.2</v>
      </c>
      <c r="H188" s="40"/>
    </row>
    <row r="189" spans="1:8" s="2" customFormat="1" ht="12.75">
      <c r="A189" s="113"/>
      <c r="B189" s="113" t="s">
        <v>259</v>
      </c>
      <c r="D189" s="2" t="s">
        <v>263</v>
      </c>
      <c r="E189" s="12"/>
      <c r="F189" s="41"/>
      <c r="G189" s="66">
        <f>0.8*3035</f>
        <v>2428</v>
      </c>
      <c r="H189" s="43"/>
    </row>
    <row r="190" spans="1:8" s="2" customFormat="1" ht="15.75">
      <c r="A190" s="113"/>
      <c r="B190" s="113" t="s">
        <v>264</v>
      </c>
      <c r="D190" s="2" t="s">
        <v>265</v>
      </c>
      <c r="E190" s="12"/>
      <c r="F190" s="41"/>
      <c r="G190" s="66">
        <f>0.8*696</f>
        <v>556.8000000000001</v>
      </c>
      <c r="H190" s="40"/>
    </row>
    <row r="191" spans="1:8" s="20" customFormat="1" ht="15.75">
      <c r="A191" s="35" t="s">
        <v>266</v>
      </c>
      <c r="C191" s="20" t="s">
        <v>267</v>
      </c>
      <c r="E191" s="12" t="s">
        <v>31</v>
      </c>
      <c r="F191" s="50"/>
      <c r="G191" s="56">
        <f>SUM(G192:G193)</f>
        <v>3544.8</v>
      </c>
      <c r="H191" s="40"/>
    </row>
    <row r="192" spans="1:8" s="2" customFormat="1" ht="15.75">
      <c r="A192" s="113"/>
      <c r="B192" s="113" t="s">
        <v>268</v>
      </c>
      <c r="D192" s="2" t="s">
        <v>270</v>
      </c>
      <c r="E192" s="12"/>
      <c r="F192" s="41"/>
      <c r="G192" s="66">
        <f>0.8*770</f>
        <v>616</v>
      </c>
      <c r="H192" s="40"/>
    </row>
    <row r="193" spans="1:8" s="2" customFormat="1" ht="15.75">
      <c r="A193" s="113"/>
      <c r="B193" s="113" t="s">
        <v>269</v>
      </c>
      <c r="D193" s="2" t="s">
        <v>271</v>
      </c>
      <c r="E193" s="12"/>
      <c r="F193" s="41"/>
      <c r="G193" s="66">
        <f>0.8*3661</f>
        <v>2928.8</v>
      </c>
      <c r="H193" s="40"/>
    </row>
    <row r="194" spans="1:8" s="29" customFormat="1" ht="15.75">
      <c r="A194" s="36">
        <v>7.6</v>
      </c>
      <c r="B194" s="27" t="s">
        <v>273</v>
      </c>
      <c r="C194" s="36"/>
      <c r="D194" s="27"/>
      <c r="E194" s="28"/>
      <c r="F194" s="39"/>
      <c r="G194" s="67">
        <f>SUM(G195:G199)+G203</f>
        <v>15210.400000000001</v>
      </c>
      <c r="H194" s="40"/>
    </row>
    <row r="195" spans="1:8" s="20" customFormat="1" ht="12.75" customHeight="1">
      <c r="A195" s="35" t="s">
        <v>274</v>
      </c>
      <c r="C195" s="20" t="s">
        <v>301</v>
      </c>
      <c r="E195" s="12"/>
      <c r="F195" s="21" t="s">
        <v>31</v>
      </c>
      <c r="G195" s="56">
        <f>0.8*1832</f>
        <v>1465.6000000000001</v>
      </c>
      <c r="H195" s="40"/>
    </row>
    <row r="196" spans="1:8" s="20" customFormat="1" ht="15.75">
      <c r="A196" s="35" t="s">
        <v>275</v>
      </c>
      <c r="C196" s="20" t="s">
        <v>302</v>
      </c>
      <c r="E196" s="12"/>
      <c r="F196" s="21" t="s">
        <v>31</v>
      </c>
      <c r="G196" s="56">
        <f>0.8*4518</f>
        <v>3614.4</v>
      </c>
      <c r="H196" s="40"/>
    </row>
    <row r="197" spans="1:8" s="20" customFormat="1" ht="15.75">
      <c r="A197" s="35" t="s">
        <v>276</v>
      </c>
      <c r="C197" s="20" t="s">
        <v>303</v>
      </c>
      <c r="E197" s="12"/>
      <c r="F197" s="21" t="s">
        <v>31</v>
      </c>
      <c r="G197" s="56">
        <f>0.8*4399</f>
        <v>3519.2000000000003</v>
      </c>
      <c r="H197" s="40"/>
    </row>
    <row r="198" spans="1:8" s="20" customFormat="1" ht="15.75">
      <c r="A198" s="35" t="s">
        <v>277</v>
      </c>
      <c r="C198" s="20" t="s">
        <v>279</v>
      </c>
      <c r="E198" s="12"/>
      <c r="F198" s="21" t="s">
        <v>31</v>
      </c>
      <c r="G198" s="56">
        <f>0.8*1163</f>
        <v>930.4000000000001</v>
      </c>
      <c r="H198" s="40"/>
    </row>
    <row r="199" spans="1:8" s="20" customFormat="1" ht="15.75">
      <c r="A199" s="35" t="s">
        <v>278</v>
      </c>
      <c r="C199" s="20" t="s">
        <v>304</v>
      </c>
      <c r="E199" s="12"/>
      <c r="F199" s="21"/>
      <c r="G199" s="56">
        <f>SUM(G200:G202)</f>
        <v>5152.8</v>
      </c>
      <c r="H199" s="40"/>
    </row>
    <row r="200" spans="1:8" s="2" customFormat="1" ht="15.75">
      <c r="A200" s="113"/>
      <c r="B200" s="113" t="s">
        <v>305</v>
      </c>
      <c r="D200" s="2" t="s">
        <v>306</v>
      </c>
      <c r="E200" s="12"/>
      <c r="F200" s="12" t="s">
        <v>31</v>
      </c>
      <c r="G200" s="66">
        <f>0.8*2926</f>
        <v>2340.8</v>
      </c>
      <c r="H200" s="40"/>
    </row>
    <row r="201" spans="1:8" s="2" customFormat="1" ht="15.75">
      <c r="A201" s="113"/>
      <c r="B201" s="113" t="s">
        <v>307</v>
      </c>
      <c r="D201" s="2" t="s">
        <v>308</v>
      </c>
      <c r="E201" s="12"/>
      <c r="F201" s="12" t="s">
        <v>31</v>
      </c>
      <c r="G201" s="66">
        <f>0.8*3087</f>
        <v>2469.6000000000004</v>
      </c>
      <c r="H201" s="40"/>
    </row>
    <row r="202" spans="1:8" s="2" customFormat="1" ht="15.75">
      <c r="A202" s="113"/>
      <c r="B202" s="113" t="s">
        <v>305</v>
      </c>
      <c r="D202" s="2" t="s">
        <v>309</v>
      </c>
      <c r="E202" s="12"/>
      <c r="F202" s="12" t="s">
        <v>31</v>
      </c>
      <c r="G202" s="66">
        <f>0.8*428</f>
        <v>342.40000000000003</v>
      </c>
      <c r="H202" s="40"/>
    </row>
    <row r="203" spans="1:8" s="20" customFormat="1" ht="12.75">
      <c r="A203" s="35" t="s">
        <v>310</v>
      </c>
      <c r="C203" s="20" t="s">
        <v>311</v>
      </c>
      <c r="E203" s="12"/>
      <c r="F203" s="50"/>
      <c r="G203" s="56">
        <f>SUM(G204:G207)</f>
        <v>528</v>
      </c>
      <c r="H203" s="51"/>
    </row>
    <row r="204" spans="1:8" s="2" customFormat="1" ht="12.75">
      <c r="A204" s="113"/>
      <c r="B204" s="113" t="s">
        <v>312</v>
      </c>
      <c r="D204" s="2" t="s">
        <v>313</v>
      </c>
      <c r="E204" s="12"/>
      <c r="F204" s="41" t="s">
        <v>31</v>
      </c>
      <c r="G204" s="66">
        <f>0.8*239</f>
        <v>191.20000000000002</v>
      </c>
      <c r="H204" s="43"/>
    </row>
    <row r="205" spans="1:8" s="2" customFormat="1" ht="12.75">
      <c r="A205" s="113"/>
      <c r="B205" s="113" t="s">
        <v>314</v>
      </c>
      <c r="D205" s="2" t="s">
        <v>315</v>
      </c>
      <c r="E205" s="12"/>
      <c r="F205" s="41" t="s">
        <v>31</v>
      </c>
      <c r="G205" s="66">
        <f>0.8*279</f>
        <v>223.20000000000002</v>
      </c>
      <c r="H205" s="43"/>
    </row>
    <row r="206" spans="1:8" s="2" customFormat="1" ht="12.75">
      <c r="A206" s="113"/>
      <c r="B206" s="113" t="s">
        <v>312</v>
      </c>
      <c r="D206" s="2" t="s">
        <v>316</v>
      </c>
      <c r="E206" s="12"/>
      <c r="F206" s="41" t="s">
        <v>31</v>
      </c>
      <c r="G206" s="66">
        <f>0.8*71</f>
        <v>56.800000000000004</v>
      </c>
      <c r="H206" s="43"/>
    </row>
    <row r="207" spans="1:8" s="2" customFormat="1" ht="12.75">
      <c r="A207" s="113"/>
      <c r="B207" s="113" t="s">
        <v>312</v>
      </c>
      <c r="D207" s="2" t="s">
        <v>317</v>
      </c>
      <c r="E207" s="12"/>
      <c r="F207" s="41" t="s">
        <v>31</v>
      </c>
      <c r="G207" s="66">
        <f>0.8*71</f>
        <v>56.800000000000004</v>
      </c>
      <c r="H207" s="43"/>
    </row>
    <row r="208" spans="4:8" s="72" customFormat="1" ht="12.75">
      <c r="D208" s="96"/>
      <c r="E208" s="96"/>
      <c r="F208" s="96"/>
      <c r="G208" s="70"/>
      <c r="H208" s="71"/>
    </row>
    <row r="209" spans="4:7" s="116" customFormat="1" ht="12.75">
      <c r="D209" s="117"/>
      <c r="E209" s="117"/>
      <c r="F209" s="117"/>
      <c r="G209" s="118"/>
    </row>
    <row r="210" spans="1:8" s="209" customFormat="1" ht="20.25">
      <c r="A210" s="201" t="s">
        <v>354</v>
      </c>
      <c r="B210" s="201"/>
      <c r="C210" s="201"/>
      <c r="D210" s="201"/>
      <c r="E210" s="201"/>
      <c r="F210" s="201"/>
      <c r="G210" s="207">
        <f>G4+G60+G92+G98+G112+G118+G163</f>
        <v>739890.4000000001</v>
      </c>
      <c r="H210" s="208"/>
    </row>
    <row r="211" spans="1:8" s="122" customFormat="1" ht="18">
      <c r="A211" s="120"/>
      <c r="B211" s="120"/>
      <c r="C211" s="120"/>
      <c r="D211" s="120"/>
      <c r="E211" s="120"/>
      <c r="F211" s="120"/>
      <c r="G211" s="147"/>
      <c r="H211" s="121"/>
    </row>
    <row r="212" spans="1:8" s="122" customFormat="1" ht="18">
      <c r="A212" s="120" t="s">
        <v>355</v>
      </c>
      <c r="B212" s="120"/>
      <c r="C212" s="120"/>
      <c r="D212" s="120"/>
      <c r="E212" s="120"/>
      <c r="F212" s="120"/>
      <c r="G212" s="147">
        <f>G210*0.255</f>
        <v>188672.05200000003</v>
      </c>
      <c r="H212" s="210" t="s">
        <v>412</v>
      </c>
    </row>
    <row r="213" spans="1:8" s="122" customFormat="1" ht="18">
      <c r="A213" s="120"/>
      <c r="B213" s="120"/>
      <c r="C213" s="120"/>
      <c r="D213" s="120"/>
      <c r="E213" s="120"/>
      <c r="F213" s="120"/>
      <c r="G213" s="147"/>
      <c r="H213" s="121"/>
    </row>
    <row r="214" spans="1:8" s="122" customFormat="1" ht="18">
      <c r="A214" s="120" t="s">
        <v>356</v>
      </c>
      <c r="B214" s="120"/>
      <c r="C214" s="120"/>
      <c r="D214" s="120"/>
      <c r="E214" s="120"/>
      <c r="F214" s="120"/>
      <c r="G214" s="147">
        <f>G210*0.2</f>
        <v>147978.08000000005</v>
      </c>
      <c r="H214" s="210" t="s">
        <v>412</v>
      </c>
    </row>
    <row r="215" spans="4:8" s="72" customFormat="1" ht="12.75">
      <c r="D215" s="96"/>
      <c r="E215" s="96"/>
      <c r="F215" s="96"/>
      <c r="G215" s="70"/>
      <c r="H215" s="71"/>
    </row>
    <row r="216" spans="4:8" s="72" customFormat="1" ht="12.75">
      <c r="D216" s="96"/>
      <c r="E216" s="96"/>
      <c r="F216" s="96"/>
      <c r="G216" s="70"/>
      <c r="H216" s="71"/>
    </row>
    <row r="217" spans="1:8" s="1" customFormat="1" ht="18">
      <c r="A217" s="182" t="s">
        <v>357</v>
      </c>
      <c r="B217" s="10"/>
      <c r="C217" s="10"/>
      <c r="D217" s="10"/>
      <c r="E217" s="10"/>
      <c r="F217" s="183"/>
      <c r="G217" s="184"/>
      <c r="H217" s="185"/>
    </row>
    <row r="218" spans="1:8" s="1" customFormat="1" ht="18">
      <c r="A218" s="186" t="s">
        <v>358</v>
      </c>
      <c r="B218" s="10"/>
      <c r="C218" s="10"/>
      <c r="D218" s="10"/>
      <c r="E218" s="10"/>
      <c r="F218" s="183"/>
      <c r="G218" s="184"/>
      <c r="H218" s="185"/>
    </row>
    <row r="219" spans="1:8" s="1" customFormat="1" ht="18">
      <c r="A219" s="186" t="s">
        <v>359</v>
      </c>
      <c r="B219" s="10"/>
      <c r="C219" s="10"/>
      <c r="D219" s="10"/>
      <c r="E219" s="10"/>
      <c r="F219" s="183"/>
      <c r="G219" s="184"/>
      <c r="H219" s="185"/>
    </row>
    <row r="220" spans="1:8" s="22" customFormat="1" ht="12.75">
      <c r="A220" s="169" t="s">
        <v>360</v>
      </c>
      <c r="C220" s="22" t="s">
        <v>347</v>
      </c>
      <c r="E220" s="170"/>
      <c r="F220" s="168" t="s">
        <v>31</v>
      </c>
      <c r="G220" s="19">
        <f>0.8*9951</f>
        <v>7960.8</v>
      </c>
      <c r="H220" s="142" t="s">
        <v>361</v>
      </c>
    </row>
    <row r="221" spans="1:8" s="190" customFormat="1" ht="12.75">
      <c r="A221" s="35" t="s">
        <v>362</v>
      </c>
      <c r="B221" s="187"/>
      <c r="C221" s="44" t="s">
        <v>363</v>
      </c>
      <c r="D221" s="187"/>
      <c r="E221" s="187"/>
      <c r="F221" s="188"/>
      <c r="G221" s="189"/>
      <c r="H221" s="146" t="s">
        <v>365</v>
      </c>
    </row>
    <row r="222" spans="1:8" s="190" customFormat="1" ht="12.75">
      <c r="A222" s="35" t="s">
        <v>364</v>
      </c>
      <c r="B222" s="187"/>
      <c r="C222" s="44" t="s">
        <v>366</v>
      </c>
      <c r="D222" s="187"/>
      <c r="E222" s="187"/>
      <c r="F222" s="21" t="s">
        <v>31</v>
      </c>
      <c r="G222" s="56">
        <f>0.8*3588</f>
        <v>2870.4</v>
      </c>
      <c r="H222" s="142" t="s">
        <v>367</v>
      </c>
    </row>
    <row r="223" spans="1:8" s="190" customFormat="1" ht="12.75">
      <c r="A223" s="35" t="s">
        <v>368</v>
      </c>
      <c r="B223" s="187"/>
      <c r="C223" s="44" t="s">
        <v>369</v>
      </c>
      <c r="D223" s="187"/>
      <c r="E223" s="187"/>
      <c r="F223" s="21" t="s">
        <v>31</v>
      </c>
      <c r="G223" s="19">
        <f>0.8*1231</f>
        <v>984.8000000000001</v>
      </c>
      <c r="H223" s="142" t="s">
        <v>370</v>
      </c>
    </row>
    <row r="224" spans="1:8" s="190" customFormat="1" ht="12.75">
      <c r="A224" s="35" t="s">
        <v>371</v>
      </c>
      <c r="B224" s="187"/>
      <c r="C224" s="44" t="s">
        <v>372</v>
      </c>
      <c r="D224" s="187"/>
      <c r="E224" s="187"/>
      <c r="F224" s="188"/>
      <c r="G224" s="189"/>
      <c r="H224" s="146" t="s">
        <v>365</v>
      </c>
    </row>
    <row r="225" spans="1:8" s="190" customFormat="1" ht="12.75">
      <c r="A225" s="35" t="s">
        <v>373</v>
      </c>
      <c r="B225" s="187"/>
      <c r="C225" s="44" t="s">
        <v>374</v>
      </c>
      <c r="D225" s="187"/>
      <c r="E225" s="187"/>
      <c r="F225" s="21" t="s">
        <v>31</v>
      </c>
      <c r="G225" s="56">
        <f>0.8*828</f>
        <v>662.4000000000001</v>
      </c>
      <c r="H225" s="146" t="s">
        <v>365</v>
      </c>
    </row>
    <row r="226" spans="1:8" s="190" customFormat="1" ht="12.75">
      <c r="A226" s="35"/>
      <c r="B226" s="187"/>
      <c r="C226" s="44"/>
      <c r="D226" s="187"/>
      <c r="E226" s="187"/>
      <c r="F226" s="188"/>
      <c r="G226" s="189"/>
      <c r="H226" s="146"/>
    </row>
    <row r="227" spans="1:8" s="1" customFormat="1" ht="18">
      <c r="A227" s="186" t="s">
        <v>375</v>
      </c>
      <c r="B227" s="10"/>
      <c r="C227" s="10"/>
      <c r="D227" s="10"/>
      <c r="E227" s="10"/>
      <c r="F227" s="183"/>
      <c r="G227" s="184"/>
      <c r="H227" s="185"/>
    </row>
    <row r="228" spans="1:8" s="22" customFormat="1" ht="12.75">
      <c r="A228" s="169" t="s">
        <v>376</v>
      </c>
      <c r="C228" s="22" t="s">
        <v>377</v>
      </c>
      <c r="E228" s="170"/>
      <c r="F228" s="183"/>
      <c r="G228" s="184"/>
      <c r="H228" s="146" t="s">
        <v>365</v>
      </c>
    </row>
    <row r="229" spans="1:8" s="190" customFormat="1" ht="12.75">
      <c r="A229" s="35" t="s">
        <v>378</v>
      </c>
      <c r="B229" s="187"/>
      <c r="C229" s="44" t="s">
        <v>379</v>
      </c>
      <c r="D229" s="187"/>
      <c r="E229" s="187"/>
      <c r="F229" s="183"/>
      <c r="G229" s="184"/>
      <c r="H229" s="146" t="s">
        <v>365</v>
      </c>
    </row>
    <row r="230" spans="1:8" s="190" customFormat="1" ht="12.75">
      <c r="A230" s="35" t="s">
        <v>380</v>
      </c>
      <c r="B230" s="187"/>
      <c r="C230" s="44" t="s">
        <v>381</v>
      </c>
      <c r="D230" s="187"/>
      <c r="E230" s="187"/>
      <c r="F230" s="183"/>
      <c r="G230" s="184"/>
      <c r="H230" s="146" t="s">
        <v>365</v>
      </c>
    </row>
    <row r="231" spans="1:8" s="190" customFormat="1" ht="12.75">
      <c r="A231" s="35" t="s">
        <v>382</v>
      </c>
      <c r="B231" s="187"/>
      <c r="C231" s="44" t="s">
        <v>383</v>
      </c>
      <c r="D231" s="187"/>
      <c r="E231" s="187"/>
      <c r="F231" s="12" t="s">
        <v>31</v>
      </c>
      <c r="G231" s="54">
        <f>0.8*4535</f>
        <v>3628</v>
      </c>
      <c r="H231" s="142" t="s">
        <v>384</v>
      </c>
    </row>
    <row r="232" spans="1:8" s="190" customFormat="1" ht="12.75">
      <c r="A232" s="35" t="s">
        <v>385</v>
      </c>
      <c r="B232" s="187"/>
      <c r="C232" s="44" t="s">
        <v>388</v>
      </c>
      <c r="D232" s="187"/>
      <c r="E232" s="187"/>
      <c r="F232" s="187"/>
      <c r="G232" s="187"/>
      <c r="H232" s="146" t="s">
        <v>365</v>
      </c>
    </row>
    <row r="233" spans="1:8" s="190" customFormat="1" ht="12.75">
      <c r="A233" s="35" t="s">
        <v>386</v>
      </c>
      <c r="B233" s="187"/>
      <c r="C233" s="44" t="s">
        <v>389</v>
      </c>
      <c r="D233" s="187"/>
      <c r="E233" s="187"/>
      <c r="F233" s="187"/>
      <c r="G233" s="187"/>
      <c r="H233" s="146" t="s">
        <v>365</v>
      </c>
    </row>
    <row r="234" spans="1:8" s="190" customFormat="1" ht="12.75">
      <c r="A234" s="35" t="s">
        <v>387</v>
      </c>
      <c r="B234" s="187"/>
      <c r="C234" s="44" t="s">
        <v>390</v>
      </c>
      <c r="D234" s="187"/>
      <c r="E234" s="187"/>
      <c r="F234" s="168"/>
      <c r="G234" s="145"/>
      <c r="H234" s="146" t="s">
        <v>365</v>
      </c>
    </row>
    <row r="235" spans="1:8" s="190" customFormat="1" ht="12.75">
      <c r="A235" s="35" t="s">
        <v>391</v>
      </c>
      <c r="B235" s="187"/>
      <c r="C235" s="44" t="s">
        <v>392</v>
      </c>
      <c r="D235" s="187"/>
      <c r="E235" s="187"/>
      <c r="F235" s="168"/>
      <c r="G235" s="145"/>
      <c r="H235" s="146" t="s">
        <v>365</v>
      </c>
    </row>
    <row r="236" spans="1:8" s="190" customFormat="1" ht="12.75">
      <c r="A236" s="35" t="s">
        <v>393</v>
      </c>
      <c r="B236" s="187"/>
      <c r="C236" s="44" t="s">
        <v>394</v>
      </c>
      <c r="D236" s="187"/>
      <c r="E236" s="187"/>
      <c r="F236" s="168"/>
      <c r="G236" s="145"/>
      <c r="H236" s="146" t="s">
        <v>365</v>
      </c>
    </row>
    <row r="237" spans="1:8" s="190" customFormat="1" ht="12.75">
      <c r="A237" s="35" t="s">
        <v>395</v>
      </c>
      <c r="B237" s="187"/>
      <c r="C237" s="44" t="s">
        <v>396</v>
      </c>
      <c r="D237" s="187"/>
      <c r="E237" s="187"/>
      <c r="F237" s="168"/>
      <c r="G237" s="145"/>
      <c r="H237" s="146" t="s">
        <v>365</v>
      </c>
    </row>
    <row r="238" spans="1:8" s="190" customFormat="1" ht="12.75">
      <c r="A238" s="35"/>
      <c r="B238" s="187"/>
      <c r="C238" s="44"/>
      <c r="D238" s="187"/>
      <c r="E238" s="187"/>
      <c r="F238" s="168"/>
      <c r="G238" s="145"/>
      <c r="H238" s="146"/>
    </row>
    <row r="239" spans="1:8" s="1" customFormat="1" ht="18">
      <c r="A239" s="186" t="s">
        <v>397</v>
      </c>
      <c r="B239" s="10"/>
      <c r="C239" s="10"/>
      <c r="D239" s="10"/>
      <c r="E239" s="10"/>
      <c r="F239" s="183"/>
      <c r="G239" s="184"/>
      <c r="H239" s="185"/>
    </row>
    <row r="240" spans="1:8" s="22" customFormat="1" ht="12.75">
      <c r="A240" s="169" t="s">
        <v>398</v>
      </c>
      <c r="C240" s="22" t="s">
        <v>399</v>
      </c>
      <c r="E240" s="170"/>
      <c r="F240" s="183"/>
      <c r="G240" s="184"/>
      <c r="H240" s="146" t="s">
        <v>365</v>
      </c>
    </row>
    <row r="241" spans="1:8" s="190" customFormat="1" ht="12.75">
      <c r="A241" s="35" t="s">
        <v>400</v>
      </c>
      <c r="B241" s="187"/>
      <c r="C241" s="44" t="s">
        <v>401</v>
      </c>
      <c r="D241" s="187"/>
      <c r="E241" s="187"/>
      <c r="F241" s="183"/>
      <c r="G241" s="184"/>
      <c r="H241" s="146" t="s">
        <v>365</v>
      </c>
    </row>
    <row r="242" spans="1:8" s="190" customFormat="1" ht="12.75">
      <c r="A242" s="35" t="s">
        <v>402</v>
      </c>
      <c r="B242" s="187"/>
      <c r="C242" s="44" t="s">
        <v>403</v>
      </c>
      <c r="D242" s="187"/>
      <c r="E242" s="187"/>
      <c r="F242" s="183"/>
      <c r="G242" s="184"/>
      <c r="H242" s="146" t="s">
        <v>365</v>
      </c>
    </row>
    <row r="243" spans="1:8" s="190" customFormat="1" ht="12.75">
      <c r="A243" s="35" t="s">
        <v>404</v>
      </c>
      <c r="B243" s="187"/>
      <c r="C243" s="44" t="s">
        <v>405</v>
      </c>
      <c r="D243" s="187"/>
      <c r="E243" s="187"/>
      <c r="F243" s="183"/>
      <c r="G243" s="184"/>
      <c r="H243" s="146" t="s">
        <v>365</v>
      </c>
    </row>
    <row r="244" spans="1:8" s="190" customFormat="1" ht="12.75">
      <c r="A244" s="35"/>
      <c r="B244" s="187"/>
      <c r="C244" s="44"/>
      <c r="D244" s="187"/>
      <c r="E244" s="187"/>
      <c r="F244" s="183"/>
      <c r="G244" s="184"/>
      <c r="H244" s="146"/>
    </row>
    <row r="245" spans="1:8" s="32" customFormat="1" ht="18">
      <c r="A245" s="120" t="s">
        <v>406</v>
      </c>
      <c r="B245" s="182"/>
      <c r="C245" s="120"/>
      <c r="D245" s="182"/>
      <c r="E245" s="182"/>
      <c r="F245" s="191"/>
      <c r="G245" s="192">
        <f>SUM(G220:G243)</f>
        <v>16106.4</v>
      </c>
      <c r="H245" s="127"/>
    </row>
    <row r="246" spans="1:8" s="32" customFormat="1" ht="18">
      <c r="A246" s="120"/>
      <c r="B246" s="182"/>
      <c r="C246" s="120"/>
      <c r="D246" s="182"/>
      <c r="E246" s="182"/>
      <c r="F246" s="191"/>
      <c r="G246" s="192"/>
      <c r="H246" s="127"/>
    </row>
    <row r="247" spans="1:8" s="103" customFormat="1" ht="18">
      <c r="A247" s="47" t="s">
        <v>280</v>
      </c>
      <c r="B247" s="47"/>
      <c r="C247" s="98"/>
      <c r="D247" s="108"/>
      <c r="E247" s="109"/>
      <c r="F247" s="109"/>
      <c r="G247" s="181"/>
      <c r="H247" s="102"/>
    </row>
    <row r="248" spans="1:8" s="77" customFormat="1" ht="18">
      <c r="A248" s="36">
        <v>8.1</v>
      </c>
      <c r="B248" s="90" t="s">
        <v>119</v>
      </c>
      <c r="C248" s="76"/>
      <c r="E248" s="92"/>
      <c r="F248" s="128" t="s">
        <v>31</v>
      </c>
      <c r="G248" s="105">
        <f>12180</f>
        <v>12180</v>
      </c>
      <c r="H248" s="102"/>
    </row>
    <row r="249" spans="1:8" s="77" customFormat="1" ht="18">
      <c r="A249" s="36">
        <v>8.2</v>
      </c>
      <c r="B249" s="90" t="s">
        <v>7</v>
      </c>
      <c r="C249" s="76"/>
      <c r="E249" s="92"/>
      <c r="F249" s="92"/>
      <c r="G249" s="105">
        <f>SUM(G250:G251)</f>
        <v>25440</v>
      </c>
      <c r="H249" s="102"/>
    </row>
    <row r="250" spans="1:8" s="81" customFormat="1" ht="18">
      <c r="A250" s="115" t="s">
        <v>281</v>
      </c>
      <c r="C250" s="129" t="s">
        <v>4</v>
      </c>
      <c r="E250" s="130"/>
      <c r="F250" s="130" t="s">
        <v>31</v>
      </c>
      <c r="G250" s="104">
        <v>21800</v>
      </c>
      <c r="H250" s="102"/>
    </row>
    <row r="251" spans="1:8" s="81" customFormat="1" ht="18">
      <c r="A251" s="115" t="s">
        <v>282</v>
      </c>
      <c r="C251" s="129" t="s">
        <v>120</v>
      </c>
      <c r="E251" s="130"/>
      <c r="F251" s="130" t="s">
        <v>31</v>
      </c>
      <c r="G251" s="104">
        <v>3640</v>
      </c>
      <c r="H251" s="102"/>
    </row>
    <row r="252" spans="1:8" s="77" customFormat="1" ht="15.75" customHeight="1">
      <c r="A252" s="89">
        <v>8.3</v>
      </c>
      <c r="B252" s="110" t="s">
        <v>124</v>
      </c>
      <c r="C252" s="91"/>
      <c r="E252" s="111"/>
      <c r="F252" s="128" t="s">
        <v>31</v>
      </c>
      <c r="G252" s="105">
        <v>3470</v>
      </c>
      <c r="H252" s="102"/>
    </row>
    <row r="253" spans="1:8" s="77" customFormat="1" ht="15.75" customHeight="1">
      <c r="A253" s="89">
        <v>8.4</v>
      </c>
      <c r="B253" s="110" t="s">
        <v>8</v>
      </c>
      <c r="C253" s="91"/>
      <c r="E253" s="112" t="s">
        <v>31</v>
      </c>
      <c r="F253" s="111"/>
      <c r="G253" s="105">
        <v>65580</v>
      </c>
      <c r="H253" s="102"/>
    </row>
    <row r="254" spans="1:8" s="77" customFormat="1" ht="18">
      <c r="A254" s="89">
        <v>8.5</v>
      </c>
      <c r="B254" s="110" t="s">
        <v>408</v>
      </c>
      <c r="C254" s="91"/>
      <c r="E254" s="92"/>
      <c r="F254" s="128" t="s">
        <v>31</v>
      </c>
      <c r="G254" s="105">
        <v>10180</v>
      </c>
      <c r="H254" s="102"/>
    </row>
    <row r="255" spans="4:8" s="72" customFormat="1" ht="12.75">
      <c r="D255" s="96"/>
      <c r="E255" s="96"/>
      <c r="F255" s="96"/>
      <c r="G255" s="70"/>
      <c r="H255" s="71"/>
    </row>
    <row r="256" spans="1:8" s="32" customFormat="1" ht="18">
      <c r="A256" s="120" t="s">
        <v>407</v>
      </c>
      <c r="B256" s="182"/>
      <c r="C256" s="120"/>
      <c r="D256" s="182"/>
      <c r="E256" s="182"/>
      <c r="F256" s="191"/>
      <c r="G256" s="192">
        <f>G248+G249+G252+G253+G254</f>
        <v>116850</v>
      </c>
      <c r="H256" s="127"/>
    </row>
    <row r="257" spans="1:8" s="32" customFormat="1" ht="18">
      <c r="A257" s="120"/>
      <c r="B257" s="182"/>
      <c r="C257" s="120"/>
      <c r="D257" s="182"/>
      <c r="E257" s="182"/>
      <c r="F257" s="191"/>
      <c r="G257" s="192"/>
      <c r="H257" s="127"/>
    </row>
    <row r="258" spans="1:8" s="205" customFormat="1" ht="20.25">
      <c r="A258" s="201" t="s">
        <v>410</v>
      </c>
      <c r="B258" s="202"/>
      <c r="C258" s="201"/>
      <c r="D258" s="202"/>
      <c r="E258" s="202"/>
      <c r="F258" s="203"/>
      <c r="G258" s="204">
        <f>G245+G256</f>
        <v>132956.4</v>
      </c>
      <c r="H258" s="206"/>
    </row>
    <row r="259" spans="1:8" s="198" customFormat="1" ht="18">
      <c r="A259" s="193"/>
      <c r="B259" s="194"/>
      <c r="C259" s="193"/>
      <c r="D259" s="194"/>
      <c r="E259" s="194"/>
      <c r="F259" s="195"/>
      <c r="G259" s="196"/>
      <c r="H259" s="197"/>
    </row>
    <row r="260" spans="1:8" s="205" customFormat="1" ht="40.5">
      <c r="A260" s="201" t="s">
        <v>409</v>
      </c>
      <c r="B260" s="202"/>
      <c r="C260" s="201"/>
      <c r="D260" s="202"/>
      <c r="E260" s="202"/>
      <c r="F260" s="203"/>
      <c r="G260" s="204">
        <f>G258+G210</f>
        <v>872846.8000000002</v>
      </c>
      <c r="H260" s="211" t="s">
        <v>411</v>
      </c>
    </row>
    <row r="261" spans="4:8" s="72" customFormat="1" ht="12.75">
      <c r="D261" s="96"/>
      <c r="E261" s="96"/>
      <c r="F261" s="96"/>
      <c r="G261" s="70"/>
      <c r="H261" s="71"/>
    </row>
    <row r="262" s="199" customFormat="1" ht="18">
      <c r="G262" s="200"/>
    </row>
    <row r="263" spans="1:8" s="122" customFormat="1" ht="18">
      <c r="A263" s="120" t="s">
        <v>413</v>
      </c>
      <c r="B263" s="120"/>
      <c r="C263" s="120"/>
      <c r="D263" s="120"/>
      <c r="E263" s="120"/>
      <c r="F263" s="120"/>
      <c r="G263" s="181"/>
      <c r="H263" s="121"/>
    </row>
    <row r="264" spans="4:8" s="72" customFormat="1" ht="12.75">
      <c r="D264" s="96"/>
      <c r="E264" s="96"/>
      <c r="F264" s="96"/>
      <c r="G264" s="70"/>
      <c r="H264" s="71"/>
    </row>
    <row r="265" spans="1:8" s="103" customFormat="1" ht="18">
      <c r="A265" s="47" t="s">
        <v>283</v>
      </c>
      <c r="B265" s="47"/>
      <c r="C265" s="98"/>
      <c r="D265" s="108"/>
      <c r="E265" s="109"/>
      <c r="F265" s="109"/>
      <c r="G265" s="181">
        <f>SUM(G266:G268)</f>
        <v>19780</v>
      </c>
      <c r="H265" s="102"/>
    </row>
    <row r="266" spans="1:8" s="77" customFormat="1" ht="15.75">
      <c r="A266" s="89">
        <v>9.1</v>
      </c>
      <c r="B266" s="110" t="s">
        <v>121</v>
      </c>
      <c r="C266" s="91"/>
      <c r="E266" s="92"/>
      <c r="F266" s="128" t="s">
        <v>31</v>
      </c>
      <c r="G266" s="105">
        <v>1730</v>
      </c>
      <c r="H266" s="119"/>
    </row>
    <row r="267" spans="1:8" s="77" customFormat="1" ht="15.75">
      <c r="A267" s="36">
        <v>9.2</v>
      </c>
      <c r="B267" s="90" t="s">
        <v>284</v>
      </c>
      <c r="C267" s="76"/>
      <c r="E267" s="92"/>
      <c r="F267" s="128" t="s">
        <v>31</v>
      </c>
      <c r="G267" s="105">
        <v>1310</v>
      </c>
      <c r="H267" s="119"/>
    </row>
    <row r="268" spans="1:8" s="77" customFormat="1" ht="15.75">
      <c r="A268" s="89">
        <v>9.3</v>
      </c>
      <c r="B268" s="110" t="s">
        <v>122</v>
      </c>
      <c r="C268" s="91"/>
      <c r="E268" s="92"/>
      <c r="F268" s="128" t="s">
        <v>31</v>
      </c>
      <c r="G268" s="105">
        <v>16740</v>
      </c>
      <c r="H268" s="119"/>
    </row>
    <row r="269" spans="4:8" s="72" customFormat="1" ht="12.75">
      <c r="D269" s="96"/>
      <c r="E269" s="96"/>
      <c r="F269" s="96"/>
      <c r="G269" s="70"/>
      <c r="H269" s="71"/>
    </row>
    <row r="270" spans="4:8" s="72" customFormat="1" ht="12.75">
      <c r="D270" s="96"/>
      <c r="E270" s="96"/>
      <c r="F270" s="96"/>
      <c r="G270" s="70"/>
      <c r="H270" s="71"/>
    </row>
    <row r="271" spans="4:8" s="72" customFormat="1" ht="12.75">
      <c r="D271" s="96"/>
      <c r="E271" s="96"/>
      <c r="F271" s="96"/>
      <c r="G271" s="70"/>
      <c r="H271" s="71"/>
    </row>
    <row r="272" spans="4:8" s="72" customFormat="1" ht="12.75">
      <c r="D272" s="96"/>
      <c r="E272" s="96"/>
      <c r="F272" s="96"/>
      <c r="G272" s="70"/>
      <c r="H272" s="71"/>
    </row>
    <row r="273" spans="4:8" s="72" customFormat="1" ht="12.75">
      <c r="D273" s="96"/>
      <c r="E273" s="96"/>
      <c r="F273" s="96"/>
      <c r="G273" s="70"/>
      <c r="H273" s="71"/>
    </row>
    <row r="274" spans="4:8" s="72" customFormat="1" ht="12.75">
      <c r="D274" s="96"/>
      <c r="E274" s="96"/>
      <c r="F274" s="96"/>
      <c r="G274" s="70"/>
      <c r="H274" s="71"/>
    </row>
    <row r="275" spans="4:8" s="72" customFormat="1" ht="12.75">
      <c r="D275" s="96"/>
      <c r="E275" s="96"/>
      <c r="F275" s="96"/>
      <c r="G275" s="70"/>
      <c r="H275" s="71"/>
    </row>
    <row r="276" spans="4:8" s="72" customFormat="1" ht="12.75">
      <c r="D276" s="96"/>
      <c r="E276" s="96"/>
      <c r="F276" s="96"/>
      <c r="G276" s="70"/>
      <c r="H276" s="71"/>
    </row>
    <row r="277" spans="4:8" s="72" customFormat="1" ht="12.75">
      <c r="D277" s="96"/>
      <c r="E277" s="96"/>
      <c r="F277" s="96"/>
      <c r="G277" s="70"/>
      <c r="H277" s="71"/>
    </row>
    <row r="278" spans="4:8" s="72" customFormat="1" ht="12.75">
      <c r="D278" s="96"/>
      <c r="E278" s="96"/>
      <c r="F278" s="96"/>
      <c r="G278" s="70"/>
      <c r="H278" s="71"/>
    </row>
    <row r="279" spans="4:8" s="72" customFormat="1" ht="12.75">
      <c r="D279" s="96"/>
      <c r="E279" s="96"/>
      <c r="F279" s="96"/>
      <c r="G279" s="70"/>
      <c r="H279" s="71"/>
    </row>
    <row r="280" spans="4:8" s="72" customFormat="1" ht="12.75">
      <c r="D280" s="96"/>
      <c r="E280" s="96"/>
      <c r="F280" s="96"/>
      <c r="G280" s="70"/>
      <c r="H280" s="71"/>
    </row>
    <row r="281" spans="4:8" s="72" customFormat="1" ht="12.75">
      <c r="D281" s="96"/>
      <c r="E281" s="96"/>
      <c r="F281" s="96"/>
      <c r="G281" s="70"/>
      <c r="H281" s="71"/>
    </row>
    <row r="282" spans="4:8" s="72" customFormat="1" ht="12.75">
      <c r="D282" s="96"/>
      <c r="E282" s="96"/>
      <c r="F282" s="96"/>
      <c r="G282" s="70"/>
      <c r="H282" s="71"/>
    </row>
    <row r="283" spans="4:8" s="72" customFormat="1" ht="12.75">
      <c r="D283" s="96"/>
      <c r="E283" s="96"/>
      <c r="F283" s="96"/>
      <c r="G283" s="70"/>
      <c r="H283" s="71"/>
    </row>
    <row r="284" spans="4:8" s="72" customFormat="1" ht="12.75">
      <c r="D284" s="96"/>
      <c r="E284" s="96"/>
      <c r="F284" s="96"/>
      <c r="G284" s="70"/>
      <c r="H284" s="71"/>
    </row>
    <row r="285" spans="4:8" s="72" customFormat="1" ht="12.75">
      <c r="D285" s="96"/>
      <c r="E285" s="96"/>
      <c r="F285" s="96"/>
      <c r="G285" s="70"/>
      <c r="H285" s="71"/>
    </row>
    <row r="286" spans="4:8" s="72" customFormat="1" ht="12.75">
      <c r="D286" s="96"/>
      <c r="E286" s="96"/>
      <c r="F286" s="96"/>
      <c r="G286" s="70"/>
      <c r="H286" s="71"/>
    </row>
    <row r="287" spans="4:8" s="72" customFormat="1" ht="12.75">
      <c r="D287" s="96"/>
      <c r="E287" s="96"/>
      <c r="F287" s="96"/>
      <c r="G287" s="70"/>
      <c r="H287" s="71"/>
    </row>
    <row r="288" spans="4:8" s="72" customFormat="1" ht="12.75">
      <c r="D288" s="96"/>
      <c r="E288" s="96"/>
      <c r="F288" s="96"/>
      <c r="G288" s="70"/>
      <c r="H288" s="71"/>
    </row>
    <row r="289" spans="4:8" s="72" customFormat="1" ht="12.75">
      <c r="D289" s="96"/>
      <c r="E289" s="96"/>
      <c r="F289" s="96"/>
      <c r="G289" s="70"/>
      <c r="H289" s="71"/>
    </row>
    <row r="290" spans="4:8" s="72" customFormat="1" ht="12.75">
      <c r="D290" s="96"/>
      <c r="E290" s="96"/>
      <c r="F290" s="96"/>
      <c r="G290" s="70"/>
      <c r="H290" s="71"/>
    </row>
    <row r="291" spans="4:8" s="72" customFormat="1" ht="12.75">
      <c r="D291" s="96"/>
      <c r="E291" s="96"/>
      <c r="F291" s="96"/>
      <c r="G291" s="70"/>
      <c r="H291" s="71"/>
    </row>
    <row r="292" spans="4:8" s="72" customFormat="1" ht="12.75">
      <c r="D292" s="96"/>
      <c r="E292" s="96"/>
      <c r="F292" s="96"/>
      <c r="G292" s="70"/>
      <c r="H292" s="71"/>
    </row>
    <row r="293" spans="4:8" s="72" customFormat="1" ht="12.75">
      <c r="D293" s="96"/>
      <c r="E293" s="96"/>
      <c r="F293" s="96"/>
      <c r="G293" s="70"/>
      <c r="H293" s="71"/>
    </row>
    <row r="294" spans="4:8" s="72" customFormat="1" ht="12.75">
      <c r="D294" s="96"/>
      <c r="E294" s="96"/>
      <c r="F294" s="96"/>
      <c r="G294" s="70"/>
      <c r="H294" s="71"/>
    </row>
    <row r="295" spans="4:8" s="72" customFormat="1" ht="12.75">
      <c r="D295" s="96"/>
      <c r="E295" s="96"/>
      <c r="F295" s="96"/>
      <c r="G295" s="70"/>
      <c r="H295" s="71"/>
    </row>
    <row r="296" spans="4:8" s="72" customFormat="1" ht="12.75">
      <c r="D296" s="96"/>
      <c r="E296" s="96"/>
      <c r="F296" s="96"/>
      <c r="G296" s="70"/>
      <c r="H296" s="71"/>
    </row>
    <row r="297" spans="4:8" s="72" customFormat="1" ht="12.75">
      <c r="D297" s="96"/>
      <c r="E297" s="96"/>
      <c r="F297" s="96"/>
      <c r="G297" s="70"/>
      <c r="H297" s="71"/>
    </row>
    <row r="298" spans="4:8" s="72" customFormat="1" ht="12.75">
      <c r="D298" s="96"/>
      <c r="E298" s="96"/>
      <c r="F298" s="96"/>
      <c r="G298" s="70"/>
      <c r="H298" s="71"/>
    </row>
    <row r="299" spans="4:8" s="72" customFormat="1" ht="12.75">
      <c r="D299" s="96"/>
      <c r="E299" s="96"/>
      <c r="F299" s="96"/>
      <c r="G299" s="70"/>
      <c r="H299" s="71"/>
    </row>
    <row r="300" spans="4:8" s="72" customFormat="1" ht="12.75">
      <c r="D300" s="96"/>
      <c r="E300" s="96"/>
      <c r="F300" s="96"/>
      <c r="G300" s="70"/>
      <c r="H300" s="71"/>
    </row>
    <row r="301" spans="4:8" s="72" customFormat="1" ht="12.75">
      <c r="D301" s="96"/>
      <c r="E301" s="96"/>
      <c r="F301" s="96"/>
      <c r="G301" s="70"/>
      <c r="H301" s="71"/>
    </row>
    <row r="302" spans="4:8" s="72" customFormat="1" ht="12.75">
      <c r="D302" s="96"/>
      <c r="E302" s="96"/>
      <c r="F302" s="96"/>
      <c r="G302" s="70"/>
      <c r="H302" s="71"/>
    </row>
    <row r="303" spans="4:8" s="72" customFormat="1" ht="12.75">
      <c r="D303" s="96"/>
      <c r="E303" s="96"/>
      <c r="F303" s="96"/>
      <c r="G303" s="70"/>
      <c r="H303" s="71"/>
    </row>
    <row r="304" spans="4:8" s="72" customFormat="1" ht="12.75">
      <c r="D304" s="96"/>
      <c r="E304" s="96"/>
      <c r="F304" s="96"/>
      <c r="G304" s="70"/>
      <c r="H304" s="71"/>
    </row>
    <row r="305" spans="4:8" s="72" customFormat="1" ht="12.75">
      <c r="D305" s="96"/>
      <c r="E305" s="96"/>
      <c r="F305" s="96"/>
      <c r="G305" s="70"/>
      <c r="H305" s="71"/>
    </row>
    <row r="306" spans="4:8" s="72" customFormat="1" ht="12.75">
      <c r="D306" s="96"/>
      <c r="E306" s="96"/>
      <c r="F306" s="96"/>
      <c r="G306" s="70"/>
      <c r="H306" s="71"/>
    </row>
    <row r="307" spans="4:8" s="72" customFormat="1" ht="12.75">
      <c r="D307" s="96"/>
      <c r="E307" s="96"/>
      <c r="F307" s="96"/>
      <c r="G307" s="70"/>
      <c r="H307" s="71"/>
    </row>
    <row r="308" spans="4:8" s="72" customFormat="1" ht="12.75">
      <c r="D308" s="96"/>
      <c r="E308" s="96"/>
      <c r="F308" s="96"/>
      <c r="G308" s="70"/>
      <c r="H308" s="71"/>
    </row>
    <row r="309" spans="4:8" s="72" customFormat="1" ht="12.75">
      <c r="D309" s="96"/>
      <c r="E309" s="96"/>
      <c r="F309" s="96"/>
      <c r="G309" s="70"/>
      <c r="H309" s="71"/>
    </row>
    <row r="310" spans="4:8" s="72" customFormat="1" ht="12.75">
      <c r="D310" s="96"/>
      <c r="E310" s="96"/>
      <c r="F310" s="96"/>
      <c r="G310" s="70"/>
      <c r="H310" s="71"/>
    </row>
    <row r="311" spans="4:8" s="72" customFormat="1" ht="12.75">
      <c r="D311" s="96"/>
      <c r="E311" s="96"/>
      <c r="F311" s="96"/>
      <c r="G311" s="70"/>
      <c r="H311" s="71"/>
    </row>
    <row r="312" spans="4:8" s="72" customFormat="1" ht="12.75">
      <c r="D312" s="96"/>
      <c r="E312" s="96"/>
      <c r="F312" s="96"/>
      <c r="G312" s="70"/>
      <c r="H312" s="71"/>
    </row>
    <row r="313" spans="4:8" s="72" customFormat="1" ht="12.75">
      <c r="D313" s="96"/>
      <c r="E313" s="96"/>
      <c r="F313" s="96"/>
      <c r="G313" s="70"/>
      <c r="H313" s="71"/>
    </row>
    <row r="314" spans="4:8" s="72" customFormat="1" ht="12.75">
      <c r="D314" s="96"/>
      <c r="E314" s="96"/>
      <c r="F314" s="96"/>
      <c r="G314" s="70"/>
      <c r="H314" s="71"/>
    </row>
    <row r="315" spans="4:8" s="72" customFormat="1" ht="12.75">
      <c r="D315" s="96"/>
      <c r="E315" s="96"/>
      <c r="F315" s="96"/>
      <c r="G315" s="70"/>
      <c r="H315" s="71"/>
    </row>
    <row r="316" spans="4:8" s="72" customFormat="1" ht="12.75">
      <c r="D316" s="96"/>
      <c r="E316" s="96"/>
      <c r="F316" s="96"/>
      <c r="G316" s="70"/>
      <c r="H316" s="71"/>
    </row>
    <row r="317" spans="4:8" s="72" customFormat="1" ht="12.75">
      <c r="D317" s="96"/>
      <c r="E317" s="96"/>
      <c r="F317" s="96"/>
      <c r="G317" s="70"/>
      <c r="H317" s="71"/>
    </row>
    <row r="318" spans="4:8" s="72" customFormat="1" ht="12.75">
      <c r="D318" s="96"/>
      <c r="E318" s="96"/>
      <c r="F318" s="96"/>
      <c r="G318" s="70"/>
      <c r="H318" s="71"/>
    </row>
    <row r="319" spans="4:8" s="72" customFormat="1" ht="12.75">
      <c r="D319" s="96"/>
      <c r="E319" s="96"/>
      <c r="F319" s="96"/>
      <c r="G319" s="70"/>
      <c r="H319" s="71"/>
    </row>
    <row r="320" spans="4:8" s="72" customFormat="1" ht="12.75">
      <c r="D320" s="96"/>
      <c r="E320" s="96"/>
      <c r="F320" s="96"/>
      <c r="G320" s="70"/>
      <c r="H320" s="71"/>
    </row>
    <row r="321" spans="4:8" s="72" customFormat="1" ht="12.75">
      <c r="D321" s="96"/>
      <c r="E321" s="96"/>
      <c r="F321" s="96"/>
      <c r="G321" s="70"/>
      <c r="H321" s="71"/>
    </row>
    <row r="322" spans="4:8" s="72" customFormat="1" ht="12.75">
      <c r="D322" s="96"/>
      <c r="E322" s="96"/>
      <c r="F322" s="96"/>
      <c r="G322" s="70"/>
      <c r="H322" s="71"/>
    </row>
    <row r="323" spans="4:8" s="72" customFormat="1" ht="12.75">
      <c r="D323" s="96"/>
      <c r="E323" s="96"/>
      <c r="F323" s="96"/>
      <c r="G323" s="70"/>
      <c r="H323" s="71"/>
    </row>
    <row r="324" spans="4:8" s="72" customFormat="1" ht="12.75">
      <c r="D324" s="96"/>
      <c r="E324" s="96"/>
      <c r="F324" s="96"/>
      <c r="G324" s="70"/>
      <c r="H324" s="71"/>
    </row>
    <row r="325" spans="4:8" s="72" customFormat="1" ht="12.75">
      <c r="D325" s="96"/>
      <c r="E325" s="96"/>
      <c r="F325" s="96"/>
      <c r="G325" s="70"/>
      <c r="H325" s="71"/>
    </row>
    <row r="326" spans="4:8" s="72" customFormat="1" ht="12.75">
      <c r="D326" s="96"/>
      <c r="E326" s="96"/>
      <c r="F326" s="96"/>
      <c r="G326" s="70"/>
      <c r="H326" s="71"/>
    </row>
    <row r="327" spans="4:8" s="72" customFormat="1" ht="12.75">
      <c r="D327" s="96"/>
      <c r="E327" s="96"/>
      <c r="F327" s="96"/>
      <c r="G327" s="70"/>
      <c r="H327" s="71"/>
    </row>
    <row r="328" spans="4:8" s="72" customFormat="1" ht="12.75">
      <c r="D328" s="96"/>
      <c r="E328" s="96"/>
      <c r="F328" s="96"/>
      <c r="G328" s="70"/>
      <c r="H328" s="71"/>
    </row>
    <row r="329" spans="4:8" s="72" customFormat="1" ht="12.75">
      <c r="D329" s="96"/>
      <c r="E329" s="96"/>
      <c r="F329" s="96"/>
      <c r="G329" s="70"/>
      <c r="H329" s="71"/>
    </row>
    <row r="330" spans="4:8" s="72" customFormat="1" ht="12.75">
      <c r="D330" s="96"/>
      <c r="E330" s="96"/>
      <c r="F330" s="96"/>
      <c r="G330" s="70"/>
      <c r="H330" s="71"/>
    </row>
    <row r="331" spans="4:8" s="72" customFormat="1" ht="12.75">
      <c r="D331" s="96"/>
      <c r="E331" s="96"/>
      <c r="F331" s="96"/>
      <c r="G331" s="70"/>
      <c r="H331" s="71"/>
    </row>
    <row r="332" spans="4:8" s="72" customFormat="1" ht="12.75">
      <c r="D332" s="96"/>
      <c r="E332" s="96"/>
      <c r="F332" s="96"/>
      <c r="G332" s="70"/>
      <c r="H332" s="71"/>
    </row>
    <row r="333" spans="4:8" s="72" customFormat="1" ht="12.75">
      <c r="D333" s="96"/>
      <c r="E333" s="96"/>
      <c r="F333" s="96"/>
      <c r="G333" s="70"/>
      <c r="H333" s="71"/>
    </row>
    <row r="334" spans="4:8" s="72" customFormat="1" ht="12.75">
      <c r="D334" s="96"/>
      <c r="E334" s="96"/>
      <c r="F334" s="96"/>
      <c r="G334" s="70"/>
      <c r="H334" s="71"/>
    </row>
    <row r="335" spans="4:8" s="72" customFormat="1" ht="12.75">
      <c r="D335" s="96"/>
      <c r="E335" s="96"/>
      <c r="F335" s="96"/>
      <c r="G335" s="70"/>
      <c r="H335" s="71"/>
    </row>
    <row r="336" spans="4:8" s="72" customFormat="1" ht="12.75">
      <c r="D336" s="96"/>
      <c r="E336" s="96"/>
      <c r="F336" s="96"/>
      <c r="G336" s="70"/>
      <c r="H336" s="71"/>
    </row>
    <row r="337" spans="4:8" s="72" customFormat="1" ht="12.75">
      <c r="D337" s="96"/>
      <c r="E337" s="96"/>
      <c r="F337" s="96"/>
      <c r="G337" s="70"/>
      <c r="H337" s="71"/>
    </row>
    <row r="338" spans="4:8" s="72" customFormat="1" ht="12.75">
      <c r="D338" s="96"/>
      <c r="E338" s="96"/>
      <c r="F338" s="96"/>
      <c r="G338" s="70"/>
      <c r="H338" s="71"/>
    </row>
    <row r="339" spans="4:8" s="72" customFormat="1" ht="12.75">
      <c r="D339" s="96"/>
      <c r="E339" s="96"/>
      <c r="F339" s="96"/>
      <c r="G339" s="70"/>
      <c r="H339" s="71"/>
    </row>
    <row r="340" spans="4:8" s="72" customFormat="1" ht="12.75">
      <c r="D340" s="96"/>
      <c r="E340" s="96"/>
      <c r="F340" s="96"/>
      <c r="G340" s="70"/>
      <c r="H340" s="71"/>
    </row>
    <row r="341" spans="4:8" s="72" customFormat="1" ht="12.75">
      <c r="D341" s="96"/>
      <c r="E341" s="96"/>
      <c r="F341" s="96"/>
      <c r="G341" s="70"/>
      <c r="H341" s="71"/>
    </row>
    <row r="342" spans="4:8" s="72" customFormat="1" ht="12.75">
      <c r="D342" s="96"/>
      <c r="E342" s="96"/>
      <c r="F342" s="96"/>
      <c r="G342" s="70"/>
      <c r="H342" s="71"/>
    </row>
    <row r="343" spans="4:8" s="72" customFormat="1" ht="12.75">
      <c r="D343" s="96"/>
      <c r="E343" s="96"/>
      <c r="F343" s="96"/>
      <c r="G343" s="70"/>
      <c r="H343" s="71"/>
    </row>
    <row r="344" spans="4:8" s="72" customFormat="1" ht="12.75">
      <c r="D344" s="96"/>
      <c r="E344" s="96"/>
      <c r="F344" s="96"/>
      <c r="G344" s="70"/>
      <c r="H344" s="71"/>
    </row>
    <row r="345" spans="4:8" s="72" customFormat="1" ht="12.75">
      <c r="D345" s="96"/>
      <c r="E345" s="96"/>
      <c r="F345" s="96"/>
      <c r="G345" s="70"/>
      <c r="H345" s="71"/>
    </row>
    <row r="346" spans="4:8" s="72" customFormat="1" ht="12.75">
      <c r="D346" s="96"/>
      <c r="E346" s="96"/>
      <c r="F346" s="96"/>
      <c r="G346" s="70"/>
      <c r="H346" s="71"/>
    </row>
    <row r="347" spans="4:8" s="72" customFormat="1" ht="12.75">
      <c r="D347" s="96"/>
      <c r="E347" s="96"/>
      <c r="F347" s="96"/>
      <c r="G347" s="70"/>
      <c r="H347" s="71"/>
    </row>
    <row r="348" spans="4:8" s="72" customFormat="1" ht="12.75">
      <c r="D348" s="96"/>
      <c r="E348" s="96"/>
      <c r="F348" s="96"/>
      <c r="G348" s="70"/>
      <c r="H348" s="71"/>
    </row>
    <row r="349" spans="4:8" s="72" customFormat="1" ht="12.75">
      <c r="D349" s="96"/>
      <c r="E349" s="96"/>
      <c r="F349" s="96"/>
      <c r="G349" s="70"/>
      <c r="H349" s="71"/>
    </row>
    <row r="350" spans="4:8" s="72" customFormat="1" ht="12.75">
      <c r="D350" s="96"/>
      <c r="E350" s="96"/>
      <c r="F350" s="96"/>
      <c r="G350" s="70"/>
      <c r="H350" s="71"/>
    </row>
    <row r="351" spans="4:8" s="72" customFormat="1" ht="12.75">
      <c r="D351" s="96"/>
      <c r="E351" s="96"/>
      <c r="F351" s="96"/>
      <c r="G351" s="70"/>
      <c r="H351" s="71"/>
    </row>
    <row r="352" spans="4:8" s="72" customFormat="1" ht="12.75">
      <c r="D352" s="96"/>
      <c r="E352" s="96"/>
      <c r="F352" s="96"/>
      <c r="G352" s="70"/>
      <c r="H352" s="71"/>
    </row>
    <row r="353" spans="4:8" s="72" customFormat="1" ht="12.75">
      <c r="D353" s="96"/>
      <c r="E353" s="96"/>
      <c r="F353" s="96"/>
      <c r="G353" s="70"/>
      <c r="H353" s="71"/>
    </row>
    <row r="354" spans="4:8" s="72" customFormat="1" ht="12.75">
      <c r="D354" s="96"/>
      <c r="E354" s="96"/>
      <c r="F354" s="96"/>
      <c r="G354" s="70"/>
      <c r="H354" s="71"/>
    </row>
    <row r="355" spans="4:8" s="72" customFormat="1" ht="12.75">
      <c r="D355" s="96"/>
      <c r="E355" s="96"/>
      <c r="F355" s="96"/>
      <c r="G355" s="70"/>
      <c r="H355" s="71"/>
    </row>
    <row r="356" spans="4:8" s="72" customFormat="1" ht="12.75">
      <c r="D356" s="96"/>
      <c r="E356" s="96"/>
      <c r="F356" s="96"/>
      <c r="G356" s="70"/>
      <c r="H356" s="71"/>
    </row>
    <row r="357" spans="4:8" s="72" customFormat="1" ht="12.75">
      <c r="D357" s="96"/>
      <c r="E357" s="96"/>
      <c r="F357" s="96"/>
      <c r="G357" s="70"/>
      <c r="H357" s="71"/>
    </row>
    <row r="358" spans="4:8" s="72" customFormat="1" ht="12.75">
      <c r="D358" s="96"/>
      <c r="E358" s="96"/>
      <c r="F358" s="96"/>
      <c r="G358" s="70"/>
      <c r="H358" s="71"/>
    </row>
    <row r="359" spans="4:8" s="72" customFormat="1" ht="12.75">
      <c r="D359" s="96"/>
      <c r="E359" s="96"/>
      <c r="F359" s="96"/>
      <c r="G359" s="70"/>
      <c r="H359" s="71"/>
    </row>
    <row r="360" spans="4:8" s="72" customFormat="1" ht="12.75">
      <c r="D360" s="96"/>
      <c r="E360" s="96"/>
      <c r="F360" s="96"/>
      <c r="G360" s="70"/>
      <c r="H360" s="71"/>
    </row>
    <row r="361" spans="4:8" s="72" customFormat="1" ht="12.75">
      <c r="D361" s="96"/>
      <c r="E361" s="96"/>
      <c r="F361" s="96"/>
      <c r="G361" s="70"/>
      <c r="H361" s="71"/>
    </row>
    <row r="362" spans="4:8" s="72" customFormat="1" ht="12.75">
      <c r="D362" s="96"/>
      <c r="E362" s="96"/>
      <c r="F362" s="96"/>
      <c r="G362" s="70"/>
      <c r="H362" s="71"/>
    </row>
    <row r="363" spans="4:8" s="72" customFormat="1" ht="12.75">
      <c r="D363" s="96"/>
      <c r="E363" s="96"/>
      <c r="F363" s="96"/>
      <c r="G363" s="70"/>
      <c r="H363" s="71"/>
    </row>
    <row r="364" spans="4:8" s="72" customFormat="1" ht="12.75">
      <c r="D364" s="96"/>
      <c r="E364" s="96"/>
      <c r="F364" s="96"/>
      <c r="G364" s="70"/>
      <c r="H364" s="71"/>
    </row>
    <row r="365" spans="4:8" s="72" customFormat="1" ht="12.75">
      <c r="D365" s="96"/>
      <c r="E365" s="96"/>
      <c r="F365" s="96"/>
      <c r="G365" s="70"/>
      <c r="H365" s="71"/>
    </row>
    <row r="366" spans="4:8" s="72" customFormat="1" ht="12.75">
      <c r="D366" s="96"/>
      <c r="E366" s="96"/>
      <c r="F366" s="96"/>
      <c r="G366" s="70"/>
      <c r="H366" s="71"/>
    </row>
    <row r="367" spans="4:8" s="72" customFormat="1" ht="12.75">
      <c r="D367" s="96"/>
      <c r="E367" s="96"/>
      <c r="F367" s="96"/>
      <c r="G367" s="70"/>
      <c r="H367" s="71"/>
    </row>
    <row r="368" spans="4:8" s="72" customFormat="1" ht="12.75">
      <c r="D368" s="96"/>
      <c r="E368" s="96"/>
      <c r="F368" s="96"/>
      <c r="G368" s="70"/>
      <c r="H368" s="71"/>
    </row>
    <row r="369" spans="4:8" s="72" customFormat="1" ht="12.75">
      <c r="D369" s="96"/>
      <c r="E369" s="96"/>
      <c r="F369" s="96"/>
      <c r="G369" s="70"/>
      <c r="H369" s="71"/>
    </row>
    <row r="370" spans="4:8" s="72" customFormat="1" ht="12.75">
      <c r="D370" s="96"/>
      <c r="E370" s="96"/>
      <c r="F370" s="96"/>
      <c r="G370" s="70"/>
      <c r="H370" s="71"/>
    </row>
    <row r="371" spans="4:8" s="72" customFormat="1" ht="12.75">
      <c r="D371" s="96"/>
      <c r="E371" s="96"/>
      <c r="F371" s="96"/>
      <c r="G371" s="70"/>
      <c r="H371" s="71"/>
    </row>
    <row r="372" spans="4:8" s="72" customFormat="1" ht="12.75">
      <c r="D372" s="96"/>
      <c r="E372" s="96"/>
      <c r="F372" s="96"/>
      <c r="G372" s="70"/>
      <c r="H372" s="71"/>
    </row>
    <row r="373" spans="4:8" s="72" customFormat="1" ht="12.75">
      <c r="D373" s="96"/>
      <c r="E373" s="96"/>
      <c r="F373" s="96"/>
      <c r="G373" s="70"/>
      <c r="H373" s="71"/>
    </row>
    <row r="374" spans="4:8" s="72" customFormat="1" ht="12.75">
      <c r="D374" s="96"/>
      <c r="E374" s="96"/>
      <c r="F374" s="96"/>
      <c r="G374" s="70"/>
      <c r="H374" s="71"/>
    </row>
    <row r="375" spans="4:8" s="72" customFormat="1" ht="12.75">
      <c r="D375" s="96"/>
      <c r="E375" s="96"/>
      <c r="F375" s="96"/>
      <c r="G375" s="70"/>
      <c r="H375" s="71"/>
    </row>
    <row r="376" spans="4:8" s="72" customFormat="1" ht="12.75">
      <c r="D376" s="96"/>
      <c r="E376" s="96"/>
      <c r="F376" s="96"/>
      <c r="G376" s="70"/>
      <c r="H376" s="71"/>
    </row>
    <row r="377" spans="4:8" s="72" customFormat="1" ht="12.75">
      <c r="D377" s="96"/>
      <c r="E377" s="96"/>
      <c r="F377" s="96"/>
      <c r="G377" s="70"/>
      <c r="H377" s="71"/>
    </row>
    <row r="378" spans="4:8" s="72" customFormat="1" ht="12.75">
      <c r="D378" s="96"/>
      <c r="E378" s="96"/>
      <c r="F378" s="96"/>
      <c r="G378" s="70"/>
      <c r="H378" s="71"/>
    </row>
    <row r="379" spans="4:8" s="72" customFormat="1" ht="12.75">
      <c r="D379" s="96"/>
      <c r="E379" s="96"/>
      <c r="F379" s="96"/>
      <c r="G379" s="70"/>
      <c r="H379" s="71"/>
    </row>
    <row r="380" spans="4:8" s="72" customFormat="1" ht="12.75">
      <c r="D380" s="96"/>
      <c r="E380" s="96"/>
      <c r="F380" s="96"/>
      <c r="G380" s="70"/>
      <c r="H380" s="71"/>
    </row>
    <row r="381" spans="4:8" s="72" customFormat="1" ht="12.75">
      <c r="D381" s="96"/>
      <c r="E381" s="96"/>
      <c r="F381" s="96"/>
      <c r="G381" s="70"/>
      <c r="H381" s="71"/>
    </row>
    <row r="382" spans="4:8" s="72" customFormat="1" ht="12.75">
      <c r="D382" s="96"/>
      <c r="E382" s="96"/>
      <c r="F382" s="96"/>
      <c r="G382" s="70"/>
      <c r="H382" s="71"/>
    </row>
    <row r="383" spans="4:8" s="72" customFormat="1" ht="12.75">
      <c r="D383" s="96"/>
      <c r="E383" s="96"/>
      <c r="F383" s="96"/>
      <c r="G383" s="70"/>
      <c r="H383" s="71"/>
    </row>
    <row r="384" spans="4:8" s="72" customFormat="1" ht="12.75">
      <c r="D384" s="96"/>
      <c r="E384" s="96"/>
      <c r="F384" s="96"/>
      <c r="G384" s="70"/>
      <c r="H384" s="71"/>
    </row>
    <row r="385" spans="4:8" s="72" customFormat="1" ht="12.75">
      <c r="D385" s="96"/>
      <c r="E385" s="96"/>
      <c r="F385" s="96"/>
      <c r="G385" s="70"/>
      <c r="H385" s="71"/>
    </row>
    <row r="386" spans="4:8" s="72" customFormat="1" ht="12.75">
      <c r="D386" s="96"/>
      <c r="E386" s="96"/>
      <c r="F386" s="96"/>
      <c r="G386" s="70"/>
      <c r="H386" s="71"/>
    </row>
    <row r="387" spans="4:8" s="72" customFormat="1" ht="12.75">
      <c r="D387" s="96"/>
      <c r="E387" s="96"/>
      <c r="F387" s="96"/>
      <c r="G387" s="70"/>
      <c r="H387" s="71"/>
    </row>
    <row r="388" spans="4:8" s="72" customFormat="1" ht="12.75">
      <c r="D388" s="96"/>
      <c r="E388" s="96"/>
      <c r="F388" s="96"/>
      <c r="G388" s="70"/>
      <c r="H388" s="71"/>
    </row>
    <row r="389" spans="4:8" s="72" customFormat="1" ht="12.75">
      <c r="D389" s="96"/>
      <c r="E389" s="96"/>
      <c r="F389" s="96"/>
      <c r="G389" s="70"/>
      <c r="H389" s="71"/>
    </row>
    <row r="390" spans="4:8" s="72" customFormat="1" ht="12.75">
      <c r="D390" s="96"/>
      <c r="E390" s="96"/>
      <c r="F390" s="96"/>
      <c r="G390" s="70"/>
      <c r="H390" s="71"/>
    </row>
    <row r="391" spans="4:8" s="72" customFormat="1" ht="12.75">
      <c r="D391" s="96"/>
      <c r="E391" s="96"/>
      <c r="F391" s="96"/>
      <c r="G391" s="70"/>
      <c r="H391" s="71"/>
    </row>
    <row r="392" spans="4:8" s="72" customFormat="1" ht="12.75">
      <c r="D392" s="96"/>
      <c r="E392" s="96"/>
      <c r="F392" s="96"/>
      <c r="G392" s="70"/>
      <c r="H392" s="71"/>
    </row>
    <row r="393" spans="4:8" s="72" customFormat="1" ht="12.75">
      <c r="D393" s="96"/>
      <c r="E393" s="96"/>
      <c r="F393" s="96"/>
      <c r="G393" s="70"/>
      <c r="H393" s="71"/>
    </row>
    <row r="394" spans="4:8" s="72" customFormat="1" ht="12.75">
      <c r="D394" s="96"/>
      <c r="E394" s="96"/>
      <c r="F394" s="96"/>
      <c r="G394" s="70"/>
      <c r="H394" s="71"/>
    </row>
    <row r="395" spans="4:8" s="72" customFormat="1" ht="12.75">
      <c r="D395" s="96"/>
      <c r="E395" s="96"/>
      <c r="F395" s="96"/>
      <c r="G395" s="70"/>
      <c r="H395" s="71"/>
    </row>
    <row r="396" spans="4:8" s="72" customFormat="1" ht="12.75">
      <c r="D396" s="96"/>
      <c r="E396" s="96"/>
      <c r="F396" s="96"/>
      <c r="G396" s="70"/>
      <c r="H396" s="71"/>
    </row>
    <row r="397" spans="4:8" s="72" customFormat="1" ht="12.75">
      <c r="D397" s="96"/>
      <c r="E397" s="96"/>
      <c r="F397" s="96"/>
      <c r="G397" s="70"/>
      <c r="H397" s="71"/>
    </row>
    <row r="398" spans="4:8" s="72" customFormat="1" ht="12.75">
      <c r="D398" s="96"/>
      <c r="E398" s="96"/>
      <c r="F398" s="96"/>
      <c r="G398" s="70"/>
      <c r="H398" s="71"/>
    </row>
    <row r="399" spans="4:8" s="72" customFormat="1" ht="12.75">
      <c r="D399" s="96"/>
      <c r="E399" s="96"/>
      <c r="F399" s="96"/>
      <c r="G399" s="70"/>
      <c r="H399" s="71"/>
    </row>
    <row r="400" spans="4:8" s="72" customFormat="1" ht="12.75">
      <c r="D400" s="96"/>
      <c r="E400" s="96"/>
      <c r="F400" s="96"/>
      <c r="G400" s="70"/>
      <c r="H400" s="71"/>
    </row>
    <row r="401" spans="4:8" s="72" customFormat="1" ht="12.75">
      <c r="D401" s="96"/>
      <c r="E401" s="96"/>
      <c r="F401" s="96"/>
      <c r="G401" s="70"/>
      <c r="H401" s="71"/>
    </row>
    <row r="402" spans="4:8" s="72" customFormat="1" ht="12.75">
      <c r="D402" s="96"/>
      <c r="E402" s="96"/>
      <c r="F402" s="96"/>
      <c r="G402" s="70"/>
      <c r="H402" s="71"/>
    </row>
    <row r="403" spans="4:8" s="72" customFormat="1" ht="12.75">
      <c r="D403" s="96"/>
      <c r="E403" s="96"/>
      <c r="F403" s="96"/>
      <c r="G403" s="70"/>
      <c r="H403" s="71"/>
    </row>
    <row r="404" spans="4:8" s="72" customFormat="1" ht="12.75">
      <c r="D404" s="96"/>
      <c r="E404" s="96"/>
      <c r="F404" s="96"/>
      <c r="G404" s="70"/>
      <c r="H404" s="71"/>
    </row>
    <row r="405" spans="4:8" s="72" customFormat="1" ht="12.75">
      <c r="D405" s="96"/>
      <c r="E405" s="96"/>
      <c r="F405" s="96"/>
      <c r="G405" s="70"/>
      <c r="H405" s="71"/>
    </row>
    <row r="406" spans="4:8" s="72" customFormat="1" ht="12.75">
      <c r="D406" s="96"/>
      <c r="E406" s="96"/>
      <c r="F406" s="96"/>
      <c r="G406" s="70"/>
      <c r="H406" s="71"/>
    </row>
    <row r="407" spans="4:8" s="72" customFormat="1" ht="12.75">
      <c r="D407" s="96"/>
      <c r="E407" s="96"/>
      <c r="F407" s="96"/>
      <c r="G407" s="70"/>
      <c r="H407" s="71"/>
    </row>
    <row r="408" spans="4:8" s="72" customFormat="1" ht="12.75">
      <c r="D408" s="96"/>
      <c r="E408" s="96"/>
      <c r="F408" s="96"/>
      <c r="G408" s="70"/>
      <c r="H408" s="71"/>
    </row>
    <row r="409" spans="4:8" s="72" customFormat="1" ht="12.75">
      <c r="D409" s="96"/>
      <c r="E409" s="96"/>
      <c r="F409" s="96"/>
      <c r="G409" s="70"/>
      <c r="H409" s="71"/>
    </row>
    <row r="410" spans="4:8" s="72" customFormat="1" ht="12.75">
      <c r="D410" s="96"/>
      <c r="E410" s="96"/>
      <c r="F410" s="96"/>
      <c r="G410" s="70"/>
      <c r="H410" s="71"/>
    </row>
    <row r="411" spans="4:8" s="72" customFormat="1" ht="12.75">
      <c r="D411" s="96"/>
      <c r="E411" s="96"/>
      <c r="F411" s="96"/>
      <c r="G411" s="70"/>
      <c r="H411" s="71"/>
    </row>
    <row r="412" spans="4:8" s="72" customFormat="1" ht="12.75">
      <c r="D412" s="96"/>
      <c r="E412" s="96"/>
      <c r="F412" s="96"/>
      <c r="G412" s="70"/>
      <c r="H412" s="71"/>
    </row>
    <row r="413" spans="4:8" s="72" customFormat="1" ht="12.75">
      <c r="D413" s="96"/>
      <c r="E413" s="96"/>
      <c r="F413" s="96"/>
      <c r="G413" s="70"/>
      <c r="H413" s="71"/>
    </row>
    <row r="414" spans="4:8" s="72" customFormat="1" ht="12.75">
      <c r="D414" s="96"/>
      <c r="E414" s="96"/>
      <c r="F414" s="96"/>
      <c r="G414" s="70"/>
      <c r="H414" s="71"/>
    </row>
    <row r="415" spans="4:8" s="72" customFormat="1" ht="12.75">
      <c r="D415" s="96"/>
      <c r="E415" s="96"/>
      <c r="F415" s="96"/>
      <c r="G415" s="70"/>
      <c r="H415" s="71"/>
    </row>
    <row r="416" spans="4:8" s="72" customFormat="1" ht="12.75">
      <c r="D416" s="96"/>
      <c r="E416" s="96"/>
      <c r="F416" s="96"/>
      <c r="G416" s="70"/>
      <c r="H416" s="71"/>
    </row>
    <row r="417" spans="4:8" s="72" customFormat="1" ht="12.75">
      <c r="D417" s="96"/>
      <c r="E417" s="96"/>
      <c r="F417" s="96"/>
      <c r="G417" s="70"/>
      <c r="H417" s="71"/>
    </row>
    <row r="418" spans="4:8" s="72" customFormat="1" ht="12.75">
      <c r="D418" s="96"/>
      <c r="E418" s="96"/>
      <c r="F418" s="96"/>
      <c r="G418" s="70"/>
      <c r="H418" s="71"/>
    </row>
    <row r="419" spans="4:8" s="72" customFormat="1" ht="12.75">
      <c r="D419" s="96"/>
      <c r="E419" s="96"/>
      <c r="F419" s="96"/>
      <c r="G419" s="70"/>
      <c r="H419" s="71"/>
    </row>
    <row r="420" spans="4:8" s="72" customFormat="1" ht="12.75">
      <c r="D420" s="96"/>
      <c r="E420" s="96"/>
      <c r="F420" s="96"/>
      <c r="G420" s="70"/>
      <c r="H420" s="71"/>
    </row>
    <row r="421" spans="4:8" s="72" customFormat="1" ht="12.75">
      <c r="D421" s="96"/>
      <c r="E421" s="96"/>
      <c r="F421" s="96"/>
      <c r="G421" s="70"/>
      <c r="H421" s="71"/>
    </row>
    <row r="422" spans="4:8" s="72" customFormat="1" ht="12.75">
      <c r="D422" s="96"/>
      <c r="E422" s="96"/>
      <c r="F422" s="96"/>
      <c r="G422" s="70"/>
      <c r="H422" s="71"/>
    </row>
    <row r="423" spans="4:8" s="72" customFormat="1" ht="12.75">
      <c r="D423" s="96"/>
      <c r="E423" s="96"/>
      <c r="F423" s="96"/>
      <c r="G423" s="70"/>
      <c r="H423" s="71"/>
    </row>
    <row r="424" spans="4:8" s="72" customFormat="1" ht="12.75">
      <c r="D424" s="96"/>
      <c r="E424" s="96"/>
      <c r="F424" s="96"/>
      <c r="G424" s="70"/>
      <c r="H424" s="71"/>
    </row>
    <row r="425" spans="4:8" s="72" customFormat="1" ht="12.75">
      <c r="D425" s="96"/>
      <c r="E425" s="96"/>
      <c r="F425" s="96"/>
      <c r="G425" s="70"/>
      <c r="H425" s="71"/>
    </row>
    <row r="426" spans="4:8" s="72" customFormat="1" ht="12.75">
      <c r="D426" s="96"/>
      <c r="E426" s="96"/>
      <c r="F426" s="96"/>
      <c r="G426" s="70"/>
      <c r="H426" s="71"/>
    </row>
    <row r="427" spans="4:8" s="72" customFormat="1" ht="12.75">
      <c r="D427" s="96"/>
      <c r="E427" s="96"/>
      <c r="F427" s="96"/>
      <c r="G427" s="70"/>
      <c r="H427" s="71"/>
    </row>
    <row r="428" spans="4:8" s="72" customFormat="1" ht="12.75">
      <c r="D428" s="96"/>
      <c r="E428" s="96"/>
      <c r="F428" s="96"/>
      <c r="G428" s="70"/>
      <c r="H428" s="71"/>
    </row>
    <row r="429" spans="4:8" s="72" customFormat="1" ht="12.75">
      <c r="D429" s="96"/>
      <c r="E429" s="96"/>
      <c r="F429" s="96"/>
      <c r="G429" s="70"/>
      <c r="H429" s="71"/>
    </row>
    <row r="430" spans="4:8" s="72" customFormat="1" ht="12.75">
      <c r="D430" s="96"/>
      <c r="E430" s="96"/>
      <c r="F430" s="96"/>
      <c r="G430" s="70"/>
      <c r="H430" s="71"/>
    </row>
    <row r="431" spans="4:8" s="72" customFormat="1" ht="12.75">
      <c r="D431" s="96"/>
      <c r="E431" s="96"/>
      <c r="F431" s="96"/>
      <c r="G431" s="70"/>
      <c r="H431" s="71"/>
    </row>
    <row r="432" spans="4:8" s="72" customFormat="1" ht="12.75">
      <c r="D432" s="96"/>
      <c r="E432" s="96"/>
      <c r="F432" s="96"/>
      <c r="G432" s="70"/>
      <c r="H432" s="71"/>
    </row>
    <row r="433" spans="4:8" s="72" customFormat="1" ht="12.75">
      <c r="D433" s="96"/>
      <c r="E433" s="96"/>
      <c r="F433" s="96"/>
      <c r="G433" s="70"/>
      <c r="H433" s="71"/>
    </row>
    <row r="434" spans="4:8" s="72" customFormat="1" ht="12.75">
      <c r="D434" s="96"/>
      <c r="E434" s="96"/>
      <c r="F434" s="96"/>
      <c r="G434" s="70"/>
      <c r="H434" s="71"/>
    </row>
    <row r="435" spans="4:8" s="72" customFormat="1" ht="12.75">
      <c r="D435" s="96"/>
      <c r="E435" s="96"/>
      <c r="F435" s="96"/>
      <c r="G435" s="70"/>
      <c r="H435" s="71"/>
    </row>
    <row r="436" spans="4:8" s="72" customFormat="1" ht="12.75">
      <c r="D436" s="96"/>
      <c r="E436" s="96"/>
      <c r="F436" s="96"/>
      <c r="G436" s="70"/>
      <c r="H436" s="71"/>
    </row>
    <row r="437" spans="4:8" s="72" customFormat="1" ht="12.75">
      <c r="D437" s="96"/>
      <c r="E437" s="96"/>
      <c r="F437" s="96"/>
      <c r="G437" s="70"/>
      <c r="H437" s="71"/>
    </row>
    <row r="438" spans="4:8" s="72" customFormat="1" ht="12.75">
      <c r="D438" s="96"/>
      <c r="E438" s="96"/>
      <c r="F438" s="96"/>
      <c r="G438" s="70"/>
      <c r="H438" s="71"/>
    </row>
    <row r="439" spans="4:8" s="72" customFormat="1" ht="12.75">
      <c r="D439" s="96"/>
      <c r="E439" s="96"/>
      <c r="F439" s="96"/>
      <c r="G439" s="70"/>
      <c r="H439" s="71"/>
    </row>
    <row r="440" spans="4:8" s="72" customFormat="1" ht="12.75">
      <c r="D440" s="96"/>
      <c r="E440" s="96"/>
      <c r="F440" s="96"/>
      <c r="G440" s="70"/>
      <c r="H440" s="71"/>
    </row>
    <row r="441" spans="4:8" s="72" customFormat="1" ht="12.75">
      <c r="D441" s="96"/>
      <c r="E441" s="96"/>
      <c r="F441" s="96"/>
      <c r="G441" s="70"/>
      <c r="H441" s="71"/>
    </row>
    <row r="442" spans="4:8" s="72" customFormat="1" ht="12.75">
      <c r="D442" s="96"/>
      <c r="E442" s="96"/>
      <c r="F442" s="96"/>
      <c r="G442" s="70"/>
      <c r="H442" s="71"/>
    </row>
    <row r="443" spans="4:8" s="72" customFormat="1" ht="12.75">
      <c r="D443" s="96"/>
      <c r="E443" s="96"/>
      <c r="F443" s="96"/>
      <c r="G443" s="70"/>
      <c r="H443" s="71"/>
    </row>
    <row r="444" spans="4:8" s="72" customFormat="1" ht="12.75">
      <c r="D444" s="96"/>
      <c r="E444" s="96"/>
      <c r="F444" s="96"/>
      <c r="G444" s="70"/>
      <c r="H444" s="71"/>
    </row>
    <row r="445" spans="4:8" s="72" customFormat="1" ht="12.75">
      <c r="D445" s="96"/>
      <c r="E445" s="96"/>
      <c r="F445" s="96"/>
      <c r="G445" s="70"/>
      <c r="H445" s="71"/>
    </row>
    <row r="446" spans="4:8" s="72" customFormat="1" ht="12.75">
      <c r="D446" s="96"/>
      <c r="E446" s="96"/>
      <c r="F446" s="96"/>
      <c r="G446" s="70"/>
      <c r="H446" s="71"/>
    </row>
    <row r="447" spans="4:8" s="72" customFormat="1" ht="12.75">
      <c r="D447" s="96"/>
      <c r="E447" s="96"/>
      <c r="F447" s="96"/>
      <c r="G447" s="70"/>
      <c r="H447" s="71"/>
    </row>
    <row r="448" spans="4:8" s="72" customFormat="1" ht="12.75">
      <c r="D448" s="96"/>
      <c r="E448" s="96"/>
      <c r="F448" s="96"/>
      <c r="G448" s="70"/>
      <c r="H448" s="71"/>
    </row>
    <row r="449" spans="4:8" s="72" customFormat="1" ht="12.75">
      <c r="D449" s="96"/>
      <c r="E449" s="96"/>
      <c r="F449" s="96"/>
      <c r="G449" s="70"/>
      <c r="H449" s="71"/>
    </row>
    <row r="450" spans="4:8" s="72" customFormat="1" ht="12.75">
      <c r="D450" s="96"/>
      <c r="E450" s="96"/>
      <c r="F450" s="96"/>
      <c r="G450" s="70"/>
      <c r="H450" s="71"/>
    </row>
    <row r="451" spans="4:8" s="72" customFormat="1" ht="12.75">
      <c r="D451" s="96"/>
      <c r="E451" s="96"/>
      <c r="F451" s="96"/>
      <c r="G451" s="70"/>
      <c r="H451" s="71"/>
    </row>
    <row r="452" spans="4:8" s="72" customFormat="1" ht="12.75">
      <c r="D452" s="96"/>
      <c r="E452" s="96"/>
      <c r="F452" s="96"/>
      <c r="G452" s="70"/>
      <c r="H452" s="71"/>
    </row>
    <row r="453" spans="4:8" s="72" customFormat="1" ht="12.75">
      <c r="D453" s="96"/>
      <c r="E453" s="96"/>
      <c r="F453" s="96"/>
      <c r="G453" s="70"/>
      <c r="H453" s="71"/>
    </row>
    <row r="454" spans="4:8" s="72" customFormat="1" ht="12.75">
      <c r="D454" s="96"/>
      <c r="E454" s="96"/>
      <c r="F454" s="96"/>
      <c r="G454" s="70"/>
      <c r="H454" s="71"/>
    </row>
    <row r="455" spans="4:8" s="72" customFormat="1" ht="12.75">
      <c r="D455" s="96"/>
      <c r="E455" s="96"/>
      <c r="F455" s="96"/>
      <c r="G455" s="70"/>
      <c r="H455" s="71"/>
    </row>
    <row r="456" spans="4:8" s="72" customFormat="1" ht="12.75">
      <c r="D456" s="96"/>
      <c r="E456" s="96"/>
      <c r="F456" s="96"/>
      <c r="G456" s="70"/>
      <c r="H456" s="71"/>
    </row>
    <row r="457" spans="4:8" s="72" customFormat="1" ht="12.75">
      <c r="D457" s="96"/>
      <c r="E457" s="96"/>
      <c r="F457" s="96"/>
      <c r="G457" s="70"/>
      <c r="H457" s="71"/>
    </row>
    <row r="458" spans="4:8" s="72" customFormat="1" ht="12.75">
      <c r="D458" s="96"/>
      <c r="E458" s="96"/>
      <c r="F458" s="96"/>
      <c r="G458" s="70"/>
      <c r="H458" s="71"/>
    </row>
    <row r="459" spans="4:8" s="72" customFormat="1" ht="12.75">
      <c r="D459" s="96"/>
      <c r="E459" s="96"/>
      <c r="F459" s="96"/>
      <c r="G459" s="70"/>
      <c r="H459" s="71"/>
    </row>
    <row r="460" spans="4:8" s="72" customFormat="1" ht="12.75">
      <c r="D460" s="96"/>
      <c r="E460" s="96"/>
      <c r="F460" s="96"/>
      <c r="G460" s="70"/>
      <c r="H460" s="71"/>
    </row>
    <row r="461" spans="4:8" s="72" customFormat="1" ht="12.75">
      <c r="D461" s="96"/>
      <c r="E461" s="96"/>
      <c r="F461" s="96"/>
      <c r="G461" s="70"/>
      <c r="H461" s="71"/>
    </row>
    <row r="462" spans="4:8" s="72" customFormat="1" ht="12.75">
      <c r="D462" s="96"/>
      <c r="E462" s="96"/>
      <c r="F462" s="96"/>
      <c r="G462" s="70"/>
      <c r="H462" s="71"/>
    </row>
    <row r="463" spans="4:8" s="72" customFormat="1" ht="12.75">
      <c r="D463" s="96"/>
      <c r="E463" s="96"/>
      <c r="F463" s="96"/>
      <c r="G463" s="70"/>
      <c r="H463" s="71"/>
    </row>
    <row r="464" spans="4:8" s="72" customFormat="1" ht="12.75">
      <c r="D464" s="96"/>
      <c r="E464" s="96"/>
      <c r="F464" s="96"/>
      <c r="G464" s="70"/>
      <c r="H464" s="71"/>
    </row>
    <row r="465" spans="4:8" s="72" customFormat="1" ht="12.75">
      <c r="D465" s="96"/>
      <c r="E465" s="96"/>
      <c r="F465" s="96"/>
      <c r="G465" s="70"/>
      <c r="H465" s="71"/>
    </row>
    <row r="466" spans="4:8" s="72" customFormat="1" ht="12.75">
      <c r="D466" s="96"/>
      <c r="E466" s="96"/>
      <c r="F466" s="96"/>
      <c r="G466" s="70"/>
      <c r="H466" s="71"/>
    </row>
    <row r="467" spans="4:8" s="72" customFormat="1" ht="12.75">
      <c r="D467" s="96"/>
      <c r="E467" s="96"/>
      <c r="F467" s="96"/>
      <c r="G467" s="70"/>
      <c r="H467" s="71"/>
    </row>
    <row r="468" spans="4:8" s="72" customFormat="1" ht="12.75">
      <c r="D468" s="96"/>
      <c r="E468" s="96"/>
      <c r="F468" s="96"/>
      <c r="G468" s="70"/>
      <c r="H468" s="71"/>
    </row>
    <row r="469" spans="4:8" s="72" customFormat="1" ht="12.75">
      <c r="D469" s="96"/>
      <c r="E469" s="96"/>
      <c r="F469" s="96"/>
      <c r="G469" s="70"/>
      <c r="H469" s="71"/>
    </row>
    <row r="470" spans="4:8" s="72" customFormat="1" ht="12.75">
      <c r="D470" s="96"/>
      <c r="E470" s="96"/>
      <c r="F470" s="96"/>
      <c r="G470" s="70"/>
      <c r="H470" s="71"/>
    </row>
    <row r="471" spans="4:8" s="72" customFormat="1" ht="12.75">
      <c r="D471" s="96"/>
      <c r="E471" s="96"/>
      <c r="F471" s="96"/>
      <c r="G471" s="70"/>
      <c r="H471" s="71"/>
    </row>
    <row r="472" spans="4:8" s="72" customFormat="1" ht="12.75">
      <c r="D472" s="96"/>
      <c r="E472" s="96"/>
      <c r="F472" s="96"/>
      <c r="G472" s="70"/>
      <c r="H472" s="71"/>
    </row>
    <row r="473" spans="4:8" s="72" customFormat="1" ht="12.75">
      <c r="D473" s="96"/>
      <c r="E473" s="96"/>
      <c r="F473" s="96"/>
      <c r="G473" s="70"/>
      <c r="H473" s="71"/>
    </row>
    <row r="474" spans="4:8" s="72" customFormat="1" ht="12.75">
      <c r="D474" s="96"/>
      <c r="E474" s="96"/>
      <c r="F474" s="96"/>
      <c r="G474" s="70"/>
      <c r="H474" s="71"/>
    </row>
    <row r="475" spans="4:8" s="72" customFormat="1" ht="12.75">
      <c r="D475" s="96"/>
      <c r="E475" s="96"/>
      <c r="F475" s="96"/>
      <c r="G475" s="70"/>
      <c r="H475" s="71"/>
    </row>
    <row r="476" spans="4:8" s="72" customFormat="1" ht="12.75">
      <c r="D476" s="96"/>
      <c r="E476" s="96"/>
      <c r="F476" s="96"/>
      <c r="G476" s="70"/>
      <c r="H476" s="71"/>
    </row>
    <row r="477" spans="4:8" s="72" customFormat="1" ht="12.75">
      <c r="D477" s="96"/>
      <c r="E477" s="96"/>
      <c r="F477" s="96"/>
      <c r="G477" s="70"/>
      <c r="H477" s="71"/>
    </row>
    <row r="478" spans="4:8" s="72" customFormat="1" ht="12.75">
      <c r="D478" s="96"/>
      <c r="E478" s="96"/>
      <c r="F478" s="96"/>
      <c r="G478" s="70"/>
      <c r="H478" s="71"/>
    </row>
    <row r="479" spans="4:8" s="72" customFormat="1" ht="12.75">
      <c r="D479" s="96"/>
      <c r="E479" s="96"/>
      <c r="F479" s="96"/>
      <c r="G479" s="70"/>
      <c r="H479" s="71"/>
    </row>
    <row r="480" spans="4:8" s="72" customFormat="1" ht="12.75">
      <c r="D480" s="96"/>
      <c r="E480" s="96"/>
      <c r="F480" s="96"/>
      <c r="G480" s="70"/>
      <c r="H480" s="71"/>
    </row>
    <row r="481" spans="4:8" s="72" customFormat="1" ht="12.75">
      <c r="D481" s="96"/>
      <c r="E481" s="96"/>
      <c r="F481" s="96"/>
      <c r="G481" s="70"/>
      <c r="H481" s="71"/>
    </row>
    <row r="482" spans="4:8" s="72" customFormat="1" ht="12.75">
      <c r="D482" s="96"/>
      <c r="E482" s="96"/>
      <c r="F482" s="96"/>
      <c r="G482" s="70"/>
      <c r="H482" s="71"/>
    </row>
    <row r="483" spans="4:8" s="72" customFormat="1" ht="12.75">
      <c r="D483" s="96"/>
      <c r="E483" s="96"/>
      <c r="F483" s="96"/>
      <c r="G483" s="70"/>
      <c r="H483" s="71"/>
    </row>
    <row r="484" spans="4:8" s="72" customFormat="1" ht="12.75">
      <c r="D484" s="96"/>
      <c r="E484" s="96"/>
      <c r="F484" s="96"/>
      <c r="G484" s="70"/>
      <c r="H484" s="71"/>
    </row>
    <row r="485" spans="4:8" s="72" customFormat="1" ht="12.75">
      <c r="D485" s="96"/>
      <c r="E485" s="96"/>
      <c r="F485" s="96"/>
      <c r="G485" s="70"/>
      <c r="H485" s="71"/>
    </row>
    <row r="486" spans="4:8" s="72" customFormat="1" ht="12.75">
      <c r="D486" s="96"/>
      <c r="E486" s="96"/>
      <c r="F486" s="96"/>
      <c r="G486" s="70"/>
      <c r="H486" s="71"/>
    </row>
    <row r="487" spans="4:8" s="72" customFormat="1" ht="12.75">
      <c r="D487" s="96"/>
      <c r="E487" s="96"/>
      <c r="F487" s="96"/>
      <c r="G487" s="70"/>
      <c r="H487" s="71"/>
    </row>
    <row r="488" spans="4:8" s="72" customFormat="1" ht="12.75">
      <c r="D488" s="96"/>
      <c r="E488" s="96"/>
      <c r="F488" s="96"/>
      <c r="G488" s="70"/>
      <c r="H488" s="71"/>
    </row>
    <row r="489" spans="4:8" s="72" customFormat="1" ht="12.75">
      <c r="D489" s="96"/>
      <c r="E489" s="96"/>
      <c r="F489" s="96"/>
      <c r="G489" s="70"/>
      <c r="H489" s="71"/>
    </row>
    <row r="490" spans="4:8" s="72" customFormat="1" ht="12.75">
      <c r="D490" s="96"/>
      <c r="E490" s="96"/>
      <c r="F490" s="96"/>
      <c r="G490" s="70"/>
      <c r="H490" s="71"/>
    </row>
    <row r="491" spans="4:8" s="72" customFormat="1" ht="12.75">
      <c r="D491" s="96"/>
      <c r="E491" s="96"/>
      <c r="F491" s="96"/>
      <c r="G491" s="70"/>
      <c r="H491" s="71"/>
    </row>
    <row r="492" spans="4:8" s="72" customFormat="1" ht="12.75">
      <c r="D492" s="96"/>
      <c r="E492" s="96"/>
      <c r="F492" s="96"/>
      <c r="G492" s="70"/>
      <c r="H492" s="71"/>
    </row>
    <row r="493" spans="4:8" s="72" customFormat="1" ht="12.75">
      <c r="D493" s="96"/>
      <c r="E493" s="96"/>
      <c r="F493" s="96"/>
      <c r="G493" s="70"/>
      <c r="H493" s="71"/>
    </row>
    <row r="494" spans="4:8" s="72" customFormat="1" ht="12.75">
      <c r="D494" s="96"/>
      <c r="E494" s="96"/>
      <c r="F494" s="96"/>
      <c r="G494" s="70"/>
      <c r="H494" s="71"/>
    </row>
    <row r="495" spans="4:8" s="72" customFormat="1" ht="12.75">
      <c r="D495" s="96"/>
      <c r="E495" s="96"/>
      <c r="F495" s="96"/>
      <c r="G495" s="70"/>
      <c r="H495" s="71"/>
    </row>
    <row r="496" spans="4:8" s="72" customFormat="1" ht="12.75">
      <c r="D496" s="96"/>
      <c r="E496" s="96"/>
      <c r="F496" s="96"/>
      <c r="G496" s="70"/>
      <c r="H496" s="71"/>
    </row>
    <row r="497" spans="4:8" s="72" customFormat="1" ht="12.75">
      <c r="D497" s="96"/>
      <c r="E497" s="96"/>
      <c r="F497" s="96"/>
      <c r="G497" s="70"/>
      <c r="H497" s="71"/>
    </row>
    <row r="498" spans="4:8" s="72" customFormat="1" ht="12.75">
      <c r="D498" s="96"/>
      <c r="E498" s="96"/>
      <c r="F498" s="96"/>
      <c r="G498" s="70"/>
      <c r="H498" s="71"/>
    </row>
    <row r="499" spans="4:8" s="72" customFormat="1" ht="12.75">
      <c r="D499" s="96"/>
      <c r="E499" s="96"/>
      <c r="F499" s="96"/>
      <c r="G499" s="70"/>
      <c r="H499" s="71"/>
    </row>
    <row r="500" spans="4:8" s="72" customFormat="1" ht="12.75">
      <c r="D500" s="96"/>
      <c r="E500" s="96"/>
      <c r="F500" s="96"/>
      <c r="G500" s="70"/>
      <c r="H500" s="71"/>
    </row>
    <row r="501" spans="4:8" s="72" customFormat="1" ht="12.75">
      <c r="D501" s="96"/>
      <c r="E501" s="96"/>
      <c r="F501" s="96"/>
      <c r="G501" s="70"/>
      <c r="H501" s="71"/>
    </row>
    <row r="502" spans="4:8" s="72" customFormat="1" ht="12.75">
      <c r="D502" s="96"/>
      <c r="E502" s="96"/>
      <c r="F502" s="96"/>
      <c r="G502" s="70"/>
      <c r="H502" s="71"/>
    </row>
    <row r="503" spans="4:8" s="72" customFormat="1" ht="12.75">
      <c r="D503" s="96"/>
      <c r="E503" s="96"/>
      <c r="F503" s="96"/>
      <c r="G503" s="70"/>
      <c r="H503" s="71"/>
    </row>
    <row r="504" spans="4:8" s="72" customFormat="1" ht="12.75">
      <c r="D504" s="96"/>
      <c r="E504" s="96"/>
      <c r="F504" s="96"/>
      <c r="G504" s="70"/>
      <c r="H504" s="71"/>
    </row>
    <row r="505" spans="4:8" s="72" customFormat="1" ht="12.75">
      <c r="D505" s="96"/>
      <c r="E505" s="96"/>
      <c r="F505" s="96"/>
      <c r="G505" s="70"/>
      <c r="H505" s="71"/>
    </row>
    <row r="506" spans="4:8" s="72" customFormat="1" ht="12.75">
      <c r="D506" s="96"/>
      <c r="E506" s="96"/>
      <c r="F506" s="96"/>
      <c r="G506" s="70"/>
      <c r="H506" s="71"/>
    </row>
    <row r="507" spans="4:8" s="72" customFormat="1" ht="12.75">
      <c r="D507" s="96"/>
      <c r="E507" s="96"/>
      <c r="F507" s="96"/>
      <c r="G507" s="70"/>
      <c r="H507" s="71"/>
    </row>
    <row r="508" spans="4:8" s="72" customFormat="1" ht="12.75">
      <c r="D508" s="96"/>
      <c r="E508" s="96"/>
      <c r="F508" s="96"/>
      <c r="G508" s="70"/>
      <c r="H508" s="71"/>
    </row>
    <row r="509" spans="4:8" s="72" customFormat="1" ht="12.75">
      <c r="D509" s="96"/>
      <c r="E509" s="96"/>
      <c r="F509" s="96"/>
      <c r="G509" s="70"/>
      <c r="H509" s="71"/>
    </row>
    <row r="510" spans="4:8" s="72" customFormat="1" ht="12.75">
      <c r="D510" s="96"/>
      <c r="E510" s="96"/>
      <c r="F510" s="96"/>
      <c r="G510" s="70"/>
      <c r="H510" s="71"/>
    </row>
    <row r="511" spans="4:8" s="72" customFormat="1" ht="12.75">
      <c r="D511" s="96"/>
      <c r="E511" s="96"/>
      <c r="F511" s="96"/>
      <c r="G511" s="70"/>
      <c r="H511" s="71"/>
    </row>
    <row r="512" spans="4:8" s="72" customFormat="1" ht="12.75">
      <c r="D512" s="96"/>
      <c r="E512" s="96"/>
      <c r="F512" s="96"/>
      <c r="G512" s="70"/>
      <c r="H512" s="71"/>
    </row>
    <row r="513" spans="4:8" s="72" customFormat="1" ht="12.75">
      <c r="D513" s="96"/>
      <c r="E513" s="96"/>
      <c r="F513" s="96"/>
      <c r="G513" s="70"/>
      <c r="H513" s="71"/>
    </row>
    <row r="514" spans="4:8" s="72" customFormat="1" ht="12.75">
      <c r="D514" s="96"/>
      <c r="E514" s="96"/>
      <c r="F514" s="96"/>
      <c r="G514" s="70"/>
      <c r="H514" s="71"/>
    </row>
    <row r="515" spans="4:8" s="72" customFormat="1" ht="12.75">
      <c r="D515" s="96"/>
      <c r="E515" s="96"/>
      <c r="F515" s="96"/>
      <c r="G515" s="70"/>
      <c r="H515" s="71"/>
    </row>
    <row r="516" spans="4:8" s="72" customFormat="1" ht="12.75">
      <c r="D516" s="96"/>
      <c r="E516" s="96"/>
      <c r="F516" s="96"/>
      <c r="G516" s="70"/>
      <c r="H516" s="71"/>
    </row>
    <row r="517" spans="4:8" s="72" customFormat="1" ht="12.75">
      <c r="D517" s="96"/>
      <c r="E517" s="96"/>
      <c r="F517" s="96"/>
      <c r="G517" s="70"/>
      <c r="H517" s="71"/>
    </row>
    <row r="518" spans="4:8" s="72" customFormat="1" ht="12.75">
      <c r="D518" s="96"/>
      <c r="E518" s="96"/>
      <c r="F518" s="96"/>
      <c r="G518" s="70"/>
      <c r="H518" s="71"/>
    </row>
    <row r="519" spans="4:8" s="72" customFormat="1" ht="12.75">
      <c r="D519" s="96"/>
      <c r="E519" s="96"/>
      <c r="F519" s="96"/>
      <c r="G519" s="70"/>
      <c r="H519" s="71"/>
    </row>
    <row r="520" spans="4:8" s="72" customFormat="1" ht="12.75">
      <c r="D520" s="96"/>
      <c r="E520" s="96"/>
      <c r="F520" s="96"/>
      <c r="G520" s="70"/>
      <c r="H520" s="71"/>
    </row>
    <row r="521" spans="4:8" s="72" customFormat="1" ht="12.75">
      <c r="D521" s="96"/>
      <c r="E521" s="96"/>
      <c r="F521" s="96"/>
      <c r="G521" s="70"/>
      <c r="H521" s="71"/>
    </row>
    <row r="522" spans="4:8" s="72" customFormat="1" ht="12.75">
      <c r="D522" s="96"/>
      <c r="E522" s="96"/>
      <c r="F522" s="96"/>
      <c r="G522" s="70"/>
      <c r="H522" s="71"/>
    </row>
    <row r="523" spans="4:8" s="72" customFormat="1" ht="12.75">
      <c r="D523" s="96"/>
      <c r="E523" s="96"/>
      <c r="F523" s="96"/>
      <c r="G523" s="70"/>
      <c r="H523" s="71"/>
    </row>
    <row r="524" spans="4:8" s="72" customFormat="1" ht="12.75">
      <c r="D524" s="96"/>
      <c r="E524" s="96"/>
      <c r="F524" s="96"/>
      <c r="G524" s="70"/>
      <c r="H524" s="71"/>
    </row>
    <row r="525" spans="4:8" s="72" customFormat="1" ht="12.75">
      <c r="D525" s="96"/>
      <c r="E525" s="96"/>
      <c r="F525" s="96"/>
      <c r="G525" s="70"/>
      <c r="H525" s="71"/>
    </row>
    <row r="526" spans="4:8" s="72" customFormat="1" ht="12.75">
      <c r="D526" s="96"/>
      <c r="E526" s="96"/>
      <c r="F526" s="96"/>
      <c r="G526" s="70"/>
      <c r="H526" s="71"/>
    </row>
    <row r="527" spans="4:8" s="72" customFormat="1" ht="12.75">
      <c r="D527" s="96"/>
      <c r="E527" s="96"/>
      <c r="F527" s="96"/>
      <c r="G527" s="70"/>
      <c r="H527" s="71"/>
    </row>
    <row r="528" spans="4:8" s="72" customFormat="1" ht="12.75">
      <c r="D528" s="96"/>
      <c r="E528" s="96"/>
      <c r="F528" s="96"/>
      <c r="G528" s="70"/>
      <c r="H528" s="71"/>
    </row>
    <row r="529" spans="4:8" s="72" customFormat="1" ht="12.75">
      <c r="D529" s="96"/>
      <c r="E529" s="96"/>
      <c r="F529" s="96"/>
      <c r="G529" s="70"/>
      <c r="H529" s="71"/>
    </row>
    <row r="530" spans="4:8" s="72" customFormat="1" ht="12.75">
      <c r="D530" s="96"/>
      <c r="E530" s="96"/>
      <c r="F530" s="96"/>
      <c r="G530" s="70"/>
      <c r="H530" s="71"/>
    </row>
    <row r="531" spans="4:8" s="72" customFormat="1" ht="12.75">
      <c r="D531" s="96"/>
      <c r="E531" s="96"/>
      <c r="F531" s="96"/>
      <c r="G531" s="70"/>
      <c r="H531" s="71"/>
    </row>
    <row r="532" spans="4:8" s="72" customFormat="1" ht="12.75">
      <c r="D532" s="96"/>
      <c r="E532" s="96"/>
      <c r="F532" s="96"/>
      <c r="G532" s="70"/>
      <c r="H532" s="71"/>
    </row>
    <row r="533" spans="4:8" s="72" customFormat="1" ht="12.75">
      <c r="D533" s="96"/>
      <c r="E533" s="96"/>
      <c r="F533" s="96"/>
      <c r="G533" s="70"/>
      <c r="H533" s="71"/>
    </row>
    <row r="534" spans="4:8" s="72" customFormat="1" ht="12.75">
      <c r="D534" s="96"/>
      <c r="E534" s="96"/>
      <c r="F534" s="96"/>
      <c r="G534" s="70"/>
      <c r="H534" s="71"/>
    </row>
    <row r="535" spans="4:8" s="72" customFormat="1" ht="12.75">
      <c r="D535" s="96"/>
      <c r="E535" s="96"/>
      <c r="F535" s="96"/>
      <c r="G535" s="70"/>
      <c r="H535" s="71"/>
    </row>
    <row r="536" spans="4:8" s="72" customFormat="1" ht="12.75">
      <c r="D536" s="96"/>
      <c r="E536" s="96"/>
      <c r="F536" s="96"/>
      <c r="G536" s="70"/>
      <c r="H536" s="71"/>
    </row>
    <row r="537" spans="4:8" s="72" customFormat="1" ht="12.75">
      <c r="D537" s="96"/>
      <c r="E537" s="96"/>
      <c r="F537" s="96"/>
      <c r="G537" s="70"/>
      <c r="H537" s="71"/>
    </row>
    <row r="538" spans="4:8" s="72" customFormat="1" ht="12.75">
      <c r="D538" s="96"/>
      <c r="E538" s="96"/>
      <c r="F538" s="96"/>
      <c r="G538" s="70"/>
      <c r="H538" s="71"/>
    </row>
    <row r="539" spans="4:8" s="72" customFormat="1" ht="12.75">
      <c r="D539" s="96"/>
      <c r="E539" s="96"/>
      <c r="F539" s="96"/>
      <c r="G539" s="70"/>
      <c r="H539" s="71"/>
    </row>
    <row r="540" spans="4:8" s="72" customFormat="1" ht="12.75">
      <c r="D540" s="96"/>
      <c r="E540" s="96"/>
      <c r="F540" s="96"/>
      <c r="G540" s="70"/>
      <c r="H540" s="71"/>
    </row>
    <row r="541" spans="4:8" s="72" customFormat="1" ht="12.75">
      <c r="D541" s="96"/>
      <c r="E541" s="96"/>
      <c r="F541" s="96"/>
      <c r="G541" s="70"/>
      <c r="H541" s="71"/>
    </row>
    <row r="542" spans="4:8" s="72" customFormat="1" ht="12.75">
      <c r="D542" s="96"/>
      <c r="E542" s="96"/>
      <c r="F542" s="96"/>
      <c r="G542" s="70"/>
      <c r="H542" s="71"/>
    </row>
    <row r="543" spans="4:8" s="72" customFormat="1" ht="12.75">
      <c r="D543" s="96"/>
      <c r="E543" s="96"/>
      <c r="F543" s="96"/>
      <c r="G543" s="70"/>
      <c r="H543" s="71"/>
    </row>
    <row r="544" spans="4:8" s="72" customFormat="1" ht="12.75">
      <c r="D544" s="96"/>
      <c r="E544" s="96"/>
      <c r="F544" s="96"/>
      <c r="G544" s="70"/>
      <c r="H544" s="71"/>
    </row>
    <row r="545" spans="4:8" s="72" customFormat="1" ht="12.75">
      <c r="D545" s="96"/>
      <c r="E545" s="96"/>
      <c r="F545" s="96"/>
      <c r="G545" s="70"/>
      <c r="H545" s="71"/>
    </row>
    <row r="546" spans="4:8" s="72" customFormat="1" ht="12.75">
      <c r="D546" s="96"/>
      <c r="E546" s="96"/>
      <c r="F546" s="96"/>
      <c r="G546" s="70"/>
      <c r="H546" s="71"/>
    </row>
    <row r="547" spans="4:8" s="72" customFormat="1" ht="12.75">
      <c r="D547" s="96"/>
      <c r="E547" s="96"/>
      <c r="F547" s="96"/>
      <c r="G547" s="70"/>
      <c r="H547" s="71"/>
    </row>
    <row r="548" spans="4:8" s="72" customFormat="1" ht="12.75">
      <c r="D548" s="96"/>
      <c r="E548" s="96"/>
      <c r="F548" s="96"/>
      <c r="G548" s="70"/>
      <c r="H548" s="71"/>
    </row>
    <row r="549" spans="4:8" s="72" customFormat="1" ht="12.75">
      <c r="D549" s="96"/>
      <c r="E549" s="96"/>
      <c r="F549" s="96"/>
      <c r="G549" s="70"/>
      <c r="H549" s="71"/>
    </row>
    <row r="550" spans="4:8" s="72" customFormat="1" ht="12.75">
      <c r="D550" s="96"/>
      <c r="E550" s="96"/>
      <c r="F550" s="96"/>
      <c r="G550" s="70"/>
      <c r="H550" s="71"/>
    </row>
    <row r="551" spans="4:8" s="72" customFormat="1" ht="12.75">
      <c r="D551" s="96"/>
      <c r="E551" s="96"/>
      <c r="F551" s="96"/>
      <c r="G551" s="70"/>
      <c r="H551" s="71"/>
    </row>
    <row r="552" spans="4:8" s="72" customFormat="1" ht="12.75">
      <c r="D552" s="96"/>
      <c r="E552" s="96"/>
      <c r="F552" s="96"/>
      <c r="G552" s="70"/>
      <c r="H552" s="71"/>
    </row>
    <row r="553" spans="4:8" s="72" customFormat="1" ht="12.75">
      <c r="D553" s="96"/>
      <c r="E553" s="96"/>
      <c r="F553" s="96"/>
      <c r="G553" s="70"/>
      <c r="H553" s="71"/>
    </row>
    <row r="554" spans="4:8" s="72" customFormat="1" ht="12.75">
      <c r="D554" s="96"/>
      <c r="E554" s="96"/>
      <c r="F554" s="96"/>
      <c r="G554" s="70"/>
      <c r="H554" s="71"/>
    </row>
    <row r="555" spans="4:8" s="72" customFormat="1" ht="12.75">
      <c r="D555" s="96"/>
      <c r="E555" s="96"/>
      <c r="F555" s="96"/>
      <c r="G555" s="70"/>
      <c r="H555" s="71"/>
    </row>
    <row r="556" spans="4:8" s="72" customFormat="1" ht="12.75">
      <c r="D556" s="96"/>
      <c r="E556" s="96"/>
      <c r="F556" s="96"/>
      <c r="G556" s="70"/>
      <c r="H556" s="71"/>
    </row>
    <row r="557" spans="4:8" s="72" customFormat="1" ht="12.75">
      <c r="D557" s="96"/>
      <c r="E557" s="96"/>
      <c r="F557" s="96"/>
      <c r="G557" s="70"/>
      <c r="H557" s="71"/>
    </row>
    <row r="558" spans="4:8" s="72" customFormat="1" ht="12.75">
      <c r="D558" s="96"/>
      <c r="E558" s="96"/>
      <c r="F558" s="96"/>
      <c r="G558" s="70"/>
      <c r="H558" s="71"/>
    </row>
    <row r="559" spans="4:8" s="72" customFormat="1" ht="12.75">
      <c r="D559" s="96"/>
      <c r="E559" s="96"/>
      <c r="F559" s="96"/>
      <c r="G559" s="70"/>
      <c r="H559" s="71"/>
    </row>
    <row r="560" spans="4:8" s="72" customFormat="1" ht="12.75">
      <c r="D560" s="96"/>
      <c r="E560" s="96"/>
      <c r="F560" s="96"/>
      <c r="G560" s="70"/>
      <c r="H560" s="71"/>
    </row>
    <row r="561" spans="4:8" s="72" customFormat="1" ht="12.75">
      <c r="D561" s="96"/>
      <c r="E561" s="96"/>
      <c r="F561" s="96"/>
      <c r="G561" s="70"/>
      <c r="H561" s="71"/>
    </row>
    <row r="562" spans="4:8" s="72" customFormat="1" ht="12.75">
      <c r="D562" s="96"/>
      <c r="E562" s="96"/>
      <c r="F562" s="96"/>
      <c r="G562" s="70"/>
      <c r="H562" s="71"/>
    </row>
    <row r="563" spans="4:8" s="72" customFormat="1" ht="12.75">
      <c r="D563" s="96"/>
      <c r="E563" s="96"/>
      <c r="F563" s="96"/>
      <c r="G563" s="70"/>
      <c r="H563" s="71"/>
    </row>
    <row r="564" spans="4:8" s="72" customFormat="1" ht="12.75">
      <c r="D564" s="96"/>
      <c r="E564" s="96"/>
      <c r="F564" s="96"/>
      <c r="G564" s="70"/>
      <c r="H564" s="71"/>
    </row>
    <row r="565" spans="4:8" s="72" customFormat="1" ht="12.75">
      <c r="D565" s="96"/>
      <c r="E565" s="96"/>
      <c r="F565" s="96"/>
      <c r="G565" s="70"/>
      <c r="H565" s="71"/>
    </row>
    <row r="566" spans="4:8" s="72" customFormat="1" ht="12.75">
      <c r="D566" s="96"/>
      <c r="E566" s="96"/>
      <c r="F566" s="96"/>
      <c r="G566" s="70"/>
      <c r="H566" s="71"/>
    </row>
    <row r="567" spans="4:8" s="72" customFormat="1" ht="12.75">
      <c r="D567" s="96"/>
      <c r="E567" s="96"/>
      <c r="F567" s="96"/>
      <c r="G567" s="70"/>
      <c r="H567" s="71"/>
    </row>
    <row r="568" spans="4:8" s="72" customFormat="1" ht="12.75">
      <c r="D568" s="96"/>
      <c r="E568" s="96"/>
      <c r="F568" s="96"/>
      <c r="G568" s="70"/>
      <c r="H568" s="71"/>
    </row>
    <row r="569" spans="4:8" s="72" customFormat="1" ht="12.75">
      <c r="D569" s="96"/>
      <c r="E569" s="96"/>
      <c r="F569" s="96"/>
      <c r="G569" s="70"/>
      <c r="H569" s="71"/>
    </row>
    <row r="570" spans="4:8" s="72" customFormat="1" ht="12.75">
      <c r="D570" s="96"/>
      <c r="E570" s="96"/>
      <c r="F570" s="96"/>
      <c r="G570" s="70"/>
      <c r="H570" s="71"/>
    </row>
    <row r="571" spans="4:8" s="72" customFormat="1" ht="12.75">
      <c r="D571" s="96"/>
      <c r="E571" s="96"/>
      <c r="F571" s="96"/>
      <c r="G571" s="70"/>
      <c r="H571" s="71"/>
    </row>
    <row r="572" spans="4:8" s="72" customFormat="1" ht="12.75">
      <c r="D572" s="96"/>
      <c r="E572" s="96"/>
      <c r="F572" s="96"/>
      <c r="G572" s="70"/>
      <c r="H572" s="71"/>
    </row>
    <row r="573" spans="4:8" s="72" customFormat="1" ht="12.75">
      <c r="D573" s="96"/>
      <c r="E573" s="96"/>
      <c r="F573" s="96"/>
      <c r="G573" s="70"/>
      <c r="H573" s="71"/>
    </row>
    <row r="574" spans="4:8" s="72" customFormat="1" ht="12.75">
      <c r="D574" s="96"/>
      <c r="E574" s="96"/>
      <c r="F574" s="96"/>
      <c r="G574" s="70"/>
      <c r="H574" s="71"/>
    </row>
    <row r="575" spans="4:8" s="72" customFormat="1" ht="12.75">
      <c r="D575" s="96"/>
      <c r="E575" s="96"/>
      <c r="F575" s="96"/>
      <c r="G575" s="70"/>
      <c r="H575" s="71"/>
    </row>
    <row r="576" spans="4:8" s="72" customFormat="1" ht="12.75">
      <c r="D576" s="96"/>
      <c r="E576" s="96"/>
      <c r="F576" s="96"/>
      <c r="G576" s="70"/>
      <c r="H576" s="71"/>
    </row>
    <row r="577" spans="4:8" s="72" customFormat="1" ht="12.75">
      <c r="D577" s="96"/>
      <c r="E577" s="96"/>
      <c r="F577" s="96"/>
      <c r="G577" s="70"/>
      <c r="H577" s="71"/>
    </row>
    <row r="578" spans="4:8" s="72" customFormat="1" ht="12.75">
      <c r="D578" s="96"/>
      <c r="E578" s="96"/>
      <c r="F578" s="96"/>
      <c r="G578" s="70"/>
      <c r="H578" s="71"/>
    </row>
    <row r="579" spans="4:8" s="72" customFormat="1" ht="12.75">
      <c r="D579" s="96"/>
      <c r="E579" s="96"/>
      <c r="F579" s="96"/>
      <c r="G579" s="70"/>
      <c r="H579" s="71"/>
    </row>
    <row r="580" spans="4:8" s="72" customFormat="1" ht="12.75">
      <c r="D580" s="96"/>
      <c r="E580" s="96"/>
      <c r="F580" s="96"/>
      <c r="G580" s="70"/>
      <c r="H580" s="71"/>
    </row>
    <row r="581" spans="4:8" s="72" customFormat="1" ht="12.75">
      <c r="D581" s="96"/>
      <c r="E581" s="96"/>
      <c r="F581" s="96"/>
      <c r="G581" s="70"/>
      <c r="H581" s="71"/>
    </row>
    <row r="582" spans="4:8" s="72" customFormat="1" ht="12.75">
      <c r="D582" s="96"/>
      <c r="E582" s="96"/>
      <c r="F582" s="96"/>
      <c r="G582" s="70"/>
      <c r="H582" s="71"/>
    </row>
    <row r="583" spans="4:8" s="72" customFormat="1" ht="12.75">
      <c r="D583" s="96"/>
      <c r="E583" s="96"/>
      <c r="F583" s="96"/>
      <c r="G583" s="70"/>
      <c r="H583" s="71"/>
    </row>
    <row r="584" spans="4:8" s="72" customFormat="1" ht="12.75">
      <c r="D584" s="96"/>
      <c r="E584" s="96"/>
      <c r="F584" s="96"/>
      <c r="G584" s="70"/>
      <c r="H584" s="71"/>
    </row>
    <row r="585" spans="4:8" s="72" customFormat="1" ht="12.75">
      <c r="D585" s="96"/>
      <c r="E585" s="96"/>
      <c r="F585" s="96"/>
      <c r="G585" s="70"/>
      <c r="H585" s="71"/>
    </row>
    <row r="586" spans="4:8" s="72" customFormat="1" ht="12.75">
      <c r="D586" s="96"/>
      <c r="E586" s="96"/>
      <c r="F586" s="96"/>
      <c r="G586" s="70"/>
      <c r="H586" s="71"/>
    </row>
    <row r="587" spans="4:8" s="72" customFormat="1" ht="12.75">
      <c r="D587" s="96"/>
      <c r="E587" s="96"/>
      <c r="F587" s="96"/>
      <c r="G587" s="70"/>
      <c r="H587" s="71"/>
    </row>
    <row r="588" spans="4:8" s="72" customFormat="1" ht="12.75">
      <c r="D588" s="96"/>
      <c r="E588" s="96"/>
      <c r="F588" s="96"/>
      <c r="G588" s="70"/>
      <c r="H588" s="71"/>
    </row>
    <row r="589" spans="4:8" s="72" customFormat="1" ht="12.75">
      <c r="D589" s="96"/>
      <c r="E589" s="96"/>
      <c r="F589" s="96"/>
      <c r="G589" s="70"/>
      <c r="H589" s="71"/>
    </row>
    <row r="590" spans="4:8" s="72" customFormat="1" ht="12.75">
      <c r="D590" s="96"/>
      <c r="E590" s="96"/>
      <c r="F590" s="96"/>
      <c r="G590" s="70"/>
      <c r="H590" s="71"/>
    </row>
    <row r="591" spans="4:8" s="72" customFormat="1" ht="12.75">
      <c r="D591" s="96"/>
      <c r="E591" s="96"/>
      <c r="F591" s="96"/>
      <c r="G591" s="70"/>
      <c r="H591" s="71"/>
    </row>
    <row r="592" spans="4:8" s="72" customFormat="1" ht="12.75">
      <c r="D592" s="96"/>
      <c r="E592" s="96"/>
      <c r="F592" s="96"/>
      <c r="G592" s="70"/>
      <c r="H592" s="71"/>
    </row>
    <row r="593" spans="4:8" s="72" customFormat="1" ht="12.75">
      <c r="D593" s="96"/>
      <c r="E593" s="96"/>
      <c r="F593" s="96"/>
      <c r="G593" s="70"/>
      <c r="H593" s="71"/>
    </row>
    <row r="594" spans="4:8" s="72" customFormat="1" ht="12.75">
      <c r="D594" s="96"/>
      <c r="E594" s="96"/>
      <c r="F594" s="96"/>
      <c r="G594" s="70"/>
      <c r="H594" s="71"/>
    </row>
    <row r="595" spans="4:8" s="72" customFormat="1" ht="12.75">
      <c r="D595" s="96"/>
      <c r="E595" s="96"/>
      <c r="F595" s="96"/>
      <c r="G595" s="70"/>
      <c r="H595" s="71"/>
    </row>
    <row r="596" spans="4:8" s="72" customFormat="1" ht="12.75">
      <c r="D596" s="96"/>
      <c r="E596" s="96"/>
      <c r="F596" s="96"/>
      <c r="G596" s="70"/>
      <c r="H596" s="71"/>
    </row>
    <row r="597" spans="4:8" s="72" customFormat="1" ht="12.75">
      <c r="D597" s="96"/>
      <c r="E597" s="96"/>
      <c r="F597" s="96"/>
      <c r="G597" s="70"/>
      <c r="H597" s="71"/>
    </row>
    <row r="598" spans="4:8" s="72" customFormat="1" ht="12.75">
      <c r="D598" s="96"/>
      <c r="E598" s="96"/>
      <c r="F598" s="96"/>
      <c r="G598" s="70"/>
      <c r="H598" s="71"/>
    </row>
    <row r="599" spans="4:8" s="72" customFormat="1" ht="12.75">
      <c r="D599" s="96"/>
      <c r="E599" s="96"/>
      <c r="F599" s="96"/>
      <c r="G599" s="70"/>
      <c r="H599" s="71"/>
    </row>
    <row r="600" spans="4:8" s="72" customFormat="1" ht="12.75">
      <c r="D600" s="96"/>
      <c r="E600" s="96"/>
      <c r="F600" s="96"/>
      <c r="G600" s="70"/>
      <c r="H600" s="71"/>
    </row>
    <row r="601" spans="4:8" s="72" customFormat="1" ht="12.75">
      <c r="D601" s="96"/>
      <c r="E601" s="96"/>
      <c r="F601" s="96"/>
      <c r="G601" s="70"/>
      <c r="H601" s="71"/>
    </row>
    <row r="602" spans="4:8" s="72" customFormat="1" ht="12.75">
      <c r="D602" s="96"/>
      <c r="E602" s="96"/>
      <c r="F602" s="96"/>
      <c r="G602" s="70"/>
      <c r="H602" s="71"/>
    </row>
    <row r="603" spans="4:8" s="72" customFormat="1" ht="12.75">
      <c r="D603" s="96"/>
      <c r="E603" s="96"/>
      <c r="F603" s="96"/>
      <c r="G603" s="70"/>
      <c r="H603" s="71"/>
    </row>
    <row r="604" spans="4:8" s="72" customFormat="1" ht="12.75">
      <c r="D604" s="96"/>
      <c r="E604" s="96"/>
      <c r="F604" s="96"/>
      <c r="G604" s="70"/>
      <c r="H604" s="71"/>
    </row>
    <row r="605" spans="4:8" s="72" customFormat="1" ht="12.75">
      <c r="D605" s="96"/>
      <c r="E605" s="96"/>
      <c r="F605" s="96"/>
      <c r="G605" s="70"/>
      <c r="H605" s="71"/>
    </row>
    <row r="606" spans="4:8" s="72" customFormat="1" ht="12.75">
      <c r="D606" s="96"/>
      <c r="E606" s="96"/>
      <c r="F606" s="96"/>
      <c r="G606" s="70"/>
      <c r="H606" s="71"/>
    </row>
    <row r="607" spans="4:8" s="72" customFormat="1" ht="12.75">
      <c r="D607" s="96"/>
      <c r="E607" s="96"/>
      <c r="F607" s="96"/>
      <c r="G607" s="70"/>
      <c r="H607" s="71"/>
    </row>
    <row r="608" spans="4:8" s="72" customFormat="1" ht="12.75">
      <c r="D608" s="96"/>
      <c r="E608" s="96"/>
      <c r="F608" s="96"/>
      <c r="G608" s="70"/>
      <c r="H608" s="71"/>
    </row>
    <row r="609" spans="4:8" s="72" customFormat="1" ht="12.75">
      <c r="D609" s="96"/>
      <c r="E609" s="96"/>
      <c r="F609" s="96"/>
      <c r="G609" s="70"/>
      <c r="H609" s="71"/>
    </row>
    <row r="610" spans="4:8" s="72" customFormat="1" ht="12.75">
      <c r="D610" s="96"/>
      <c r="E610" s="96"/>
      <c r="F610" s="96"/>
      <c r="G610" s="70"/>
      <c r="H610" s="71"/>
    </row>
    <row r="611" spans="4:8" s="72" customFormat="1" ht="12.75">
      <c r="D611" s="96"/>
      <c r="E611" s="96"/>
      <c r="F611" s="96"/>
      <c r="G611" s="70"/>
      <c r="H611" s="71"/>
    </row>
    <row r="612" spans="4:8" s="72" customFormat="1" ht="12.75">
      <c r="D612" s="96"/>
      <c r="E612" s="96"/>
      <c r="F612" s="96"/>
      <c r="G612" s="70"/>
      <c r="H612" s="71"/>
    </row>
    <row r="613" spans="4:8" s="72" customFormat="1" ht="12.75">
      <c r="D613" s="96"/>
      <c r="E613" s="96"/>
      <c r="F613" s="96"/>
      <c r="G613" s="70"/>
      <c r="H613" s="71"/>
    </row>
    <row r="614" spans="4:8" s="72" customFormat="1" ht="12.75">
      <c r="D614" s="96"/>
      <c r="E614" s="96"/>
      <c r="F614" s="96"/>
      <c r="G614" s="70"/>
      <c r="H614" s="71"/>
    </row>
    <row r="615" spans="4:8" s="72" customFormat="1" ht="12.75">
      <c r="D615" s="96"/>
      <c r="E615" s="96"/>
      <c r="F615" s="96"/>
      <c r="G615" s="70"/>
      <c r="H615" s="71"/>
    </row>
    <row r="616" spans="4:8" s="72" customFormat="1" ht="12.75">
      <c r="D616" s="96"/>
      <c r="E616" s="96"/>
      <c r="F616" s="96"/>
      <c r="G616" s="70"/>
      <c r="H616" s="71"/>
    </row>
    <row r="617" spans="4:8" s="72" customFormat="1" ht="12.75">
      <c r="D617" s="96"/>
      <c r="E617" s="96"/>
      <c r="F617" s="96"/>
      <c r="G617" s="70"/>
      <c r="H617" s="71"/>
    </row>
    <row r="618" spans="4:8" s="72" customFormat="1" ht="12.75">
      <c r="D618" s="96"/>
      <c r="E618" s="96"/>
      <c r="F618" s="96"/>
      <c r="G618" s="70"/>
      <c r="H618" s="71"/>
    </row>
    <row r="619" spans="4:8" s="72" customFormat="1" ht="12.75">
      <c r="D619" s="96"/>
      <c r="E619" s="96"/>
      <c r="F619" s="96"/>
      <c r="G619" s="70"/>
      <c r="H619" s="71"/>
    </row>
    <row r="620" spans="4:8" s="72" customFormat="1" ht="12.75">
      <c r="D620" s="96"/>
      <c r="E620" s="96"/>
      <c r="F620" s="96"/>
      <c r="G620" s="70"/>
      <c r="H620" s="71"/>
    </row>
    <row r="621" spans="4:8" s="72" customFormat="1" ht="12.75">
      <c r="D621" s="96"/>
      <c r="E621" s="96"/>
      <c r="F621" s="96"/>
      <c r="G621" s="70"/>
      <c r="H621" s="71"/>
    </row>
    <row r="622" spans="4:8" s="72" customFormat="1" ht="12.75">
      <c r="D622" s="96"/>
      <c r="E622" s="96"/>
      <c r="F622" s="96"/>
      <c r="G622" s="70"/>
      <c r="H622" s="71"/>
    </row>
    <row r="623" spans="4:8" s="72" customFormat="1" ht="12.75">
      <c r="D623" s="96"/>
      <c r="E623" s="96"/>
      <c r="F623" s="96"/>
      <c r="G623" s="70"/>
      <c r="H623" s="71"/>
    </row>
    <row r="624" spans="4:8" s="72" customFormat="1" ht="12.75">
      <c r="D624" s="96"/>
      <c r="E624" s="96"/>
      <c r="F624" s="96"/>
      <c r="G624" s="70"/>
      <c r="H624" s="71"/>
    </row>
    <row r="625" spans="4:8" s="72" customFormat="1" ht="12.75">
      <c r="D625" s="96"/>
      <c r="E625" s="96"/>
      <c r="F625" s="96"/>
      <c r="G625" s="70"/>
      <c r="H625" s="71"/>
    </row>
    <row r="626" spans="4:8" s="72" customFormat="1" ht="12.75">
      <c r="D626" s="96"/>
      <c r="E626" s="96"/>
      <c r="F626" s="96"/>
      <c r="G626" s="70"/>
      <c r="H626" s="71"/>
    </row>
    <row r="627" spans="4:8" s="72" customFormat="1" ht="12.75">
      <c r="D627" s="96"/>
      <c r="E627" s="96"/>
      <c r="F627" s="96"/>
      <c r="G627" s="70"/>
      <c r="H627" s="71"/>
    </row>
    <row r="628" spans="4:8" s="72" customFormat="1" ht="12.75">
      <c r="D628" s="96"/>
      <c r="E628" s="96"/>
      <c r="F628" s="96"/>
      <c r="G628" s="70"/>
      <c r="H628" s="71"/>
    </row>
    <row r="629" spans="4:8" s="72" customFormat="1" ht="12.75">
      <c r="D629" s="96"/>
      <c r="E629" s="96"/>
      <c r="F629" s="96"/>
      <c r="G629" s="70"/>
      <c r="H629" s="71"/>
    </row>
    <row r="630" spans="4:8" s="72" customFormat="1" ht="12.75">
      <c r="D630" s="96"/>
      <c r="E630" s="96"/>
      <c r="F630" s="96"/>
      <c r="G630" s="70"/>
      <c r="H630" s="71"/>
    </row>
    <row r="631" spans="4:8" s="72" customFormat="1" ht="12.75">
      <c r="D631" s="96"/>
      <c r="E631" s="96"/>
      <c r="F631" s="96"/>
      <c r="G631" s="70"/>
      <c r="H631" s="71"/>
    </row>
    <row r="632" spans="4:8" s="72" customFormat="1" ht="12.75">
      <c r="D632" s="96"/>
      <c r="E632" s="96"/>
      <c r="F632" s="96"/>
      <c r="G632" s="70"/>
      <c r="H632" s="71"/>
    </row>
    <row r="633" spans="4:8" s="72" customFormat="1" ht="12.75">
      <c r="D633" s="96"/>
      <c r="E633" s="96"/>
      <c r="F633" s="96"/>
      <c r="G633" s="70"/>
      <c r="H633" s="71"/>
    </row>
    <row r="634" spans="4:8" s="72" customFormat="1" ht="12.75">
      <c r="D634" s="96"/>
      <c r="E634" s="96"/>
      <c r="F634" s="96"/>
      <c r="G634" s="70"/>
      <c r="H634" s="71"/>
    </row>
    <row r="635" spans="4:8" s="72" customFormat="1" ht="12.75">
      <c r="D635" s="96"/>
      <c r="E635" s="96"/>
      <c r="F635" s="96"/>
      <c r="G635" s="70"/>
      <c r="H635" s="71"/>
    </row>
    <row r="636" spans="4:8" s="72" customFormat="1" ht="12.75">
      <c r="D636" s="96"/>
      <c r="E636" s="96"/>
      <c r="F636" s="96"/>
      <c r="G636" s="70"/>
      <c r="H636" s="71"/>
    </row>
    <row r="637" spans="4:8" s="72" customFormat="1" ht="12.75">
      <c r="D637" s="96"/>
      <c r="E637" s="96"/>
      <c r="F637" s="96"/>
      <c r="G637" s="70"/>
      <c r="H637" s="71"/>
    </row>
    <row r="638" spans="4:8" s="72" customFormat="1" ht="12.75">
      <c r="D638" s="96"/>
      <c r="E638" s="96"/>
      <c r="F638" s="96"/>
      <c r="G638" s="70"/>
      <c r="H638" s="71"/>
    </row>
    <row r="639" spans="4:8" s="72" customFormat="1" ht="12.75">
      <c r="D639" s="96"/>
      <c r="E639" s="96"/>
      <c r="F639" s="96"/>
      <c r="G639" s="70"/>
      <c r="H639" s="71"/>
    </row>
    <row r="640" spans="4:8" s="72" customFormat="1" ht="12.75">
      <c r="D640" s="96"/>
      <c r="E640" s="96"/>
      <c r="F640" s="96"/>
      <c r="G640" s="70"/>
      <c r="H640" s="71"/>
    </row>
    <row r="641" spans="4:8" s="72" customFormat="1" ht="12.75">
      <c r="D641" s="96"/>
      <c r="E641" s="96"/>
      <c r="F641" s="96"/>
      <c r="G641" s="70"/>
      <c r="H641" s="71"/>
    </row>
    <row r="642" spans="4:8" s="72" customFormat="1" ht="12.75">
      <c r="D642" s="96"/>
      <c r="E642" s="96"/>
      <c r="F642" s="96"/>
      <c r="G642" s="70"/>
      <c r="H642" s="71"/>
    </row>
    <row r="643" spans="4:8" s="72" customFormat="1" ht="12.75">
      <c r="D643" s="96"/>
      <c r="E643" s="96"/>
      <c r="F643" s="96"/>
      <c r="G643" s="70"/>
      <c r="H643" s="71"/>
    </row>
    <row r="644" spans="4:8" s="72" customFormat="1" ht="12.75">
      <c r="D644" s="96"/>
      <c r="E644" s="96"/>
      <c r="F644" s="96"/>
      <c r="G644" s="70"/>
      <c r="H644" s="71"/>
    </row>
    <row r="645" spans="4:8" s="72" customFormat="1" ht="12.75">
      <c r="D645" s="96"/>
      <c r="E645" s="96"/>
      <c r="F645" s="96"/>
      <c r="G645" s="70"/>
      <c r="H645" s="71"/>
    </row>
    <row r="646" spans="4:8" s="72" customFormat="1" ht="12.75">
      <c r="D646" s="96"/>
      <c r="E646" s="96"/>
      <c r="F646" s="96"/>
      <c r="G646" s="70"/>
      <c r="H646" s="71"/>
    </row>
    <row r="647" spans="4:8" s="72" customFormat="1" ht="12.75">
      <c r="D647" s="96"/>
      <c r="E647" s="96"/>
      <c r="F647" s="96"/>
      <c r="G647" s="70"/>
      <c r="H647" s="71"/>
    </row>
    <row r="648" spans="4:8" s="72" customFormat="1" ht="12.75">
      <c r="D648" s="96"/>
      <c r="E648" s="96"/>
      <c r="F648" s="96"/>
      <c r="G648" s="70"/>
      <c r="H648" s="71"/>
    </row>
    <row r="649" spans="4:8" s="72" customFormat="1" ht="12.75">
      <c r="D649" s="96"/>
      <c r="E649" s="96"/>
      <c r="F649" s="96"/>
      <c r="G649" s="70"/>
      <c r="H649" s="71"/>
    </row>
    <row r="650" spans="4:8" s="72" customFormat="1" ht="12.75">
      <c r="D650" s="96"/>
      <c r="E650" s="96"/>
      <c r="F650" s="96"/>
      <c r="G650" s="70"/>
      <c r="H650" s="71"/>
    </row>
    <row r="651" spans="4:8" s="72" customFormat="1" ht="12.75">
      <c r="D651" s="96"/>
      <c r="E651" s="96"/>
      <c r="F651" s="96"/>
      <c r="G651" s="70"/>
      <c r="H651" s="71"/>
    </row>
    <row r="652" spans="4:8" s="72" customFormat="1" ht="12.75">
      <c r="D652" s="96"/>
      <c r="E652" s="96"/>
      <c r="F652" s="96"/>
      <c r="G652" s="70"/>
      <c r="H652" s="71"/>
    </row>
    <row r="653" spans="4:8" s="72" customFormat="1" ht="12.75">
      <c r="D653" s="96"/>
      <c r="E653" s="96"/>
      <c r="F653" s="96"/>
      <c r="G653" s="70"/>
      <c r="H653" s="71"/>
    </row>
    <row r="654" spans="4:8" s="72" customFormat="1" ht="12.75">
      <c r="D654" s="96"/>
      <c r="E654" s="96"/>
      <c r="F654" s="96"/>
      <c r="G654" s="70"/>
      <c r="H654" s="71"/>
    </row>
    <row r="655" spans="4:8" s="72" customFormat="1" ht="12.75">
      <c r="D655" s="96"/>
      <c r="E655" s="96"/>
      <c r="F655" s="96"/>
      <c r="G655" s="70"/>
      <c r="H655" s="71"/>
    </row>
    <row r="656" spans="4:8" s="72" customFormat="1" ht="12.75">
      <c r="D656" s="96"/>
      <c r="E656" s="96"/>
      <c r="F656" s="96"/>
      <c r="G656" s="70"/>
      <c r="H656" s="71"/>
    </row>
    <row r="657" spans="4:8" s="72" customFormat="1" ht="12.75">
      <c r="D657" s="96"/>
      <c r="E657" s="96"/>
      <c r="F657" s="96"/>
      <c r="G657" s="70"/>
      <c r="H657" s="71"/>
    </row>
    <row r="658" spans="4:8" s="72" customFormat="1" ht="12.75">
      <c r="D658" s="96"/>
      <c r="E658" s="96"/>
      <c r="F658" s="96"/>
      <c r="G658" s="70"/>
      <c r="H658" s="71"/>
    </row>
    <row r="659" spans="4:8" s="72" customFormat="1" ht="12.75">
      <c r="D659" s="96"/>
      <c r="E659" s="96"/>
      <c r="F659" s="96"/>
      <c r="G659" s="70"/>
      <c r="H659" s="71"/>
    </row>
    <row r="660" spans="4:8" s="72" customFormat="1" ht="12.75">
      <c r="D660" s="96"/>
      <c r="E660" s="96"/>
      <c r="F660" s="96"/>
      <c r="G660" s="70"/>
      <c r="H660" s="71"/>
    </row>
    <row r="661" spans="4:8" s="72" customFormat="1" ht="12.75">
      <c r="D661" s="96"/>
      <c r="E661" s="96"/>
      <c r="F661" s="96"/>
      <c r="G661" s="70"/>
      <c r="H661" s="71"/>
    </row>
    <row r="662" spans="4:8" s="72" customFormat="1" ht="12.75">
      <c r="D662" s="96"/>
      <c r="E662" s="96"/>
      <c r="F662" s="96"/>
      <c r="G662" s="70"/>
      <c r="H662" s="71"/>
    </row>
    <row r="663" spans="4:8" s="72" customFormat="1" ht="12.75">
      <c r="D663" s="96"/>
      <c r="E663" s="96"/>
      <c r="F663" s="96"/>
      <c r="G663" s="70"/>
      <c r="H663" s="71"/>
    </row>
    <row r="664" spans="4:8" s="72" customFormat="1" ht="12.75">
      <c r="D664" s="96"/>
      <c r="E664" s="96"/>
      <c r="F664" s="96"/>
      <c r="G664" s="70"/>
      <c r="H664" s="71"/>
    </row>
    <row r="665" spans="4:8" s="72" customFormat="1" ht="12.75">
      <c r="D665" s="96"/>
      <c r="E665" s="96"/>
      <c r="F665" s="96"/>
      <c r="G665" s="70"/>
      <c r="H665" s="71"/>
    </row>
    <row r="666" spans="4:8" s="72" customFormat="1" ht="12.75">
      <c r="D666" s="96"/>
      <c r="E666" s="96"/>
      <c r="F666" s="96"/>
      <c r="G666" s="70"/>
      <c r="H666" s="71"/>
    </row>
    <row r="667" spans="4:8" s="72" customFormat="1" ht="12.75">
      <c r="D667" s="96"/>
      <c r="E667" s="96"/>
      <c r="F667" s="96"/>
      <c r="G667" s="70"/>
      <c r="H667" s="71"/>
    </row>
    <row r="668" spans="4:8" s="72" customFormat="1" ht="12.75">
      <c r="D668" s="96"/>
      <c r="E668" s="96"/>
      <c r="F668" s="96"/>
      <c r="G668" s="70"/>
      <c r="H668" s="71"/>
    </row>
    <row r="669" spans="4:8" s="72" customFormat="1" ht="12.75">
      <c r="D669" s="96"/>
      <c r="E669" s="96"/>
      <c r="F669" s="96"/>
      <c r="G669" s="70"/>
      <c r="H669" s="71"/>
    </row>
    <row r="670" spans="4:8" s="72" customFormat="1" ht="12.75">
      <c r="D670" s="96"/>
      <c r="E670" s="96"/>
      <c r="F670" s="96"/>
      <c r="G670" s="70"/>
      <c r="H670" s="71"/>
    </row>
    <row r="671" spans="4:8" s="72" customFormat="1" ht="12.75">
      <c r="D671" s="96"/>
      <c r="E671" s="96"/>
      <c r="F671" s="96"/>
      <c r="G671" s="70"/>
      <c r="H671" s="71"/>
    </row>
    <row r="672" spans="4:8" s="72" customFormat="1" ht="12.75">
      <c r="D672" s="96"/>
      <c r="E672" s="96"/>
      <c r="F672" s="96"/>
      <c r="G672" s="70"/>
      <c r="H672" s="71"/>
    </row>
    <row r="673" spans="4:8" s="72" customFormat="1" ht="12.75">
      <c r="D673" s="96"/>
      <c r="E673" s="96"/>
      <c r="F673" s="96"/>
      <c r="G673" s="70"/>
      <c r="H673" s="71"/>
    </row>
    <row r="674" spans="4:8" s="72" customFormat="1" ht="12.75">
      <c r="D674" s="96"/>
      <c r="E674" s="96"/>
      <c r="F674" s="96"/>
      <c r="G674" s="70"/>
      <c r="H674" s="71"/>
    </row>
    <row r="675" spans="4:8" s="72" customFormat="1" ht="12.75">
      <c r="D675" s="96"/>
      <c r="E675" s="96"/>
      <c r="F675" s="96"/>
      <c r="G675" s="70"/>
      <c r="H675" s="71"/>
    </row>
    <row r="676" spans="4:8" s="72" customFormat="1" ht="12.75">
      <c r="D676" s="96"/>
      <c r="E676" s="96"/>
      <c r="F676" s="96"/>
      <c r="G676" s="70"/>
      <c r="H676" s="71"/>
    </row>
    <row r="677" spans="4:8" s="72" customFormat="1" ht="12.75">
      <c r="D677" s="96"/>
      <c r="E677" s="96"/>
      <c r="F677" s="96"/>
      <c r="G677" s="70"/>
      <c r="H677" s="71"/>
    </row>
    <row r="678" spans="4:8" s="72" customFormat="1" ht="12.75">
      <c r="D678" s="96"/>
      <c r="E678" s="96"/>
      <c r="F678" s="96"/>
      <c r="G678" s="70"/>
      <c r="H678" s="71"/>
    </row>
    <row r="679" spans="4:8" s="72" customFormat="1" ht="12.75">
      <c r="D679" s="96"/>
      <c r="E679" s="96"/>
      <c r="F679" s="96"/>
      <c r="G679" s="70"/>
      <c r="H679" s="71"/>
    </row>
    <row r="680" spans="4:8" s="72" customFormat="1" ht="12.75">
      <c r="D680" s="96"/>
      <c r="E680" s="96"/>
      <c r="F680" s="96"/>
      <c r="G680" s="70"/>
      <c r="H680" s="71"/>
    </row>
    <row r="681" spans="4:8" s="72" customFormat="1" ht="12.75">
      <c r="D681" s="96"/>
      <c r="E681" s="96"/>
      <c r="F681" s="96"/>
      <c r="G681" s="70"/>
      <c r="H681" s="71"/>
    </row>
    <row r="682" spans="4:8" s="72" customFormat="1" ht="12.75">
      <c r="D682" s="96"/>
      <c r="E682" s="96"/>
      <c r="F682" s="96"/>
      <c r="G682" s="70"/>
      <c r="H682" s="71"/>
    </row>
  </sheetData>
  <printOptions gridLines="1"/>
  <pageMargins left="0.75" right="0.75" top="1" bottom="1" header="0.5" footer="0.5"/>
  <pageSetup fitToHeight="0" horizontalDpi="600" verticalDpi="600" orientation="landscape" scale="65" r:id="rId1"/>
  <headerFooter alignWithMargins="0">
    <oddHeader>&amp;C&amp;"Arial,Bold"&amp;14FIRE Pre-Conceptual Cost Estimate
</oddHeader>
    <oddFooter>&amp;L&amp;"Arial,Bold"Updated 6/19/02&amp;C&amp;"Arial,Bold"Page &amp;P of &amp;N</oddFooter>
  </headerFooter>
  <rowBreaks count="4" manualBreakCount="4">
    <brk id="50" max="255" man="1"/>
    <brk id="97" max="255" man="1"/>
    <brk id="145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 Div., Princeton Plasma Physics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Heitzenroeder</dc:creator>
  <cp:keywords/>
  <dc:description/>
  <cp:lastModifiedBy>Philip J. Heitzenroeder</cp:lastModifiedBy>
  <cp:lastPrinted>2002-06-28T14:49:04Z</cp:lastPrinted>
  <dcterms:created xsi:type="dcterms:W3CDTF">1999-11-16T19:03:59Z</dcterms:created>
  <dcterms:modified xsi:type="dcterms:W3CDTF">2002-06-28T17:01:24Z</dcterms:modified>
  <cp:category/>
  <cp:version/>
  <cp:contentType/>
  <cp:contentStatus/>
</cp:coreProperties>
</file>