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<sst xmlns="http://schemas.openxmlformats.org/spreadsheetml/2006/main" count="961" uniqueCount="227">
  <si>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</si>
  <si>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</si>
  <si>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</si>
  <si>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</si>
  <si>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</si>
  <si>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</si>
  <si>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</si>
  <si>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</si>
  <si>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</si>
  <si>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</si>
  <si>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</si>
  <si>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</si>
  <si>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</si>
  <si>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</si>
  <si>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</si>
  <si>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</si>
  <si>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</si>
  <si>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</si>
  <si>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</si>
  <si>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</si>
  <si>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</si>
  <si>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</si>
  <si>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</si>
  <si>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</si>
  <si>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</si>
  <si>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</si>
  <si>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</si>
  <si>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</si>
  <si>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</si>
  <si>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</si>
  <si>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</si>
  <si>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</si>
  <si>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</si>
  <si>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</si>
  <si>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</si>
  <si>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</si>
  <si>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</si>
  <si>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</si>
  <si>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</si>
  <si>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</si>
  <si>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</si>
  <si>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</si>
  <si>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</si>
  <si>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</si>
  <si>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</si>
  <si>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</si>
  <si>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</si>
  <si>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</si>
  <si>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</si>
  <si>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Ash</t>
  </si>
  <si>
    <t>HCl</t>
  </si>
  <si>
    <t>Cl2</t>
  </si>
  <si>
    <t>DRE</t>
  </si>
  <si>
    <t>lb/hr</t>
  </si>
  <si>
    <r>
      <t>o</t>
    </r>
    <r>
      <rPr>
        <sz val="10"/>
        <rFont val="Arial"/>
        <family val="2"/>
      </rPr>
      <t>F</t>
    </r>
  </si>
  <si>
    <t>ug/dscm</t>
  </si>
  <si>
    <t>SVM</t>
  </si>
  <si>
    <t>LVM</t>
  </si>
  <si>
    <t>O2 (%)</t>
  </si>
  <si>
    <t>TEQ Cond Avg</t>
  </si>
  <si>
    <t>Total Cond Avg</t>
  </si>
  <si>
    <t>mg/dscm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</si>
  <si>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</si>
  <si>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</si>
  <si>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</si>
  <si>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</si>
  <si>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</si>
  <si>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</si>
  <si>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</si>
  <si>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</si>
  <si>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</si>
  <si>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</si>
  <si>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</si>
  <si>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</si>
  <si>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</si>
  <si>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</si>
  <si>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</si>
  <si>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</si>
  <si>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</si>
  <si>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</si>
  <si>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</si>
  <si>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</si>
  <si>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 xml:space="preserve">   O2</t>
  </si>
  <si>
    <t xml:space="preserve">   Moisture</t>
  </si>
  <si>
    <t>Chromium</t>
  </si>
  <si>
    <t>Sampling Train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</si>
  <si>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</si>
  <si>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</si>
  <si>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</si>
  <si>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</si>
  <si>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</si>
  <si>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</si>
  <si>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</si>
  <si>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</si>
  <si>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</si>
  <si>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</si>
  <si>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</si>
  <si>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</si>
  <si>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nd</t>
  </si>
  <si>
    <t>Detected in sample volume (pg)</t>
  </si>
  <si>
    <t>n</t>
  </si>
  <si>
    <t>Phase I ID No.</t>
  </si>
  <si>
    <t>Silver</t>
  </si>
  <si>
    <t>Arsenic</t>
  </si>
  <si>
    <t>Barium</t>
  </si>
  <si>
    <t>Cadmium</t>
  </si>
  <si>
    <t>Nickel</t>
  </si>
  <si>
    <t>Antimony</t>
  </si>
  <si>
    <t>Selenium</t>
  </si>
  <si>
    <t>Thallium</t>
  </si>
  <si>
    <t>Zinc</t>
  </si>
  <si>
    <t>CO (RA)</t>
  </si>
  <si>
    <t>in H2O</t>
  </si>
  <si>
    <t>Run 2</t>
  </si>
  <si>
    <t>CO (MHRA)</t>
  </si>
  <si>
    <t xml:space="preserve">POHC </t>
  </si>
  <si>
    <t>POHC Feedrate</t>
  </si>
  <si>
    <t>Emission Rate</t>
  </si>
  <si>
    <t>&gt;</t>
  </si>
  <si>
    <t>Stack Gas Flowrate</t>
  </si>
  <si>
    <t>Oxygen</t>
  </si>
  <si>
    <t>Feedrate MTEC Calculations</t>
  </si>
  <si>
    <t>7%O2</t>
  </si>
  <si>
    <t>TX</t>
  </si>
  <si>
    <t>Fuel gas</t>
  </si>
  <si>
    <t>Comb Chamb Temp</t>
  </si>
  <si>
    <t>Chlorine</t>
  </si>
  <si>
    <t>g/hr</t>
  </si>
  <si>
    <t>Btu/lb</t>
  </si>
  <si>
    <t>MMBtu/hr</t>
  </si>
  <si>
    <t>Oxy Vinyls, LP VCM Incinerator</t>
  </si>
  <si>
    <t>3028C1</t>
  </si>
  <si>
    <t>Deer Park</t>
  </si>
  <si>
    <t>Trial Burn Report, Oxy Vinyls, LP Houston Chemical Complex, Deer Park - VCM Site Organic Chloride Incinerators HCIN2 &amp; HCIN3 Haz Waste Permit App., May 1999</t>
  </si>
  <si>
    <t>Focus Environmental Inc.</t>
  </si>
  <si>
    <t>TXD981911209</t>
  </si>
  <si>
    <t>METCO Environmental</t>
  </si>
  <si>
    <t>3028C2</t>
  </si>
  <si>
    <t>Risk burn (Slightly higher than annual median waste feedrate)</t>
  </si>
  <si>
    <t>Water quench, packed bed, 2 spray columns, knockout pot (WQ/PB are for recovery of 10% HCl)</t>
  </si>
  <si>
    <t xml:space="preserve">VCM HCIN 3 Incinerator </t>
  </si>
  <si>
    <t xml:space="preserve">BIGELOW-LIPTAK custom design, comb chamber w/waste heat fire tube boiler </t>
  </si>
  <si>
    <t>90+% is vinyl chloride monomer (VCM)</t>
  </si>
  <si>
    <t>VCM HCIN 2 Incinerator (identical, data in lieu)</t>
  </si>
  <si>
    <t>DRE, VPICs, CO</t>
  </si>
  <si>
    <t>3028C3</t>
  </si>
  <si>
    <t>Min caustic scrubber (2nd SC) recycle</t>
  </si>
  <si>
    <t>gpm</t>
  </si>
  <si>
    <t>Min caustic scrubber pH</t>
  </si>
  <si>
    <t>VCM vent gas flow</t>
  </si>
  <si>
    <t>kscfm</t>
  </si>
  <si>
    <t>Comb Chamb static pressure</t>
  </si>
  <si>
    <t>VCM</t>
  </si>
  <si>
    <t>Trial burn - min temp/DRE</t>
  </si>
  <si>
    <t>mg/kg</t>
  </si>
  <si>
    <t>Aluminum</t>
  </si>
  <si>
    <t>Copper</t>
  </si>
  <si>
    <t>Iron</t>
  </si>
  <si>
    <t>Manganese</t>
  </si>
  <si>
    <t>Molybdenum</t>
  </si>
  <si>
    <t>Vanadium</t>
  </si>
  <si>
    <t>Magnesium</t>
  </si>
  <si>
    <t>Chlorobenzene</t>
  </si>
  <si>
    <t>Tetrachloroethene</t>
  </si>
  <si>
    <t>Total chlorine</t>
  </si>
  <si>
    <t>ppm</t>
  </si>
  <si>
    <t>PM/HCl/Cl2 train</t>
  </si>
  <si>
    <t>Berylilium</t>
  </si>
  <si>
    <t>Cobalt</t>
  </si>
  <si>
    <t>Metals</t>
  </si>
  <si>
    <t xml:space="preserve"> Metals, D/Fs, CO, Cr6, PSD, V/SV PICs, feed metals/ash/Cl</t>
  </si>
  <si>
    <t>Note: Cr6 emissions are 476% of Total Cr emissions</t>
  </si>
  <si>
    <t>Oxy Vinyl Incinerator</t>
  </si>
  <si>
    <t>Risk burn, Jan 27-29, 1999</t>
  </si>
  <si>
    <t>Run 1</t>
  </si>
  <si>
    <t>Run 3</t>
  </si>
  <si>
    <t>PM, HCl/Cl2, metals (As/Cr), Cr6, CO &amp; waste feed ash/Cl/metals</t>
  </si>
  <si>
    <t>As spike was 40% of As</t>
  </si>
  <si>
    <t>Cr spike was 99% of Cr</t>
  </si>
  <si>
    <t>Trial burn - worst-case PM/HCl/metals; As/Cr spiked</t>
  </si>
  <si>
    <t>RCRA</t>
  </si>
  <si>
    <t>Combustor Class</t>
  </si>
  <si>
    <t>Combustor Type</t>
  </si>
  <si>
    <t>Liquid injection</t>
  </si>
  <si>
    <t>Condition Description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</si>
  <si>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</si>
  <si>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</si>
  <si>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</si>
  <si>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</si>
  <si>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</si>
  <si>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</si>
  <si>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</si>
  <si>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R1</t>
  </si>
  <si>
    <t>R2</t>
  </si>
  <si>
    <t>R3</t>
  </si>
  <si>
    <t>Feedstream</t>
  </si>
  <si>
    <t>E1</t>
  </si>
  <si>
    <t>E2</t>
  </si>
  <si>
    <t xml:space="preserve">Cr+6 </t>
  </si>
  <si>
    <t>Chromium (Hex)</t>
  </si>
  <si>
    <t>Cond Dates</t>
  </si>
  <si>
    <t>February 1-2, 1999</t>
  </si>
  <si>
    <t>January 27-29, 1999</t>
  </si>
  <si>
    <t>Number of Sister Facilities</t>
  </si>
  <si>
    <t>APCS Detailed Acronym</t>
  </si>
  <si>
    <t>APCS General Class</t>
  </si>
  <si>
    <t>Misc fuel</t>
  </si>
  <si>
    <t>Liq</t>
  </si>
  <si>
    <t>source</t>
  </si>
  <si>
    <t>cond</t>
  </si>
  <si>
    <t>emiss</t>
  </si>
  <si>
    <t>feed</t>
  </si>
  <si>
    <t>process</t>
  </si>
  <si>
    <t>df c3</t>
  </si>
  <si>
    <t>Onsite incinerator</t>
  </si>
  <si>
    <t>Feedstream Number</t>
  </si>
  <si>
    <t>Feed Class</t>
  </si>
  <si>
    <t>Liq HW</t>
  </si>
  <si>
    <t>F1</t>
  </si>
  <si>
    <t>F2</t>
  </si>
  <si>
    <t>Heating Value</t>
  </si>
  <si>
    <t>Thermal Feedrate</t>
  </si>
  <si>
    <t>Feed Class 2</t>
  </si>
  <si>
    <t>Full ND</t>
  </si>
  <si>
    <t>N</t>
  </si>
  <si>
    <t>WHB/WQ/PB/SC/KO</t>
  </si>
  <si>
    <t>WHB, WQ, LEWS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</si>
</sst>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00000"/>
    <numFmt numFmtId="178" formatCode="0.E+00"/>
    <numFmt numFmtId="179" formatCode="0.0.E+00"/>
    <numFmt numFmtId="180" formatCode="0.0E+00"/>
  </numFmts>
  <fonts count="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11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H15" sqref="H15"/>
    </sheetView>
  </sheetViews>
  <sheetFormatPr defaultColWidth="9.140625" defaultRowHeight="12.75"/>
  <sheetData>
    <row r="1" ht="12.75">
      <c r="A1" t="s">
        <v>208</v>
      </c>
    </row>
    <row r="2" ht="12.75">
      <c r="A2" t="s">
        <v>209</v>
      </c>
    </row>
    <row r="3" ht="12.75">
      <c r="A3" t="s">
        <v>210</v>
      </c>
    </row>
    <row r="4" ht="12.75">
      <c r="A4" t="s">
        <v>211</v>
      </c>
    </row>
    <row r="5" ht="12.75">
      <c r="A5" t="s">
        <v>212</v>
      </c>
    </row>
    <row r="6" ht="12.75">
      <c r="A6" t="s">
        <v>213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5"/>
  <sheetViews>
    <sheetView workbookViewId="0" topLeftCell="B1">
      <selection activeCell="C24" sqref="C24"/>
    </sheetView>
  </sheetViews>
  <sheetFormatPr defaultColWidth="9.140625" defaultRowHeight="12.75"/>
  <cols>
    <col min="1" max="1" width="2.00390625" style="1" hidden="1" customWidth="1"/>
    <col min="2" max="2" width="26.8515625" style="1" customWidth="1"/>
    <col min="3" max="3" width="58.421875" style="1" customWidth="1"/>
    <col min="4" max="16384" width="8.8515625" style="1" customWidth="1"/>
  </cols>
  <sheetData>
    <row r="1" spans="2:12" ht="12.75">
      <c r="B1" s="6" t="s">
        <v>73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2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2.75">
      <c r="B3" s="12" t="s">
        <v>101</v>
      </c>
      <c r="C3" s="13">
        <v>3028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2" t="s">
        <v>0</v>
      </c>
      <c r="C4" s="12" t="s">
        <v>135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2" t="s">
        <v>1</v>
      </c>
      <c r="C5" s="12" t="s">
        <v>130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2" t="s">
        <v>3</v>
      </c>
      <c r="C7" s="12" t="s">
        <v>132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12.75">
      <c r="B8" s="12" t="s">
        <v>4</v>
      </c>
      <c r="C8" s="12" t="s">
        <v>123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12.75">
      <c r="B9" s="12" t="s">
        <v>5</v>
      </c>
      <c r="C9" s="12" t="s">
        <v>140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2" t="s">
        <v>6</v>
      </c>
      <c r="C10" s="12" t="s">
        <v>143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2" t="s">
        <v>203</v>
      </c>
      <c r="C11" s="13">
        <v>1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2" t="s">
        <v>181</v>
      </c>
      <c r="C12" s="12" t="s">
        <v>214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2.75">
      <c r="B13" s="12" t="s">
        <v>182</v>
      </c>
      <c r="C13" s="12" t="s">
        <v>183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2:12" s="43" customFormat="1" ht="25.5">
      <c r="B14" s="42" t="s">
        <v>63</v>
      </c>
      <c r="C14" s="42" t="s">
        <v>141</v>
      </c>
      <c r="D14" s="42"/>
      <c r="E14" s="42"/>
      <c r="F14" s="42"/>
      <c r="G14" s="42"/>
      <c r="H14" s="42"/>
      <c r="I14" s="42"/>
      <c r="J14" s="42"/>
      <c r="K14" s="42"/>
      <c r="L14" s="42"/>
    </row>
    <row r="15" spans="2:12" s="43" customFormat="1" ht="12.7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2:12" s="43" customFormat="1" ht="12.75">
      <c r="B16" s="42" t="s">
        <v>70</v>
      </c>
      <c r="C16" s="44"/>
      <c r="D16" s="42"/>
      <c r="E16" s="42"/>
      <c r="F16" s="42"/>
      <c r="G16" s="42"/>
      <c r="H16" s="42"/>
      <c r="I16" s="42"/>
      <c r="J16" s="42"/>
      <c r="K16" s="42"/>
      <c r="L16" s="42"/>
    </row>
    <row r="17" spans="2:12" s="43" customFormat="1" ht="12.75">
      <c r="B17" s="12" t="s">
        <v>74</v>
      </c>
      <c r="C17" s="42"/>
      <c r="F17" s="42"/>
      <c r="G17" s="42"/>
      <c r="H17" s="42"/>
      <c r="I17" s="42"/>
      <c r="J17" s="42"/>
      <c r="K17" s="42"/>
      <c r="L17" s="42"/>
    </row>
    <row r="18" spans="2:12" s="43" customFormat="1" ht="12.75">
      <c r="B18" s="12" t="s">
        <v>204</v>
      </c>
      <c r="C18" s="42" t="s">
        <v>225</v>
      </c>
      <c r="D18" s="42"/>
      <c r="E18" s="42"/>
      <c r="F18" s="42"/>
      <c r="G18" s="42"/>
      <c r="H18" s="42"/>
      <c r="I18" s="42"/>
      <c r="J18" s="42"/>
      <c r="K18" s="42"/>
      <c r="L18" s="42"/>
    </row>
    <row r="19" spans="2:12" s="43" customFormat="1" ht="12.75">
      <c r="B19" s="12" t="s">
        <v>205</v>
      </c>
      <c r="C19" s="42" t="s">
        <v>226</v>
      </c>
      <c r="D19" s="42"/>
      <c r="E19" s="42"/>
      <c r="F19" s="42"/>
      <c r="G19" s="42"/>
      <c r="H19" s="42"/>
      <c r="I19" s="42"/>
      <c r="J19" s="42"/>
      <c r="K19" s="42"/>
      <c r="L19" s="42"/>
    </row>
    <row r="20" spans="2:12" ht="25.5">
      <c r="B20" s="42" t="s">
        <v>7</v>
      </c>
      <c r="C20" s="42" t="s">
        <v>139</v>
      </c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2.75">
      <c r="B21" s="12" t="s">
        <v>68</v>
      </c>
      <c r="C21" s="12" t="s">
        <v>207</v>
      </c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2.75">
      <c r="B22" s="12" t="s">
        <v>75</v>
      </c>
      <c r="C22" s="12" t="s">
        <v>142</v>
      </c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2.75">
      <c r="B23" s="12" t="s">
        <v>69</v>
      </c>
      <c r="C23" s="1" t="s">
        <v>206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2.75" customHeight="1">
      <c r="B24" s="12"/>
      <c r="C24" s="12" t="s">
        <v>124</v>
      </c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2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2.75">
      <c r="B26" s="12" t="s">
        <v>8</v>
      </c>
      <c r="C26" s="13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2.75">
      <c r="B27" s="12" t="s">
        <v>9</v>
      </c>
      <c r="C27" s="47">
        <f>17/12</f>
        <v>1.4166666666666667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12" t="s">
        <v>10</v>
      </c>
      <c r="C28" s="13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12" t="s">
        <v>71</v>
      </c>
      <c r="C29" s="14">
        <v>76</v>
      </c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4.25" customHeight="1">
      <c r="B30" s="12" t="s">
        <v>72</v>
      </c>
      <c r="C30" s="72">
        <f>emiss!M27</f>
        <v>81.33333333333333</v>
      </c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2.75">
      <c r="B32" s="12" t="s">
        <v>11</v>
      </c>
      <c r="C32" s="12" t="s">
        <v>180</v>
      </c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2.75">
      <c r="B33" s="12" t="s">
        <v>88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62" spans="2:12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2.75">
      <c r="B63" s="55"/>
      <c r="C63" s="49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ht="12.7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ht="12.7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B11">
      <selection activeCell="C24" sqref="C24"/>
    </sheetView>
  </sheetViews>
  <sheetFormatPr defaultColWidth="9.140625" defaultRowHeight="12.75"/>
  <cols>
    <col min="1" max="1" width="2.00390625" style="0" hidden="1" customWidth="1"/>
    <col min="2" max="2" width="21.8515625" style="0" customWidth="1"/>
    <col min="3" max="3" width="61.7109375" style="0" customWidth="1"/>
  </cols>
  <sheetData>
    <row r="1" ht="12.75">
      <c r="B1" s="6" t="s">
        <v>184</v>
      </c>
    </row>
    <row r="3" spans="2:12" s="1" customFormat="1" ht="12.75">
      <c r="B3" s="6" t="s">
        <v>131</v>
      </c>
      <c r="C3" s="12" t="s">
        <v>131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s="1" customFormat="1" ht="12.75"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s="1" customFormat="1" ht="38.25">
      <c r="B5" s="55" t="s">
        <v>185</v>
      </c>
      <c r="C5" s="48" t="s">
        <v>133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12.75">
      <c r="B6" s="12" t="s">
        <v>186</v>
      </c>
      <c r="C6" s="12" t="s">
        <v>134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s="1" customFormat="1" ht="12.75">
      <c r="B7" s="12" t="s">
        <v>187</v>
      </c>
      <c r="C7" s="12" t="s">
        <v>136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s="1" customFormat="1" ht="12.75">
      <c r="B8" s="12" t="s">
        <v>188</v>
      </c>
      <c r="C8" s="15">
        <v>36190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s="1" customFormat="1" ht="12.75">
      <c r="B9" s="12" t="s">
        <v>200</v>
      </c>
      <c r="C9" s="82">
        <v>36161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s="1" customFormat="1" ht="12.75">
      <c r="B10" s="12" t="s">
        <v>189</v>
      </c>
      <c r="C10" s="12" t="s">
        <v>153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s="1" customFormat="1" ht="12.75">
      <c r="B11" s="55" t="s">
        <v>190</v>
      </c>
      <c r="C11" s="49" t="s">
        <v>144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4:12" s="1" customFormat="1" ht="12.75">
      <c r="D12" s="12"/>
      <c r="E12" s="12"/>
      <c r="F12" s="12"/>
      <c r="G12" s="12"/>
      <c r="H12" s="12"/>
      <c r="I12" s="12"/>
      <c r="J12" s="12"/>
      <c r="K12" s="12"/>
      <c r="L12" s="12"/>
    </row>
    <row r="13" spans="2:12" s="1" customFormat="1" ht="12.75">
      <c r="B13" s="6" t="s">
        <v>137</v>
      </c>
      <c r="C13" s="12" t="s">
        <v>137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2:12" s="1" customFormat="1" ht="12.75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s="1" customFormat="1" ht="38.25">
      <c r="B15" s="55" t="s">
        <v>185</v>
      </c>
      <c r="C15" s="48" t="s">
        <v>133</v>
      </c>
      <c r="D15" s="12"/>
      <c r="E15" s="12"/>
      <c r="F15" s="12"/>
      <c r="G15" s="12"/>
      <c r="H15" s="12"/>
      <c r="I15" s="12"/>
      <c r="J15" s="12"/>
      <c r="K15" s="12"/>
      <c r="L15" s="12"/>
    </row>
    <row r="16" spans="2:12" s="1" customFormat="1" ht="12.75">
      <c r="B16" s="12" t="s">
        <v>186</v>
      </c>
      <c r="C16" s="12" t="s">
        <v>134</v>
      </c>
      <c r="D16" s="12"/>
      <c r="E16" s="12"/>
      <c r="F16" s="12"/>
      <c r="G16" s="12"/>
      <c r="H16" s="12"/>
      <c r="I16" s="12"/>
      <c r="J16" s="12"/>
      <c r="K16" s="12"/>
      <c r="L16" s="12"/>
    </row>
    <row r="17" spans="2:12" s="1" customFormat="1" ht="12.75">
      <c r="B17" s="12" t="s">
        <v>187</v>
      </c>
      <c r="C17" s="12" t="s">
        <v>136</v>
      </c>
      <c r="D17" s="12"/>
      <c r="E17" s="12"/>
      <c r="F17" s="12"/>
      <c r="G17" s="12"/>
      <c r="H17" s="12"/>
      <c r="I17" s="12"/>
      <c r="J17" s="12"/>
      <c r="K17" s="12"/>
      <c r="L17" s="12"/>
    </row>
    <row r="18" spans="2:12" s="1" customFormat="1" ht="12.75">
      <c r="B18" s="12" t="s">
        <v>188</v>
      </c>
      <c r="C18" s="15" t="s">
        <v>201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2:12" s="1" customFormat="1" ht="12.75">
      <c r="B19" s="12" t="s">
        <v>200</v>
      </c>
      <c r="C19" s="82">
        <v>36192</v>
      </c>
      <c r="D19" s="12"/>
      <c r="E19" s="12"/>
      <c r="F19" s="12"/>
      <c r="G19" s="12"/>
      <c r="H19" s="12"/>
      <c r="I19" s="12"/>
      <c r="J19" s="12"/>
      <c r="K19" s="12"/>
      <c r="L19" s="12"/>
    </row>
    <row r="20" spans="2:12" s="1" customFormat="1" ht="12.75">
      <c r="B20" s="12" t="s">
        <v>189</v>
      </c>
      <c r="C20" s="12" t="s">
        <v>179</v>
      </c>
      <c r="D20" s="12"/>
      <c r="E20" s="12"/>
      <c r="F20" s="12"/>
      <c r="G20" s="12"/>
      <c r="H20" s="12"/>
      <c r="I20" s="12"/>
      <c r="J20" s="12"/>
      <c r="K20" s="12"/>
      <c r="L20" s="12"/>
    </row>
    <row r="21" spans="2:12" s="1" customFormat="1" ht="12.75">
      <c r="B21" s="55" t="s">
        <v>190</v>
      </c>
      <c r="C21" s="49" t="s">
        <v>176</v>
      </c>
      <c r="D21" s="12"/>
      <c r="E21" s="12"/>
      <c r="F21" s="12"/>
      <c r="G21" s="12"/>
      <c r="H21" s="12"/>
      <c r="I21" s="12"/>
      <c r="J21" s="12"/>
      <c r="K21" s="12"/>
      <c r="L21" s="12"/>
    </row>
    <row r="22" spans="2:12" s="1" customFormat="1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s="1" customFormat="1" ht="12.75">
      <c r="B23" s="6" t="s">
        <v>145</v>
      </c>
      <c r="C23" s="12" t="s">
        <v>145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2:12" s="1" customFormat="1" ht="12.75">
      <c r="B24" s="6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s="1" customFormat="1" ht="38.25">
      <c r="B25" s="55" t="s">
        <v>185</v>
      </c>
      <c r="C25" s="48" t="s">
        <v>133</v>
      </c>
      <c r="D25" s="12"/>
      <c r="E25" s="12"/>
      <c r="F25" s="12"/>
      <c r="G25" s="12"/>
      <c r="H25" s="12"/>
      <c r="I25" s="12"/>
      <c r="J25" s="12"/>
      <c r="K25" s="12"/>
      <c r="L25" s="12"/>
    </row>
    <row r="26" spans="2:12" s="1" customFormat="1" ht="12.75">
      <c r="B26" s="12" t="s">
        <v>186</v>
      </c>
      <c r="C26" s="12" t="s">
        <v>134</v>
      </c>
      <c r="D26" s="12"/>
      <c r="E26" s="12"/>
      <c r="F26" s="12"/>
      <c r="G26" s="12"/>
      <c r="H26" s="12"/>
      <c r="I26" s="12"/>
      <c r="J26" s="12"/>
      <c r="K26" s="12"/>
      <c r="L26" s="12"/>
    </row>
    <row r="27" spans="2:12" s="1" customFormat="1" ht="12.75">
      <c r="B27" s="12" t="s">
        <v>187</v>
      </c>
      <c r="C27" s="12" t="s">
        <v>136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2:12" s="1" customFormat="1" ht="12.75">
      <c r="B28" s="12" t="s">
        <v>188</v>
      </c>
      <c r="C28" s="15" t="s">
        <v>202</v>
      </c>
      <c r="D28" s="12"/>
      <c r="E28" s="12"/>
      <c r="F28" s="12"/>
      <c r="G28" s="12"/>
      <c r="H28" s="12"/>
      <c r="I28" s="12"/>
      <c r="J28" s="12"/>
      <c r="K28" s="12"/>
      <c r="L28" s="12"/>
    </row>
    <row r="29" spans="2:12" s="1" customFormat="1" ht="12.75">
      <c r="B29" s="12" t="s">
        <v>200</v>
      </c>
      <c r="C29" s="82">
        <v>36161</v>
      </c>
      <c r="D29" s="12"/>
      <c r="E29" s="12"/>
      <c r="F29" s="12"/>
      <c r="G29" s="12"/>
      <c r="H29" s="12"/>
      <c r="I29" s="12"/>
      <c r="J29" s="12"/>
      <c r="K29" s="12"/>
      <c r="L29" s="12"/>
    </row>
    <row r="30" spans="2:12" s="1" customFormat="1" ht="12.75">
      <c r="B30" s="12" t="s">
        <v>189</v>
      </c>
      <c r="C30" s="12" t="s">
        <v>138</v>
      </c>
      <c r="D30" s="12"/>
      <c r="E30" s="12"/>
      <c r="F30" s="12"/>
      <c r="G30" s="12"/>
      <c r="H30" s="12"/>
      <c r="I30" s="12"/>
      <c r="J30" s="12"/>
      <c r="K30" s="12"/>
      <c r="L30" s="12"/>
    </row>
    <row r="31" spans="2:12" s="1" customFormat="1" ht="12.75">
      <c r="B31" s="55" t="s">
        <v>190</v>
      </c>
      <c r="C31" s="49" t="s">
        <v>170</v>
      </c>
      <c r="D31" s="12"/>
      <c r="E31" s="12"/>
      <c r="F31" s="12"/>
      <c r="G31" s="12"/>
      <c r="H31" s="12"/>
      <c r="I31" s="12"/>
      <c r="J31" s="12"/>
      <c r="K31" s="12"/>
      <c r="L31" s="1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3"/>
  <sheetViews>
    <sheetView workbookViewId="0" topLeftCell="B1">
      <selection activeCell="C24" sqref="C24"/>
    </sheetView>
  </sheetViews>
  <sheetFormatPr defaultColWidth="9.140625" defaultRowHeight="12.75"/>
  <cols>
    <col min="1" max="1" width="2.7109375" style="17" hidden="1" customWidth="1"/>
    <col min="2" max="2" width="20.28125" style="17" customWidth="1"/>
    <col min="3" max="3" width="9.8515625" style="17" customWidth="1"/>
    <col min="4" max="4" width="8.8515625" style="8" customWidth="1"/>
    <col min="5" max="5" width="4.57421875" style="8" customWidth="1"/>
    <col min="6" max="6" width="3.7109375" style="8" customWidth="1"/>
    <col min="7" max="7" width="11.7109375" style="17" customWidth="1"/>
    <col min="8" max="8" width="4.00390625" style="17" bestFit="1" customWidth="1"/>
    <col min="9" max="9" width="12.00390625" style="18" customWidth="1"/>
    <col min="10" max="10" width="4.00390625" style="17" bestFit="1" customWidth="1"/>
    <col min="11" max="11" width="11.7109375" style="17" customWidth="1"/>
    <col min="12" max="12" width="4.140625" style="17" customWidth="1"/>
    <col min="13" max="13" width="9.57421875" style="17" customWidth="1"/>
    <col min="14" max="14" width="2.140625" style="17" customWidth="1"/>
    <col min="15" max="16384" width="8.8515625" style="17" customWidth="1"/>
  </cols>
  <sheetData>
    <row r="1" spans="2:3" ht="12.75">
      <c r="B1" s="16" t="s">
        <v>191</v>
      </c>
      <c r="C1" s="16"/>
    </row>
    <row r="2" spans="2:12" ht="12.75">
      <c r="B2" s="19"/>
      <c r="C2" s="19"/>
      <c r="G2" s="19"/>
      <c r="H2" s="19"/>
      <c r="I2" s="20"/>
      <c r="J2" s="19"/>
      <c r="K2" s="19"/>
      <c r="L2" s="19"/>
    </row>
    <row r="3" spans="2:5" ht="12.75">
      <c r="B3" s="12"/>
      <c r="C3" s="12" t="s">
        <v>81</v>
      </c>
      <c r="D3" s="8" t="s">
        <v>12</v>
      </c>
      <c r="E3" s="8" t="s">
        <v>64</v>
      </c>
    </row>
    <row r="4" spans="2:12" ht="12.75">
      <c r="B4" s="12"/>
      <c r="C4" s="12"/>
      <c r="G4" s="19"/>
      <c r="H4" s="19"/>
      <c r="I4" s="20"/>
      <c r="J4" s="19"/>
      <c r="K4" s="19"/>
      <c r="L4" s="19"/>
    </row>
    <row r="5" spans="2:12" ht="12.75">
      <c r="B5" s="12"/>
      <c r="C5" s="12"/>
      <c r="G5" s="19"/>
      <c r="H5" s="19"/>
      <c r="I5" s="20"/>
      <c r="J5" s="19"/>
      <c r="K5" s="19"/>
      <c r="L5" s="19"/>
    </row>
    <row r="6" spans="1:13" ht="12.75">
      <c r="A6" s="17">
        <v>1</v>
      </c>
      <c r="B6" s="21" t="str">
        <f>cond!C3</f>
        <v>3028C1</v>
      </c>
      <c r="C6" s="21" t="str">
        <f>cond!C10</f>
        <v>Trial burn - min temp/DRE</v>
      </c>
      <c r="G6" s="19" t="s">
        <v>192</v>
      </c>
      <c r="H6" s="19"/>
      <c r="I6" s="20" t="s">
        <v>193</v>
      </c>
      <c r="J6" s="19"/>
      <c r="K6" s="19" t="s">
        <v>194</v>
      </c>
      <c r="L6" s="19"/>
      <c r="M6" s="19" t="s">
        <v>47</v>
      </c>
    </row>
    <row r="7" spans="2:12" ht="12.75">
      <c r="B7" s="8"/>
      <c r="C7" s="8"/>
      <c r="D7" s="12"/>
      <c r="E7" s="12"/>
      <c r="F7" s="12"/>
      <c r="G7" s="12"/>
      <c r="H7" s="12"/>
      <c r="I7" s="22"/>
      <c r="J7" s="12"/>
      <c r="K7" s="12"/>
      <c r="L7" s="12"/>
    </row>
    <row r="8" spans="2:13" ht="12.75">
      <c r="B8" s="8" t="s">
        <v>111</v>
      </c>
      <c r="C8" s="8" t="s">
        <v>196</v>
      </c>
      <c r="D8" s="12" t="s">
        <v>16</v>
      </c>
      <c r="E8" s="12" t="s">
        <v>15</v>
      </c>
      <c r="F8"/>
      <c r="G8">
        <v>0</v>
      </c>
      <c r="H8"/>
      <c r="I8">
        <v>0</v>
      </c>
      <c r="J8"/>
      <c r="K8">
        <v>0</v>
      </c>
      <c r="L8"/>
      <c r="M8" s="58">
        <f>AVERAGE(K8,I8,G8)</f>
        <v>0</v>
      </c>
    </row>
    <row r="9" spans="2:13" ht="12.75">
      <c r="B9" s="8" t="s">
        <v>114</v>
      </c>
      <c r="C9" s="8" t="s">
        <v>196</v>
      </c>
      <c r="D9" s="12" t="s">
        <v>16</v>
      </c>
      <c r="E9" s="12" t="s">
        <v>15</v>
      </c>
      <c r="F9"/>
      <c r="G9">
        <v>0</v>
      </c>
      <c r="H9"/>
      <c r="I9">
        <v>0</v>
      </c>
      <c r="J9"/>
      <c r="K9">
        <v>0</v>
      </c>
      <c r="L9"/>
      <c r="M9" s="58">
        <f>AVERAGE(K9,I9,G9)</f>
        <v>0</v>
      </c>
    </row>
    <row r="10" spans="2:12" ht="12.75">
      <c r="B10" s="8"/>
      <c r="C10" s="8"/>
      <c r="D10" s="12"/>
      <c r="E10" s="12"/>
      <c r="F10"/>
      <c r="G10"/>
      <c r="H10"/>
      <c r="I10"/>
      <c r="J10"/>
      <c r="K10"/>
      <c r="L10"/>
    </row>
    <row r="11" spans="2:13" ht="12.75">
      <c r="B11" s="8" t="s">
        <v>13</v>
      </c>
      <c r="C11" s="8" t="s">
        <v>196</v>
      </c>
      <c r="D11" s="8" t="s">
        <v>14</v>
      </c>
      <c r="E11" s="8" t="s">
        <v>15</v>
      </c>
      <c r="F11"/>
      <c r="G11">
        <v>0.0076</v>
      </c>
      <c r="H11"/>
      <c r="I11">
        <v>0.0079</v>
      </c>
      <c r="J11"/>
      <c r="K11">
        <v>0.009</v>
      </c>
      <c r="L11"/>
      <c r="M11" s="56">
        <f>AVERAGE(K11,I11,G11)</f>
        <v>0.008166666666666666</v>
      </c>
    </row>
    <row r="12" spans="2:13" ht="12.75">
      <c r="B12" s="8"/>
      <c r="C12" s="8"/>
      <c r="F12"/>
      <c r="G12"/>
      <c r="H12"/>
      <c r="I12"/>
      <c r="J12"/>
      <c r="K12"/>
      <c r="L12"/>
      <c r="M12" s="56"/>
    </row>
    <row r="13" spans="2:13" ht="12.75">
      <c r="B13" s="8" t="s">
        <v>115</v>
      </c>
      <c r="C13" s="8" t="s">
        <v>162</v>
      </c>
      <c r="G13" s="23"/>
      <c r="H13" s="23"/>
      <c r="I13" s="24"/>
      <c r="J13" s="23"/>
      <c r="K13" s="23"/>
      <c r="M13" s="56"/>
    </row>
    <row r="14" spans="2:13" ht="12.75">
      <c r="B14" s="8" t="s">
        <v>116</v>
      </c>
      <c r="C14" s="8"/>
      <c r="D14" s="8" t="s">
        <v>53</v>
      </c>
      <c r="G14" s="23">
        <v>56.64</v>
      </c>
      <c r="H14" s="23"/>
      <c r="I14" s="24">
        <v>53.13</v>
      </c>
      <c r="J14" s="23"/>
      <c r="K14" s="17">
        <v>44.4</v>
      </c>
      <c r="M14" s="56"/>
    </row>
    <row r="15" spans="2:13" ht="12.75">
      <c r="B15" s="8" t="s">
        <v>117</v>
      </c>
      <c r="C15" s="8" t="s">
        <v>196</v>
      </c>
      <c r="D15" s="8" t="s">
        <v>53</v>
      </c>
      <c r="F15" s="8" t="s">
        <v>98</v>
      </c>
      <c r="G15" s="60">
        <v>0.000356</v>
      </c>
      <c r="H15" s="8" t="s">
        <v>98</v>
      </c>
      <c r="I15" s="60">
        <v>0.000331</v>
      </c>
      <c r="J15" s="8" t="s">
        <v>98</v>
      </c>
      <c r="K15" s="60">
        <v>0.00033</v>
      </c>
      <c r="L15" s="8"/>
      <c r="M15" s="56"/>
    </row>
    <row r="16" spans="2:13" ht="12.75">
      <c r="B16" s="8" t="s">
        <v>52</v>
      </c>
      <c r="C16" s="8" t="s">
        <v>196</v>
      </c>
      <c r="D16" s="8" t="s">
        <v>18</v>
      </c>
      <c r="F16" s="8" t="s">
        <v>118</v>
      </c>
      <c r="G16" s="74">
        <f>(G14-G15)/G14*100</f>
        <v>99.99937146892655</v>
      </c>
      <c r="H16" s="74" t="s">
        <v>118</v>
      </c>
      <c r="I16" s="74">
        <f>(I14-I15)/I14*100</f>
        <v>99.99937699981177</v>
      </c>
      <c r="J16" s="74" t="s">
        <v>118</v>
      </c>
      <c r="K16" s="74">
        <f>(K14-K15)/K14*100</f>
        <v>99.99925675675676</v>
      </c>
      <c r="L16" s="75"/>
      <c r="M16" s="56"/>
    </row>
    <row r="17" spans="2:13" ht="12.75">
      <c r="B17" s="8"/>
      <c r="C17" s="8"/>
      <c r="G17" s="70"/>
      <c r="H17" s="70"/>
      <c r="I17" s="70"/>
      <c r="J17" s="70"/>
      <c r="K17" s="70"/>
      <c r="L17" s="8"/>
      <c r="M17" s="71"/>
    </row>
    <row r="18" spans="2:13" ht="12.75">
      <c r="B18" s="8" t="s">
        <v>115</v>
      </c>
      <c r="C18" s="8" t="s">
        <v>163</v>
      </c>
      <c r="G18" s="23"/>
      <c r="H18" s="23"/>
      <c r="I18" s="24"/>
      <c r="J18" s="23"/>
      <c r="K18" s="23"/>
      <c r="M18" s="57"/>
    </row>
    <row r="19" spans="2:13" ht="12.75">
      <c r="B19" s="8" t="s">
        <v>116</v>
      </c>
      <c r="C19" s="8"/>
      <c r="D19" s="8" t="s">
        <v>53</v>
      </c>
      <c r="G19" s="23">
        <v>58.05</v>
      </c>
      <c r="H19" s="23"/>
      <c r="I19" s="24">
        <v>66.87</v>
      </c>
      <c r="J19" s="23"/>
      <c r="K19" s="17">
        <v>61.42</v>
      </c>
      <c r="M19" s="65"/>
    </row>
    <row r="20" spans="2:13" ht="12.75">
      <c r="B20" s="8" t="s">
        <v>117</v>
      </c>
      <c r="C20" s="8" t="s">
        <v>196</v>
      </c>
      <c r="D20" s="8" t="s">
        <v>53</v>
      </c>
      <c r="G20" s="60">
        <v>0.00015</v>
      </c>
      <c r="H20" s="8"/>
      <c r="I20" s="60">
        <v>7.92E-05</v>
      </c>
      <c r="J20" s="8"/>
      <c r="K20" s="60">
        <v>8.24E-05</v>
      </c>
      <c r="L20" s="8"/>
      <c r="M20" s="25"/>
    </row>
    <row r="21" spans="2:13" ht="12.75">
      <c r="B21" s="8" t="s">
        <v>52</v>
      </c>
      <c r="C21" s="8" t="s">
        <v>196</v>
      </c>
      <c r="D21" s="8" t="s">
        <v>18</v>
      </c>
      <c r="G21" s="74">
        <f>(G19-G20)/G19*100</f>
        <v>99.99974160206719</v>
      </c>
      <c r="H21" s="74"/>
      <c r="I21" s="74">
        <f>(I19-I20)/I19*100</f>
        <v>99.99988156123823</v>
      </c>
      <c r="J21" s="74"/>
      <c r="K21" s="74">
        <f>(K19-K20)/K19*100</f>
        <v>99.99986584174536</v>
      </c>
      <c r="L21" s="75"/>
      <c r="M21" s="56"/>
    </row>
    <row r="22" spans="2:13" ht="12.75">
      <c r="B22" s="8"/>
      <c r="C22" s="8"/>
      <c r="F22"/>
      <c r="G22"/>
      <c r="H22"/>
      <c r="I22"/>
      <c r="J22"/>
      <c r="K22"/>
      <c r="L22"/>
      <c r="M22" s="56"/>
    </row>
    <row r="23" spans="2:13" ht="12.75">
      <c r="B23" s="8" t="s">
        <v>85</v>
      </c>
      <c r="C23" s="8" t="s">
        <v>13</v>
      </c>
      <c r="D23" s="8" t="s">
        <v>196</v>
      </c>
      <c r="F23"/>
      <c r="G23"/>
      <c r="H23"/>
      <c r="I23"/>
      <c r="J23"/>
      <c r="K23"/>
      <c r="L23"/>
      <c r="M23"/>
    </row>
    <row r="24" spans="2:13" ht="12.75">
      <c r="B24" s="8" t="s">
        <v>77</v>
      </c>
      <c r="C24" s="8"/>
      <c r="D24" s="8" t="s">
        <v>17</v>
      </c>
      <c r="F24"/>
      <c r="G24">
        <v>11237</v>
      </c>
      <c r="H24"/>
      <c r="I24">
        <v>11377</v>
      </c>
      <c r="J24"/>
      <c r="K24">
        <v>11426</v>
      </c>
      <c r="L24"/>
      <c r="M24" s="64">
        <f>AVERAGE(K24,I24,G24)</f>
        <v>11346.666666666666</v>
      </c>
    </row>
    <row r="25" spans="2:13" ht="12.75">
      <c r="B25" s="8" t="s">
        <v>82</v>
      </c>
      <c r="C25" s="8"/>
      <c r="D25" s="8" t="s">
        <v>18</v>
      </c>
      <c r="F25"/>
      <c r="G25">
        <v>12.4</v>
      </c>
      <c r="H25"/>
      <c r="I25">
        <v>12.4</v>
      </c>
      <c r="J25"/>
      <c r="K25">
        <v>12.2</v>
      </c>
      <c r="L25"/>
      <c r="M25" s="5">
        <f>AVERAGE(K25,I25,G25)</f>
        <v>12.333333333333334</v>
      </c>
    </row>
    <row r="26" spans="2:13" ht="12.75">
      <c r="B26" s="8" t="s">
        <v>83</v>
      </c>
      <c r="C26" s="8"/>
      <c r="D26" s="8" t="s">
        <v>18</v>
      </c>
      <c r="F26"/>
      <c r="G26">
        <v>3.39</v>
      </c>
      <c r="H26"/>
      <c r="I26">
        <v>4.01</v>
      </c>
      <c r="J26"/>
      <c r="K26">
        <v>3.89</v>
      </c>
      <c r="L26"/>
      <c r="M26" s="64">
        <f>AVERAGE(K26,I26,G26)</f>
        <v>3.7633333333333336</v>
      </c>
    </row>
    <row r="27" spans="2:13" ht="12.75">
      <c r="B27" s="8" t="s">
        <v>76</v>
      </c>
      <c r="C27" s="8"/>
      <c r="D27" s="8" t="s">
        <v>19</v>
      </c>
      <c r="F27"/>
      <c r="G27">
        <v>81</v>
      </c>
      <c r="H27"/>
      <c r="I27">
        <v>81</v>
      </c>
      <c r="J27"/>
      <c r="K27">
        <v>82</v>
      </c>
      <c r="L27"/>
      <c r="M27" s="64">
        <f>AVERAGE(K27,I27,G27)</f>
        <v>81.33333333333333</v>
      </c>
    </row>
    <row r="28" spans="4:9" ht="12.75">
      <c r="D28" s="17"/>
      <c r="E28" s="17"/>
      <c r="F28" s="17"/>
      <c r="I28" s="17"/>
    </row>
    <row r="29" spans="1:13" ht="12.75">
      <c r="A29" s="17">
        <v>2</v>
      </c>
      <c r="B29" s="21" t="str">
        <f>cond!C13</f>
        <v>3028C2</v>
      </c>
      <c r="C29" s="21"/>
      <c r="D29" s="8" t="str">
        <f>cond!C20</f>
        <v>Trial burn - worst-case PM/HCl/metals; As/Cr spiked</v>
      </c>
      <c r="E29"/>
      <c r="F29"/>
      <c r="G29" s="19" t="s">
        <v>192</v>
      </c>
      <c r="H29" s="19"/>
      <c r="I29" s="20" t="s">
        <v>193</v>
      </c>
      <c r="J29" s="19"/>
      <c r="K29" s="19" t="s">
        <v>194</v>
      </c>
      <c r="L29" s="19"/>
      <c r="M29" s="19" t="s">
        <v>47</v>
      </c>
    </row>
    <row r="30" spans="2:13" ht="12.75">
      <c r="B30" s="8"/>
      <c r="C30" s="8"/>
      <c r="D30" s="12"/>
      <c r="E30" s="12"/>
      <c r="F30"/>
      <c r="G30" s="51"/>
      <c r="H30" s="51"/>
      <c r="I30" s="51"/>
      <c r="J30" s="51"/>
      <c r="K30" s="51"/>
      <c r="L30" s="51"/>
      <c r="M30" s="51"/>
    </row>
    <row r="31" spans="2:13" ht="12.75">
      <c r="B31" s="8" t="s">
        <v>111</v>
      </c>
      <c r="C31" s="8" t="s">
        <v>196</v>
      </c>
      <c r="D31" s="12" t="s">
        <v>16</v>
      </c>
      <c r="E31" s="12" t="s">
        <v>15</v>
      </c>
      <c r="F31"/>
      <c r="G31">
        <v>7</v>
      </c>
      <c r="H31"/>
      <c r="I31">
        <v>3</v>
      </c>
      <c r="J31"/>
      <c r="K31">
        <v>23</v>
      </c>
      <c r="L31"/>
      <c r="M31" s="58">
        <f>AVERAGE(K31,I31,G31)</f>
        <v>11</v>
      </c>
    </row>
    <row r="32" spans="2:13" ht="12.75">
      <c r="B32" s="8" t="s">
        <v>114</v>
      </c>
      <c r="C32" s="8" t="s">
        <v>196</v>
      </c>
      <c r="D32" s="12" t="s">
        <v>16</v>
      </c>
      <c r="E32" s="12" t="s">
        <v>15</v>
      </c>
      <c r="F32"/>
      <c r="G32">
        <v>8</v>
      </c>
      <c r="H32"/>
      <c r="I32">
        <v>14</v>
      </c>
      <c r="J32"/>
      <c r="K32">
        <v>85</v>
      </c>
      <c r="L32"/>
      <c r="M32" s="58">
        <f>AVERAGE(K32,I32,G32)</f>
        <v>35.666666666666664</v>
      </c>
    </row>
    <row r="33" spans="2:12" ht="12.75">
      <c r="B33" s="8"/>
      <c r="C33" s="8"/>
      <c r="D33" s="12"/>
      <c r="E33" s="12"/>
      <c r="F33"/>
      <c r="G33"/>
      <c r="H33"/>
      <c r="I33"/>
      <c r="J33"/>
      <c r="K33"/>
      <c r="L33"/>
    </row>
    <row r="34" spans="2:13" ht="12.75">
      <c r="B34" s="8" t="s">
        <v>13</v>
      </c>
      <c r="C34" s="8" t="s">
        <v>196</v>
      </c>
      <c r="D34" s="8" t="s">
        <v>14</v>
      </c>
      <c r="E34" s="8" t="s">
        <v>15</v>
      </c>
      <c r="F34"/>
      <c r="G34">
        <v>0.034</v>
      </c>
      <c r="H34"/>
      <c r="I34">
        <v>0.028</v>
      </c>
      <c r="J34"/>
      <c r="K34">
        <v>0.026</v>
      </c>
      <c r="L34"/>
      <c r="M34" s="56">
        <f>AVERAGE(K34,I34,G34)</f>
        <v>0.029333333333333333</v>
      </c>
    </row>
    <row r="35" spans="2:13" ht="12.75">
      <c r="B35" s="8"/>
      <c r="C35" s="8"/>
      <c r="F35"/>
      <c r="G35"/>
      <c r="H35"/>
      <c r="I35"/>
      <c r="J35"/>
      <c r="K35"/>
      <c r="L35"/>
      <c r="M35" s="56"/>
    </row>
    <row r="36" spans="2:13" ht="12.75">
      <c r="B36" s="8" t="s">
        <v>50</v>
      </c>
      <c r="C36" s="8"/>
      <c r="D36" s="8" t="s">
        <v>165</v>
      </c>
      <c r="E36" s="8" t="s">
        <v>100</v>
      </c>
      <c r="F36"/>
      <c r="G36">
        <v>183</v>
      </c>
      <c r="H36"/>
      <c r="I36">
        <v>149</v>
      </c>
      <c r="J36"/>
      <c r="K36">
        <v>151</v>
      </c>
      <c r="L36"/>
      <c r="M36" s="56"/>
    </row>
    <row r="37" spans="2:13" ht="12.75">
      <c r="B37" s="8" t="s">
        <v>51</v>
      </c>
      <c r="C37" s="8"/>
      <c r="D37" s="8" t="s">
        <v>165</v>
      </c>
      <c r="E37" s="8" t="s">
        <v>100</v>
      </c>
      <c r="F37"/>
      <c r="G37">
        <v>1.8</v>
      </c>
      <c r="H37"/>
      <c r="I37">
        <v>5.4</v>
      </c>
      <c r="J37"/>
      <c r="K37">
        <v>1.6</v>
      </c>
      <c r="L37"/>
      <c r="M37" s="56"/>
    </row>
    <row r="38" spans="2:13" ht="12.75">
      <c r="B38" s="8"/>
      <c r="C38" s="8"/>
      <c r="F38"/>
      <c r="G38"/>
      <c r="H38"/>
      <c r="I38"/>
      <c r="J38"/>
      <c r="K38"/>
      <c r="L38"/>
      <c r="M38" s="56"/>
    </row>
    <row r="39" spans="2:13" ht="12.75">
      <c r="B39" s="8" t="s">
        <v>50</v>
      </c>
      <c r="C39" s="8" t="s">
        <v>196</v>
      </c>
      <c r="D39" s="8" t="s">
        <v>16</v>
      </c>
      <c r="E39" s="8" t="s">
        <v>15</v>
      </c>
      <c r="G39" s="64">
        <f>G36*14/(21-G51)</f>
        <v>176.68965517241378</v>
      </c>
      <c r="H39" s="64"/>
      <c r="I39" s="64">
        <f>I36*14/(21-I51)</f>
        <v>145.87412587412587</v>
      </c>
      <c r="J39" s="64"/>
      <c r="K39" s="64">
        <f>K36*14/(21-K51)</f>
        <v>144.7945205479452</v>
      </c>
      <c r="L39" s="64"/>
      <c r="M39" s="64">
        <f>AVERAGE(K39,I39,G39)</f>
        <v>155.78610053149495</v>
      </c>
    </row>
    <row r="40" spans="2:13" ht="12.75">
      <c r="B40" s="8" t="s">
        <v>51</v>
      </c>
      <c r="C40" s="8" t="s">
        <v>196</v>
      </c>
      <c r="D40" s="8" t="s">
        <v>16</v>
      </c>
      <c r="E40" s="8" t="s">
        <v>15</v>
      </c>
      <c r="G40" s="64">
        <f>G37*14/(21-G52)</f>
        <v>1.6153846153846154</v>
      </c>
      <c r="H40" s="64"/>
      <c r="I40" s="64">
        <f>I37*14/(21-I52)</f>
        <v>4.775742261528744</v>
      </c>
      <c r="J40" s="64"/>
      <c r="K40" s="64">
        <f>K37*14/(21-K52)</f>
        <v>1.4150347441566646</v>
      </c>
      <c r="L40" s="64"/>
      <c r="M40" s="64">
        <f>AVERAGE(K40,I40,G40)</f>
        <v>2.6020538736900076</v>
      </c>
    </row>
    <row r="41" spans="2:13" ht="12.75">
      <c r="B41" s="8" t="s">
        <v>164</v>
      </c>
      <c r="C41" s="8" t="s">
        <v>196</v>
      </c>
      <c r="D41" s="8" t="s">
        <v>16</v>
      </c>
      <c r="E41" s="8" t="s">
        <v>15</v>
      </c>
      <c r="F41"/>
      <c r="G41" s="64">
        <f>G39+2*G40</f>
        <v>179.920424403183</v>
      </c>
      <c r="H41" s="64"/>
      <c r="I41" s="64">
        <f>I39+2*I40</f>
        <v>155.42561039718336</v>
      </c>
      <c r="J41" s="64"/>
      <c r="K41" s="64">
        <f>K39+2*K40</f>
        <v>147.62459003625855</v>
      </c>
      <c r="L41" s="64"/>
      <c r="M41" s="64">
        <f>AVERAGE(K41,I41,G41)</f>
        <v>160.99020827887497</v>
      </c>
    </row>
    <row r="42" spans="2:13" ht="12.75">
      <c r="B42" s="8"/>
      <c r="C42" s="8"/>
      <c r="G42" s="23"/>
      <c r="H42" s="23"/>
      <c r="I42" s="24"/>
      <c r="J42" s="23"/>
      <c r="M42" s="67"/>
    </row>
    <row r="43" spans="2:13" ht="12.75">
      <c r="B43" s="8" t="s">
        <v>103</v>
      </c>
      <c r="C43" s="8" t="s">
        <v>196</v>
      </c>
      <c r="D43" s="8" t="s">
        <v>55</v>
      </c>
      <c r="E43" s="8" t="s">
        <v>15</v>
      </c>
      <c r="F43" s="8" t="s">
        <v>98</v>
      </c>
      <c r="G43" s="24">
        <v>32</v>
      </c>
      <c r="H43" s="77" t="s">
        <v>98</v>
      </c>
      <c r="I43" s="24">
        <v>24</v>
      </c>
      <c r="J43" s="77"/>
      <c r="K43" s="24">
        <v>24</v>
      </c>
      <c r="L43" s="8"/>
      <c r="M43" s="64">
        <f>AVERAGE(K43/2,I43/2,G43)</f>
        <v>18.666666666666668</v>
      </c>
    </row>
    <row r="44" spans="2:13" ht="12.75">
      <c r="B44" s="8" t="s">
        <v>84</v>
      </c>
      <c r="C44" s="8" t="s">
        <v>196</v>
      </c>
      <c r="D44" s="8" t="s">
        <v>55</v>
      </c>
      <c r="E44" s="8" t="s">
        <v>15</v>
      </c>
      <c r="G44" s="76">
        <v>326</v>
      </c>
      <c r="H44" s="76"/>
      <c r="I44" s="76">
        <v>309</v>
      </c>
      <c r="J44" s="76"/>
      <c r="K44" s="76">
        <v>468</v>
      </c>
      <c r="L44" s="75"/>
      <c r="M44" s="64">
        <f>AVERAGE(K44,I44,G44)</f>
        <v>367.6666666666667</v>
      </c>
    </row>
    <row r="45" spans="2:13" ht="12.75">
      <c r="B45" s="81" t="s">
        <v>199</v>
      </c>
      <c r="C45" s="8"/>
      <c r="D45" s="8" t="s">
        <v>55</v>
      </c>
      <c r="E45" s="8" t="s">
        <v>100</v>
      </c>
      <c r="G45" s="76">
        <f>510/2.12</f>
        <v>240.56603773584905</v>
      </c>
      <c r="H45" s="76"/>
      <c r="I45" s="76">
        <f>270/2.08</f>
        <v>129.8076923076923</v>
      </c>
      <c r="J45" s="76"/>
      <c r="K45" s="76">
        <f>470/2.05</f>
        <v>229.26829268292684</v>
      </c>
      <c r="L45" s="75"/>
      <c r="M45" s="64">
        <f>AVERAGE(K45,I45,G45)</f>
        <v>199.88067424215606</v>
      </c>
    </row>
    <row r="46" spans="2:13" ht="12.75">
      <c r="B46" s="81" t="s">
        <v>199</v>
      </c>
      <c r="C46" s="8" t="s">
        <v>196</v>
      </c>
      <c r="D46" s="8" t="s">
        <v>55</v>
      </c>
      <c r="E46" s="8" t="s">
        <v>15</v>
      </c>
      <c r="G46" s="76">
        <f>G45*14/(21-G51)</f>
        <v>232.27065712426804</v>
      </c>
      <c r="H46" s="76"/>
      <c r="I46" s="76">
        <f>I45*14/(21-I51)</f>
        <v>127.08445400753091</v>
      </c>
      <c r="J46" s="76"/>
      <c r="K46" s="76">
        <f>K45*14/(21-K51)</f>
        <v>219.84630805212163</v>
      </c>
      <c r="L46" s="75"/>
      <c r="M46" s="64">
        <f>AVERAGE(K46,I46,G46)</f>
        <v>193.0671397279735</v>
      </c>
    </row>
    <row r="47" spans="2:13" ht="12.75">
      <c r="B47" s="81" t="s">
        <v>57</v>
      </c>
      <c r="C47" s="8" t="s">
        <v>196</v>
      </c>
      <c r="D47" s="8" t="s">
        <v>55</v>
      </c>
      <c r="E47" s="8" t="s">
        <v>15</v>
      </c>
      <c r="G47" s="76">
        <f>G44+G43</f>
        <v>358</v>
      </c>
      <c r="H47" s="76"/>
      <c r="I47" s="76">
        <f>I44+I43</f>
        <v>333</v>
      </c>
      <c r="J47" s="76"/>
      <c r="K47" s="76">
        <f>K44+K43</f>
        <v>492</v>
      </c>
      <c r="L47" s="75"/>
      <c r="M47" s="64">
        <f>AVERAGE(K47,I47,G47)</f>
        <v>394.3333333333333</v>
      </c>
    </row>
    <row r="48" spans="2:13" ht="12.75">
      <c r="B48" s="8"/>
      <c r="C48" s="8"/>
      <c r="F48"/>
      <c r="G48"/>
      <c r="H48"/>
      <c r="I48"/>
      <c r="J48"/>
      <c r="K48"/>
      <c r="L48"/>
      <c r="M48" s="5"/>
    </row>
    <row r="49" spans="2:13" ht="12.75">
      <c r="B49" s="8" t="s">
        <v>85</v>
      </c>
      <c r="C49" s="8"/>
      <c r="D49" s="8" t="s">
        <v>166</v>
      </c>
      <c r="E49" s="8" t="s">
        <v>196</v>
      </c>
      <c r="F49"/>
      <c r="G49"/>
      <c r="H49"/>
      <c r="I49"/>
      <c r="J49"/>
      <c r="K49"/>
      <c r="L49"/>
      <c r="M49"/>
    </row>
    <row r="50" spans="2:13" ht="12.75">
      <c r="B50" s="8" t="s">
        <v>77</v>
      </c>
      <c r="C50" s="8"/>
      <c r="D50" s="8" t="s">
        <v>17</v>
      </c>
      <c r="F50"/>
      <c r="G50">
        <v>6177</v>
      </c>
      <c r="H50"/>
      <c r="I50">
        <v>6330</v>
      </c>
      <c r="J50"/>
      <c r="K50">
        <v>6295</v>
      </c>
      <c r="L50"/>
      <c r="M50" s="64">
        <f>AVERAGE(K50,I50,G50)</f>
        <v>6267.333333333333</v>
      </c>
    </row>
    <row r="51" spans="2:13" ht="12.75">
      <c r="B51" s="8" t="s">
        <v>82</v>
      </c>
      <c r="C51" s="8"/>
      <c r="D51" s="8" t="s">
        <v>18</v>
      </c>
      <c r="F51"/>
      <c r="G51">
        <v>6.5</v>
      </c>
      <c r="H51"/>
      <c r="I51">
        <v>6.7</v>
      </c>
      <c r="J51"/>
      <c r="K51">
        <v>6.4</v>
      </c>
      <c r="L51"/>
      <c r="M51" s="5">
        <f>AVERAGE(K51,I51,G51)</f>
        <v>6.533333333333334</v>
      </c>
    </row>
    <row r="52" spans="2:13" ht="12.75">
      <c r="B52" s="8" t="s">
        <v>83</v>
      </c>
      <c r="C52" s="8"/>
      <c r="D52" s="8" t="s">
        <v>18</v>
      </c>
      <c r="F52"/>
      <c r="G52">
        <v>5.4</v>
      </c>
      <c r="H52"/>
      <c r="I52">
        <v>5.17</v>
      </c>
      <c r="J52"/>
      <c r="K52">
        <v>5.17</v>
      </c>
      <c r="L52"/>
      <c r="M52" s="5">
        <f>AVERAGE(K52,I52,G52)</f>
        <v>5.246666666666667</v>
      </c>
    </row>
    <row r="53" spans="2:13" ht="12.75">
      <c r="B53" s="8" t="s">
        <v>76</v>
      </c>
      <c r="C53" s="8"/>
      <c r="D53" s="8" t="s">
        <v>19</v>
      </c>
      <c r="F53"/>
      <c r="G53">
        <v>92</v>
      </c>
      <c r="H53"/>
      <c r="I53">
        <v>94</v>
      </c>
      <c r="J53"/>
      <c r="K53">
        <v>93</v>
      </c>
      <c r="L53"/>
      <c r="M53" s="64">
        <f>AVERAGE(K53,I53,G53)</f>
        <v>93</v>
      </c>
    </row>
    <row r="54" spans="4:9" ht="12.75">
      <c r="D54" s="17"/>
      <c r="E54" s="17"/>
      <c r="F54" s="17"/>
      <c r="I54" s="17"/>
    </row>
    <row r="55" spans="4:9" ht="12.75">
      <c r="D55" s="17"/>
      <c r="E55" s="17"/>
      <c r="F55" s="17"/>
      <c r="I55" s="17"/>
    </row>
    <row r="56" spans="1:13" ht="12.75">
      <c r="A56" s="17">
        <v>3</v>
      </c>
      <c r="B56" s="21" t="str">
        <f>cond!C23</f>
        <v>3028C3</v>
      </c>
      <c r="C56" s="8"/>
      <c r="D56" s="8" t="str">
        <f>cond!C30</f>
        <v>Risk burn (Slightly higher than annual median waste feedrate)</v>
      </c>
      <c r="F56"/>
      <c r="G56" s="19" t="s">
        <v>192</v>
      </c>
      <c r="H56" s="19"/>
      <c r="I56" s="20" t="s">
        <v>193</v>
      </c>
      <c r="J56" s="19"/>
      <c r="K56" s="19" t="s">
        <v>194</v>
      </c>
      <c r="L56" s="19"/>
      <c r="M56" s="19" t="s">
        <v>47</v>
      </c>
    </row>
    <row r="57" spans="2:13" ht="12.75">
      <c r="B57" s="8"/>
      <c r="C57" s="8"/>
      <c r="D57" s="12"/>
      <c r="E57" s="12"/>
      <c r="F57"/>
      <c r="G57" s="51"/>
      <c r="I57" s="17"/>
      <c r="M57" s="19"/>
    </row>
    <row r="58" spans="2:13" ht="12.75">
      <c r="B58" s="8" t="s">
        <v>111</v>
      </c>
      <c r="C58" s="8" t="s">
        <v>196</v>
      </c>
      <c r="D58" s="12" t="s">
        <v>16</v>
      </c>
      <c r="E58" s="12" t="s">
        <v>15</v>
      </c>
      <c r="F58"/>
      <c r="G58">
        <v>0.2</v>
      </c>
      <c r="H58" s="8"/>
      <c r="I58">
        <v>1</v>
      </c>
      <c r="J58" s="8"/>
      <c r="K58">
        <v>0</v>
      </c>
      <c r="L58"/>
      <c r="M58" s="64">
        <f>AVERAGE(K58,I58,G58)</f>
        <v>0.39999999999999997</v>
      </c>
    </row>
    <row r="59" spans="2:13" ht="12.75">
      <c r="B59" s="8" t="s">
        <v>114</v>
      </c>
      <c r="C59" s="8" t="s">
        <v>196</v>
      </c>
      <c r="D59" s="12" t="s">
        <v>16</v>
      </c>
      <c r="E59" s="12" t="s">
        <v>15</v>
      </c>
      <c r="F59"/>
      <c r="G59" s="17">
        <v>0.4</v>
      </c>
      <c r="I59" s="17">
        <v>38</v>
      </c>
      <c r="K59" s="17">
        <v>43</v>
      </c>
      <c r="L59"/>
      <c r="M59" s="58">
        <f>AVERAGE(K32,I32,G32)</f>
        <v>35.666666666666664</v>
      </c>
    </row>
    <row r="60" spans="2:13" ht="12.75">
      <c r="B60" s="8"/>
      <c r="C60" s="8"/>
      <c r="D60" s="12"/>
      <c r="E60" s="12"/>
      <c r="F60"/>
      <c r="I60" s="17"/>
      <c r="L60"/>
      <c r="M60" s="58"/>
    </row>
    <row r="61" spans="2:13" ht="12.75">
      <c r="B61" s="8" t="s">
        <v>155</v>
      </c>
      <c r="C61" s="8"/>
      <c r="D61" s="8" t="s">
        <v>55</v>
      </c>
      <c r="E61" s="8" t="s">
        <v>100</v>
      </c>
      <c r="G61" s="80">
        <f>816/2.08</f>
        <v>392.3076923076923</v>
      </c>
      <c r="H61" s="8"/>
      <c r="I61" s="64">
        <f>813/2.05</f>
        <v>396.5853658536586</v>
      </c>
      <c r="J61"/>
      <c r="K61" s="64">
        <f>809/2.04</f>
        <v>396.5686274509804</v>
      </c>
      <c r="L61"/>
      <c r="M61" s="5"/>
    </row>
    <row r="62" spans="2:13" ht="12.75">
      <c r="B62" s="8" t="s">
        <v>107</v>
      </c>
      <c r="C62" s="8"/>
      <c r="D62" s="8" t="s">
        <v>55</v>
      </c>
      <c r="E62" s="8" t="s">
        <v>100</v>
      </c>
      <c r="F62" s="8" t="s">
        <v>98</v>
      </c>
      <c r="G62" s="79">
        <f>20.5/2.08</f>
        <v>9.85576923076923</v>
      </c>
      <c r="H62" s="8" t="s">
        <v>98</v>
      </c>
      <c r="I62" s="64">
        <f>25.5/2.05</f>
        <v>12.439024390243903</v>
      </c>
      <c r="J62" s="8" t="s">
        <v>98</v>
      </c>
      <c r="K62" s="64">
        <f>25.5/2.04</f>
        <v>12.5</v>
      </c>
      <c r="L62"/>
      <c r="M62" s="5"/>
    </row>
    <row r="63" spans="2:13" ht="12.75">
      <c r="B63" s="8" t="s">
        <v>103</v>
      </c>
      <c r="C63" s="8"/>
      <c r="D63" s="8" t="s">
        <v>55</v>
      </c>
      <c r="E63" s="8" t="s">
        <v>100</v>
      </c>
      <c r="F63" s="8" t="s">
        <v>98</v>
      </c>
      <c r="G63" s="79">
        <f>9/2.08</f>
        <v>4.326923076923077</v>
      </c>
      <c r="H63" s="8" t="s">
        <v>98</v>
      </c>
      <c r="I63" s="5">
        <f>9/2.05</f>
        <v>4.390243902439025</v>
      </c>
      <c r="J63" s="8" t="s">
        <v>98</v>
      </c>
      <c r="K63" s="5">
        <f>9/2.04</f>
        <v>4.411764705882353</v>
      </c>
      <c r="L63"/>
      <c r="M63" s="5"/>
    </row>
    <row r="64" spans="2:13" ht="12.75">
      <c r="B64" s="8" t="s">
        <v>104</v>
      </c>
      <c r="C64" s="8"/>
      <c r="D64" s="8" t="s">
        <v>55</v>
      </c>
      <c r="E64" s="8" t="s">
        <v>100</v>
      </c>
      <c r="F64"/>
      <c r="G64" s="80">
        <f>71.1/2.08</f>
        <v>34.18269230769231</v>
      </c>
      <c r="H64"/>
      <c r="I64" s="5">
        <f>7.03/2.05</f>
        <v>3.429268292682927</v>
      </c>
      <c r="J64"/>
      <c r="K64" s="64">
        <f>70.2/2.04</f>
        <v>34.411764705882355</v>
      </c>
      <c r="L64"/>
      <c r="M64" s="5"/>
    </row>
    <row r="65" spans="2:13" ht="12.75">
      <c r="B65" s="8" t="s">
        <v>167</v>
      </c>
      <c r="C65" s="8"/>
      <c r="D65" s="8" t="s">
        <v>55</v>
      </c>
      <c r="E65" s="8" t="s">
        <v>100</v>
      </c>
      <c r="F65" s="8" t="s">
        <v>98</v>
      </c>
      <c r="G65" s="78">
        <f>0.45/2.08</f>
        <v>0.21634615384615385</v>
      </c>
      <c r="H65" s="78" t="s">
        <v>98</v>
      </c>
      <c r="I65" s="63">
        <f>0.45/2.05</f>
        <v>0.21951219512195125</v>
      </c>
      <c r="J65" s="78" t="s">
        <v>98</v>
      </c>
      <c r="K65" s="63">
        <f>0.15/2.04</f>
        <v>0.07352941176470588</v>
      </c>
      <c r="L65"/>
      <c r="M65" s="5"/>
    </row>
    <row r="66" spans="2:13" ht="12.75">
      <c r="B66" s="8" t="s">
        <v>105</v>
      </c>
      <c r="C66" s="8"/>
      <c r="D66" s="8" t="s">
        <v>55</v>
      </c>
      <c r="E66" s="8" t="s">
        <v>100</v>
      </c>
      <c r="F66" s="8" t="s">
        <v>98</v>
      </c>
      <c r="G66" s="78">
        <f>0.88/2.08</f>
        <v>0.4230769230769231</v>
      </c>
      <c r="H66" s="8"/>
      <c r="I66" s="63">
        <f>1.27/2.05</f>
        <v>0.6195121951219513</v>
      </c>
      <c r="J66" s="8" t="s">
        <v>98</v>
      </c>
      <c r="K66" s="5">
        <f>1.1/2.04</f>
        <v>0.5392156862745099</v>
      </c>
      <c r="L66"/>
      <c r="M66" s="5"/>
    </row>
    <row r="67" spans="2:13" ht="12.75">
      <c r="B67" s="8" t="s">
        <v>84</v>
      </c>
      <c r="C67" s="8"/>
      <c r="D67" s="8" t="s">
        <v>55</v>
      </c>
      <c r="E67" s="8" t="s">
        <v>100</v>
      </c>
      <c r="F67"/>
      <c r="G67" s="79">
        <f>16.3/2.08</f>
        <v>7.836538461538462</v>
      </c>
      <c r="H67"/>
      <c r="I67" s="5">
        <f>14.2/2.05</f>
        <v>6.926829268292683</v>
      </c>
      <c r="J67"/>
      <c r="K67" s="5">
        <f>14.2/2.04</f>
        <v>6.9607843137254894</v>
      </c>
      <c r="L67"/>
      <c r="M67" s="5"/>
    </row>
    <row r="68" spans="2:13" ht="12.75">
      <c r="B68" s="81" t="s">
        <v>199</v>
      </c>
      <c r="C68" s="8"/>
      <c r="D68" s="8" t="s">
        <v>55</v>
      </c>
      <c r="E68" s="8" t="s">
        <v>100</v>
      </c>
      <c r="G68" s="79">
        <f>55/2.12</f>
        <v>25.943396226415093</v>
      </c>
      <c r="H68" s="79"/>
      <c r="I68" s="5">
        <f>88/2.05</f>
        <v>42.926829268292686</v>
      </c>
      <c r="J68" s="79"/>
      <c r="K68" s="5">
        <f>68/2.01</f>
        <v>33.83084577114428</v>
      </c>
      <c r="L68"/>
      <c r="M68" s="5"/>
    </row>
    <row r="69" spans="2:13" ht="12.75">
      <c r="B69" s="8" t="s">
        <v>168</v>
      </c>
      <c r="C69" s="8"/>
      <c r="D69" s="8" t="s">
        <v>55</v>
      </c>
      <c r="E69" s="8" t="s">
        <v>100</v>
      </c>
      <c r="F69" s="8" t="s">
        <v>98</v>
      </c>
      <c r="G69" s="79">
        <f>4.5/2.08</f>
        <v>2.1634615384615383</v>
      </c>
      <c r="H69" s="8" t="s">
        <v>98</v>
      </c>
      <c r="I69" s="5">
        <f>4.5/2.05</f>
        <v>2.1951219512195124</v>
      </c>
      <c r="J69" s="8" t="s">
        <v>98</v>
      </c>
      <c r="K69" s="5">
        <f>1.5/2.04</f>
        <v>0.7352941176470588</v>
      </c>
      <c r="L69"/>
      <c r="M69" s="5"/>
    </row>
    <row r="70" spans="2:13" ht="12.75">
      <c r="B70" s="8" t="s">
        <v>156</v>
      </c>
      <c r="C70" s="8"/>
      <c r="D70" s="8" t="s">
        <v>55</v>
      </c>
      <c r="E70" s="8" t="s">
        <v>100</v>
      </c>
      <c r="G70" s="80">
        <f>335/2.08</f>
        <v>161.0576923076923</v>
      </c>
      <c r="H70" s="8"/>
      <c r="I70" s="64">
        <f>305/2.05</f>
        <v>148.78048780487805</v>
      </c>
      <c r="J70" s="8"/>
      <c r="K70" s="64">
        <f>302/2.04</f>
        <v>148.0392156862745</v>
      </c>
      <c r="L70"/>
      <c r="M70" s="5"/>
    </row>
    <row r="71" spans="2:13" ht="12.75">
      <c r="B71" s="8" t="s">
        <v>157</v>
      </c>
      <c r="C71" s="8"/>
      <c r="D71" s="8" t="s">
        <v>55</v>
      </c>
      <c r="E71" s="8" t="s">
        <v>100</v>
      </c>
      <c r="G71" s="80">
        <f>4380/2.08</f>
        <v>2105.7692307692305</v>
      </c>
      <c r="H71" s="8"/>
      <c r="I71" s="64">
        <f>4140/2.05</f>
        <v>2019.5121951219514</v>
      </c>
      <c r="J71" s="8"/>
      <c r="K71" s="64">
        <f>3730/2.04</f>
        <v>1828.4313725490197</v>
      </c>
      <c r="L71"/>
      <c r="M71" s="5"/>
    </row>
    <row r="72" spans="2:13" ht="12.75">
      <c r="B72" s="8" t="s">
        <v>78</v>
      </c>
      <c r="C72" s="8"/>
      <c r="D72" s="8" t="s">
        <v>55</v>
      </c>
      <c r="E72" s="8" t="s">
        <v>100</v>
      </c>
      <c r="F72" s="8" t="s">
        <v>98</v>
      </c>
      <c r="G72" s="79">
        <f>9/2.08</f>
        <v>4.326923076923077</v>
      </c>
      <c r="H72" s="8" t="s">
        <v>98</v>
      </c>
      <c r="I72" s="5">
        <f>9/2.05</f>
        <v>4.390243902439025</v>
      </c>
      <c r="J72" s="8" t="s">
        <v>98</v>
      </c>
      <c r="K72" s="5">
        <f>9/2.04</f>
        <v>4.411764705882353</v>
      </c>
      <c r="L72"/>
      <c r="M72" s="5"/>
    </row>
    <row r="73" spans="2:13" ht="12.75">
      <c r="B73" s="8" t="s">
        <v>161</v>
      </c>
      <c r="C73" s="8"/>
      <c r="D73" s="8" t="s">
        <v>55</v>
      </c>
      <c r="E73" s="8" t="s">
        <v>100</v>
      </c>
      <c r="F73"/>
      <c r="G73" s="80">
        <f>438/2.08</f>
        <v>210.57692307692307</v>
      </c>
      <c r="H73"/>
      <c r="I73" s="64">
        <f>438/2.05</f>
        <v>213.65853658536588</v>
      </c>
      <c r="J73" t="s">
        <v>98</v>
      </c>
      <c r="K73" s="64">
        <f>438/2.04</f>
        <v>214.70588235294116</v>
      </c>
      <c r="L73"/>
      <c r="M73" s="5"/>
    </row>
    <row r="74" spans="2:13" ht="12.75">
      <c r="B74" s="8" t="s">
        <v>158</v>
      </c>
      <c r="C74" s="8"/>
      <c r="D74" s="8" t="s">
        <v>55</v>
      </c>
      <c r="E74" s="8" t="s">
        <v>100</v>
      </c>
      <c r="G74" s="80">
        <f>66.6/2.08</f>
        <v>32.01923076923077</v>
      </c>
      <c r="H74" s="8"/>
      <c r="I74" s="64">
        <f>62.1/2.05</f>
        <v>30.292682926829272</v>
      </c>
      <c r="J74" s="8"/>
      <c r="K74" s="64">
        <f>65/2.04</f>
        <v>31.862745098039216</v>
      </c>
      <c r="L74"/>
      <c r="M74" s="5"/>
    </row>
    <row r="75" spans="2:13" ht="12.75">
      <c r="B75" s="8" t="s">
        <v>80</v>
      </c>
      <c r="C75" s="8"/>
      <c r="D75" s="8" t="s">
        <v>55</v>
      </c>
      <c r="E75" s="8" t="s">
        <v>100</v>
      </c>
      <c r="F75" s="8" t="s">
        <v>98</v>
      </c>
      <c r="G75" s="78">
        <f>0.577/2.08</f>
        <v>0.2774038461538461</v>
      </c>
      <c r="H75" s="78" t="s">
        <v>98</v>
      </c>
      <c r="I75" s="63">
        <f>0.583/2.05</f>
        <v>0.28439024390243905</v>
      </c>
      <c r="J75" s="8" t="s">
        <v>98</v>
      </c>
      <c r="K75" s="63">
        <f>0.67/2.04</f>
        <v>0.3284313725490196</v>
      </c>
      <c r="L75"/>
      <c r="M75" s="5"/>
    </row>
    <row r="76" spans="2:13" ht="12.75">
      <c r="B76" s="8" t="s">
        <v>159</v>
      </c>
      <c r="C76" s="8"/>
      <c r="D76" s="8" t="s">
        <v>55</v>
      </c>
      <c r="E76" s="8" t="s">
        <v>100</v>
      </c>
      <c r="F76" s="8" t="s">
        <v>98</v>
      </c>
      <c r="G76" s="79">
        <f>18.5/2.08</f>
        <v>8.894230769230768</v>
      </c>
      <c r="H76" s="8" t="s">
        <v>98</v>
      </c>
      <c r="I76" s="5">
        <f>17.5/2.05</f>
        <v>8.536585365853659</v>
      </c>
      <c r="J76" s="8"/>
      <c r="K76" s="5">
        <f>17.5/2.04</f>
        <v>8.57843137254902</v>
      </c>
      <c r="L76"/>
      <c r="M76" s="5"/>
    </row>
    <row r="77" spans="2:13" ht="12.75">
      <c r="B77" s="8" t="s">
        <v>106</v>
      </c>
      <c r="C77" s="8"/>
      <c r="D77" s="8" t="s">
        <v>55</v>
      </c>
      <c r="E77" s="8" t="s">
        <v>100</v>
      </c>
      <c r="F77" s="8" t="s">
        <v>98</v>
      </c>
      <c r="G77" s="80">
        <f>322/2.08</f>
        <v>154.8076923076923</v>
      </c>
      <c r="H77" s="8" t="s">
        <v>98</v>
      </c>
      <c r="I77" s="64">
        <f>282/2.05</f>
        <v>137.5609756097561</v>
      </c>
      <c r="J77" s="8"/>
      <c r="K77" s="64">
        <f>282/2.04</f>
        <v>138.23529411764704</v>
      </c>
      <c r="L77"/>
      <c r="M77" s="5"/>
    </row>
    <row r="78" spans="2:13" ht="12.75">
      <c r="B78" s="8" t="s">
        <v>108</v>
      </c>
      <c r="C78" s="8"/>
      <c r="D78" s="8" t="s">
        <v>55</v>
      </c>
      <c r="E78" s="8" t="s">
        <v>100</v>
      </c>
      <c r="F78" s="8" t="s">
        <v>98</v>
      </c>
      <c r="G78" s="80">
        <f>27/2.08</f>
        <v>12.98076923076923</v>
      </c>
      <c r="H78" s="8" t="s">
        <v>98</v>
      </c>
      <c r="I78" s="64">
        <f>27/2.05</f>
        <v>13.170731707317074</v>
      </c>
      <c r="J78" s="8" t="s">
        <v>98</v>
      </c>
      <c r="K78" s="64">
        <f>27/2.04</f>
        <v>13.235294117647058</v>
      </c>
      <c r="L78"/>
      <c r="M78"/>
    </row>
    <row r="79" spans="2:11" ht="12.75">
      <c r="B79" s="8" t="s">
        <v>102</v>
      </c>
      <c r="C79" s="8"/>
      <c r="D79" s="8" t="s">
        <v>55</v>
      </c>
      <c r="E79" s="8" t="s">
        <v>100</v>
      </c>
      <c r="F79" s="8" t="s">
        <v>98</v>
      </c>
      <c r="G79" s="79">
        <f>4.5/2.08</f>
        <v>2.1634615384615383</v>
      </c>
      <c r="H79" s="8" t="s">
        <v>98</v>
      </c>
      <c r="I79" s="5">
        <f>4.5/2.05</f>
        <v>2.1951219512195124</v>
      </c>
      <c r="J79" s="8" t="s">
        <v>98</v>
      </c>
      <c r="K79" s="63">
        <f>4.5/2.04</f>
        <v>2.2058823529411766</v>
      </c>
    </row>
    <row r="80" spans="2:11" ht="12.75">
      <c r="B80" s="8" t="s">
        <v>109</v>
      </c>
      <c r="C80" s="8"/>
      <c r="D80" s="8" t="s">
        <v>55</v>
      </c>
      <c r="E80" s="8" t="s">
        <v>100</v>
      </c>
      <c r="F80" s="8" t="s">
        <v>98</v>
      </c>
      <c r="G80" s="80">
        <f>27/2.08</f>
        <v>12.98076923076923</v>
      </c>
      <c r="H80" s="8" t="s">
        <v>98</v>
      </c>
      <c r="I80" s="64">
        <f>27/2.05</f>
        <v>13.170731707317074</v>
      </c>
      <c r="J80" s="8" t="s">
        <v>98</v>
      </c>
      <c r="K80" s="64">
        <f>27/2.04</f>
        <v>13.235294117647058</v>
      </c>
    </row>
    <row r="81" spans="2:11" ht="12.75">
      <c r="B81" s="8" t="s">
        <v>160</v>
      </c>
      <c r="C81" s="8"/>
      <c r="D81" s="8" t="s">
        <v>55</v>
      </c>
      <c r="E81" s="8" t="s">
        <v>100</v>
      </c>
      <c r="F81" s="8" t="s">
        <v>98</v>
      </c>
      <c r="G81" s="79">
        <f>2.25/2.08</f>
        <v>1.0817307692307692</v>
      </c>
      <c r="H81" s="8" t="s">
        <v>98</v>
      </c>
      <c r="I81" s="5">
        <f>2.25/2.05</f>
        <v>1.0975609756097562</v>
      </c>
      <c r="J81" s="8" t="s">
        <v>98</v>
      </c>
      <c r="K81" s="5">
        <f>2.25/2.04</f>
        <v>1.1029411764705883</v>
      </c>
    </row>
    <row r="82" spans="2:11" ht="12.75">
      <c r="B82" s="8" t="s">
        <v>110</v>
      </c>
      <c r="C82" s="8"/>
      <c r="D82" s="8" t="s">
        <v>55</v>
      </c>
      <c r="E82" s="8" t="s">
        <v>100</v>
      </c>
      <c r="G82" s="80">
        <f>114/2.08</f>
        <v>54.80769230769231</v>
      </c>
      <c r="H82" s="8"/>
      <c r="I82" s="64">
        <f>26.5/2.05</f>
        <v>12.926829268292684</v>
      </c>
      <c r="J82" s="8"/>
      <c r="K82" s="64">
        <f>86/2.04</f>
        <v>42.15686274509804</v>
      </c>
    </row>
    <row r="83" spans="2:9" ht="12.75">
      <c r="B83" s="8"/>
      <c r="C83" s="8"/>
      <c r="F83"/>
      <c r="G83"/>
      <c r="I83" s="17"/>
    </row>
    <row r="84" spans="2:13" ht="12.75">
      <c r="B84" s="8" t="s">
        <v>85</v>
      </c>
      <c r="C84" s="8" t="s">
        <v>169</v>
      </c>
      <c r="D84" s="8" t="s">
        <v>196</v>
      </c>
      <c r="G84" s="73"/>
      <c r="H84"/>
      <c r="I84"/>
      <c r="J84"/>
      <c r="K84"/>
      <c r="L84"/>
      <c r="M84"/>
    </row>
    <row r="85" spans="2:13" ht="12.75">
      <c r="B85" s="8" t="s">
        <v>77</v>
      </c>
      <c r="C85" s="8"/>
      <c r="D85" s="8" t="s">
        <v>17</v>
      </c>
      <c r="F85" s="17"/>
      <c r="G85" s="17">
        <v>9730</v>
      </c>
      <c r="I85" s="17">
        <v>9715</v>
      </c>
      <c r="K85" s="17">
        <v>9494</v>
      </c>
      <c r="M85" s="65">
        <f aca="true" t="shared" si="0" ref="M85:M94">AVERAGE(G85,I85,K85)</f>
        <v>9646.333333333334</v>
      </c>
    </row>
    <row r="86" spans="2:13" ht="12.75">
      <c r="B86" s="8" t="s">
        <v>82</v>
      </c>
      <c r="C86" s="8"/>
      <c r="D86" s="8" t="s">
        <v>18</v>
      </c>
      <c r="F86" s="17"/>
      <c r="G86" s="17">
        <v>8.3</v>
      </c>
      <c r="I86" s="17">
        <v>9.3</v>
      </c>
      <c r="K86" s="17">
        <v>8.9</v>
      </c>
      <c r="M86" s="65">
        <f t="shared" si="0"/>
        <v>8.833333333333334</v>
      </c>
    </row>
    <row r="87" spans="2:13" ht="12.75">
      <c r="B87" s="8" t="s">
        <v>83</v>
      </c>
      <c r="C87" s="8"/>
      <c r="D87" s="8" t="s">
        <v>18</v>
      </c>
      <c r="F87" s="17"/>
      <c r="G87" s="17">
        <v>6.68</v>
      </c>
      <c r="I87" s="17">
        <v>6.87</v>
      </c>
      <c r="K87" s="17">
        <v>6.8</v>
      </c>
      <c r="M87" s="65">
        <f t="shared" si="0"/>
        <v>6.783333333333334</v>
      </c>
    </row>
    <row r="88" spans="2:13" ht="12.75">
      <c r="B88" s="8" t="s">
        <v>76</v>
      </c>
      <c r="C88" s="8"/>
      <c r="D88" s="8" t="s">
        <v>19</v>
      </c>
      <c r="F88" s="17"/>
      <c r="G88" s="17">
        <v>99</v>
      </c>
      <c r="I88" s="17">
        <v>100</v>
      </c>
      <c r="K88" s="17">
        <v>101</v>
      </c>
      <c r="M88" s="65">
        <f t="shared" si="0"/>
        <v>100</v>
      </c>
    </row>
    <row r="89" spans="4:13" ht="12.75">
      <c r="D89" s="17"/>
      <c r="E89" s="17"/>
      <c r="F89" s="17"/>
      <c r="I89" s="17"/>
      <c r="M89" s="65"/>
    </row>
    <row r="90" spans="2:13" ht="12.75">
      <c r="B90" s="8" t="s">
        <v>85</v>
      </c>
      <c r="C90" s="8" t="s">
        <v>198</v>
      </c>
      <c r="D90" s="8" t="s">
        <v>197</v>
      </c>
      <c r="F90" s="17"/>
      <c r="I90" s="17"/>
      <c r="M90" s="65"/>
    </row>
    <row r="91" spans="2:13" ht="12.75">
      <c r="B91" s="8" t="s">
        <v>77</v>
      </c>
      <c r="C91" s="8"/>
      <c r="D91" s="8" t="s">
        <v>17</v>
      </c>
      <c r="F91" s="17"/>
      <c r="G91" s="17">
        <v>9769</v>
      </c>
      <c r="I91" s="17">
        <v>9614</v>
      </c>
      <c r="K91" s="17">
        <v>9563</v>
      </c>
      <c r="M91" s="65">
        <f t="shared" si="0"/>
        <v>9648.666666666666</v>
      </c>
    </row>
    <row r="92" spans="2:13" ht="12.75">
      <c r="B92" s="8" t="s">
        <v>82</v>
      </c>
      <c r="C92" s="8"/>
      <c r="D92" s="8" t="s">
        <v>18</v>
      </c>
      <c r="F92" s="17"/>
      <c r="G92" s="17">
        <v>8.3</v>
      </c>
      <c r="I92" s="17">
        <v>9.3</v>
      </c>
      <c r="K92" s="17">
        <v>8.9</v>
      </c>
      <c r="M92" s="65">
        <f t="shared" si="0"/>
        <v>8.833333333333334</v>
      </c>
    </row>
    <row r="93" spans="2:13" ht="12.75">
      <c r="B93" s="8" t="s">
        <v>83</v>
      </c>
      <c r="C93" s="8"/>
      <c r="D93" s="8" t="s">
        <v>18</v>
      </c>
      <c r="F93" s="17"/>
      <c r="G93" s="17">
        <v>7</v>
      </c>
      <c r="I93" s="17">
        <v>9</v>
      </c>
      <c r="K93" s="17">
        <v>6.5</v>
      </c>
      <c r="M93" s="65">
        <f t="shared" si="0"/>
        <v>7.5</v>
      </c>
    </row>
    <row r="94" spans="2:13" ht="12.75">
      <c r="B94" s="8" t="s">
        <v>76</v>
      </c>
      <c r="C94" s="8"/>
      <c r="D94" s="8" t="s">
        <v>19</v>
      </c>
      <c r="F94" s="17"/>
      <c r="G94" s="17">
        <v>99</v>
      </c>
      <c r="I94" s="17">
        <v>100</v>
      </c>
      <c r="K94" s="17">
        <v>100</v>
      </c>
      <c r="M94" s="65">
        <f t="shared" si="0"/>
        <v>99.66666666666667</v>
      </c>
    </row>
    <row r="95" spans="2:13" ht="12.75">
      <c r="B95" s="8"/>
      <c r="C95" s="8"/>
      <c r="F95" s="17"/>
      <c r="I95" s="17"/>
      <c r="M95" s="65"/>
    </row>
    <row r="96" spans="2:13" ht="12.75">
      <c r="B96" s="8" t="s">
        <v>155</v>
      </c>
      <c r="C96" s="8" t="s">
        <v>196</v>
      </c>
      <c r="D96" s="8" t="s">
        <v>55</v>
      </c>
      <c r="E96" s="17" t="s">
        <v>15</v>
      </c>
      <c r="G96" s="65">
        <f aca="true" t="shared" si="1" ref="G96:G117">G61*14/(21-G$92)</f>
        <v>432.465172622653</v>
      </c>
      <c r="H96" s="8"/>
      <c r="I96" s="65">
        <f aca="true" t="shared" si="2" ref="I96:I117">I61*14/(21-I$92)</f>
        <v>474.54659161976247</v>
      </c>
      <c r="J96"/>
      <c r="K96" s="65">
        <f aca="true" t="shared" si="3" ref="K96:K117">K61*14/(21-K$92)</f>
        <v>458.83973424080375</v>
      </c>
      <c r="M96" s="65">
        <f>AVERAGE(G96,I96,K96)</f>
        <v>455.2838328277397</v>
      </c>
    </row>
    <row r="97" spans="2:13" ht="12.75">
      <c r="B97" s="8" t="s">
        <v>107</v>
      </c>
      <c r="C97" s="8" t="s">
        <v>196</v>
      </c>
      <c r="D97" s="8" t="s">
        <v>55</v>
      </c>
      <c r="E97" s="17" t="s">
        <v>15</v>
      </c>
      <c r="F97" s="8" t="s">
        <v>98</v>
      </c>
      <c r="G97" s="65">
        <f t="shared" si="1"/>
        <v>10.864627498485767</v>
      </c>
      <c r="H97" s="8" t="s">
        <v>98</v>
      </c>
      <c r="I97" s="65">
        <f t="shared" si="2"/>
        <v>14.884302689180739</v>
      </c>
      <c r="J97" s="8" t="s">
        <v>98</v>
      </c>
      <c r="K97" s="65">
        <f t="shared" si="3"/>
        <v>14.462809917355372</v>
      </c>
      <c r="L97" s="17">
        <v>100</v>
      </c>
      <c r="M97" s="65">
        <f aca="true" t="shared" si="4" ref="M97:M120">AVERAGE(G97,I97,K97)</f>
        <v>13.403913368340625</v>
      </c>
    </row>
    <row r="98" spans="2:13" ht="12.75">
      <c r="B98" s="8" t="s">
        <v>103</v>
      </c>
      <c r="C98" s="8" t="s">
        <v>196</v>
      </c>
      <c r="D98" s="8" t="s">
        <v>55</v>
      </c>
      <c r="E98" s="17" t="s">
        <v>15</v>
      </c>
      <c r="F98" s="8" t="s">
        <v>98</v>
      </c>
      <c r="G98" s="65">
        <f t="shared" si="1"/>
        <v>4.769836462749849</v>
      </c>
      <c r="H98" s="8" t="s">
        <v>98</v>
      </c>
      <c r="I98" s="65">
        <f t="shared" si="2"/>
        <v>5.253283302063791</v>
      </c>
      <c r="J98" s="8" t="s">
        <v>98</v>
      </c>
      <c r="K98" s="65">
        <f t="shared" si="3"/>
        <v>5.104521147301896</v>
      </c>
      <c r="L98" s="17">
        <v>100</v>
      </c>
      <c r="M98" s="65">
        <f t="shared" si="4"/>
        <v>5.042546970705178</v>
      </c>
    </row>
    <row r="99" spans="2:13" ht="12.75">
      <c r="B99" s="8" t="s">
        <v>104</v>
      </c>
      <c r="C99" s="8" t="s">
        <v>196</v>
      </c>
      <c r="D99" s="8" t="s">
        <v>55</v>
      </c>
      <c r="E99" s="17" t="s">
        <v>15</v>
      </c>
      <c r="F99"/>
      <c r="G99" s="65">
        <f t="shared" si="1"/>
        <v>37.6817080557238</v>
      </c>
      <c r="H99"/>
      <c r="I99" s="65">
        <f t="shared" si="2"/>
        <v>4.103397957056495</v>
      </c>
      <c r="J99"/>
      <c r="K99" s="65">
        <f t="shared" si="3"/>
        <v>39.81526494895479</v>
      </c>
      <c r="M99" s="65">
        <f t="shared" si="4"/>
        <v>27.200123653911692</v>
      </c>
    </row>
    <row r="100" spans="2:13" ht="12.75">
      <c r="B100" s="8" t="s">
        <v>167</v>
      </c>
      <c r="C100" s="8" t="s">
        <v>196</v>
      </c>
      <c r="D100" s="8" t="s">
        <v>55</v>
      </c>
      <c r="E100" s="17" t="s">
        <v>15</v>
      </c>
      <c r="F100" s="8" t="s">
        <v>98</v>
      </c>
      <c r="G100" s="57">
        <f t="shared" si="1"/>
        <v>0.23849182313749248</v>
      </c>
      <c r="H100" s="78" t="s">
        <v>98</v>
      </c>
      <c r="I100" s="57">
        <f t="shared" si="2"/>
        <v>0.2626641651031896</v>
      </c>
      <c r="J100" s="78" t="s">
        <v>98</v>
      </c>
      <c r="K100" s="57">
        <f t="shared" si="3"/>
        <v>0.08507535245503162</v>
      </c>
      <c r="L100" s="17">
        <v>100</v>
      </c>
      <c r="M100" s="57">
        <f t="shared" si="4"/>
        <v>0.19541044689857123</v>
      </c>
    </row>
    <row r="101" spans="2:13" ht="12.75">
      <c r="B101" s="8" t="s">
        <v>105</v>
      </c>
      <c r="C101" s="8" t="s">
        <v>196</v>
      </c>
      <c r="D101" s="8" t="s">
        <v>55</v>
      </c>
      <c r="E101" s="17" t="s">
        <v>15</v>
      </c>
      <c r="F101" s="8" t="s">
        <v>98</v>
      </c>
      <c r="G101" s="65">
        <f t="shared" si="1"/>
        <v>0.46638400969109634</v>
      </c>
      <c r="H101" s="8"/>
      <c r="I101" s="65">
        <f t="shared" si="2"/>
        <v>0.7412966437356684</v>
      </c>
      <c r="J101" s="8" t="s">
        <v>98</v>
      </c>
      <c r="K101" s="65">
        <f t="shared" si="3"/>
        <v>0.6238859180035652</v>
      </c>
      <c r="L101"/>
      <c r="M101" s="65">
        <f t="shared" si="4"/>
        <v>0.6105221904767767</v>
      </c>
    </row>
    <row r="102" spans="2:13" ht="12.75">
      <c r="B102" s="8" t="s">
        <v>84</v>
      </c>
      <c r="C102" s="8" t="s">
        <v>196</v>
      </c>
      <c r="D102" s="8" t="s">
        <v>55</v>
      </c>
      <c r="E102" s="17" t="s">
        <v>15</v>
      </c>
      <c r="F102"/>
      <c r="G102" s="65">
        <f t="shared" si="1"/>
        <v>8.638703815869171</v>
      </c>
      <c r="H102"/>
      <c r="I102" s="65">
        <f t="shared" si="2"/>
        <v>8.288513654367312</v>
      </c>
      <c r="J102"/>
      <c r="K102" s="65">
        <f t="shared" si="3"/>
        <v>8.053800032409658</v>
      </c>
      <c r="L102"/>
      <c r="M102" s="65">
        <f t="shared" si="4"/>
        <v>8.327005834215381</v>
      </c>
    </row>
    <row r="103" spans="2:13" ht="12.75">
      <c r="B103" s="81" t="s">
        <v>199</v>
      </c>
      <c r="C103" s="8" t="s">
        <v>197</v>
      </c>
      <c r="D103" s="8" t="s">
        <v>55</v>
      </c>
      <c r="E103" s="17" t="s">
        <v>15</v>
      </c>
      <c r="G103" s="65">
        <f t="shared" si="1"/>
        <v>28.599019462189865</v>
      </c>
      <c r="H103" s="8"/>
      <c r="I103" s="65">
        <f t="shared" si="2"/>
        <v>51.365436731290394</v>
      </c>
      <c r="J103" s="8"/>
      <c r="K103" s="65">
        <f t="shared" si="3"/>
        <v>39.14312733851405</v>
      </c>
      <c r="L103"/>
      <c r="M103" s="65">
        <f t="shared" si="4"/>
        <v>39.702527843998105</v>
      </c>
    </row>
    <row r="104" spans="2:13" ht="12.75">
      <c r="B104" s="8" t="s">
        <v>168</v>
      </c>
      <c r="C104" s="8" t="s">
        <v>196</v>
      </c>
      <c r="D104" s="8" t="s">
        <v>55</v>
      </c>
      <c r="E104" s="17" t="s">
        <v>15</v>
      </c>
      <c r="F104" s="8" t="s">
        <v>98</v>
      </c>
      <c r="G104" s="65">
        <f t="shared" si="1"/>
        <v>2.3849182313749244</v>
      </c>
      <c r="H104" s="8" t="s">
        <v>98</v>
      </c>
      <c r="I104" s="65">
        <f t="shared" si="2"/>
        <v>2.6266416510318953</v>
      </c>
      <c r="J104" s="8" t="s">
        <v>98</v>
      </c>
      <c r="K104" s="65">
        <f t="shared" si="3"/>
        <v>0.8507535245503159</v>
      </c>
      <c r="L104" s="17">
        <v>100</v>
      </c>
      <c r="M104" s="65">
        <f t="shared" si="4"/>
        <v>1.9541044689857119</v>
      </c>
    </row>
    <row r="105" spans="2:13" ht="12.75">
      <c r="B105" s="8" t="s">
        <v>156</v>
      </c>
      <c r="C105" s="8" t="s">
        <v>196</v>
      </c>
      <c r="D105" s="8" t="s">
        <v>55</v>
      </c>
      <c r="E105" s="17" t="s">
        <v>15</v>
      </c>
      <c r="G105" s="65">
        <f t="shared" si="1"/>
        <v>177.54391278013324</v>
      </c>
      <c r="H105" s="8"/>
      <c r="I105" s="65">
        <f t="shared" si="2"/>
        <v>178.0279341254951</v>
      </c>
      <c r="J105" s="8"/>
      <c r="K105" s="65">
        <f t="shared" si="3"/>
        <v>171.28504294279696</v>
      </c>
      <c r="L105"/>
      <c r="M105" s="65">
        <f t="shared" si="4"/>
        <v>175.61896328280844</v>
      </c>
    </row>
    <row r="106" spans="2:13" ht="12.75">
      <c r="B106" s="8" t="s">
        <v>157</v>
      </c>
      <c r="C106" s="8" t="s">
        <v>196</v>
      </c>
      <c r="D106" s="8" t="s">
        <v>55</v>
      </c>
      <c r="E106" s="17" t="s">
        <v>15</v>
      </c>
      <c r="G106" s="65">
        <f t="shared" si="1"/>
        <v>2321.3204118715926</v>
      </c>
      <c r="H106" s="8"/>
      <c r="I106" s="65">
        <f t="shared" si="2"/>
        <v>2416.510318949344</v>
      </c>
      <c r="J106" s="8"/>
      <c r="K106" s="65">
        <f t="shared" si="3"/>
        <v>2115.540431048453</v>
      </c>
      <c r="L106"/>
      <c r="M106" s="65">
        <f t="shared" si="4"/>
        <v>2284.4570539564634</v>
      </c>
    </row>
    <row r="107" spans="2:13" ht="12.75">
      <c r="B107" s="8" t="s">
        <v>78</v>
      </c>
      <c r="C107" s="8" t="s">
        <v>196</v>
      </c>
      <c r="D107" s="8" t="s">
        <v>55</v>
      </c>
      <c r="E107" s="17" t="s">
        <v>15</v>
      </c>
      <c r="F107" s="8" t="s">
        <v>98</v>
      </c>
      <c r="G107" s="65">
        <f t="shared" si="1"/>
        <v>4.769836462749849</v>
      </c>
      <c r="H107" s="8" t="s">
        <v>98</v>
      </c>
      <c r="I107" s="65">
        <f t="shared" si="2"/>
        <v>5.253283302063791</v>
      </c>
      <c r="J107" s="8" t="s">
        <v>98</v>
      </c>
      <c r="K107" s="65">
        <f t="shared" si="3"/>
        <v>5.104521147301896</v>
      </c>
      <c r="L107" s="17">
        <v>100</v>
      </c>
      <c r="M107" s="65">
        <f t="shared" si="4"/>
        <v>5.042546970705178</v>
      </c>
    </row>
    <row r="108" spans="2:13" ht="12.75">
      <c r="B108" s="8" t="s">
        <v>161</v>
      </c>
      <c r="C108" s="8" t="s">
        <v>196</v>
      </c>
      <c r="D108" s="8" t="s">
        <v>55</v>
      </c>
      <c r="E108" s="17" t="s">
        <v>15</v>
      </c>
      <c r="F108"/>
      <c r="G108" s="65">
        <f t="shared" si="1"/>
        <v>232.1320411871593</v>
      </c>
      <c r="H108"/>
      <c r="I108" s="65">
        <f t="shared" si="2"/>
        <v>255.65978736710449</v>
      </c>
      <c r="J108" t="s">
        <v>98</v>
      </c>
      <c r="K108" s="65">
        <f t="shared" si="3"/>
        <v>248.42002916869225</v>
      </c>
      <c r="L108"/>
      <c r="M108" s="65">
        <f t="shared" si="4"/>
        <v>245.4039525743187</v>
      </c>
    </row>
    <row r="109" spans="2:13" ht="12.75">
      <c r="B109" s="8" t="s">
        <v>158</v>
      </c>
      <c r="C109" s="8" t="s">
        <v>196</v>
      </c>
      <c r="D109" s="8" t="s">
        <v>55</v>
      </c>
      <c r="E109" s="17" t="s">
        <v>15</v>
      </c>
      <c r="G109" s="65">
        <f t="shared" si="1"/>
        <v>35.29678982434888</v>
      </c>
      <c r="H109" s="8"/>
      <c r="I109" s="65">
        <f t="shared" si="2"/>
        <v>36.247654784240154</v>
      </c>
      <c r="J109" s="8"/>
      <c r="K109" s="65">
        <f t="shared" si="3"/>
        <v>36.865986063847025</v>
      </c>
      <c r="L109"/>
      <c r="M109" s="65">
        <f t="shared" si="4"/>
        <v>36.13681022414536</v>
      </c>
    </row>
    <row r="110" spans="2:13" ht="12.75">
      <c r="B110" s="8" t="s">
        <v>80</v>
      </c>
      <c r="C110" s="8" t="s">
        <v>196</v>
      </c>
      <c r="D110" s="8" t="s">
        <v>55</v>
      </c>
      <c r="E110" s="17" t="s">
        <v>15</v>
      </c>
      <c r="F110" s="8" t="s">
        <v>98</v>
      </c>
      <c r="G110" s="57">
        <f t="shared" si="1"/>
        <v>0.3057995154451847</v>
      </c>
      <c r="H110" s="78" t="s">
        <v>98</v>
      </c>
      <c r="I110" s="57">
        <f t="shared" si="2"/>
        <v>0.3402960183447989</v>
      </c>
      <c r="J110" s="8" t="s">
        <v>98</v>
      </c>
      <c r="K110" s="57">
        <f t="shared" si="3"/>
        <v>0.3800032409658078</v>
      </c>
      <c r="L110" s="17">
        <v>100</v>
      </c>
      <c r="M110" s="57">
        <f>AVERAGE(G110,I110,K110)</f>
        <v>0.34203292491859716</v>
      </c>
    </row>
    <row r="111" spans="2:13" ht="12.75">
      <c r="B111" s="8" t="s">
        <v>159</v>
      </c>
      <c r="C111" s="8" t="s">
        <v>196</v>
      </c>
      <c r="D111" s="8" t="s">
        <v>55</v>
      </c>
      <c r="E111" s="17" t="s">
        <v>15</v>
      </c>
      <c r="F111" s="8" t="s">
        <v>98</v>
      </c>
      <c r="G111" s="65">
        <f t="shared" si="1"/>
        <v>9.80466384009691</v>
      </c>
      <c r="H111" s="8" t="s">
        <v>98</v>
      </c>
      <c r="I111" s="65">
        <f t="shared" si="2"/>
        <v>10.214717531790704</v>
      </c>
      <c r="J111" s="8"/>
      <c r="K111" s="65">
        <f t="shared" si="3"/>
        <v>9.925457786420353</v>
      </c>
      <c r="L111" s="17">
        <v>100</v>
      </c>
      <c r="M111" s="65">
        <f t="shared" si="4"/>
        <v>9.981613052769323</v>
      </c>
    </row>
    <row r="112" spans="2:13" ht="12.75">
      <c r="B112" s="8" t="s">
        <v>106</v>
      </c>
      <c r="C112" s="8" t="s">
        <v>196</v>
      </c>
      <c r="D112" s="8" t="s">
        <v>55</v>
      </c>
      <c r="E112" s="17" t="s">
        <v>15</v>
      </c>
      <c r="F112" s="8" t="s">
        <v>98</v>
      </c>
      <c r="G112" s="65">
        <f t="shared" si="1"/>
        <v>170.65414900060568</v>
      </c>
      <c r="H112" s="8" t="s">
        <v>98</v>
      </c>
      <c r="I112" s="65">
        <f t="shared" si="2"/>
        <v>164.60287679799876</v>
      </c>
      <c r="J112" s="8"/>
      <c r="K112" s="65">
        <f t="shared" si="3"/>
        <v>159.9416626154594</v>
      </c>
      <c r="L112"/>
      <c r="M112" s="65">
        <f t="shared" si="4"/>
        <v>165.0662294713546</v>
      </c>
    </row>
    <row r="113" spans="2:13" ht="12.75">
      <c r="B113" s="8" t="s">
        <v>108</v>
      </c>
      <c r="C113" s="8" t="s">
        <v>196</v>
      </c>
      <c r="D113" s="8" t="s">
        <v>55</v>
      </c>
      <c r="E113" s="17" t="s">
        <v>15</v>
      </c>
      <c r="F113" s="8" t="s">
        <v>98</v>
      </c>
      <c r="G113" s="65">
        <f t="shared" si="1"/>
        <v>14.309509388249547</v>
      </c>
      <c r="H113" s="8" t="s">
        <v>98</v>
      </c>
      <c r="I113" s="65">
        <f t="shared" si="2"/>
        <v>15.759849906191372</v>
      </c>
      <c r="J113" s="8" t="s">
        <v>98</v>
      </c>
      <c r="K113" s="65">
        <f t="shared" si="3"/>
        <v>15.313563441905687</v>
      </c>
      <c r="L113" s="17">
        <v>100</v>
      </c>
      <c r="M113" s="65">
        <f t="shared" si="4"/>
        <v>15.127640912115536</v>
      </c>
    </row>
    <row r="114" spans="2:13" ht="13.5" customHeight="1">
      <c r="B114" s="8" t="s">
        <v>102</v>
      </c>
      <c r="C114" s="8" t="s">
        <v>196</v>
      </c>
      <c r="D114" s="8" t="s">
        <v>55</v>
      </c>
      <c r="E114" s="17" t="s">
        <v>15</v>
      </c>
      <c r="F114" s="8" t="s">
        <v>98</v>
      </c>
      <c r="G114" s="65">
        <f t="shared" si="1"/>
        <v>2.3849182313749244</v>
      </c>
      <c r="H114" s="8" t="s">
        <v>98</v>
      </c>
      <c r="I114" s="65">
        <f t="shared" si="2"/>
        <v>2.6266416510318953</v>
      </c>
      <c r="J114" s="8" t="s">
        <v>98</v>
      </c>
      <c r="K114" s="65">
        <f t="shared" si="3"/>
        <v>2.552260573650948</v>
      </c>
      <c r="L114" s="17">
        <v>100</v>
      </c>
      <c r="M114" s="65">
        <f t="shared" si="4"/>
        <v>2.521273485352589</v>
      </c>
    </row>
    <row r="115" spans="2:13" ht="12.75">
      <c r="B115" s="8" t="s">
        <v>109</v>
      </c>
      <c r="C115" s="8" t="s">
        <v>196</v>
      </c>
      <c r="D115" s="8" t="s">
        <v>55</v>
      </c>
      <c r="E115" s="17" t="s">
        <v>15</v>
      </c>
      <c r="F115" s="8" t="s">
        <v>98</v>
      </c>
      <c r="G115" s="65">
        <f t="shared" si="1"/>
        <v>14.309509388249547</v>
      </c>
      <c r="H115" s="8" t="s">
        <v>98</v>
      </c>
      <c r="I115" s="65">
        <f t="shared" si="2"/>
        <v>15.759849906191372</v>
      </c>
      <c r="J115" s="8" t="s">
        <v>98</v>
      </c>
      <c r="K115" s="65">
        <f t="shared" si="3"/>
        <v>15.313563441905687</v>
      </c>
      <c r="L115" s="17">
        <v>100</v>
      </c>
      <c r="M115" s="65">
        <f t="shared" si="4"/>
        <v>15.127640912115536</v>
      </c>
    </row>
    <row r="116" spans="2:13" ht="12.75">
      <c r="B116" s="8" t="s">
        <v>160</v>
      </c>
      <c r="C116" s="8" t="s">
        <v>196</v>
      </c>
      <c r="D116" s="8" t="s">
        <v>55</v>
      </c>
      <c r="E116" s="17" t="s">
        <v>15</v>
      </c>
      <c r="F116" s="8" t="s">
        <v>98</v>
      </c>
      <c r="G116" s="65">
        <f t="shared" si="1"/>
        <v>1.1924591156874622</v>
      </c>
      <c r="H116" s="8" t="s">
        <v>98</v>
      </c>
      <c r="I116" s="65">
        <f t="shared" si="2"/>
        <v>1.3133208255159476</v>
      </c>
      <c r="J116" s="8" t="s">
        <v>98</v>
      </c>
      <c r="K116" s="65">
        <f t="shared" si="3"/>
        <v>1.276130286825474</v>
      </c>
      <c r="L116" s="17">
        <v>100</v>
      </c>
      <c r="M116" s="65">
        <f t="shared" si="4"/>
        <v>1.2606367426762946</v>
      </c>
    </row>
    <row r="117" spans="2:13" ht="12.75">
      <c r="B117" s="8" t="s">
        <v>110</v>
      </c>
      <c r="C117" s="8" t="s">
        <v>196</v>
      </c>
      <c r="D117" s="8" t="s">
        <v>55</v>
      </c>
      <c r="E117" s="17" t="s">
        <v>15</v>
      </c>
      <c r="F117" s="8"/>
      <c r="G117" s="65">
        <f t="shared" si="1"/>
        <v>60.41792852816475</v>
      </c>
      <c r="H117" s="8"/>
      <c r="I117" s="65">
        <f t="shared" si="2"/>
        <v>15.468000833854495</v>
      </c>
      <c r="J117" s="8"/>
      <c r="K117" s="65">
        <f t="shared" si="3"/>
        <v>48.77653540755146</v>
      </c>
      <c r="M117" s="65">
        <f t="shared" si="4"/>
        <v>41.55415492319023</v>
      </c>
    </row>
    <row r="118" spans="2:13" ht="12.75">
      <c r="B118" s="8"/>
      <c r="C118" s="8"/>
      <c r="E118" s="17"/>
      <c r="G118" s="5"/>
      <c r="I118" s="5"/>
      <c r="K118" s="5"/>
      <c r="M118" s="65"/>
    </row>
    <row r="119" spans="1:13" ht="12.75">
      <c r="A119" s="17"/>
      <c r="B119" s="8" t="s">
        <v>56</v>
      </c>
      <c r="C119" s="8" t="s">
        <v>196</v>
      </c>
      <c r="D119" s="8" t="s">
        <v>55</v>
      </c>
      <c r="E119" s="17" t="s">
        <v>15</v>
      </c>
      <c r="F119" s="8">
        <v>100</v>
      </c>
      <c r="G119" s="5">
        <f>G101+G107</f>
        <v>5.236220472440945</v>
      </c>
      <c r="H119" s="64">
        <v>100</v>
      </c>
      <c r="I119" s="5">
        <f>I101+I107</f>
        <v>5.994579945799459</v>
      </c>
      <c r="J119" s="64">
        <v>100</v>
      </c>
      <c r="K119" s="5">
        <f>K101+K107</f>
        <v>5.728407065305461</v>
      </c>
      <c r="L119">
        <v>100</v>
      </c>
      <c r="M119" s="65">
        <f t="shared" si="4"/>
        <v>5.653069161181956</v>
      </c>
    </row>
    <row r="120" spans="1:13" ht="12.75">
      <c r="A120" s="17"/>
      <c r="B120" s="8" t="s">
        <v>57</v>
      </c>
      <c r="C120" s="8" t="s">
        <v>196</v>
      </c>
      <c r="D120" s="8" t="s">
        <v>55</v>
      </c>
      <c r="E120" s="17" t="s">
        <v>15</v>
      </c>
      <c r="F120" s="8"/>
      <c r="G120" s="64">
        <f>G98+G100+G102</f>
        <v>13.647032101756512</v>
      </c>
      <c r="H120" s="64"/>
      <c r="I120" s="64">
        <f>I98+I100+I102</f>
        <v>13.804461121534292</v>
      </c>
      <c r="J120" s="64"/>
      <c r="K120" s="64">
        <f>K98+K100+K102</f>
        <v>13.243396532166585</v>
      </c>
      <c r="M120" s="65">
        <f t="shared" si="4"/>
        <v>13.56496325181913</v>
      </c>
    </row>
    <row r="121" spans="2:13" ht="12.75">
      <c r="B121" s="8"/>
      <c r="C121" s="8"/>
      <c r="G121" s="63"/>
      <c r="I121" s="5"/>
      <c r="K121" s="5"/>
      <c r="M121" s="5"/>
    </row>
    <row r="122" spans="1:13" ht="12.75">
      <c r="A122" s="17"/>
      <c r="B122" s="8" t="s">
        <v>171</v>
      </c>
      <c r="C122" s="8"/>
      <c r="G122" s="63"/>
      <c r="H122" s="8"/>
      <c r="I122" s="5"/>
      <c r="J122" s="8"/>
      <c r="K122" s="5"/>
      <c r="M122" s="5"/>
    </row>
    <row r="123" spans="2:13" ht="12.75">
      <c r="B123" s="8"/>
      <c r="C123" s="8"/>
      <c r="G123" s="63"/>
      <c r="H123" s="8"/>
      <c r="I123" s="5"/>
      <c r="J123" s="8"/>
      <c r="K123" s="5"/>
      <c r="M123" s="5"/>
    </row>
    <row r="125" ht="12.75"/>
    <row r="133" spans="2:13" ht="12.75">
      <c r="B133" s="8"/>
      <c r="C133" s="8"/>
      <c r="G133" s="63"/>
      <c r="H133" s="8"/>
      <c r="I133" s="5"/>
      <c r="J133" s="8"/>
      <c r="K133" s="5"/>
      <c r="L133"/>
      <c r="M133" s="5"/>
    </row>
    <row r="134" spans="2:13" ht="12.75">
      <c r="B134" s="8"/>
      <c r="C134" s="8"/>
      <c r="G134" s="63"/>
      <c r="I134" s="5"/>
      <c r="K134" s="5"/>
      <c r="M134" s="5"/>
    </row>
    <row r="135" spans="2:13" ht="12.75">
      <c r="B135" s="8"/>
      <c r="C135" s="8"/>
      <c r="F135"/>
      <c r="G135" s="63"/>
      <c r="H135"/>
      <c r="I135" s="5"/>
      <c r="J135"/>
      <c r="K135" s="5"/>
      <c r="L135"/>
      <c r="M135" s="5"/>
    </row>
    <row r="136" spans="2:13" ht="12.75">
      <c r="B136" s="8"/>
      <c r="C136" s="8"/>
      <c r="G136" s="63"/>
      <c r="H136"/>
      <c r="I136" s="5"/>
      <c r="J136"/>
      <c r="K136" s="5"/>
      <c r="L136"/>
      <c r="M136" s="5"/>
    </row>
    <row r="137" spans="2:13" ht="12.75">
      <c r="B137" s="8"/>
      <c r="C137" s="8"/>
      <c r="G137" s="63"/>
      <c r="H137"/>
      <c r="I137"/>
      <c r="J137"/>
      <c r="K137"/>
      <c r="L137"/>
      <c r="M137"/>
    </row>
    <row r="138" spans="2:13" ht="12.75">
      <c r="B138" s="8"/>
      <c r="C138" s="8"/>
      <c r="G138" s="63"/>
      <c r="H138" s="5"/>
      <c r="I138" s="5"/>
      <c r="J138" s="5"/>
      <c r="K138" s="5"/>
      <c r="L138" s="5"/>
      <c r="M138" s="5"/>
    </row>
    <row r="139" spans="2:13" ht="12.75">
      <c r="B139" s="8"/>
      <c r="C139" s="8"/>
      <c r="G139" s="63"/>
      <c r="H139" s="5"/>
      <c r="I139" s="5"/>
      <c r="J139" s="5"/>
      <c r="K139" s="5"/>
      <c r="L139" s="5"/>
      <c r="M139" s="5"/>
    </row>
    <row r="140" spans="2:13" ht="12.75">
      <c r="B140" s="8"/>
      <c r="C140" s="8"/>
      <c r="G140" s="63"/>
      <c r="M140" s="5"/>
    </row>
    <row r="141" spans="2:13" ht="12.75">
      <c r="B141" s="8"/>
      <c r="C141" s="8"/>
      <c r="G141" s="63"/>
      <c r="M141" s="56"/>
    </row>
    <row r="142" spans="2:13" ht="12.75">
      <c r="B142" s="8"/>
      <c r="C142" s="8"/>
      <c r="G142" s="63"/>
      <c r="M142" s="5"/>
    </row>
    <row r="143" spans="2:13" ht="12.75">
      <c r="B143" s="8"/>
      <c r="C143" s="8"/>
      <c r="G143" s="63"/>
      <c r="M143" s="5"/>
    </row>
    <row r="144" spans="2:13" ht="12.75">
      <c r="B144" s="8"/>
      <c r="C144" s="8"/>
      <c r="G144" s="63"/>
      <c r="M144" s="5"/>
    </row>
    <row r="145" spans="2:13" ht="12.75">
      <c r="B145" s="8"/>
      <c r="C145" s="8"/>
      <c r="G145" s="63"/>
      <c r="H145" s="63"/>
      <c r="I145" s="63"/>
      <c r="J145" s="63"/>
      <c r="K145" s="63"/>
      <c r="M145" s="5"/>
    </row>
    <row r="146" spans="2:13" ht="12.75">
      <c r="B146" s="8"/>
      <c r="C146" s="8"/>
      <c r="G146" s="63"/>
      <c r="M146" s="5"/>
    </row>
    <row r="147" spans="2:13" ht="12.75">
      <c r="B147" s="8"/>
      <c r="C147" s="8"/>
      <c r="G147" s="63"/>
      <c r="H147" s="63"/>
      <c r="I147" s="63"/>
      <c r="J147" s="63"/>
      <c r="K147" s="63"/>
      <c r="M147" s="5"/>
    </row>
    <row r="148" spans="2:13" ht="12.75">
      <c r="B148" s="8"/>
      <c r="C148" s="8"/>
      <c r="G148" s="63"/>
      <c r="M148" s="5"/>
    </row>
    <row r="149" spans="2:13" ht="12.75">
      <c r="B149" s="8"/>
      <c r="C149" s="8"/>
      <c r="H149" s="23"/>
      <c r="I149" s="24"/>
      <c r="J149" s="23"/>
      <c r="K149" s="23"/>
      <c r="M149" s="57"/>
    </row>
    <row r="150" spans="7:13" ht="12.75">
      <c r="G150" s="5"/>
      <c r="H150" s="23"/>
      <c r="I150" s="24"/>
      <c r="J150" s="23"/>
      <c r="K150" s="23"/>
      <c r="M150" s="65"/>
    </row>
    <row r="151" spans="7:13" ht="12.75">
      <c r="G151" s="5"/>
      <c r="H151" s="8"/>
      <c r="I151" s="60"/>
      <c r="J151" s="8"/>
      <c r="K151" s="60"/>
      <c r="L151" s="8"/>
      <c r="M151" s="25"/>
    </row>
    <row r="152" spans="8:13" ht="12.75">
      <c r="H152" s="8"/>
      <c r="I152" s="66"/>
      <c r="J152" s="8"/>
      <c r="K152" s="66"/>
      <c r="L152" s="8"/>
      <c r="M152" s="68"/>
    </row>
    <row r="153" ht="12.75">
      <c r="M153" s="5"/>
    </row>
    <row r="154" spans="8:13" ht="12.75">
      <c r="H154" s="8"/>
      <c r="J154" s="8"/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spans="8:13" ht="12.75">
      <c r="H160" s="8"/>
      <c r="J160" s="8"/>
      <c r="M160" s="5"/>
    </row>
    <row r="161" spans="8:13" ht="12.75">
      <c r="H161" s="8"/>
      <c r="J161" s="8"/>
      <c r="M161" s="5"/>
    </row>
    <row r="162" ht="12.75">
      <c r="M162" s="5"/>
    </row>
    <row r="163" spans="8:13" ht="12.75">
      <c r="H163" s="8"/>
      <c r="J163" s="8"/>
      <c r="M163" s="5"/>
    </row>
    <row r="164" spans="8:13" ht="12.75">
      <c r="H164" s="8"/>
      <c r="M164" s="5"/>
    </row>
    <row r="165" ht="12.75">
      <c r="M165" s="5"/>
    </row>
    <row r="166" ht="12.75">
      <c r="M166" s="5"/>
    </row>
    <row r="167" spans="8:13" ht="12.75">
      <c r="H167" s="8"/>
      <c r="J167" s="8"/>
      <c r="M167" s="5"/>
    </row>
    <row r="168" spans="9:13" ht="12.75">
      <c r="I168" s="67"/>
      <c r="M168" s="5"/>
    </row>
    <row r="169" ht="12.75">
      <c r="M169" s="5"/>
    </row>
    <row r="170" spans="8:13" ht="12.75">
      <c r="H170" s="8"/>
      <c r="J170" s="8"/>
      <c r="M170" s="5"/>
    </row>
    <row r="171" ht="12.75">
      <c r="M171" s="5"/>
    </row>
    <row r="172" ht="12.75">
      <c r="M172" s="5"/>
    </row>
    <row r="173" spans="8:13" ht="12.75">
      <c r="H173" s="8"/>
      <c r="J173" s="8"/>
      <c r="M173" s="5"/>
    </row>
    <row r="174" ht="12.75">
      <c r="M174" s="5"/>
    </row>
    <row r="175" ht="12.75">
      <c r="M175" s="5"/>
    </row>
    <row r="176" ht="12.75"/>
    <row r="177" ht="12.75"/>
    <row r="178" ht="12.75">
      <c r="M178" s="5"/>
    </row>
    <row r="179" ht="12.75">
      <c r="M179" s="5"/>
    </row>
    <row r="180" ht="12.75">
      <c r="M180" s="5"/>
    </row>
    <row r="181" ht="12.75">
      <c r="M181" s="5"/>
    </row>
    <row r="182" ht="12.75"/>
    <row r="183" ht="12.75"/>
    <row r="184" ht="12.75">
      <c r="M184" s="5"/>
    </row>
    <row r="185" ht="12.75">
      <c r="M185" s="5"/>
    </row>
    <row r="186" ht="12.75">
      <c r="M186" s="5"/>
    </row>
    <row r="187" spans="4:13" ht="12.75">
      <c r="D187" s="17"/>
      <c r="E187" s="17"/>
      <c r="F187" s="17"/>
      <c r="H187"/>
      <c r="I187"/>
      <c r="J187"/>
      <c r="K187"/>
      <c r="L187"/>
      <c r="M187" s="5"/>
    </row>
    <row r="188" spans="4:13" ht="12.75">
      <c r="D188" s="17"/>
      <c r="E188" s="17"/>
      <c r="F188" s="17"/>
      <c r="H188"/>
      <c r="I188"/>
      <c r="J188"/>
      <c r="K188"/>
      <c r="L188"/>
      <c r="M188"/>
    </row>
    <row r="189" spans="4:13" ht="12.75">
      <c r="D189" s="17"/>
      <c r="E189" s="17"/>
      <c r="F189" s="17"/>
      <c r="H189" s="8"/>
      <c r="I189" s="5"/>
      <c r="J189" s="8"/>
      <c r="K189" s="5"/>
      <c r="L189"/>
      <c r="M189" s="5"/>
    </row>
    <row r="190" spans="4:13" ht="12.75">
      <c r="D190" s="17"/>
      <c r="E190" s="17"/>
      <c r="F190" s="17"/>
      <c r="H190"/>
      <c r="I190" s="5"/>
      <c r="J190"/>
      <c r="K190" s="5"/>
      <c r="L190"/>
      <c r="M190" s="5"/>
    </row>
    <row r="191" spans="4:13" ht="12.75">
      <c r="D191" s="17"/>
      <c r="E191" s="17"/>
      <c r="F191" s="17"/>
      <c r="H191"/>
      <c r="I191" s="5"/>
      <c r="J191"/>
      <c r="K191" s="5"/>
      <c r="L191"/>
      <c r="M191" s="5"/>
    </row>
    <row r="192" spans="4:13" ht="12.75">
      <c r="D192" s="17"/>
      <c r="E192" s="17"/>
      <c r="F192" s="17"/>
      <c r="H192"/>
      <c r="I192" s="5"/>
      <c r="J192"/>
      <c r="K192" s="5"/>
      <c r="L192"/>
      <c r="M192" s="5"/>
    </row>
    <row r="193" spans="4:13" ht="12.75">
      <c r="D193" s="17"/>
      <c r="E193" s="17"/>
      <c r="F193" s="17"/>
      <c r="H193"/>
      <c r="I193" s="5"/>
      <c r="J193"/>
      <c r="K193" s="5"/>
      <c r="L193"/>
      <c r="M193" s="5"/>
    </row>
    <row r="194" spans="4:13" ht="12.75">
      <c r="D194" s="17"/>
      <c r="E194" s="17"/>
      <c r="F194" s="17"/>
      <c r="H194"/>
      <c r="I194" s="5"/>
      <c r="J194"/>
      <c r="K194" s="5"/>
      <c r="L194"/>
      <c r="M194" s="5"/>
    </row>
    <row r="195" spans="4:13" ht="12.75">
      <c r="D195" s="17"/>
      <c r="E195" s="17"/>
      <c r="F195" s="17"/>
      <c r="H195" s="8"/>
      <c r="I195" s="5"/>
      <c r="J195" s="8"/>
      <c r="K195" s="5"/>
      <c r="L195"/>
      <c r="M195" s="5"/>
    </row>
    <row r="196" spans="4:13" ht="12.75">
      <c r="D196" s="17"/>
      <c r="E196" s="17"/>
      <c r="F196" s="17"/>
      <c r="H196" s="8"/>
      <c r="I196" s="5"/>
      <c r="J196" s="8"/>
      <c r="K196" s="5"/>
      <c r="L196"/>
      <c r="M196" s="5"/>
    </row>
    <row r="197" spans="4:13" ht="12.75">
      <c r="D197" s="17"/>
      <c r="E197" s="17"/>
      <c r="F197" s="17"/>
      <c r="H197"/>
      <c r="I197" s="5"/>
      <c r="J197"/>
      <c r="K197" s="5"/>
      <c r="L197"/>
      <c r="M197" s="5"/>
    </row>
    <row r="198" spans="4:13" ht="12.75">
      <c r="D198" s="17"/>
      <c r="E198" s="17"/>
      <c r="F198" s="17"/>
      <c r="H198" s="8"/>
      <c r="I198" s="5"/>
      <c r="J198" s="8"/>
      <c r="K198" s="5"/>
      <c r="L198"/>
      <c r="M198" s="5"/>
    </row>
    <row r="199" spans="4:13" ht="12.75">
      <c r="D199" s="17"/>
      <c r="E199" s="17"/>
      <c r="F199" s="17"/>
      <c r="H199" s="8"/>
      <c r="I199" s="5"/>
      <c r="J199"/>
      <c r="K199" s="5"/>
      <c r="L199"/>
      <c r="M199" s="5"/>
    </row>
    <row r="200" spans="4:13" ht="12.75">
      <c r="D200" s="17"/>
      <c r="E200" s="17"/>
      <c r="F200" s="17"/>
      <c r="H200"/>
      <c r="I200" s="5"/>
      <c r="J200"/>
      <c r="K200" s="5"/>
      <c r="L200"/>
      <c r="M200" s="5"/>
    </row>
    <row r="201" spans="4:13" ht="12.75">
      <c r="D201" s="17"/>
      <c r="E201" s="17"/>
      <c r="F201" s="17"/>
      <c r="H201"/>
      <c r="I201" s="5"/>
      <c r="J201"/>
      <c r="K201" s="5"/>
      <c r="L201"/>
      <c r="M201" s="5"/>
    </row>
    <row r="202" spans="4:13" ht="12.75">
      <c r="D202" s="17"/>
      <c r="E202" s="17"/>
      <c r="F202" s="17"/>
      <c r="H202" s="8"/>
      <c r="I202" s="5"/>
      <c r="J202" s="8"/>
      <c r="K202" s="5"/>
      <c r="L202"/>
      <c r="M202" s="5"/>
    </row>
    <row r="203" spans="4:13" ht="12.75">
      <c r="D203" s="17"/>
      <c r="E203" s="17"/>
      <c r="F203" s="17"/>
      <c r="H203"/>
      <c r="I203" s="5"/>
      <c r="J203"/>
      <c r="K203" s="5"/>
      <c r="L203"/>
      <c r="M203" s="5"/>
    </row>
    <row r="204" spans="4:13" ht="12.75">
      <c r="D204" s="17"/>
      <c r="E204" s="17"/>
      <c r="F204" s="17"/>
      <c r="H204"/>
      <c r="I204" s="5"/>
      <c r="J204"/>
      <c r="K204" s="5"/>
      <c r="L204"/>
      <c r="M204" s="5"/>
    </row>
    <row r="205" spans="4:13" ht="12.75">
      <c r="D205" s="17"/>
      <c r="E205" s="17"/>
      <c r="F205" s="17"/>
      <c r="H205" s="8"/>
      <c r="I205" s="5"/>
      <c r="J205" s="8"/>
      <c r="K205" s="5"/>
      <c r="L205"/>
      <c r="M205" s="5"/>
    </row>
    <row r="206" spans="4:13" ht="12.75">
      <c r="D206" s="17"/>
      <c r="E206" s="17"/>
      <c r="F206" s="17"/>
      <c r="H206"/>
      <c r="I206" s="5"/>
      <c r="J206"/>
      <c r="K206" s="5"/>
      <c r="L206"/>
      <c r="M206" s="5"/>
    </row>
    <row r="207" spans="4:13" ht="12.75">
      <c r="D207" s="17"/>
      <c r="E207" s="17"/>
      <c r="F207" s="17"/>
      <c r="H207"/>
      <c r="I207" s="5"/>
      <c r="J207"/>
      <c r="K207" s="5"/>
      <c r="L207"/>
      <c r="M207" s="5"/>
    </row>
    <row r="208" spans="4:13" ht="12.75">
      <c r="D208" s="17"/>
      <c r="E208" s="17"/>
      <c r="F208" s="17"/>
      <c r="H208" s="8"/>
      <c r="I208" s="5"/>
      <c r="J208" s="8"/>
      <c r="K208" s="5"/>
      <c r="L208"/>
      <c r="M208" s="5"/>
    </row>
    <row r="209" spans="4:13" ht="12.75">
      <c r="D209" s="17"/>
      <c r="E209" s="17"/>
      <c r="F209" s="17"/>
      <c r="H209"/>
      <c r="I209" s="5"/>
      <c r="J209"/>
      <c r="K209" s="5"/>
      <c r="L209"/>
      <c r="M209" s="5"/>
    </row>
    <row r="210" spans="4:13" ht="12.75">
      <c r="D210" s="17"/>
      <c r="E210" s="17"/>
      <c r="F210" s="17"/>
      <c r="H210"/>
      <c r="I210" s="5"/>
      <c r="J210"/>
      <c r="K210" s="5"/>
      <c r="L210"/>
      <c r="M210" s="5"/>
    </row>
    <row r="211" spans="4:13" ht="12.75">
      <c r="D211" s="17"/>
      <c r="E211" s="17"/>
      <c r="F211" s="17"/>
      <c r="H211"/>
      <c r="I211"/>
      <c r="J211"/>
      <c r="K211"/>
      <c r="L211"/>
      <c r="M211"/>
    </row>
    <row r="212" spans="4:13" ht="12.75">
      <c r="D212" s="17"/>
      <c r="E212" s="17"/>
      <c r="F212" s="17"/>
      <c r="H212" s="63"/>
      <c r="I212" s="63"/>
      <c r="J212" s="63"/>
      <c r="K212" s="63"/>
      <c r="L212" s="5"/>
      <c r="M212" s="5"/>
    </row>
    <row r="213" spans="4:13" ht="12.75">
      <c r="D213" s="17"/>
      <c r="E213" s="17"/>
      <c r="F213" s="17"/>
      <c r="H213" s="5"/>
      <c r="I213" s="5"/>
      <c r="J213" s="5"/>
      <c r="K213" s="5"/>
      <c r="L213" s="5"/>
      <c r="M213" s="5"/>
    </row>
    <row r="214" spans="4:13" ht="12.75">
      <c r="D214" s="17"/>
      <c r="E214" s="17"/>
      <c r="F214" s="17"/>
      <c r="H214"/>
      <c r="I214"/>
      <c r="J214"/>
      <c r="K214"/>
      <c r="L214"/>
      <c r="M214"/>
    </row>
    <row r="215" spans="4:6" ht="12.75">
      <c r="D215" s="17"/>
      <c r="E215" s="17"/>
      <c r="F215" s="17"/>
    </row>
    <row r="216" spans="4:6" ht="12.75">
      <c r="D216" s="17"/>
      <c r="E216" s="17"/>
      <c r="F216" s="17"/>
    </row>
    <row r="217" spans="4:6" ht="12.75">
      <c r="D217" s="17"/>
      <c r="E217" s="17"/>
      <c r="F217" s="17"/>
    </row>
    <row r="218" spans="4:6" ht="12.75">
      <c r="D218" s="17"/>
      <c r="E218" s="17"/>
      <c r="F218" s="17"/>
    </row>
    <row r="283" spans="2:7" ht="12.75">
      <c r="B283" s="8"/>
      <c r="C283" s="8"/>
      <c r="F283"/>
      <c r="G28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5"/>
  <sheetViews>
    <sheetView workbookViewId="0" topLeftCell="B86">
      <selection activeCell="C24" sqref="C24"/>
    </sheetView>
  </sheetViews>
  <sheetFormatPr defaultColWidth="9.140625" defaultRowHeight="12.75"/>
  <cols>
    <col min="1" max="1" width="2.28125" style="3" hidden="1" customWidth="1"/>
    <col min="2" max="2" width="22.57421875" style="2" customWidth="1"/>
    <col min="3" max="3" width="7.57421875" style="2" customWidth="1"/>
    <col min="4" max="4" width="11.7109375" style="2" customWidth="1"/>
    <col min="5" max="5" width="6.421875" style="2" customWidth="1"/>
    <col min="6" max="6" width="3.7109375" style="3" customWidth="1"/>
    <col min="7" max="7" width="10.28125" style="4" customWidth="1"/>
    <col min="8" max="8" width="4.140625" style="2" customWidth="1"/>
    <col min="9" max="9" width="10.7109375" style="3" customWidth="1"/>
    <col min="10" max="10" width="4.00390625" style="2" bestFit="1" customWidth="1"/>
    <col min="11" max="11" width="11.421875" style="3" customWidth="1"/>
    <col min="12" max="12" width="4.140625" style="3" customWidth="1"/>
    <col min="13" max="13" width="10.421875" style="3" customWidth="1"/>
    <col min="14" max="14" width="4.140625" style="3" customWidth="1"/>
    <col min="15" max="15" width="10.00390625" style="3" customWidth="1"/>
    <col min="16" max="16" width="5.7109375" style="3" customWidth="1"/>
    <col min="17" max="17" width="11.140625" style="3" customWidth="1"/>
    <col min="18" max="18" width="6.00390625" style="3" customWidth="1"/>
    <col min="19" max="19" width="10.421875" style="3" customWidth="1"/>
    <col min="20" max="20" width="4.140625" style="3" customWidth="1"/>
    <col min="21" max="21" width="14.28125" style="3" customWidth="1"/>
    <col min="22" max="22" width="16.140625" style="3" customWidth="1"/>
    <col min="23" max="16384" width="8.8515625" style="3" customWidth="1"/>
  </cols>
  <sheetData>
    <row r="1" spans="2:21" ht="12.75">
      <c r="B1" s="26" t="s">
        <v>195</v>
      </c>
      <c r="C1" s="26"/>
      <c r="D1" s="9"/>
      <c r="E1" s="9"/>
      <c r="F1" s="27"/>
      <c r="G1" s="28"/>
      <c r="H1" s="9"/>
      <c r="I1" s="27"/>
      <c r="J1" s="9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2:21" ht="12.75">
      <c r="B2" s="9"/>
      <c r="C2" s="9"/>
      <c r="D2" s="9"/>
      <c r="E2" s="9"/>
      <c r="F2" s="27"/>
      <c r="G2" s="28"/>
      <c r="H2" s="9"/>
      <c r="I2" s="27"/>
      <c r="J2" s="9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2:21" ht="12.75">
      <c r="B3" s="9"/>
      <c r="C3" s="9"/>
      <c r="D3" s="9"/>
      <c r="E3" s="9"/>
      <c r="F3" s="27"/>
      <c r="G3" s="28"/>
      <c r="H3" s="9"/>
      <c r="I3" s="27"/>
      <c r="J3" s="9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2.75">
      <c r="A4" s="3" t="s">
        <v>86</v>
      </c>
      <c r="B4" s="26" t="str">
        <f>emiss!B6</f>
        <v>3028C1</v>
      </c>
      <c r="C4" s="9" t="str">
        <f>cond!C10</f>
        <v>Trial burn - min temp/DRE</v>
      </c>
      <c r="D4" s="9"/>
      <c r="E4" s="9" t="s">
        <v>122</v>
      </c>
      <c r="F4" s="27"/>
      <c r="G4" s="29" t="s">
        <v>192</v>
      </c>
      <c r="H4" s="9"/>
      <c r="I4" s="29" t="s">
        <v>193</v>
      </c>
      <c r="J4" s="9"/>
      <c r="K4" s="29" t="s">
        <v>194</v>
      </c>
      <c r="L4" s="29"/>
      <c r="M4" s="29" t="s">
        <v>47</v>
      </c>
      <c r="N4" s="27"/>
      <c r="O4" s="29" t="s">
        <v>192</v>
      </c>
      <c r="P4" s="29"/>
      <c r="Q4" s="29" t="s">
        <v>193</v>
      </c>
      <c r="R4" s="29"/>
      <c r="S4" s="29" t="s">
        <v>194</v>
      </c>
      <c r="T4" s="29"/>
      <c r="U4" s="29" t="s">
        <v>47</v>
      </c>
    </row>
    <row r="5" spans="2:21" ht="12.75">
      <c r="B5" s="26"/>
      <c r="C5" s="9"/>
      <c r="D5" s="9"/>
      <c r="E5" s="9"/>
      <c r="F5" s="27"/>
      <c r="G5" s="29"/>
      <c r="H5" s="9"/>
      <c r="I5" s="29"/>
      <c r="J5" s="9"/>
      <c r="K5" s="29"/>
      <c r="L5" s="29"/>
      <c r="M5" s="29"/>
      <c r="N5" s="27"/>
      <c r="O5" s="27"/>
      <c r="P5" s="27"/>
      <c r="Q5" s="27"/>
      <c r="R5" s="27"/>
      <c r="S5" s="27"/>
      <c r="T5" s="27"/>
      <c r="U5" s="27"/>
    </row>
    <row r="6" spans="2:21" ht="12.75">
      <c r="B6" s="9" t="s">
        <v>215</v>
      </c>
      <c r="C6" s="9"/>
      <c r="D6" s="9"/>
      <c r="E6" s="9"/>
      <c r="F6" s="27"/>
      <c r="G6" s="29" t="s">
        <v>218</v>
      </c>
      <c r="H6" s="9"/>
      <c r="I6" s="29" t="s">
        <v>218</v>
      </c>
      <c r="J6" s="9"/>
      <c r="K6" s="29" t="s">
        <v>218</v>
      </c>
      <c r="L6" s="29"/>
      <c r="M6" s="29" t="s">
        <v>218</v>
      </c>
      <c r="N6" s="27"/>
      <c r="O6" s="27" t="s">
        <v>219</v>
      </c>
      <c r="P6" s="27"/>
      <c r="Q6" s="27" t="s">
        <v>219</v>
      </c>
      <c r="R6" s="27"/>
      <c r="S6" s="27" t="s">
        <v>219</v>
      </c>
      <c r="T6" s="27"/>
      <c r="U6" s="27" t="s">
        <v>219</v>
      </c>
    </row>
    <row r="7" spans="2:21" ht="12.75">
      <c r="B7" s="9" t="s">
        <v>216</v>
      </c>
      <c r="C7" s="9"/>
      <c r="D7" s="9"/>
      <c r="E7" s="9"/>
      <c r="F7" s="27"/>
      <c r="G7" s="4" t="s">
        <v>217</v>
      </c>
      <c r="I7" s="4" t="s">
        <v>217</v>
      </c>
      <c r="K7" s="4" t="s">
        <v>217</v>
      </c>
      <c r="M7" s="4" t="s">
        <v>217</v>
      </c>
      <c r="N7" s="27"/>
      <c r="O7" s="50" t="s">
        <v>25</v>
      </c>
      <c r="P7" s="50"/>
      <c r="Q7" s="50" t="s">
        <v>25</v>
      </c>
      <c r="R7" s="50"/>
      <c r="S7" s="54" t="s">
        <v>25</v>
      </c>
      <c r="T7" s="50"/>
      <c r="U7" s="50" t="s">
        <v>25</v>
      </c>
    </row>
    <row r="8" spans="2:21" ht="12.75">
      <c r="B8" s="9" t="s">
        <v>222</v>
      </c>
      <c r="C8" s="9"/>
      <c r="D8" s="9"/>
      <c r="E8" s="9"/>
      <c r="F8" s="27"/>
      <c r="G8" s="4" t="s">
        <v>62</v>
      </c>
      <c r="I8" s="4" t="s">
        <v>62</v>
      </c>
      <c r="K8" s="4" t="s">
        <v>62</v>
      </c>
      <c r="L8" s="4"/>
      <c r="M8" s="4" t="s">
        <v>62</v>
      </c>
      <c r="N8" s="27"/>
      <c r="O8" s="50" t="s">
        <v>25</v>
      </c>
      <c r="P8" s="50"/>
      <c r="Q8" s="50" t="s">
        <v>25</v>
      </c>
      <c r="R8" s="50"/>
      <c r="S8" s="54" t="s">
        <v>25</v>
      </c>
      <c r="T8" s="50"/>
      <c r="U8" s="50" t="s">
        <v>25</v>
      </c>
    </row>
    <row r="9" spans="2:21" s="50" customFormat="1" ht="12.75">
      <c r="B9" s="50" t="s">
        <v>48</v>
      </c>
      <c r="F9" s="48"/>
      <c r="G9" s="50" t="s">
        <v>152</v>
      </c>
      <c r="H9" s="59"/>
      <c r="I9" s="50" t="s">
        <v>152</v>
      </c>
      <c r="J9" s="59"/>
      <c r="K9" s="50" t="s">
        <v>152</v>
      </c>
      <c r="M9" s="50" t="s">
        <v>152</v>
      </c>
      <c r="O9" s="50" t="s">
        <v>25</v>
      </c>
      <c r="Q9" s="50" t="s">
        <v>25</v>
      </c>
      <c r="S9" s="54" t="s">
        <v>25</v>
      </c>
      <c r="U9" s="50" t="s">
        <v>25</v>
      </c>
    </row>
    <row r="10" spans="2:21" ht="12.75">
      <c r="B10" s="9" t="s">
        <v>87</v>
      </c>
      <c r="C10" s="50"/>
      <c r="D10" s="9" t="s">
        <v>53</v>
      </c>
      <c r="E10" s="9"/>
      <c r="F10"/>
      <c r="G10">
        <v>2509</v>
      </c>
      <c r="H10" s="59"/>
      <c r="I10">
        <v>2495</v>
      </c>
      <c r="J10" s="59"/>
      <c r="K10">
        <v>2496</v>
      </c>
      <c r="L10"/>
      <c r="M10" s="64">
        <f aca="true" t="shared" si="0" ref="M10:M16">AVERAGE(G10:K10)</f>
        <v>2500</v>
      </c>
      <c r="N10" s="40"/>
      <c r="O10" s="40"/>
      <c r="P10" s="40"/>
      <c r="Q10" s="40"/>
      <c r="R10" s="63"/>
      <c r="S10" s="27"/>
      <c r="T10" s="27"/>
      <c r="U10" s="27"/>
    </row>
    <row r="11" spans="2:21" ht="12.75">
      <c r="B11" s="9" t="s">
        <v>49</v>
      </c>
      <c r="C11" s="50"/>
      <c r="D11" s="9" t="s">
        <v>18</v>
      </c>
      <c r="E11" s="9"/>
      <c r="F11"/>
      <c r="G11" s="27">
        <v>0.03</v>
      </c>
      <c r="H11" s="9"/>
      <c r="I11" s="27">
        <v>0.04</v>
      </c>
      <c r="J11" s="9"/>
      <c r="K11" s="27">
        <v>0.02</v>
      </c>
      <c r="L11" s="27"/>
      <c r="M11" s="63">
        <f t="shared" si="0"/>
        <v>0.030000000000000002</v>
      </c>
      <c r="N11" s="40"/>
      <c r="O11" s="40"/>
      <c r="P11" s="40"/>
      <c r="Q11" s="40"/>
      <c r="R11" s="63"/>
      <c r="S11" s="27"/>
      <c r="T11" s="27"/>
      <c r="U11" s="27"/>
    </row>
    <row r="12" spans="2:21" ht="12.75">
      <c r="B12" s="9" t="s">
        <v>126</v>
      </c>
      <c r="C12" s="50"/>
      <c r="D12" s="9" t="s">
        <v>18</v>
      </c>
      <c r="E12" s="9"/>
      <c r="F12"/>
      <c r="G12">
        <v>62.1</v>
      </c>
      <c r="H12" s="59"/>
      <c r="I12">
        <v>60.2</v>
      </c>
      <c r="J12" s="59"/>
      <c r="K12">
        <v>63.9</v>
      </c>
      <c r="L12"/>
      <c r="M12" s="64">
        <f t="shared" si="0"/>
        <v>62.06666666666667</v>
      </c>
      <c r="N12" s="40"/>
      <c r="O12" s="40"/>
      <c r="P12" s="40"/>
      <c r="Q12" s="40"/>
      <c r="R12" s="63"/>
      <c r="S12" s="27"/>
      <c r="T12" s="27"/>
      <c r="U12" s="27"/>
    </row>
    <row r="13" spans="2:21" ht="12.75">
      <c r="B13" s="9" t="s">
        <v>220</v>
      </c>
      <c r="C13" s="50"/>
      <c r="D13" s="9" t="s">
        <v>128</v>
      </c>
      <c r="E13" s="9"/>
      <c r="F13"/>
      <c r="G13">
        <v>6220</v>
      </c>
      <c r="H13" s="59"/>
      <c r="I13">
        <v>6390</v>
      </c>
      <c r="J13" s="59"/>
      <c r="K13">
        <v>6590</v>
      </c>
      <c r="L13"/>
      <c r="M13" s="64">
        <f t="shared" si="0"/>
        <v>6400</v>
      </c>
      <c r="N13" s="40"/>
      <c r="O13" s="40"/>
      <c r="P13" s="40"/>
      <c r="Q13" s="40"/>
      <c r="R13" s="63"/>
      <c r="S13" s="27"/>
      <c r="T13" s="27"/>
      <c r="U13" s="27"/>
    </row>
    <row r="14" spans="2:21" ht="12.75">
      <c r="B14" s="9" t="s">
        <v>49</v>
      </c>
      <c r="C14" s="50"/>
      <c r="D14" s="9" t="s">
        <v>53</v>
      </c>
      <c r="E14" s="9"/>
      <c r="F14"/>
      <c r="G14" s="5">
        <f>G$10*G11/100</f>
        <v>0.7526999999999999</v>
      </c>
      <c r="H14" s="83"/>
      <c r="I14" s="5">
        <f>I$10*I11/100</f>
        <v>0.998</v>
      </c>
      <c r="J14" s="83"/>
      <c r="K14" s="5">
        <f>K$10*K11/100</f>
        <v>0.49920000000000003</v>
      </c>
      <c r="L14" s="5"/>
      <c r="M14" s="5">
        <f t="shared" si="0"/>
        <v>0.7499666666666666</v>
      </c>
      <c r="N14" s="40"/>
      <c r="O14" s="40"/>
      <c r="P14" s="40"/>
      <c r="Q14" s="40"/>
      <c r="R14" s="63"/>
      <c r="S14" s="27"/>
      <c r="T14" s="27"/>
      <c r="U14" s="27"/>
    </row>
    <row r="15" spans="2:21" ht="12.75">
      <c r="B15" s="9" t="s">
        <v>126</v>
      </c>
      <c r="C15" s="9"/>
      <c r="D15" s="9" t="s">
        <v>53</v>
      </c>
      <c r="E15" s="9"/>
      <c r="F15"/>
      <c r="G15" s="64">
        <f>G$10*G12/100</f>
        <v>1558.089</v>
      </c>
      <c r="H15" s="84"/>
      <c r="I15" s="64">
        <f>I$10*I12/100</f>
        <v>1501.99</v>
      </c>
      <c r="J15" s="84"/>
      <c r="K15" s="64">
        <f>K$10*K12/100</f>
        <v>1594.944</v>
      </c>
      <c r="L15" s="64"/>
      <c r="M15" s="64">
        <f t="shared" si="0"/>
        <v>1551.6743333333332</v>
      </c>
      <c r="N15" s="40"/>
      <c r="O15" s="40"/>
      <c r="P15" s="40"/>
      <c r="Q15" s="40"/>
      <c r="R15" s="63"/>
      <c r="S15" s="27"/>
      <c r="T15" s="27"/>
      <c r="U15" s="27"/>
    </row>
    <row r="16" spans="2:21" ht="12.75">
      <c r="B16" s="9" t="s">
        <v>221</v>
      </c>
      <c r="C16" s="3"/>
      <c r="D16" s="9" t="s">
        <v>129</v>
      </c>
      <c r="E16" s="9"/>
      <c r="F16"/>
      <c r="G16" s="5">
        <f>G$10*G13/1000000</f>
        <v>15.60598</v>
      </c>
      <c r="H16" s="83"/>
      <c r="I16" s="5">
        <f>I$10*I13/1000000</f>
        <v>15.94305</v>
      </c>
      <c r="J16" s="83"/>
      <c r="K16" s="5">
        <f>K$10*K13/1000000</f>
        <v>16.44864</v>
      </c>
      <c r="L16" s="5"/>
      <c r="M16" s="64">
        <f t="shared" si="0"/>
        <v>15.999223333333333</v>
      </c>
      <c r="N16" s="40"/>
      <c r="O16" s="40"/>
      <c r="P16" s="40"/>
      <c r="Q16" s="40"/>
      <c r="R16" s="63"/>
      <c r="S16" s="27"/>
      <c r="T16" s="27"/>
      <c r="U16" s="27"/>
    </row>
    <row r="17" spans="2:21" ht="12.75">
      <c r="B17" s="9"/>
      <c r="C17" s="3"/>
      <c r="D17" s="9"/>
      <c r="E17" s="9"/>
      <c r="F17"/>
      <c r="G17" s="5"/>
      <c r="H17" s="83"/>
      <c r="I17" s="5"/>
      <c r="J17" s="83"/>
      <c r="K17" s="5"/>
      <c r="L17" s="5"/>
      <c r="M17" s="64"/>
      <c r="N17" s="40"/>
      <c r="O17" s="40"/>
      <c r="P17" s="40"/>
      <c r="Q17" s="40"/>
      <c r="R17" s="63"/>
      <c r="S17" s="27"/>
      <c r="T17" s="27"/>
      <c r="U17" s="27"/>
    </row>
    <row r="18" spans="2:21" ht="12.75">
      <c r="B18" s="9" t="s">
        <v>119</v>
      </c>
      <c r="D18" s="9" t="s">
        <v>17</v>
      </c>
      <c r="E18" s="9"/>
      <c r="F18"/>
      <c r="G18">
        <v>11237</v>
      </c>
      <c r="H18" s="59"/>
      <c r="I18">
        <v>11377</v>
      </c>
      <c r="J18" s="59"/>
      <c r="K18">
        <v>11426</v>
      </c>
      <c r="L18"/>
      <c r="M18" s="64">
        <f>AVERAGE(K18,I18,G18)</f>
        <v>11346.666666666666</v>
      </c>
      <c r="O18" s="40"/>
      <c r="P18" s="40"/>
      <c r="Q18" s="40"/>
      <c r="R18" s="63"/>
      <c r="S18" s="27"/>
      <c r="T18" s="27"/>
      <c r="U18" s="27"/>
    </row>
    <row r="19" spans="2:21" ht="12.75">
      <c r="B19" s="9" t="s">
        <v>120</v>
      </c>
      <c r="D19" s="9" t="s">
        <v>18</v>
      </c>
      <c r="E19" s="9"/>
      <c r="F19"/>
      <c r="G19">
        <v>12.4</v>
      </c>
      <c r="H19" s="59"/>
      <c r="I19">
        <v>12.4</v>
      </c>
      <c r="J19" s="59"/>
      <c r="K19">
        <v>12.2</v>
      </c>
      <c r="L19"/>
      <c r="M19" s="5">
        <f>AVERAGE(K19,I19,G19)</f>
        <v>12.333333333333334</v>
      </c>
      <c r="O19" s="40"/>
      <c r="P19" s="40"/>
      <c r="Q19" s="40"/>
      <c r="R19" s="63"/>
      <c r="S19" s="27"/>
      <c r="T19" s="27"/>
      <c r="U19" s="27"/>
    </row>
    <row r="20" spans="2:21" ht="12.75">
      <c r="B20" s="9"/>
      <c r="C20" s="3"/>
      <c r="D20" s="9"/>
      <c r="E20" s="9"/>
      <c r="F20"/>
      <c r="G20" s="5"/>
      <c r="H20" s="83"/>
      <c r="I20" s="5"/>
      <c r="J20" s="83"/>
      <c r="K20" s="5"/>
      <c r="L20" s="5"/>
      <c r="M20" s="64"/>
      <c r="N20" s="40"/>
      <c r="O20" s="40"/>
      <c r="P20" s="40"/>
      <c r="Q20" s="40"/>
      <c r="R20" s="63"/>
      <c r="S20" s="27"/>
      <c r="T20" s="27"/>
      <c r="U20" s="27"/>
    </row>
    <row r="21" spans="2:21" ht="12.75">
      <c r="B21" s="45" t="s">
        <v>121</v>
      </c>
      <c r="C21" s="9"/>
      <c r="D21" s="9"/>
      <c r="E21" s="9"/>
      <c r="F21" s="27"/>
      <c r="G21" s="61"/>
      <c r="H21" s="85"/>
      <c r="I21" s="62"/>
      <c r="J21" s="85"/>
      <c r="K21" s="62"/>
      <c r="L21" s="62"/>
      <c r="M21" s="63"/>
      <c r="N21" s="27"/>
      <c r="O21" s="27"/>
      <c r="P21" s="27"/>
      <c r="Q21" s="27"/>
      <c r="R21" s="30"/>
      <c r="S21" s="30"/>
      <c r="T21" s="27"/>
      <c r="U21" s="27"/>
    </row>
    <row r="22" spans="2:21" ht="12.75">
      <c r="B22" s="9" t="s">
        <v>49</v>
      </c>
      <c r="C22" s="9"/>
      <c r="D22" s="9" t="s">
        <v>61</v>
      </c>
      <c r="E22" s="9" t="s">
        <v>15</v>
      </c>
      <c r="F22"/>
      <c r="G22" s="64">
        <f>(G14/60)*454*1000/(G$18*0.0283)*(21-7)/(21-G$19)</f>
        <v>29.155418959382164</v>
      </c>
      <c r="H22" s="84"/>
      <c r="I22" s="64">
        <f>(I14/60)*454*1000/(I$18*0.0283)*(21-7)/(21-I$19)</f>
        <v>38.181284472483895</v>
      </c>
      <c r="J22" s="84"/>
      <c r="K22" s="64">
        <f>(K14/60)*454*1000/(K$18*0.0283)*(21-7)/(21-K$19)</f>
        <v>18.584200719174024</v>
      </c>
      <c r="L22" s="64"/>
      <c r="M22" s="40">
        <f>AVERAGE(G22,I22,K22)</f>
        <v>28.640301383680026</v>
      </c>
      <c r="N22" s="27"/>
      <c r="O22" s="40">
        <f>G22</f>
        <v>29.155418959382164</v>
      </c>
      <c r="P22" s="27"/>
      <c r="Q22" s="40">
        <f>I22</f>
        <v>38.181284472483895</v>
      </c>
      <c r="R22" s="30"/>
      <c r="S22" s="40">
        <f>K22</f>
        <v>18.584200719174024</v>
      </c>
      <c r="T22" s="27"/>
      <c r="U22" s="40">
        <f>M22</f>
        <v>28.640301383680026</v>
      </c>
    </row>
    <row r="23" spans="2:21" ht="12.75">
      <c r="B23" s="9" t="s">
        <v>126</v>
      </c>
      <c r="C23" s="9"/>
      <c r="D23" s="9" t="s">
        <v>55</v>
      </c>
      <c r="E23" s="9" t="s">
        <v>15</v>
      </c>
      <c r="F23" s="29"/>
      <c r="G23" s="64">
        <f>(G15/60)*454*1000000/(G$18*0.0283)*(21-7)/(21-G$19)</f>
        <v>60351717.245921075</v>
      </c>
      <c r="H23" s="84"/>
      <c r="I23" s="64">
        <f>(I15/60)*454*1000000/(I$18*0.0283)*(21-7)/(21-I$19)</f>
        <v>57462833.13108826</v>
      </c>
      <c r="J23" s="84"/>
      <c r="K23" s="64">
        <f>(K15/60)*454*1000000/(K$18*0.0283)*(21-7)/(21-K$19)</f>
        <v>59376521.297760986</v>
      </c>
      <c r="L23" s="64"/>
      <c r="M23" s="40">
        <f>AVERAGE(G23,I23,K23)</f>
        <v>59063690.558256775</v>
      </c>
      <c r="N23" s="27"/>
      <c r="O23" s="40">
        <f>G23</f>
        <v>60351717.245921075</v>
      </c>
      <c r="P23" s="27"/>
      <c r="Q23" s="40">
        <f>I23</f>
        <v>57462833.13108826</v>
      </c>
      <c r="R23" s="30"/>
      <c r="S23" s="40">
        <f>K23</f>
        <v>59376521.297760986</v>
      </c>
      <c r="T23" s="27"/>
      <c r="U23" s="40">
        <f>M23</f>
        <v>59063690.558256775</v>
      </c>
    </row>
    <row r="24" spans="13:21" ht="12.75">
      <c r="M24" s="63"/>
      <c r="N24" s="40"/>
      <c r="O24" s="40"/>
      <c r="P24" s="40"/>
      <c r="Q24" s="40"/>
      <c r="R24" s="63"/>
      <c r="S24" s="27"/>
      <c r="T24" s="27"/>
      <c r="U24" s="27"/>
    </row>
    <row r="25" spans="2:21" ht="12.75">
      <c r="B25" s="26" t="str">
        <f>cond!C13</f>
        <v>3028C2</v>
      </c>
      <c r="C25" s="9" t="str">
        <f>cond!C20</f>
        <v>Trial burn - worst-case PM/HCl/metals; As/Cr spiked</v>
      </c>
      <c r="D25" s="9"/>
      <c r="E25" s="9"/>
      <c r="F25" s="27"/>
      <c r="G25" s="29" t="s">
        <v>192</v>
      </c>
      <c r="H25" s="9"/>
      <c r="I25" s="29" t="s">
        <v>193</v>
      </c>
      <c r="J25" s="9"/>
      <c r="K25" s="29" t="s">
        <v>194</v>
      </c>
      <c r="L25" s="29"/>
      <c r="M25" s="29" t="s">
        <v>47</v>
      </c>
      <c r="N25" s="62"/>
      <c r="O25" s="29" t="s">
        <v>192</v>
      </c>
      <c r="P25" s="29"/>
      <c r="Q25" s="29" t="s">
        <v>193</v>
      </c>
      <c r="R25" s="29"/>
      <c r="S25" s="29" t="s">
        <v>194</v>
      </c>
      <c r="T25" s="29"/>
      <c r="U25" s="29" t="s">
        <v>47</v>
      </c>
    </row>
    <row r="26" spans="2:21" ht="12.75">
      <c r="B26" s="26"/>
      <c r="C26" s="9"/>
      <c r="D26" s="9"/>
      <c r="E26" s="9"/>
      <c r="F26" s="27"/>
      <c r="G26" s="29"/>
      <c r="H26" s="9"/>
      <c r="I26" s="29"/>
      <c r="J26" s="9"/>
      <c r="K26" s="29"/>
      <c r="L26" s="29"/>
      <c r="M26" s="29"/>
      <c r="N26" s="62"/>
      <c r="O26" s="29"/>
      <c r="P26" s="29"/>
      <c r="Q26" s="29"/>
      <c r="R26" s="29"/>
      <c r="S26" s="29"/>
      <c r="T26" s="29"/>
      <c r="U26" s="29"/>
    </row>
    <row r="27" spans="2:21" ht="12.75">
      <c r="B27" s="9" t="s">
        <v>215</v>
      </c>
      <c r="C27" s="9"/>
      <c r="D27" s="9"/>
      <c r="E27" s="9"/>
      <c r="F27" s="27"/>
      <c r="G27" s="29" t="s">
        <v>218</v>
      </c>
      <c r="H27" s="9"/>
      <c r="I27" s="29" t="s">
        <v>218</v>
      </c>
      <c r="J27" s="9"/>
      <c r="K27" s="29" t="s">
        <v>218</v>
      </c>
      <c r="L27" s="29"/>
      <c r="M27" s="29" t="s">
        <v>218</v>
      </c>
      <c r="N27" s="27"/>
      <c r="O27" s="27" t="s">
        <v>219</v>
      </c>
      <c r="P27" s="27"/>
      <c r="Q27" s="27" t="s">
        <v>219</v>
      </c>
      <c r="R27" s="27"/>
      <c r="S27" s="27" t="s">
        <v>219</v>
      </c>
      <c r="T27" s="27"/>
      <c r="U27" s="27" t="s">
        <v>219</v>
      </c>
    </row>
    <row r="28" spans="2:21" ht="12.75">
      <c r="B28" s="9" t="s">
        <v>216</v>
      </c>
      <c r="C28" s="9"/>
      <c r="D28" s="9"/>
      <c r="E28" s="9"/>
      <c r="F28" s="27"/>
      <c r="G28" s="4" t="s">
        <v>217</v>
      </c>
      <c r="I28" s="4" t="s">
        <v>217</v>
      </c>
      <c r="K28" s="4" t="s">
        <v>217</v>
      </c>
      <c r="M28" s="4" t="s">
        <v>217</v>
      </c>
      <c r="N28" s="27"/>
      <c r="O28" s="50" t="s">
        <v>25</v>
      </c>
      <c r="P28" s="50"/>
      <c r="Q28" s="50" t="s">
        <v>25</v>
      </c>
      <c r="R28" s="50"/>
      <c r="S28" s="54" t="s">
        <v>25</v>
      </c>
      <c r="T28" s="50"/>
      <c r="U28" s="50" t="s">
        <v>25</v>
      </c>
    </row>
    <row r="29" spans="2:21" ht="12.75">
      <c r="B29" s="9" t="s">
        <v>222</v>
      </c>
      <c r="C29" s="9"/>
      <c r="D29" s="9"/>
      <c r="E29" s="9"/>
      <c r="F29" s="27"/>
      <c r="G29" s="4" t="s">
        <v>62</v>
      </c>
      <c r="I29" s="4" t="s">
        <v>62</v>
      </c>
      <c r="K29" s="4" t="s">
        <v>62</v>
      </c>
      <c r="L29" s="4"/>
      <c r="M29" s="4" t="s">
        <v>62</v>
      </c>
      <c r="N29" s="27"/>
      <c r="O29" s="50" t="s">
        <v>25</v>
      </c>
      <c r="P29" s="50"/>
      <c r="Q29" s="50" t="s">
        <v>25</v>
      </c>
      <c r="R29" s="50"/>
      <c r="S29" s="54" t="s">
        <v>25</v>
      </c>
      <c r="T29" s="50"/>
      <c r="U29" s="50" t="s">
        <v>25</v>
      </c>
    </row>
    <row r="30" spans="2:21" s="50" customFormat="1" ht="12.75">
      <c r="B30" s="50" t="s">
        <v>48</v>
      </c>
      <c r="F30" s="48"/>
      <c r="G30" s="50" t="s">
        <v>152</v>
      </c>
      <c r="H30" s="59"/>
      <c r="I30" s="50" t="s">
        <v>152</v>
      </c>
      <c r="J30" s="59"/>
      <c r="K30" s="50" t="s">
        <v>152</v>
      </c>
      <c r="M30" s="50" t="s">
        <v>152</v>
      </c>
      <c r="O30" s="50" t="s">
        <v>25</v>
      </c>
      <c r="Q30" s="50" t="s">
        <v>25</v>
      </c>
      <c r="S30" s="54" t="s">
        <v>25</v>
      </c>
      <c r="U30" s="50" t="s">
        <v>25</v>
      </c>
    </row>
    <row r="31" spans="2:21" ht="12.75">
      <c r="B31" s="9" t="s">
        <v>87</v>
      </c>
      <c r="C31" s="50"/>
      <c r="D31" s="9" t="s">
        <v>53</v>
      </c>
      <c r="E31" s="9"/>
      <c r="F31"/>
      <c r="G31">
        <v>5667</v>
      </c>
      <c r="H31" s="59"/>
      <c r="I31">
        <v>5684</v>
      </c>
      <c r="J31" s="59"/>
      <c r="K31">
        <v>5560</v>
      </c>
      <c r="L31"/>
      <c r="M31" s="64">
        <f aca="true" t="shared" si="1" ref="M31:M37">AVERAGE(G31:K31)</f>
        <v>5637</v>
      </c>
      <c r="N31" s="62"/>
      <c r="O31" s="62"/>
      <c r="P31" s="62"/>
      <c r="Q31" s="62"/>
      <c r="R31" s="63"/>
      <c r="S31" s="27"/>
      <c r="T31" s="27"/>
      <c r="U31" s="27"/>
    </row>
    <row r="32" spans="2:21" ht="12.75">
      <c r="B32" s="9" t="s">
        <v>49</v>
      </c>
      <c r="C32" s="50"/>
      <c r="D32" s="9" t="s">
        <v>18</v>
      </c>
      <c r="E32" s="9"/>
      <c r="F32"/>
      <c r="G32" s="27">
        <v>0.05</v>
      </c>
      <c r="H32" s="9"/>
      <c r="I32" s="27">
        <v>0.05</v>
      </c>
      <c r="J32" s="9"/>
      <c r="K32" s="27">
        <v>0.06</v>
      </c>
      <c r="L32" s="27"/>
      <c r="M32" s="64">
        <f t="shared" si="1"/>
        <v>0.05333333333333334</v>
      </c>
      <c r="N32" s="62"/>
      <c r="O32" s="62"/>
      <c r="P32" s="62"/>
      <c r="Q32" s="62"/>
      <c r="R32" s="63"/>
      <c r="S32" s="27"/>
      <c r="T32" s="27"/>
      <c r="U32" s="27"/>
    </row>
    <row r="33" spans="2:21" ht="12.75">
      <c r="B33" s="9" t="s">
        <v>126</v>
      </c>
      <c r="C33" s="50"/>
      <c r="D33" s="9" t="s">
        <v>18</v>
      </c>
      <c r="E33" s="9"/>
      <c r="F33"/>
      <c r="G33">
        <v>58.5</v>
      </c>
      <c r="H33" s="59"/>
      <c r="I33">
        <v>58.6</v>
      </c>
      <c r="J33" s="59"/>
      <c r="K33">
        <v>56.2</v>
      </c>
      <c r="L33"/>
      <c r="M33" s="5">
        <f t="shared" si="1"/>
        <v>57.76666666666667</v>
      </c>
      <c r="N33" s="62"/>
      <c r="O33" s="62"/>
      <c r="P33" s="62"/>
      <c r="Q33" s="62"/>
      <c r="R33" s="63"/>
      <c r="S33" s="27"/>
      <c r="T33" s="27"/>
      <c r="U33" s="27"/>
    </row>
    <row r="34" spans="2:21" ht="12.75">
      <c r="B34" s="9" t="s">
        <v>220</v>
      </c>
      <c r="C34" s="50"/>
      <c r="D34" s="9" t="s">
        <v>128</v>
      </c>
      <c r="E34" s="9"/>
      <c r="F34"/>
      <c r="G34">
        <v>6600</v>
      </c>
      <c r="H34" s="59"/>
      <c r="I34">
        <v>6420</v>
      </c>
      <c r="J34" s="59"/>
      <c r="K34">
        <v>6610</v>
      </c>
      <c r="L34"/>
      <c r="M34" s="5">
        <f t="shared" si="1"/>
        <v>6543.333333333333</v>
      </c>
      <c r="N34" s="62"/>
      <c r="O34" s="62"/>
      <c r="P34" s="62"/>
      <c r="Q34" s="62"/>
      <c r="R34" s="63"/>
      <c r="S34" s="27"/>
      <c r="T34" s="27"/>
      <c r="U34" s="27"/>
    </row>
    <row r="35" spans="2:21" ht="12.75">
      <c r="B35" s="9" t="s">
        <v>49</v>
      </c>
      <c r="C35" s="50"/>
      <c r="D35" s="9" t="s">
        <v>53</v>
      </c>
      <c r="E35" s="9"/>
      <c r="F35"/>
      <c r="G35" s="5">
        <f>G$31*G32/100</f>
        <v>2.8335000000000004</v>
      </c>
      <c r="H35" s="83"/>
      <c r="I35" s="5">
        <f>I$31*I32/100</f>
        <v>2.842</v>
      </c>
      <c r="J35" s="83"/>
      <c r="K35" s="5">
        <f>K$31*K32/100</f>
        <v>3.336</v>
      </c>
      <c r="L35" s="5"/>
      <c r="M35" s="5">
        <f t="shared" si="1"/>
        <v>3.003833333333333</v>
      </c>
      <c r="N35" s="62"/>
      <c r="O35" s="62"/>
      <c r="P35" s="62"/>
      <c r="Q35" s="62"/>
      <c r="R35" s="63"/>
      <c r="S35" s="27"/>
      <c r="T35" s="27"/>
      <c r="U35" s="27"/>
    </row>
    <row r="36" spans="2:21" ht="12.75">
      <c r="B36" s="9" t="s">
        <v>126</v>
      </c>
      <c r="C36" s="9"/>
      <c r="D36" s="9" t="s">
        <v>53</v>
      </c>
      <c r="E36" s="9"/>
      <c r="F36"/>
      <c r="G36" s="64">
        <f>G$31*G33/100</f>
        <v>3315.195</v>
      </c>
      <c r="H36" s="84"/>
      <c r="I36" s="64">
        <f>I$31*I33/100</f>
        <v>3330.824</v>
      </c>
      <c r="J36" s="84"/>
      <c r="K36" s="64">
        <f>K$31*K33/100</f>
        <v>3124.72</v>
      </c>
      <c r="L36" s="64"/>
      <c r="M36" s="5">
        <f t="shared" si="1"/>
        <v>3256.913</v>
      </c>
      <c r="N36" s="62"/>
      <c r="O36" s="62"/>
      <c r="P36" s="62"/>
      <c r="Q36" s="62"/>
      <c r="R36" s="63"/>
      <c r="S36" s="27"/>
      <c r="T36" s="27"/>
      <c r="U36" s="27"/>
    </row>
    <row r="37" spans="2:21" ht="12.75">
      <c r="B37" s="9" t="s">
        <v>221</v>
      </c>
      <c r="C37" s="3"/>
      <c r="D37" s="9" t="s">
        <v>129</v>
      </c>
      <c r="E37" s="9"/>
      <c r="F37"/>
      <c r="G37" s="5">
        <f>G$31*G34/1000000</f>
        <v>37.4022</v>
      </c>
      <c r="H37" s="83"/>
      <c r="I37" s="5">
        <f>I$31*I34/1000000</f>
        <v>36.49128</v>
      </c>
      <c r="J37" s="83"/>
      <c r="K37" s="5">
        <f>K$31*K34/1000000</f>
        <v>36.7516</v>
      </c>
      <c r="L37" s="5"/>
      <c r="M37" s="5">
        <f t="shared" si="1"/>
        <v>36.88169333333334</v>
      </c>
      <c r="N37" s="62"/>
      <c r="O37" s="62"/>
      <c r="P37" s="62"/>
      <c r="Q37" s="62"/>
      <c r="R37" s="63"/>
      <c r="S37" s="27"/>
      <c r="T37" s="27"/>
      <c r="U37" s="27"/>
    </row>
    <row r="38" spans="2:21" ht="12.75">
      <c r="B38" s="8"/>
      <c r="C38" s="27"/>
      <c r="D38" s="9"/>
      <c r="E38" s="9"/>
      <c r="F38" s="27"/>
      <c r="G38" s="28"/>
      <c r="H38" s="9"/>
      <c r="I38" s="27"/>
      <c r="J38" s="9"/>
      <c r="K38" s="27"/>
      <c r="L38" s="27"/>
      <c r="M38" s="27"/>
      <c r="N38" s="62"/>
      <c r="O38" s="62"/>
      <c r="P38" s="62"/>
      <c r="Q38" s="62"/>
      <c r="R38" s="63"/>
      <c r="S38" s="27"/>
      <c r="T38" s="27"/>
      <c r="U38" s="27"/>
    </row>
    <row r="39" spans="2:21" ht="12.75">
      <c r="B39" s="9" t="s">
        <v>107</v>
      </c>
      <c r="C39" s="3"/>
      <c r="D39" s="9" t="s">
        <v>127</v>
      </c>
      <c r="E39" s="9"/>
      <c r="F39" t="s">
        <v>98</v>
      </c>
      <c r="G39">
        <v>5.1</v>
      </c>
      <c r="H39" s="59" t="s">
        <v>98</v>
      </c>
      <c r="I39">
        <v>5</v>
      </c>
      <c r="J39" s="59" t="s">
        <v>98</v>
      </c>
      <c r="K39">
        <v>4.9</v>
      </c>
      <c r="L39"/>
      <c r="N39" s="62"/>
      <c r="O39" s="62"/>
      <c r="P39" s="62"/>
      <c r="Q39" s="62"/>
      <c r="R39" s="63"/>
      <c r="S39" s="27"/>
      <c r="T39" s="27"/>
      <c r="U39" s="27"/>
    </row>
    <row r="40" spans="2:21" ht="12.75">
      <c r="B40" s="9" t="s">
        <v>103</v>
      </c>
      <c r="C40" s="3"/>
      <c r="D40" s="9" t="s">
        <v>127</v>
      </c>
      <c r="E40" s="9"/>
      <c r="F40" s="29"/>
      <c r="G40" s="61">
        <f>74.4+26.6</f>
        <v>101</v>
      </c>
      <c r="H40" s="85"/>
      <c r="I40" s="61">
        <f>16.8+27.2</f>
        <v>44</v>
      </c>
      <c r="J40" s="85"/>
      <c r="K40" s="62">
        <f>29.5+28.2</f>
        <v>57.7</v>
      </c>
      <c r="L40" s="62"/>
      <c r="M40" s="30">
        <f>AVERAGE(G40:K40)</f>
        <v>67.56666666666666</v>
      </c>
      <c r="N40" s="62" t="s">
        <v>177</v>
      </c>
      <c r="O40" s="62"/>
      <c r="P40" s="62"/>
      <c r="Q40" s="62"/>
      <c r="R40" s="63"/>
      <c r="S40" s="27"/>
      <c r="T40" s="27"/>
      <c r="U40" s="27"/>
    </row>
    <row r="41" spans="2:21" ht="12.75">
      <c r="B41" s="9" t="s">
        <v>104</v>
      </c>
      <c r="C41" s="3"/>
      <c r="D41" s="9" t="s">
        <v>127</v>
      </c>
      <c r="E41" s="9"/>
      <c r="F41" s="27" t="s">
        <v>98</v>
      </c>
      <c r="G41" s="61">
        <v>0.34</v>
      </c>
      <c r="H41" s="85" t="s">
        <v>98</v>
      </c>
      <c r="I41" s="62">
        <v>0.34</v>
      </c>
      <c r="J41" s="85"/>
      <c r="K41" s="18">
        <v>0.82</v>
      </c>
      <c r="L41" s="18"/>
      <c r="M41" s="30">
        <f>AVERAGE(G41:K41)</f>
        <v>0.5</v>
      </c>
      <c r="N41" s="62"/>
      <c r="O41" s="62"/>
      <c r="P41" s="62"/>
      <c r="Q41" s="62"/>
      <c r="R41" s="63"/>
      <c r="S41" s="30"/>
      <c r="T41" s="30"/>
      <c r="U41" s="27"/>
    </row>
    <row r="42" spans="2:21" ht="12.75">
      <c r="B42" s="9" t="s">
        <v>79</v>
      </c>
      <c r="C42" s="3"/>
      <c r="D42" s="9" t="s">
        <v>127</v>
      </c>
      <c r="E42" s="9"/>
      <c r="F42" s="27" t="s">
        <v>98</v>
      </c>
      <c r="G42" s="61">
        <v>0.34</v>
      </c>
      <c r="H42" s="9" t="s">
        <v>98</v>
      </c>
      <c r="I42" s="62">
        <v>0.34</v>
      </c>
      <c r="J42" s="9" t="s">
        <v>98</v>
      </c>
      <c r="K42" s="61">
        <v>0.33</v>
      </c>
      <c r="L42" s="61"/>
      <c r="M42" s="30">
        <f>AVERAGE(G42:K42)</f>
        <v>0.33666666666666667</v>
      </c>
      <c r="N42" s="62"/>
      <c r="O42" s="62"/>
      <c r="P42" s="62"/>
      <c r="Q42" s="62"/>
      <c r="R42" s="63"/>
      <c r="S42" s="10"/>
      <c r="T42" s="10"/>
      <c r="U42" s="27"/>
    </row>
    <row r="43" spans="2:21" ht="12.75">
      <c r="B43" s="9" t="s">
        <v>105</v>
      </c>
      <c r="C43" s="3"/>
      <c r="D43" s="9" t="s">
        <v>127</v>
      </c>
      <c r="E43" s="9"/>
      <c r="F43" s="17" t="s">
        <v>98</v>
      </c>
      <c r="G43" s="61">
        <v>0.68</v>
      </c>
      <c r="H43" s="85" t="s">
        <v>98</v>
      </c>
      <c r="I43" s="18">
        <v>0.67</v>
      </c>
      <c r="J43" s="85" t="s">
        <v>98</v>
      </c>
      <c r="K43" s="18">
        <v>0.66</v>
      </c>
      <c r="L43" s="18"/>
      <c r="M43" s="29"/>
      <c r="N43" s="62"/>
      <c r="O43" s="62"/>
      <c r="P43" s="62"/>
      <c r="Q43" s="62"/>
      <c r="R43" s="63"/>
      <c r="S43" s="10"/>
      <c r="T43" s="10"/>
      <c r="U43" s="27"/>
    </row>
    <row r="44" spans="2:21" ht="12.75">
      <c r="B44" s="9" t="s">
        <v>84</v>
      </c>
      <c r="C44" s="3"/>
      <c r="D44" s="9" t="s">
        <v>127</v>
      </c>
      <c r="E44" s="9"/>
      <c r="F44" s="17"/>
      <c r="G44" s="61">
        <v>222.4</v>
      </c>
      <c r="H44" s="85"/>
      <c r="I44" s="24">
        <v>227.7</v>
      </c>
      <c r="J44" s="77"/>
      <c r="K44" s="18">
        <v>235.4</v>
      </c>
      <c r="L44" s="18"/>
      <c r="M44" s="59"/>
      <c r="N44" s="62" t="s">
        <v>178</v>
      </c>
      <c r="O44" s="62"/>
      <c r="P44" s="62"/>
      <c r="Q44" s="62"/>
      <c r="R44" s="63"/>
      <c r="S44" s="10"/>
      <c r="T44" s="10"/>
      <c r="U44" s="27"/>
    </row>
    <row r="45" spans="2:21" ht="12.75">
      <c r="B45" s="9" t="s">
        <v>78</v>
      </c>
      <c r="C45" s="3"/>
      <c r="D45" s="9" t="s">
        <v>127</v>
      </c>
      <c r="E45" s="9"/>
      <c r="F45" s="17" t="s">
        <v>98</v>
      </c>
      <c r="G45" s="61">
        <v>6.8</v>
      </c>
      <c r="H45" s="85" t="s">
        <v>98</v>
      </c>
      <c r="I45" s="18">
        <v>6.7</v>
      </c>
      <c r="J45" s="77" t="s">
        <v>98</v>
      </c>
      <c r="K45" s="18">
        <v>6.6</v>
      </c>
      <c r="L45" s="18"/>
      <c r="M45" s="64"/>
      <c r="N45" s="62"/>
      <c r="O45" s="62"/>
      <c r="P45" s="62"/>
      <c r="Q45" s="62"/>
      <c r="R45" s="63"/>
      <c r="S45" s="27"/>
      <c r="T45" s="27"/>
      <c r="U45" s="27"/>
    </row>
    <row r="46" spans="2:21" ht="12.75">
      <c r="B46" s="9" t="s">
        <v>80</v>
      </c>
      <c r="C46" s="3"/>
      <c r="D46" s="9" t="s">
        <v>127</v>
      </c>
      <c r="E46" s="9"/>
      <c r="F46" s="27" t="s">
        <v>98</v>
      </c>
      <c r="G46" s="61">
        <v>0.068</v>
      </c>
      <c r="H46" s="9" t="s">
        <v>98</v>
      </c>
      <c r="I46" s="61">
        <v>0.067</v>
      </c>
      <c r="J46" s="9" t="s">
        <v>98</v>
      </c>
      <c r="K46" s="61">
        <v>0.066</v>
      </c>
      <c r="L46" s="61"/>
      <c r="M46" s="63"/>
      <c r="N46" s="62"/>
      <c r="O46" s="62"/>
      <c r="P46" s="62"/>
      <c r="Q46" s="62"/>
      <c r="R46" s="63"/>
      <c r="S46" s="27"/>
      <c r="T46" s="27"/>
      <c r="U46" s="27"/>
    </row>
    <row r="47" spans="2:21" ht="12.75">
      <c r="B47" s="9" t="s">
        <v>102</v>
      </c>
      <c r="C47" s="3"/>
      <c r="D47" s="9" t="s">
        <v>127</v>
      </c>
      <c r="E47" s="9"/>
      <c r="F47" s="17" t="s">
        <v>98</v>
      </c>
      <c r="G47" s="61">
        <v>3.4</v>
      </c>
      <c r="H47" s="8" t="s">
        <v>98</v>
      </c>
      <c r="I47" s="61">
        <v>3.4</v>
      </c>
      <c r="J47" s="8" t="s">
        <v>98</v>
      </c>
      <c r="K47" s="61">
        <v>3.3</v>
      </c>
      <c r="L47" s="61"/>
      <c r="M47" s="63"/>
      <c r="N47" s="27"/>
      <c r="O47" s="27"/>
      <c r="P47" s="27"/>
      <c r="Q47" s="27"/>
      <c r="R47" s="27"/>
      <c r="S47" s="27"/>
      <c r="T47" s="27"/>
      <c r="U47" s="27"/>
    </row>
    <row r="48" spans="2:21" ht="12.75">
      <c r="B48" s="9" t="s">
        <v>109</v>
      </c>
      <c r="C48" s="3"/>
      <c r="D48" s="9" t="s">
        <v>127</v>
      </c>
      <c r="E48" s="9"/>
      <c r="F48" s="17" t="s">
        <v>98</v>
      </c>
      <c r="G48" s="61">
        <v>20.3</v>
      </c>
      <c r="H48" s="8" t="s">
        <v>98</v>
      </c>
      <c r="I48" s="61">
        <v>20.1</v>
      </c>
      <c r="J48" s="8" t="s">
        <v>98</v>
      </c>
      <c r="K48" s="61">
        <v>19.7</v>
      </c>
      <c r="L48" s="61"/>
      <c r="M48" s="63"/>
      <c r="N48" s="27"/>
      <c r="O48" s="27"/>
      <c r="P48" s="27"/>
      <c r="Q48" s="27"/>
      <c r="R48" s="27"/>
      <c r="S48" s="27"/>
      <c r="T48" s="27"/>
      <c r="U48" s="27"/>
    </row>
    <row r="49" spans="2:21" ht="13.5" customHeight="1">
      <c r="B49" s="9"/>
      <c r="C49" s="3"/>
      <c r="D49" s="9"/>
      <c r="E49" s="9"/>
      <c r="F49" s="17"/>
      <c r="G49" s="61"/>
      <c r="H49" s="85"/>
      <c r="I49" s="18"/>
      <c r="J49" s="77"/>
      <c r="K49" s="18"/>
      <c r="L49" s="18"/>
      <c r="M49" s="64"/>
      <c r="N49" s="62"/>
      <c r="O49" s="62"/>
      <c r="P49" s="62"/>
      <c r="Q49" s="62"/>
      <c r="R49" s="63"/>
      <c r="S49" s="27"/>
      <c r="T49" s="27"/>
      <c r="U49" s="27"/>
    </row>
    <row r="50" spans="2:21" ht="12.75">
      <c r="B50" s="9" t="s">
        <v>119</v>
      </c>
      <c r="D50" s="9" t="s">
        <v>17</v>
      </c>
      <c r="E50" s="9"/>
      <c r="F50" s="27"/>
      <c r="G50" s="61">
        <f>emiss!G50</f>
        <v>6177</v>
      </c>
      <c r="H50" s="85"/>
      <c r="I50" s="61">
        <f>emiss!I50</f>
        <v>6330</v>
      </c>
      <c r="J50" s="85"/>
      <c r="K50" s="61">
        <f>emiss!K50</f>
        <v>6295</v>
      </c>
      <c r="L50" s="18"/>
      <c r="M50" s="40">
        <f>AVERAGE(G50,I50,K50)</f>
        <v>6267.333333333333</v>
      </c>
      <c r="N50" s="27"/>
      <c r="O50" s="27"/>
      <c r="P50" s="27"/>
      <c r="Q50" s="27"/>
      <c r="R50" s="30"/>
      <c r="S50" s="30"/>
      <c r="T50" s="27"/>
      <c r="U50" s="27"/>
    </row>
    <row r="51" spans="2:21" ht="12.75">
      <c r="B51" s="9" t="s">
        <v>120</v>
      </c>
      <c r="D51" s="9" t="s">
        <v>18</v>
      </c>
      <c r="E51" s="9"/>
      <c r="F51" s="27"/>
      <c r="G51" s="61">
        <f>emiss!G51</f>
        <v>6.5</v>
      </c>
      <c r="H51" s="85"/>
      <c r="I51" s="61">
        <f>emiss!I51</f>
        <v>6.7</v>
      </c>
      <c r="J51" s="85"/>
      <c r="K51" s="61">
        <f>emiss!K51</f>
        <v>6.4</v>
      </c>
      <c r="L51" s="18"/>
      <c r="M51" s="30">
        <f>AVERAGE(G51,I51,K51)</f>
        <v>6.533333333333334</v>
      </c>
      <c r="N51" s="27"/>
      <c r="O51" s="27"/>
      <c r="P51" s="27"/>
      <c r="Q51" s="27"/>
      <c r="R51" s="30"/>
      <c r="S51" s="30"/>
      <c r="T51" s="27"/>
      <c r="U51" s="27"/>
    </row>
    <row r="52" spans="2:21" ht="12.75">
      <c r="B52" s="9"/>
      <c r="C52" s="3"/>
      <c r="D52" s="9"/>
      <c r="E52" s="9"/>
      <c r="F52" s="27"/>
      <c r="G52" s="61"/>
      <c r="H52" s="85"/>
      <c r="I52" s="18"/>
      <c r="J52" s="85"/>
      <c r="K52" s="18"/>
      <c r="L52" s="18"/>
      <c r="M52" s="40"/>
      <c r="N52" s="62"/>
      <c r="O52" s="62"/>
      <c r="P52" s="62"/>
      <c r="Q52" s="62"/>
      <c r="R52" s="63"/>
      <c r="S52" s="27"/>
      <c r="T52" s="27"/>
      <c r="U52" s="27"/>
    </row>
    <row r="53" spans="2:21" ht="12.75">
      <c r="B53" s="45" t="s">
        <v>121</v>
      </c>
      <c r="C53" s="9"/>
      <c r="D53" s="9"/>
      <c r="E53" s="9"/>
      <c r="F53" s="27"/>
      <c r="G53" s="61"/>
      <c r="H53" s="85"/>
      <c r="I53" s="62"/>
      <c r="J53" s="85"/>
      <c r="K53" s="62"/>
      <c r="L53" s="62"/>
      <c r="M53" s="40"/>
      <c r="N53" s="27"/>
      <c r="O53" s="27"/>
      <c r="P53" s="27"/>
      <c r="Q53" s="27"/>
      <c r="R53" s="30"/>
      <c r="S53" s="30"/>
      <c r="T53" s="27"/>
      <c r="U53" s="27"/>
    </row>
    <row r="54" spans="2:21" ht="12.75">
      <c r="B54" s="9" t="s">
        <v>49</v>
      </c>
      <c r="C54" s="9"/>
      <c r="D54" s="9" t="s">
        <v>61</v>
      </c>
      <c r="E54" s="9" t="s">
        <v>15</v>
      </c>
      <c r="F54"/>
      <c r="G54" s="64">
        <f>(G35/60)*454*1000/(G$50*0.0283)*(21-7)/(21-G$51)</f>
        <v>118.41966169243263</v>
      </c>
      <c r="H54" s="84"/>
      <c r="I54" s="64">
        <f>(I35/60)*454*1000/(I$50*0.0283)*(21-7)/(21-I$51)</f>
        <v>117.52507276095105</v>
      </c>
      <c r="J54" s="84"/>
      <c r="K54" s="64">
        <f>(K35/60)*454*1000/(K$50*0.0283)*(21-7)/(21-K$51)</f>
        <v>135.8700247034941</v>
      </c>
      <c r="L54" s="64"/>
      <c r="M54" s="40">
        <f aca="true" t="shared" si="2" ref="M54:M65">AVERAGE(G54,I54,K54)</f>
        <v>123.93825305229258</v>
      </c>
      <c r="N54" s="40"/>
      <c r="O54" s="40">
        <f>G54</f>
        <v>118.41966169243263</v>
      </c>
      <c r="P54" s="40"/>
      <c r="Q54" s="40">
        <f>I54</f>
        <v>117.52507276095105</v>
      </c>
      <c r="R54" s="40"/>
      <c r="S54" s="40">
        <f>K54</f>
        <v>135.8700247034941</v>
      </c>
      <c r="T54" s="40"/>
      <c r="U54" s="40">
        <f>AVERAGE(S54,Q54,O54)</f>
        <v>123.93825305229258</v>
      </c>
    </row>
    <row r="55" spans="2:21" ht="12.75">
      <c r="B55" s="9" t="s">
        <v>126</v>
      </c>
      <c r="C55" s="9"/>
      <c r="D55" s="9" t="s">
        <v>55</v>
      </c>
      <c r="E55" s="9" t="s">
        <v>15</v>
      </c>
      <c r="F55" s="29"/>
      <c r="G55" s="64">
        <f>(G36/60)*454*1000000/(G$50*0.0283)*(21-7)/(21-G$51)</f>
        <v>138551004.18014616</v>
      </c>
      <c r="H55" s="84"/>
      <c r="I55" s="64">
        <f>(I36/60)*454*1000000/(I$50*0.0283)*(21-7)/(21-I$51)</f>
        <v>137739385.27583462</v>
      </c>
      <c r="J55" s="84"/>
      <c r="K55" s="64">
        <f>(K36/60)*454*1000000/(K$50*0.0283)*(21-7)/(21-K$51)</f>
        <v>127264923.13893946</v>
      </c>
      <c r="L55" s="64"/>
      <c r="M55" s="40">
        <f t="shared" si="2"/>
        <v>134518437.53164008</v>
      </c>
      <c r="N55" s="40"/>
      <c r="O55" s="40">
        <f>G55</f>
        <v>138551004.18014616</v>
      </c>
      <c r="P55" s="40"/>
      <c r="Q55" s="40">
        <f>I55</f>
        <v>137739385.27583462</v>
      </c>
      <c r="R55" s="40"/>
      <c r="S55" s="40">
        <f>K55</f>
        <v>127264923.13893946</v>
      </c>
      <c r="T55" s="40"/>
      <c r="U55" s="40">
        <f aca="true" t="shared" si="3" ref="U55:U68">AVERAGE(S55,Q55,O55)</f>
        <v>134518437.53164008</v>
      </c>
    </row>
    <row r="56" spans="2:21" ht="12.75">
      <c r="B56" s="9" t="s">
        <v>107</v>
      </c>
      <c r="C56" s="9"/>
      <c r="D56" s="9" t="s">
        <v>55</v>
      </c>
      <c r="E56" s="9" t="s">
        <v>15</v>
      </c>
      <c r="F56">
        <v>100</v>
      </c>
      <c r="G56" s="64">
        <f>(G39/60)*454/(G$50*0.0283)*(21-7)/(21-G$51)</f>
        <v>0.2131428532314827</v>
      </c>
      <c r="H56" s="84">
        <v>100</v>
      </c>
      <c r="I56" s="64">
        <f>(I39/60)*454/(I$50*0.0283)*(21-7)/(21-I$51)</f>
        <v>0.20676473040279916</v>
      </c>
      <c r="J56" s="84">
        <v>100</v>
      </c>
      <c r="K56" s="64">
        <f>(K39/60)*454/(K$50*0.0283)*(21-7)/(21-K$51)</f>
        <v>0.1995692808894248</v>
      </c>
      <c r="L56" s="64">
        <v>100</v>
      </c>
      <c r="M56" s="40">
        <f t="shared" si="2"/>
        <v>0.20649228817456888</v>
      </c>
      <c r="N56" s="40">
        <f>F56</f>
        <v>100</v>
      </c>
      <c r="O56" s="40">
        <f>G56/2</f>
        <v>0.10657142661574134</v>
      </c>
      <c r="P56" s="40">
        <f>H56</f>
        <v>100</v>
      </c>
      <c r="Q56" s="40">
        <f>I56/2</f>
        <v>0.10338236520139958</v>
      </c>
      <c r="R56" s="40">
        <f>J56</f>
        <v>100</v>
      </c>
      <c r="S56" s="40">
        <f>K56/2</f>
        <v>0.0997846404447124</v>
      </c>
      <c r="T56" s="40">
        <f>L56</f>
        <v>100</v>
      </c>
      <c r="U56" s="40">
        <f t="shared" si="3"/>
        <v>0.10324614408728444</v>
      </c>
    </row>
    <row r="57" spans="2:21" ht="12.75">
      <c r="B57" s="9" t="s">
        <v>103</v>
      </c>
      <c r="C57" s="9"/>
      <c r="D57" s="9" t="s">
        <v>55</v>
      </c>
      <c r="E57" s="9" t="s">
        <v>15</v>
      </c>
      <c r="F57" s="29"/>
      <c r="G57" s="64">
        <f aca="true" t="shared" si="4" ref="G57:G65">(G40/60*1000000)/(G$50*0.0283)*(21-7)/(21-G$51)</f>
        <v>9297.498564558933</v>
      </c>
      <c r="H57" s="86"/>
      <c r="I57" s="64">
        <f aca="true" t="shared" si="5" ref="I57:I65">(I40/60*1000000)/(I$50*0.0283)*(21-7)/(21-I$51)</f>
        <v>4007.774510010204</v>
      </c>
      <c r="J57" s="86"/>
      <c r="K57" s="64">
        <f aca="true" t="shared" si="6" ref="K57:K65">(K40/60*1000000)/(K$50*0.0283)*(21-7)/(21-K$51)</f>
        <v>5176.277761089547</v>
      </c>
      <c r="L57" s="11"/>
      <c r="M57" s="40">
        <f t="shared" si="2"/>
        <v>6160.516945219561</v>
      </c>
      <c r="N57" s="40"/>
      <c r="O57" s="40">
        <f>G57</f>
        <v>9297.498564558933</v>
      </c>
      <c r="P57" s="40"/>
      <c r="Q57" s="40">
        <f>I57</f>
        <v>4007.774510010204</v>
      </c>
      <c r="R57" s="40"/>
      <c r="S57" s="40">
        <f>K57</f>
        <v>5176.277761089547</v>
      </c>
      <c r="T57" s="40"/>
      <c r="U57" s="40">
        <f t="shared" si="3"/>
        <v>6160.516945219561</v>
      </c>
    </row>
    <row r="58" spans="2:21" ht="12.75">
      <c r="B58" s="9" t="s">
        <v>104</v>
      </c>
      <c r="C58" s="9"/>
      <c r="D58" s="9" t="s">
        <v>55</v>
      </c>
      <c r="E58" s="9" t="s">
        <v>15</v>
      </c>
      <c r="F58" s="27">
        <v>100</v>
      </c>
      <c r="G58" s="64">
        <f t="shared" si="4"/>
        <v>31.298510019307308</v>
      </c>
      <c r="H58" s="86">
        <v>100</v>
      </c>
      <c r="I58" s="64">
        <f t="shared" si="5"/>
        <v>30.96916666826067</v>
      </c>
      <c r="J58" s="86">
        <v>100</v>
      </c>
      <c r="K58" s="64">
        <f t="shared" si="6"/>
        <v>73.56235293056203</v>
      </c>
      <c r="L58" s="40">
        <v>100</v>
      </c>
      <c r="M58" s="40">
        <f t="shared" si="2"/>
        <v>45.276676539376666</v>
      </c>
      <c r="N58" s="40">
        <f>F58</f>
        <v>100</v>
      </c>
      <c r="O58" s="40">
        <f>G58/2</f>
        <v>15.649255009653654</v>
      </c>
      <c r="P58" s="40">
        <f>H58</f>
        <v>100</v>
      </c>
      <c r="Q58" s="40">
        <f>I58/2</f>
        <v>15.484583334130335</v>
      </c>
      <c r="R58" s="40">
        <f>J58</f>
        <v>100</v>
      </c>
      <c r="S58" s="40">
        <f>K58</f>
        <v>73.56235293056203</v>
      </c>
      <c r="T58" s="40">
        <f>L58</f>
        <v>100</v>
      </c>
      <c r="U58" s="40">
        <f t="shared" si="3"/>
        <v>34.89873042478201</v>
      </c>
    </row>
    <row r="59" spans="2:21" ht="12.75">
      <c r="B59" s="9" t="s">
        <v>79</v>
      </c>
      <c r="C59" s="9"/>
      <c r="D59" s="9" t="s">
        <v>55</v>
      </c>
      <c r="E59" s="9" t="s">
        <v>15</v>
      </c>
      <c r="F59" s="27">
        <v>100</v>
      </c>
      <c r="G59" s="64">
        <f t="shared" si="4"/>
        <v>31.298510019307308</v>
      </c>
      <c r="H59" s="86">
        <v>100</v>
      </c>
      <c r="I59" s="64">
        <f t="shared" si="5"/>
        <v>30.96916666826067</v>
      </c>
      <c r="J59" s="86">
        <v>100</v>
      </c>
      <c r="K59" s="64">
        <f t="shared" si="6"/>
        <v>29.60436154522619</v>
      </c>
      <c r="L59" s="40">
        <v>100</v>
      </c>
      <c r="M59" s="40">
        <f t="shared" si="2"/>
        <v>30.62401274426472</v>
      </c>
      <c r="N59" s="40">
        <f>F59</f>
        <v>100</v>
      </c>
      <c r="O59" s="40">
        <f aca="true" t="shared" si="7" ref="O59:S60">G59/2</f>
        <v>15.649255009653654</v>
      </c>
      <c r="P59" s="40">
        <f>H59</f>
        <v>100</v>
      </c>
      <c r="Q59" s="40">
        <f t="shared" si="7"/>
        <v>15.484583334130335</v>
      </c>
      <c r="R59" s="40">
        <f>J59</f>
        <v>100</v>
      </c>
      <c r="S59" s="40">
        <f t="shared" si="7"/>
        <v>14.802180772613095</v>
      </c>
      <c r="T59" s="40">
        <f>L59</f>
        <v>100</v>
      </c>
      <c r="U59" s="40">
        <f t="shared" si="3"/>
        <v>15.31200637213236</v>
      </c>
    </row>
    <row r="60" spans="2:21" ht="12.75">
      <c r="B60" s="9" t="s">
        <v>105</v>
      </c>
      <c r="C60" s="9"/>
      <c r="D60" s="9" t="s">
        <v>55</v>
      </c>
      <c r="E60" s="9" t="s">
        <v>15</v>
      </c>
      <c r="F60" s="17">
        <v>100</v>
      </c>
      <c r="G60" s="64">
        <f t="shared" si="4"/>
        <v>62.597020038614616</v>
      </c>
      <c r="H60" s="80">
        <v>100</v>
      </c>
      <c r="I60" s="64">
        <f t="shared" si="5"/>
        <v>61.0274754933372</v>
      </c>
      <c r="J60" s="80">
        <v>100</v>
      </c>
      <c r="K60" s="64">
        <f t="shared" si="6"/>
        <v>59.20872309045238</v>
      </c>
      <c r="L60" s="65">
        <v>100</v>
      </c>
      <c r="M60" s="40">
        <f t="shared" si="2"/>
        <v>60.94440620746807</v>
      </c>
      <c r="N60" s="40">
        <f>F60</f>
        <v>100</v>
      </c>
      <c r="O60" s="40">
        <f t="shared" si="7"/>
        <v>31.298510019307308</v>
      </c>
      <c r="P60" s="40">
        <f>H60</f>
        <v>100</v>
      </c>
      <c r="Q60" s="40">
        <f t="shared" si="7"/>
        <v>30.5137377466686</v>
      </c>
      <c r="R60" s="40">
        <f>J60</f>
        <v>100</v>
      </c>
      <c r="S60" s="40">
        <f t="shared" si="7"/>
        <v>29.60436154522619</v>
      </c>
      <c r="T60" s="40">
        <f>L60</f>
        <v>100</v>
      </c>
      <c r="U60" s="40">
        <f t="shared" si="3"/>
        <v>30.472203103734035</v>
      </c>
    </row>
    <row r="61" spans="2:21" ht="12.75">
      <c r="B61" s="9" t="s">
        <v>84</v>
      </c>
      <c r="C61" s="9"/>
      <c r="D61" s="9" t="s">
        <v>55</v>
      </c>
      <c r="E61" s="9" t="s">
        <v>15</v>
      </c>
      <c r="F61" s="17"/>
      <c r="G61" s="64">
        <f t="shared" si="4"/>
        <v>20472.907730276303</v>
      </c>
      <c r="H61" s="80"/>
      <c r="I61" s="64">
        <f t="shared" si="5"/>
        <v>20740.233089302805</v>
      </c>
      <c r="J61" s="80"/>
      <c r="K61" s="64">
        <f t="shared" si="6"/>
        <v>21117.777902261343</v>
      </c>
      <c r="L61" s="65"/>
      <c r="M61" s="40">
        <f t="shared" si="2"/>
        <v>20776.972907280153</v>
      </c>
      <c r="N61" s="40"/>
      <c r="O61" s="40">
        <f>G61</f>
        <v>20472.907730276303</v>
      </c>
      <c r="P61" s="40"/>
      <c r="Q61" s="40">
        <f>I61</f>
        <v>20740.233089302805</v>
      </c>
      <c r="R61" s="40"/>
      <c r="S61" s="40">
        <f>K61</f>
        <v>21117.777902261343</v>
      </c>
      <c r="T61" s="40"/>
      <c r="U61" s="40">
        <f t="shared" si="3"/>
        <v>20776.972907280153</v>
      </c>
    </row>
    <row r="62" spans="2:21" ht="12.75">
      <c r="B62" s="9" t="s">
        <v>78</v>
      </c>
      <c r="C62" s="9"/>
      <c r="D62" s="9" t="s">
        <v>55</v>
      </c>
      <c r="E62" s="9" t="s">
        <v>15</v>
      </c>
      <c r="F62" s="17">
        <v>100</v>
      </c>
      <c r="G62" s="64">
        <f t="shared" si="4"/>
        <v>625.970200386146</v>
      </c>
      <c r="H62" s="80">
        <v>100</v>
      </c>
      <c r="I62" s="64">
        <f t="shared" si="5"/>
        <v>610.2747549333719</v>
      </c>
      <c r="J62" s="80">
        <v>100</v>
      </c>
      <c r="K62" s="64">
        <f t="shared" si="6"/>
        <v>592.0872309045236</v>
      </c>
      <c r="L62" s="65">
        <v>100</v>
      </c>
      <c r="M62" s="40">
        <f t="shared" si="2"/>
        <v>609.4440620746805</v>
      </c>
      <c r="N62" s="40">
        <f>F62</f>
        <v>100</v>
      </c>
      <c r="O62" s="40">
        <f>G62/2</f>
        <v>312.985100193073</v>
      </c>
      <c r="P62" s="40">
        <f>H62</f>
        <v>100</v>
      </c>
      <c r="Q62" s="40">
        <f>I62/2</f>
        <v>305.13737746668596</v>
      </c>
      <c r="R62" s="40">
        <f>J62</f>
        <v>100</v>
      </c>
      <c r="S62" s="40">
        <f>K62/2</f>
        <v>296.0436154522618</v>
      </c>
      <c r="T62" s="40">
        <f>L62</f>
        <v>100</v>
      </c>
      <c r="U62" s="40">
        <f t="shared" si="3"/>
        <v>304.7220310373403</v>
      </c>
    </row>
    <row r="63" spans="2:21" ht="12.75">
      <c r="B63" s="9" t="s">
        <v>80</v>
      </c>
      <c r="C63" s="9"/>
      <c r="D63" s="9" t="s">
        <v>55</v>
      </c>
      <c r="E63" s="9" t="s">
        <v>15</v>
      </c>
      <c r="F63" s="17">
        <v>100</v>
      </c>
      <c r="G63" s="64">
        <f t="shared" si="4"/>
        <v>6.259702003861461</v>
      </c>
      <c r="H63" s="80">
        <v>100</v>
      </c>
      <c r="I63" s="64">
        <f t="shared" si="5"/>
        <v>6.10274754933372</v>
      </c>
      <c r="J63" s="80">
        <v>100</v>
      </c>
      <c r="K63" s="64">
        <f t="shared" si="6"/>
        <v>5.920872309045237</v>
      </c>
      <c r="L63" s="65">
        <v>100</v>
      </c>
      <c r="M63" s="40">
        <f t="shared" si="2"/>
        <v>6.094440620746806</v>
      </c>
      <c r="N63" s="40">
        <f>F63</f>
        <v>100</v>
      </c>
      <c r="O63" s="40">
        <f aca="true" t="shared" si="8" ref="O63:S65">G63/2</f>
        <v>3.1298510019307306</v>
      </c>
      <c r="P63" s="40">
        <f>H63</f>
        <v>100</v>
      </c>
      <c r="Q63" s="40">
        <f t="shared" si="8"/>
        <v>3.05137377466686</v>
      </c>
      <c r="R63" s="40">
        <f>J63</f>
        <v>100</v>
      </c>
      <c r="S63" s="40">
        <f t="shared" si="8"/>
        <v>2.9604361545226183</v>
      </c>
      <c r="T63" s="40">
        <f>L63</f>
        <v>100</v>
      </c>
      <c r="U63" s="40">
        <f t="shared" si="3"/>
        <v>3.0472203103734032</v>
      </c>
    </row>
    <row r="64" spans="2:21" ht="12.75">
      <c r="B64" s="9" t="s">
        <v>102</v>
      </c>
      <c r="C64" s="9"/>
      <c r="D64" s="9" t="s">
        <v>55</v>
      </c>
      <c r="E64" s="9" t="s">
        <v>15</v>
      </c>
      <c r="F64" s="17">
        <v>100</v>
      </c>
      <c r="G64" s="64">
        <f t="shared" si="4"/>
        <v>312.985100193073</v>
      </c>
      <c r="H64" s="80">
        <v>100</v>
      </c>
      <c r="I64" s="64">
        <f t="shared" si="5"/>
        <v>309.6916666826067</v>
      </c>
      <c r="J64" s="80">
        <v>100</v>
      </c>
      <c r="K64" s="64">
        <f t="shared" si="6"/>
        <v>296.0436154522618</v>
      </c>
      <c r="L64" s="65">
        <v>100</v>
      </c>
      <c r="M64" s="40">
        <f t="shared" si="2"/>
        <v>306.2401274426472</v>
      </c>
      <c r="N64" s="40">
        <f>F64</f>
        <v>100</v>
      </c>
      <c r="O64" s="40">
        <f t="shared" si="8"/>
        <v>156.4925500965365</v>
      </c>
      <c r="P64" s="40">
        <f>H64</f>
        <v>100</v>
      </c>
      <c r="Q64" s="40">
        <f t="shared" si="8"/>
        <v>154.84583334130335</v>
      </c>
      <c r="R64" s="40">
        <f>J64</f>
        <v>100</v>
      </c>
      <c r="S64" s="40">
        <f t="shared" si="8"/>
        <v>148.0218077261309</v>
      </c>
      <c r="T64" s="40">
        <f>L64</f>
        <v>100</v>
      </c>
      <c r="U64" s="40">
        <f t="shared" si="3"/>
        <v>153.1200637213236</v>
      </c>
    </row>
    <row r="65" spans="2:21" ht="12.75">
      <c r="B65" s="9" t="s">
        <v>109</v>
      </c>
      <c r="C65" s="9"/>
      <c r="D65" s="9" t="s">
        <v>55</v>
      </c>
      <c r="E65" s="9" t="s">
        <v>15</v>
      </c>
      <c r="F65" s="17">
        <v>100</v>
      </c>
      <c r="G65" s="64">
        <f t="shared" si="4"/>
        <v>1868.7051570351123</v>
      </c>
      <c r="H65" s="80">
        <v>100</v>
      </c>
      <c r="I65" s="64">
        <f t="shared" si="5"/>
        <v>1830.8242648001162</v>
      </c>
      <c r="J65" s="80">
        <v>100</v>
      </c>
      <c r="K65" s="64">
        <f t="shared" si="6"/>
        <v>1767.2906740635024</v>
      </c>
      <c r="L65" s="65">
        <v>100</v>
      </c>
      <c r="M65" s="40">
        <f t="shared" si="2"/>
        <v>1822.2733652995769</v>
      </c>
      <c r="N65" s="40">
        <f>F65</f>
        <v>100</v>
      </c>
      <c r="O65" s="40">
        <f t="shared" si="8"/>
        <v>934.3525785175561</v>
      </c>
      <c r="P65" s="40">
        <f>H65</f>
        <v>100</v>
      </c>
      <c r="Q65" s="40">
        <f t="shared" si="8"/>
        <v>915.4121324000581</v>
      </c>
      <c r="R65" s="40">
        <f>J65</f>
        <v>100</v>
      </c>
      <c r="S65" s="40">
        <f t="shared" si="8"/>
        <v>883.6453370317512</v>
      </c>
      <c r="T65" s="40">
        <f>L65</f>
        <v>100</v>
      </c>
      <c r="U65" s="40">
        <f t="shared" si="3"/>
        <v>911.1366826497884</v>
      </c>
    </row>
    <row r="66" spans="14:20" ht="12.75">
      <c r="N66" s="27"/>
      <c r="P66" s="27"/>
      <c r="R66" s="27"/>
      <c r="T66" s="27"/>
    </row>
    <row r="67" spans="2:21" s="27" customFormat="1" ht="12.75">
      <c r="B67" s="9" t="s">
        <v>56</v>
      </c>
      <c r="C67" s="9"/>
      <c r="D67" s="9" t="s">
        <v>55</v>
      </c>
      <c r="E67" s="9" t="s">
        <v>15</v>
      </c>
      <c r="F67" s="17">
        <v>100</v>
      </c>
      <c r="G67" s="69">
        <f>G60+G62</f>
        <v>688.5672204247605</v>
      </c>
      <c r="H67" s="8">
        <v>100</v>
      </c>
      <c r="I67" s="69">
        <f>I60+I62</f>
        <v>671.3022304267091</v>
      </c>
      <c r="J67" s="8">
        <v>100</v>
      </c>
      <c r="K67" s="69">
        <f>K60+K62</f>
        <v>651.295953994976</v>
      </c>
      <c r="L67" s="17">
        <v>100</v>
      </c>
      <c r="M67" s="40">
        <f>AVERAGE(G67,I67,K67)</f>
        <v>670.3884682821486</v>
      </c>
      <c r="N67" s="27">
        <f aca="true" t="shared" si="9" ref="N67:T68">F67</f>
        <v>100</v>
      </c>
      <c r="O67" s="40">
        <f t="shared" si="9"/>
        <v>688.5672204247605</v>
      </c>
      <c r="P67" s="27">
        <f t="shared" si="9"/>
        <v>100</v>
      </c>
      <c r="Q67" s="40">
        <f t="shared" si="9"/>
        <v>671.3022304267091</v>
      </c>
      <c r="R67" s="27">
        <f t="shared" si="9"/>
        <v>100</v>
      </c>
      <c r="S67" s="40">
        <f t="shared" si="9"/>
        <v>651.295953994976</v>
      </c>
      <c r="T67" s="27">
        <f t="shared" si="9"/>
        <v>100</v>
      </c>
      <c r="U67" s="40">
        <f t="shared" si="3"/>
        <v>670.3884682821486</v>
      </c>
    </row>
    <row r="68" spans="2:21" s="27" customFormat="1" ht="12.75">
      <c r="B68" s="9" t="s">
        <v>57</v>
      </c>
      <c r="C68" s="9"/>
      <c r="D68" s="9" t="s">
        <v>55</v>
      </c>
      <c r="E68" s="9" t="s">
        <v>15</v>
      </c>
      <c r="F68" s="40">
        <f>G59/G68*100</f>
        <v>0.10502254895904124</v>
      </c>
      <c r="G68" s="69">
        <f>G57+G59+G61</f>
        <v>29801.704804854544</v>
      </c>
      <c r="H68" s="86">
        <f>I59/I68*100</f>
        <v>0.12498162034994857</v>
      </c>
      <c r="I68" s="69">
        <f>I57+I59+I61</f>
        <v>24778.976765981268</v>
      </c>
      <c r="J68" s="86">
        <f>K59/K68*100</f>
        <v>0.112462938349862</v>
      </c>
      <c r="K68" s="69">
        <f>K57+K59+K61</f>
        <v>26323.66002489612</v>
      </c>
      <c r="L68" s="40">
        <f>M59/M68*100</f>
        <v>0.11355637586406217</v>
      </c>
      <c r="M68" s="40">
        <f>AVERAGE(G68,I68,K68)</f>
        <v>26968.11386524398</v>
      </c>
      <c r="N68" s="27">
        <f t="shared" si="9"/>
        <v>0.10502254895904124</v>
      </c>
      <c r="O68" s="40">
        <f t="shared" si="9"/>
        <v>29801.704804854544</v>
      </c>
      <c r="P68" s="27">
        <f t="shared" si="9"/>
        <v>0.12498162034994857</v>
      </c>
      <c r="Q68" s="40">
        <f t="shared" si="9"/>
        <v>24778.976765981268</v>
      </c>
      <c r="R68" s="27">
        <f t="shared" si="9"/>
        <v>0.112462938349862</v>
      </c>
      <c r="S68" s="40">
        <f t="shared" si="9"/>
        <v>26323.66002489612</v>
      </c>
      <c r="T68" s="27">
        <f t="shared" si="9"/>
        <v>0.11355637586406217</v>
      </c>
      <c r="U68" s="40">
        <f t="shared" si="3"/>
        <v>26968.113865243973</v>
      </c>
    </row>
    <row r="72" spans="2:21" ht="12.75">
      <c r="B72" s="26" t="str">
        <f>cond!C23</f>
        <v>3028C3</v>
      </c>
      <c r="C72" s="9" t="str">
        <f>cond!C30</f>
        <v>Risk burn (Slightly higher than annual median waste feedrate)</v>
      </c>
      <c r="D72" s="9"/>
      <c r="E72" s="9"/>
      <c r="F72" s="27"/>
      <c r="G72" s="29" t="s">
        <v>192</v>
      </c>
      <c r="H72" s="9"/>
      <c r="I72" s="29" t="s">
        <v>193</v>
      </c>
      <c r="J72" s="9"/>
      <c r="K72" s="29" t="s">
        <v>194</v>
      </c>
      <c r="L72" s="29"/>
      <c r="M72" s="29" t="s">
        <v>47</v>
      </c>
      <c r="N72" s="27"/>
      <c r="O72" s="29" t="s">
        <v>192</v>
      </c>
      <c r="P72" s="29"/>
      <c r="Q72" s="29" t="s">
        <v>193</v>
      </c>
      <c r="R72" s="29"/>
      <c r="S72" s="29" t="s">
        <v>194</v>
      </c>
      <c r="T72" s="29"/>
      <c r="U72" s="29" t="s">
        <v>47</v>
      </c>
    </row>
    <row r="73" spans="2:21" ht="12.75">
      <c r="B73" s="26"/>
      <c r="C73" s="9"/>
      <c r="D73" s="9"/>
      <c r="E73" s="9"/>
      <c r="F73" s="27"/>
      <c r="G73" s="29"/>
      <c r="H73" s="9"/>
      <c r="I73" s="29"/>
      <c r="J73" s="9"/>
      <c r="K73" s="29"/>
      <c r="L73" s="29"/>
      <c r="M73" s="29"/>
      <c r="N73" s="27"/>
      <c r="O73" s="27"/>
      <c r="P73" s="27"/>
      <c r="Q73" s="27"/>
      <c r="R73" s="30"/>
      <c r="S73" s="30"/>
      <c r="T73" s="27"/>
      <c r="U73" s="27"/>
    </row>
    <row r="74" spans="2:21" ht="12.75">
      <c r="B74" s="9" t="s">
        <v>215</v>
      </c>
      <c r="C74" s="9"/>
      <c r="D74" s="9"/>
      <c r="E74" s="9"/>
      <c r="F74" s="27"/>
      <c r="G74" s="29" t="s">
        <v>218</v>
      </c>
      <c r="H74" s="9"/>
      <c r="I74" s="29" t="s">
        <v>218</v>
      </c>
      <c r="J74" s="9"/>
      <c r="K74" s="29" t="s">
        <v>218</v>
      </c>
      <c r="L74" s="29"/>
      <c r="M74" s="29" t="s">
        <v>218</v>
      </c>
      <c r="N74" s="27"/>
      <c r="O74" s="27" t="s">
        <v>219</v>
      </c>
      <c r="P74" s="27"/>
      <c r="Q74" s="27" t="s">
        <v>219</v>
      </c>
      <c r="R74" s="27"/>
      <c r="S74" s="27" t="s">
        <v>219</v>
      </c>
      <c r="T74" s="27"/>
      <c r="U74" s="27" t="s">
        <v>219</v>
      </c>
    </row>
    <row r="75" spans="2:21" ht="12.75">
      <c r="B75" s="9" t="s">
        <v>216</v>
      </c>
      <c r="C75" s="9"/>
      <c r="D75" s="9"/>
      <c r="E75" s="9"/>
      <c r="F75" s="27"/>
      <c r="G75" s="4" t="s">
        <v>217</v>
      </c>
      <c r="I75" s="4" t="s">
        <v>217</v>
      </c>
      <c r="K75" s="4" t="s">
        <v>217</v>
      </c>
      <c r="M75" s="4" t="s">
        <v>217</v>
      </c>
      <c r="N75" s="27"/>
      <c r="O75" s="50" t="s">
        <v>25</v>
      </c>
      <c r="P75" s="50"/>
      <c r="Q75" s="50" t="s">
        <v>25</v>
      </c>
      <c r="R75" s="50"/>
      <c r="S75" s="54" t="s">
        <v>25</v>
      </c>
      <c r="T75" s="50"/>
      <c r="U75" s="50" t="s">
        <v>25</v>
      </c>
    </row>
    <row r="76" spans="2:21" ht="12.75">
      <c r="B76" s="9" t="s">
        <v>222</v>
      </c>
      <c r="C76" s="9"/>
      <c r="D76" s="9"/>
      <c r="E76" s="9"/>
      <c r="F76" s="27"/>
      <c r="G76" s="4" t="s">
        <v>62</v>
      </c>
      <c r="I76" s="4" t="s">
        <v>62</v>
      </c>
      <c r="K76" s="4" t="s">
        <v>62</v>
      </c>
      <c r="L76" s="4"/>
      <c r="M76" s="4" t="s">
        <v>62</v>
      </c>
      <c r="N76" s="27"/>
      <c r="O76" s="50" t="s">
        <v>25</v>
      </c>
      <c r="P76" s="50"/>
      <c r="Q76" s="50" t="s">
        <v>25</v>
      </c>
      <c r="R76" s="50"/>
      <c r="S76" s="54" t="s">
        <v>25</v>
      </c>
      <c r="T76" s="50"/>
      <c r="U76" s="50" t="s">
        <v>25</v>
      </c>
    </row>
    <row r="77" spans="2:21" s="50" customFormat="1" ht="12.75">
      <c r="B77" s="50" t="s">
        <v>48</v>
      </c>
      <c r="F77" s="48"/>
      <c r="G77" s="50" t="s">
        <v>152</v>
      </c>
      <c r="H77" s="59"/>
      <c r="I77" s="50" t="s">
        <v>152</v>
      </c>
      <c r="J77" s="59"/>
      <c r="K77" s="50" t="s">
        <v>152</v>
      </c>
      <c r="M77" s="50" t="s">
        <v>152</v>
      </c>
      <c r="O77" s="50" t="s">
        <v>25</v>
      </c>
      <c r="Q77" s="50" t="s">
        <v>25</v>
      </c>
      <c r="S77" s="54" t="s">
        <v>25</v>
      </c>
      <c r="U77" s="50" t="s">
        <v>25</v>
      </c>
    </row>
    <row r="78" spans="2:13" ht="12.75">
      <c r="B78" s="9" t="s">
        <v>87</v>
      </c>
      <c r="C78" s="50"/>
      <c r="D78" s="9" t="s">
        <v>53</v>
      </c>
      <c r="E78" s="9"/>
      <c r="F78"/>
      <c r="G78">
        <v>4468</v>
      </c>
      <c r="H78" s="59"/>
      <c r="I78">
        <v>4488</v>
      </c>
      <c r="J78" s="59"/>
      <c r="K78">
        <v>4494</v>
      </c>
      <c r="L78"/>
      <c r="M78" s="64">
        <f aca="true" t="shared" si="10" ref="M78:M84">AVERAGE(G78:K78)</f>
        <v>4483.333333333333</v>
      </c>
    </row>
    <row r="79" spans="2:21" ht="12.75">
      <c r="B79" s="9" t="s">
        <v>49</v>
      </c>
      <c r="C79" s="50"/>
      <c r="D79" s="9" t="s">
        <v>18</v>
      </c>
      <c r="E79" s="9"/>
      <c r="F79"/>
      <c r="G79" s="27">
        <v>0.04</v>
      </c>
      <c r="H79" s="9"/>
      <c r="I79" s="27">
        <v>0.03</v>
      </c>
      <c r="J79" s="9"/>
      <c r="K79" s="27">
        <v>0.08</v>
      </c>
      <c r="L79" s="27"/>
      <c r="M79" s="64">
        <f t="shared" si="10"/>
        <v>0.05000000000000001</v>
      </c>
      <c r="N79" s="27"/>
      <c r="O79" s="27"/>
      <c r="P79" s="27"/>
      <c r="Q79" s="27"/>
      <c r="R79" s="30"/>
      <c r="S79" s="30"/>
      <c r="T79" s="27"/>
      <c r="U79" s="27"/>
    </row>
    <row r="80" spans="2:13" ht="12.75">
      <c r="B80" s="9" t="s">
        <v>126</v>
      </c>
      <c r="C80" s="50"/>
      <c r="D80" s="9" t="s">
        <v>18</v>
      </c>
      <c r="E80" s="9"/>
      <c r="F80"/>
      <c r="G80">
        <v>59.2</v>
      </c>
      <c r="H80" s="59"/>
      <c r="I80">
        <v>63</v>
      </c>
      <c r="J80" s="59"/>
      <c r="K80">
        <v>58.8</v>
      </c>
      <c r="L80"/>
      <c r="M80" s="5">
        <f t="shared" si="10"/>
        <v>60.333333333333336</v>
      </c>
    </row>
    <row r="81" spans="2:21" ht="12.75">
      <c r="B81" s="9" t="s">
        <v>220</v>
      </c>
      <c r="C81" s="50"/>
      <c r="D81" s="9" t="s">
        <v>128</v>
      </c>
      <c r="E81" s="9"/>
      <c r="F81"/>
      <c r="G81">
        <v>6590</v>
      </c>
      <c r="H81" s="59"/>
      <c r="I81">
        <v>6380</v>
      </c>
      <c r="J81" s="59"/>
      <c r="K81">
        <v>6610</v>
      </c>
      <c r="L81"/>
      <c r="M81" s="5">
        <f t="shared" si="10"/>
        <v>6526.666666666667</v>
      </c>
      <c r="N81" s="27"/>
      <c r="O81" s="27"/>
      <c r="P81" s="27"/>
      <c r="Q81" s="27"/>
      <c r="R81" s="30"/>
      <c r="S81" s="30"/>
      <c r="T81" s="27"/>
      <c r="U81" s="27"/>
    </row>
    <row r="82" spans="2:21" ht="12.75">
      <c r="B82" s="9" t="s">
        <v>49</v>
      </c>
      <c r="C82" s="50"/>
      <c r="D82" s="9" t="s">
        <v>53</v>
      </c>
      <c r="E82" s="9"/>
      <c r="F82"/>
      <c r="G82" s="5">
        <f>G$78*G79/100</f>
        <v>1.7872</v>
      </c>
      <c r="H82" s="83"/>
      <c r="I82" s="5">
        <f>I$78*I79/100</f>
        <v>1.3463999999999998</v>
      </c>
      <c r="J82" s="83"/>
      <c r="K82" s="5">
        <f>K$78*K79/100</f>
        <v>3.5951999999999997</v>
      </c>
      <c r="L82" s="5"/>
      <c r="M82" s="5">
        <f t="shared" si="10"/>
        <v>2.2429333333333332</v>
      </c>
      <c r="N82" s="27"/>
      <c r="O82" s="27"/>
      <c r="P82" s="27"/>
      <c r="Q82" s="27"/>
      <c r="R82" s="30"/>
      <c r="S82" s="30"/>
      <c r="T82" s="27"/>
      <c r="U82" s="27"/>
    </row>
    <row r="83" spans="2:21" ht="12.75">
      <c r="B83" s="9" t="s">
        <v>126</v>
      </c>
      <c r="C83" s="9"/>
      <c r="D83" s="9" t="s">
        <v>53</v>
      </c>
      <c r="E83" s="9"/>
      <c r="F83"/>
      <c r="G83" s="5">
        <f>G$78*G80/100</f>
        <v>2645.0560000000005</v>
      </c>
      <c r="H83" s="84"/>
      <c r="I83" s="5">
        <f>I$78*I80/100</f>
        <v>2827.44</v>
      </c>
      <c r="J83" s="84"/>
      <c r="K83" s="5">
        <f>K$78*K80/100</f>
        <v>2642.472</v>
      </c>
      <c r="L83" s="5"/>
      <c r="M83" s="5">
        <f t="shared" si="10"/>
        <v>2704.9893333333334</v>
      </c>
      <c r="N83" s="27"/>
      <c r="O83" s="27"/>
      <c r="P83" s="27"/>
      <c r="Q83" s="27"/>
      <c r="R83" s="30"/>
      <c r="S83" s="30"/>
      <c r="T83" s="27"/>
      <c r="U83" s="27"/>
    </row>
    <row r="84" spans="2:13" ht="12.75">
      <c r="B84" s="9" t="s">
        <v>221</v>
      </c>
      <c r="C84" s="3"/>
      <c r="D84" s="9" t="s">
        <v>129</v>
      </c>
      <c r="E84" s="9"/>
      <c r="F84"/>
      <c r="G84" s="5">
        <f>G$78*G81/1000000</f>
        <v>29.44412</v>
      </c>
      <c r="H84" s="83"/>
      <c r="I84" s="5">
        <f>I$78*I81/1000000</f>
        <v>28.63344</v>
      </c>
      <c r="J84" s="83"/>
      <c r="K84" s="5">
        <f>K$78*K81/1000000</f>
        <v>29.70534</v>
      </c>
      <c r="L84" s="5"/>
      <c r="M84" s="5">
        <f t="shared" si="10"/>
        <v>29.260966666666672</v>
      </c>
    </row>
    <row r="85" spans="2:13" ht="12.75">
      <c r="B85" s="8"/>
      <c r="C85" s="27"/>
      <c r="D85" s="9"/>
      <c r="E85" s="9"/>
      <c r="F85" s="27"/>
      <c r="G85" s="28"/>
      <c r="H85" s="9"/>
      <c r="I85" s="27"/>
      <c r="J85" s="9"/>
      <c r="K85" s="27"/>
      <c r="L85" s="27"/>
      <c r="M85" s="27"/>
    </row>
    <row r="86" spans="2:12" ht="12.75">
      <c r="B86" s="9" t="s">
        <v>107</v>
      </c>
      <c r="C86" s="3"/>
      <c r="D86" s="9" t="s">
        <v>154</v>
      </c>
      <c r="E86" s="9"/>
      <c r="F86" t="s">
        <v>98</v>
      </c>
      <c r="G86">
        <v>3</v>
      </c>
      <c r="H86" s="59" t="s">
        <v>98</v>
      </c>
      <c r="I86">
        <v>3</v>
      </c>
      <c r="J86" s="59" t="s">
        <v>98</v>
      </c>
      <c r="K86">
        <v>3</v>
      </c>
      <c r="L86"/>
    </row>
    <row r="87" spans="2:19" s="27" customFormat="1" ht="12.75">
      <c r="B87" s="9" t="s">
        <v>103</v>
      </c>
      <c r="C87" s="3"/>
      <c r="D87" s="9" t="s">
        <v>154</v>
      </c>
      <c r="E87" s="9"/>
      <c r="F87" s="29"/>
      <c r="G87" s="61">
        <v>11</v>
      </c>
      <c r="H87" s="85"/>
      <c r="I87" s="61">
        <v>39</v>
      </c>
      <c r="J87" s="85"/>
      <c r="K87" s="62">
        <v>26</v>
      </c>
      <c r="L87" s="62"/>
      <c r="M87" s="30">
        <f>AVERAGE(G87:K87)</f>
        <v>25.333333333333332</v>
      </c>
      <c r="S87" s="30"/>
    </row>
    <row r="88" spans="2:19" s="27" customFormat="1" ht="12.75">
      <c r="B88" s="9" t="s">
        <v>104</v>
      </c>
      <c r="C88" s="3"/>
      <c r="D88" s="9" t="s">
        <v>154</v>
      </c>
      <c r="E88" s="9"/>
      <c r="G88" s="61">
        <v>0.7</v>
      </c>
      <c r="H88" s="85" t="s">
        <v>98</v>
      </c>
      <c r="I88" s="62">
        <v>0.2</v>
      </c>
      <c r="J88" s="85"/>
      <c r="K88" s="18">
        <v>10</v>
      </c>
      <c r="L88" s="18"/>
      <c r="M88" s="30">
        <f>AVERAGE(G88:K88)</f>
        <v>3.6333333333333333</v>
      </c>
      <c r="S88" s="30"/>
    </row>
    <row r="89" spans="2:13" ht="12.75">
      <c r="B89" s="9" t="s">
        <v>79</v>
      </c>
      <c r="C89" s="3"/>
      <c r="D89" s="9" t="s">
        <v>154</v>
      </c>
      <c r="E89" s="9"/>
      <c r="F89" s="27" t="s">
        <v>98</v>
      </c>
      <c r="G89" s="61">
        <v>0.2</v>
      </c>
      <c r="H89" s="9" t="s">
        <v>98</v>
      </c>
      <c r="I89" s="18">
        <v>0.2</v>
      </c>
      <c r="J89" s="9"/>
      <c r="K89" s="61">
        <v>4.7</v>
      </c>
      <c r="L89" s="61"/>
      <c r="M89" s="30">
        <f>AVERAGE(G89:K89)</f>
        <v>1.7000000000000002</v>
      </c>
    </row>
    <row r="90" spans="2:13" ht="12.75">
      <c r="B90" s="9" t="s">
        <v>105</v>
      </c>
      <c r="C90" s="3"/>
      <c r="D90" s="9" t="s">
        <v>154</v>
      </c>
      <c r="E90" s="9"/>
      <c r="F90" s="17" t="s">
        <v>98</v>
      </c>
      <c r="G90" s="61">
        <v>0.4</v>
      </c>
      <c r="H90" s="85" t="s">
        <v>98</v>
      </c>
      <c r="I90" s="18">
        <v>0.4</v>
      </c>
      <c r="J90" s="85" t="s">
        <v>98</v>
      </c>
      <c r="K90" s="18">
        <v>0.4</v>
      </c>
      <c r="L90" s="18"/>
      <c r="M90" s="29"/>
    </row>
    <row r="91" spans="2:13" ht="12.75">
      <c r="B91" s="9" t="s">
        <v>84</v>
      </c>
      <c r="C91" s="3"/>
      <c r="D91" s="9" t="s">
        <v>154</v>
      </c>
      <c r="E91" s="9"/>
      <c r="F91" s="17"/>
      <c r="G91" s="61">
        <v>1.2</v>
      </c>
      <c r="H91" s="85"/>
      <c r="I91" s="24">
        <v>1.1</v>
      </c>
      <c r="J91" s="77"/>
      <c r="K91" s="18">
        <v>11</v>
      </c>
      <c r="L91" s="18"/>
      <c r="M91" s="59"/>
    </row>
    <row r="92" spans="2:13" ht="12.75">
      <c r="B92" s="9" t="s">
        <v>78</v>
      </c>
      <c r="C92" s="3"/>
      <c r="D92" s="9" t="s">
        <v>154</v>
      </c>
      <c r="E92" s="9"/>
      <c r="F92" s="17" t="s">
        <v>98</v>
      </c>
      <c r="G92" s="61">
        <v>4</v>
      </c>
      <c r="H92" s="85" t="s">
        <v>98</v>
      </c>
      <c r="I92" s="18">
        <v>4</v>
      </c>
      <c r="J92" s="77"/>
      <c r="K92" s="18">
        <v>9</v>
      </c>
      <c r="L92" s="18"/>
      <c r="M92" s="64"/>
    </row>
    <row r="93" spans="2:13" ht="12.75">
      <c r="B93" s="9" t="s">
        <v>80</v>
      </c>
      <c r="C93" s="3"/>
      <c r="D93" s="9" t="s">
        <v>154</v>
      </c>
      <c r="E93" s="9"/>
      <c r="F93" s="17" t="s">
        <v>98</v>
      </c>
      <c r="G93" s="61">
        <v>0.04</v>
      </c>
      <c r="H93" s="77" t="s">
        <v>98</v>
      </c>
      <c r="I93" s="61">
        <v>0.04</v>
      </c>
      <c r="J93" s="9" t="s">
        <v>98</v>
      </c>
      <c r="K93" s="61">
        <v>0.04</v>
      </c>
      <c r="L93" s="61"/>
      <c r="M93" s="63"/>
    </row>
    <row r="94" spans="1:19" ht="12.75">
      <c r="A94" s="3" t="s">
        <v>86</v>
      </c>
      <c r="B94" s="9" t="s">
        <v>102</v>
      </c>
      <c r="C94" s="3"/>
      <c r="D94" s="9" t="s">
        <v>154</v>
      </c>
      <c r="E94" s="9"/>
      <c r="F94" s="8" t="s">
        <v>98</v>
      </c>
      <c r="G94" s="61">
        <v>0.5</v>
      </c>
      <c r="H94" s="77" t="s">
        <v>98</v>
      </c>
      <c r="I94" s="61">
        <v>0.5</v>
      </c>
      <c r="J94" s="8" t="s">
        <v>98</v>
      </c>
      <c r="K94" s="61">
        <v>0.5</v>
      </c>
      <c r="L94" s="61"/>
      <c r="M94" s="63"/>
      <c r="N94" s="27"/>
      <c r="O94" s="27"/>
      <c r="P94" s="27"/>
      <c r="Q94" s="27"/>
      <c r="R94" s="27"/>
      <c r="S94" s="27"/>
    </row>
    <row r="95" spans="2:19" ht="12.75">
      <c r="B95" s="9" t="s">
        <v>109</v>
      </c>
      <c r="C95" s="3"/>
      <c r="D95" s="9" t="s">
        <v>154</v>
      </c>
      <c r="E95" s="9"/>
      <c r="F95" s="17" t="s">
        <v>98</v>
      </c>
      <c r="G95" s="61">
        <v>12</v>
      </c>
      <c r="H95" s="77" t="s">
        <v>98</v>
      </c>
      <c r="I95" s="61">
        <v>12</v>
      </c>
      <c r="J95" s="8" t="s">
        <v>98</v>
      </c>
      <c r="K95" s="61">
        <v>12</v>
      </c>
      <c r="L95" s="61"/>
      <c r="M95" s="63"/>
      <c r="N95" s="27"/>
      <c r="O95" s="27"/>
      <c r="P95" s="27"/>
      <c r="Q95" s="27"/>
      <c r="R95" s="50"/>
      <c r="S95" s="27"/>
    </row>
    <row r="96" spans="1:19" ht="12.75">
      <c r="A96" s="50"/>
      <c r="B96" s="9"/>
      <c r="C96" s="3"/>
      <c r="D96" s="9"/>
      <c r="E96" s="9"/>
      <c r="F96" s="17"/>
      <c r="G96" s="61"/>
      <c r="H96" s="85"/>
      <c r="I96" s="18"/>
      <c r="J96" s="77"/>
      <c r="K96" s="18"/>
      <c r="L96" s="18"/>
      <c r="M96" s="64"/>
      <c r="N96" s="50"/>
      <c r="O96" s="50"/>
      <c r="P96" s="50"/>
      <c r="Q96" s="50"/>
      <c r="R96" s="50"/>
      <c r="S96" s="54"/>
    </row>
    <row r="97" spans="2:19" ht="12.75">
      <c r="B97" s="9" t="s">
        <v>119</v>
      </c>
      <c r="D97" s="9" t="s">
        <v>17</v>
      </c>
      <c r="E97" s="9"/>
      <c r="F97" s="27"/>
      <c r="G97" s="17">
        <v>9730</v>
      </c>
      <c r="H97" s="8"/>
      <c r="I97" s="17">
        <v>9715</v>
      </c>
      <c r="J97" s="8"/>
      <c r="K97" s="17">
        <v>9494</v>
      </c>
      <c r="L97" s="17"/>
      <c r="M97" s="40">
        <f>AVERAGE(G97,I97,K97)</f>
        <v>9646.333333333334</v>
      </c>
      <c r="N97" s="65"/>
      <c r="O97" s="40"/>
      <c r="P97" s="40"/>
      <c r="Q97" s="40"/>
      <c r="R97" s="63"/>
      <c r="S97" s="27"/>
    </row>
    <row r="98" spans="2:19" ht="12.75">
      <c r="B98" s="9" t="s">
        <v>120</v>
      </c>
      <c r="D98" s="9" t="s">
        <v>18</v>
      </c>
      <c r="E98" s="9"/>
      <c r="F98" s="27"/>
      <c r="G98" s="17">
        <v>8.3</v>
      </c>
      <c r="H98" s="8"/>
      <c r="I98" s="17">
        <v>9.3</v>
      </c>
      <c r="J98" s="8"/>
      <c r="K98" s="17">
        <v>8.9</v>
      </c>
      <c r="L98" s="17"/>
      <c r="M98" s="40">
        <f>AVERAGE(G98,I98,K98)</f>
        <v>8.833333333333334</v>
      </c>
      <c r="N98" s="65"/>
      <c r="O98" s="40"/>
      <c r="P98" s="40"/>
      <c r="Q98" s="40"/>
      <c r="R98" s="63"/>
      <c r="S98" s="27"/>
    </row>
    <row r="99" spans="2:19" ht="12.75">
      <c r="B99" s="9"/>
      <c r="C99" s="3"/>
      <c r="D99" s="9"/>
      <c r="E99" s="9"/>
      <c r="F99" s="27"/>
      <c r="G99" s="61"/>
      <c r="H99" s="85"/>
      <c r="I99" s="18"/>
      <c r="J99" s="85"/>
      <c r="K99" s="18"/>
      <c r="L99" s="18"/>
      <c r="M99" s="40"/>
      <c r="N99" s="62"/>
      <c r="O99" s="62"/>
      <c r="P99" s="62"/>
      <c r="Q99" s="62"/>
      <c r="R99" s="63"/>
      <c r="S99" s="27"/>
    </row>
    <row r="100" spans="2:19" ht="12.75">
      <c r="B100" s="45" t="s">
        <v>121</v>
      </c>
      <c r="C100" s="9"/>
      <c r="D100" s="9"/>
      <c r="E100" s="9"/>
      <c r="F100" s="27"/>
      <c r="G100" s="61"/>
      <c r="H100" s="85"/>
      <c r="I100" s="62"/>
      <c r="J100" s="85"/>
      <c r="K100" s="62"/>
      <c r="L100" s="62"/>
      <c r="M100" s="40"/>
      <c r="N100" s="62"/>
      <c r="O100" s="62"/>
      <c r="P100" s="62"/>
      <c r="Q100" s="62"/>
      <c r="R100" s="63"/>
      <c r="S100" s="27"/>
    </row>
    <row r="101" spans="2:21" ht="12.75">
      <c r="B101" s="9" t="s">
        <v>49</v>
      </c>
      <c r="C101" s="9"/>
      <c r="D101" s="9" t="s">
        <v>61</v>
      </c>
      <c r="E101" s="9" t="s">
        <v>15</v>
      </c>
      <c r="F101"/>
      <c r="G101" s="64">
        <f>(G82/60)*454*1000/(G$97*0.0283)*(21-7)/(21-G$98)</f>
        <v>54.13807347600122</v>
      </c>
      <c r="H101" s="84"/>
      <c r="I101" s="64">
        <f>(I82/60)*454*1000/(I$97*0.0283)*(21-7)/(21-I$98)</f>
        <v>44.33958652436143</v>
      </c>
      <c r="J101" s="84"/>
      <c r="K101" s="64">
        <f>(K82/60)*454*1000/(K$97*0.0283)*(21-7)/(21-K$98)</f>
        <v>117.14794105187119</v>
      </c>
      <c r="L101" s="64"/>
      <c r="M101" s="40">
        <f aca="true" t="shared" si="11" ref="M101:M112">AVERAGE(G101,I101,K101)</f>
        <v>71.8752003507446</v>
      </c>
      <c r="N101" s="62"/>
      <c r="O101" s="40">
        <f>G101</f>
        <v>54.13807347600122</v>
      </c>
      <c r="P101" s="62"/>
      <c r="Q101" s="40">
        <f>I101</f>
        <v>44.33958652436143</v>
      </c>
      <c r="R101" s="63"/>
      <c r="S101" s="40">
        <f>K101</f>
        <v>117.14794105187119</v>
      </c>
      <c r="U101" s="40">
        <f>AVERAGE(O101,Q101,S101)</f>
        <v>71.8752003507446</v>
      </c>
    </row>
    <row r="102" spans="2:21" ht="12.75">
      <c r="B102" s="9" t="s">
        <v>126</v>
      </c>
      <c r="C102" s="9"/>
      <c r="D102" s="9" t="s">
        <v>55</v>
      </c>
      <c r="E102" s="9" t="s">
        <v>15</v>
      </c>
      <c r="F102" s="29"/>
      <c r="G102" s="64">
        <f>(G83/60)*454*1000000/(G$97*0.0283)*(21-7)/(21-G$98)</f>
        <v>80124348.7444818</v>
      </c>
      <c r="H102" s="84"/>
      <c r="I102" s="64">
        <f>(I83/60)*454*1000000/(I$97*0.0283)*(21-7)/(21-I$98)</f>
        <v>93113131.70115906</v>
      </c>
      <c r="J102" s="84"/>
      <c r="K102" s="64">
        <f>(K83/60)*454*1000000/(K$97*0.0283)*(21-7)/(21-K$98)</f>
        <v>86103736.67312534</v>
      </c>
      <c r="L102" s="64"/>
      <c r="M102" s="40">
        <f t="shared" si="11"/>
        <v>86447072.37292206</v>
      </c>
      <c r="N102" s="62"/>
      <c r="O102" s="40">
        <f>G102</f>
        <v>80124348.7444818</v>
      </c>
      <c r="P102" s="62"/>
      <c r="Q102" s="40">
        <f>I102</f>
        <v>93113131.70115906</v>
      </c>
      <c r="R102" s="63"/>
      <c r="S102" s="40">
        <f>K102</f>
        <v>86103736.67312534</v>
      </c>
      <c r="U102" s="40">
        <f aca="true" t="shared" si="12" ref="U102:U112">AVERAGE(O102,Q102,S102)</f>
        <v>86447072.37292206</v>
      </c>
    </row>
    <row r="103" spans="2:21" ht="12.75">
      <c r="B103" s="9" t="s">
        <v>107</v>
      </c>
      <c r="C103" s="9"/>
      <c r="D103" s="9" t="s">
        <v>55</v>
      </c>
      <c r="E103" s="9" t="s">
        <v>15</v>
      </c>
      <c r="F103">
        <v>100</v>
      </c>
      <c r="G103" s="64">
        <f>(G$78*G86/60)*454/(G$97*0.0283)*(21-7)/(21-G$98)</f>
        <v>406.0355510700091</v>
      </c>
      <c r="H103" s="84">
        <v>100</v>
      </c>
      <c r="I103" s="64">
        <f aca="true" t="shared" si="13" ref="I103:I112">(I$78*I86/60)*454/(I$97*0.0283)*(21-7)/(21-I$98)</f>
        <v>443.3958652436145</v>
      </c>
      <c r="J103" s="84">
        <v>100</v>
      </c>
      <c r="K103" s="64">
        <f aca="true" t="shared" si="14" ref="K103:K112">(K$78*K86/60)*454/(K$97*0.0283)*(21-7)/(21-K$98)</f>
        <v>439.30477894451684</v>
      </c>
      <c r="L103" s="64">
        <f>SUM((K103*J103/100),(I103*H103/100),(G103*F103/100))/M103*100/3</f>
        <v>100</v>
      </c>
      <c r="M103" s="32">
        <f t="shared" si="11"/>
        <v>429.5787317527135</v>
      </c>
      <c r="N103" s="62">
        <f>F103</f>
        <v>100</v>
      </c>
      <c r="O103" s="40">
        <f>G103/2</f>
        <v>203.01777553500455</v>
      </c>
      <c r="P103" s="40">
        <f>H103</f>
        <v>100</v>
      </c>
      <c r="Q103" s="40">
        <f>I103/2</f>
        <v>221.69793262180724</v>
      </c>
      <c r="R103" s="40">
        <f>J103</f>
        <v>100</v>
      </c>
      <c r="S103" s="40">
        <f>K103/2</f>
        <v>219.65238947225842</v>
      </c>
      <c r="T103" s="40">
        <f>L103</f>
        <v>100</v>
      </c>
      <c r="U103" s="40">
        <f t="shared" si="12"/>
        <v>214.78936587635675</v>
      </c>
    </row>
    <row r="104" spans="2:21" ht="12.75">
      <c r="B104" s="9" t="s">
        <v>103</v>
      </c>
      <c r="C104" s="9"/>
      <c r="D104" s="9" t="s">
        <v>55</v>
      </c>
      <c r="E104" s="9" t="s">
        <v>15</v>
      </c>
      <c r="F104" s="29"/>
      <c r="G104" s="64">
        <f aca="true" t="shared" si="15" ref="G104:G112">(G$78*G87/60)*454/(G$97*0.0283)*(21-7)/(21-G$98)</f>
        <v>1488.7970205900333</v>
      </c>
      <c r="H104" s="85"/>
      <c r="I104" s="64">
        <f t="shared" si="13"/>
        <v>5764.146248166987</v>
      </c>
      <c r="J104" s="85"/>
      <c r="K104" s="64">
        <f t="shared" si="14"/>
        <v>3807.3080841858136</v>
      </c>
      <c r="L104" s="64"/>
      <c r="M104" s="40">
        <f t="shared" si="11"/>
        <v>3686.7504509809446</v>
      </c>
      <c r="N104" s="62"/>
      <c r="O104" s="40">
        <f>G104</f>
        <v>1488.7970205900333</v>
      </c>
      <c r="P104" s="40"/>
      <c r="Q104" s="40">
        <f>I104</f>
        <v>5764.146248166987</v>
      </c>
      <c r="R104" s="40"/>
      <c r="S104" s="40">
        <f>K104</f>
        <v>3807.3080841858136</v>
      </c>
      <c r="T104" s="40"/>
      <c r="U104" s="40">
        <f t="shared" si="12"/>
        <v>3686.7504509809446</v>
      </c>
    </row>
    <row r="105" spans="2:21" ht="12.75">
      <c r="B105" s="9" t="s">
        <v>104</v>
      </c>
      <c r="C105" s="9"/>
      <c r="D105" s="9" t="s">
        <v>55</v>
      </c>
      <c r="E105" s="9" t="s">
        <v>15</v>
      </c>
      <c r="F105" s="27"/>
      <c r="G105" s="64">
        <f t="shared" si="15"/>
        <v>94.74162858300211</v>
      </c>
      <c r="H105" s="85">
        <v>100</v>
      </c>
      <c r="I105" s="64">
        <f t="shared" si="13"/>
        <v>29.5597243495743</v>
      </c>
      <c r="J105" s="85"/>
      <c r="K105" s="64">
        <f t="shared" si="14"/>
        <v>1464.3492631483896</v>
      </c>
      <c r="L105" s="64">
        <f aca="true" t="shared" si="16" ref="L105:L115">SUM((K105*J105/100),(I105*H105/100),(G105*F105/100))/M105*100/3</f>
        <v>1.8606812631020804</v>
      </c>
      <c r="M105" s="32">
        <f t="shared" si="11"/>
        <v>529.550205360322</v>
      </c>
      <c r="N105" s="62"/>
      <c r="O105" s="40">
        <f>G105</f>
        <v>94.74162858300211</v>
      </c>
      <c r="P105" s="40">
        <f>H105</f>
        <v>100</v>
      </c>
      <c r="Q105" s="40">
        <f>I105/2</f>
        <v>14.77986217478715</v>
      </c>
      <c r="R105" s="40"/>
      <c r="S105" s="40">
        <f>K105</f>
        <v>1464.3492631483896</v>
      </c>
      <c r="T105" s="40">
        <f>L105</f>
        <v>1.8606812631020804</v>
      </c>
      <c r="U105" s="40">
        <f t="shared" si="12"/>
        <v>524.623584635393</v>
      </c>
    </row>
    <row r="106" spans="2:21" ht="12.75">
      <c r="B106" s="9" t="s">
        <v>79</v>
      </c>
      <c r="C106" s="9"/>
      <c r="D106" s="9" t="s">
        <v>55</v>
      </c>
      <c r="E106" s="9" t="s">
        <v>15</v>
      </c>
      <c r="F106" s="27">
        <v>100</v>
      </c>
      <c r="G106" s="64">
        <f t="shared" si="15"/>
        <v>27.06903673800061</v>
      </c>
      <c r="H106" s="85">
        <v>100</v>
      </c>
      <c r="I106" s="64">
        <f t="shared" si="13"/>
        <v>29.5597243495743</v>
      </c>
      <c r="J106" s="9"/>
      <c r="K106" s="64">
        <f t="shared" si="14"/>
        <v>688.2441536797432</v>
      </c>
      <c r="L106" s="64">
        <f t="shared" si="16"/>
        <v>7.60247284669553</v>
      </c>
      <c r="M106" s="32">
        <f t="shared" si="11"/>
        <v>248.29097158910608</v>
      </c>
      <c r="N106" s="62">
        <f aca="true" t="shared" si="17" ref="N106:N115">F106</f>
        <v>100</v>
      </c>
      <c r="O106" s="40">
        <f>G106/2</f>
        <v>13.534518369000304</v>
      </c>
      <c r="P106" s="40">
        <f>H106</f>
        <v>100</v>
      </c>
      <c r="Q106" s="40">
        <f>I106/2</f>
        <v>14.77986217478715</v>
      </c>
      <c r="R106" s="40"/>
      <c r="S106" s="40">
        <f>K106</f>
        <v>688.2441536797432</v>
      </c>
      <c r="T106" s="40">
        <f>L106</f>
        <v>7.60247284669553</v>
      </c>
      <c r="U106" s="40">
        <f t="shared" si="12"/>
        <v>238.8528447411769</v>
      </c>
    </row>
    <row r="107" spans="2:21" ht="12.75">
      <c r="B107" s="9" t="s">
        <v>105</v>
      </c>
      <c r="C107" s="9"/>
      <c r="D107" s="9" t="s">
        <v>55</v>
      </c>
      <c r="E107" s="9" t="s">
        <v>15</v>
      </c>
      <c r="F107" s="17">
        <v>100</v>
      </c>
      <c r="G107" s="64">
        <f t="shared" si="15"/>
        <v>54.13807347600122</v>
      </c>
      <c r="H107" s="85">
        <v>100</v>
      </c>
      <c r="I107" s="64">
        <f t="shared" si="13"/>
        <v>59.1194486991486</v>
      </c>
      <c r="J107" s="85">
        <v>100</v>
      </c>
      <c r="K107" s="64">
        <f t="shared" si="14"/>
        <v>58.57397052593559</v>
      </c>
      <c r="L107" s="64">
        <f t="shared" si="16"/>
        <v>100</v>
      </c>
      <c r="M107" s="32">
        <f t="shared" si="11"/>
        <v>57.27716423369514</v>
      </c>
      <c r="N107" s="62">
        <f t="shared" si="17"/>
        <v>100</v>
      </c>
      <c r="O107" s="40">
        <f>G107/2</f>
        <v>27.06903673800061</v>
      </c>
      <c r="P107" s="40">
        <f>H107</f>
        <v>100</v>
      </c>
      <c r="Q107" s="40">
        <f>I107/2</f>
        <v>29.5597243495743</v>
      </c>
      <c r="R107" s="40">
        <f>J107</f>
        <v>100</v>
      </c>
      <c r="S107" s="40">
        <f>K107/2</f>
        <v>29.286985262967796</v>
      </c>
      <c r="T107" s="40">
        <f>L107</f>
        <v>100</v>
      </c>
      <c r="U107" s="40">
        <f t="shared" si="12"/>
        <v>28.63858211684757</v>
      </c>
    </row>
    <row r="108" spans="2:21" ht="12.75">
      <c r="B108" s="9" t="s">
        <v>84</v>
      </c>
      <c r="C108" s="9"/>
      <c r="D108" s="9" t="s">
        <v>55</v>
      </c>
      <c r="E108" s="9" t="s">
        <v>15</v>
      </c>
      <c r="F108" s="17"/>
      <c r="G108" s="64">
        <f t="shared" si="15"/>
        <v>162.4142204280036</v>
      </c>
      <c r="H108" s="85"/>
      <c r="I108" s="64">
        <f t="shared" si="13"/>
        <v>162.57848392265862</v>
      </c>
      <c r="J108" s="77"/>
      <c r="K108" s="64">
        <f t="shared" si="14"/>
        <v>1610.7841894632284</v>
      </c>
      <c r="L108" s="64"/>
      <c r="M108" s="40">
        <f t="shared" si="11"/>
        <v>645.2589646046303</v>
      </c>
      <c r="N108" s="62"/>
      <c r="O108" s="40">
        <f>G108</f>
        <v>162.4142204280036</v>
      </c>
      <c r="P108" s="40"/>
      <c r="Q108" s="40">
        <f>I108</f>
        <v>162.57848392265862</v>
      </c>
      <c r="R108" s="40"/>
      <c r="S108" s="40">
        <f>K108</f>
        <v>1610.7841894632284</v>
      </c>
      <c r="T108" s="40"/>
      <c r="U108" s="40">
        <f t="shared" si="12"/>
        <v>645.2589646046303</v>
      </c>
    </row>
    <row r="109" spans="2:21" ht="12.75">
      <c r="B109" s="9" t="s">
        <v>78</v>
      </c>
      <c r="C109" s="9"/>
      <c r="D109" s="9" t="s">
        <v>55</v>
      </c>
      <c r="E109" s="9" t="s">
        <v>15</v>
      </c>
      <c r="F109" s="17">
        <v>100</v>
      </c>
      <c r="G109" s="64">
        <f t="shared" si="15"/>
        <v>541.3807347600122</v>
      </c>
      <c r="H109" s="85">
        <v>100</v>
      </c>
      <c r="I109" s="64">
        <f t="shared" si="13"/>
        <v>591.1944869914859</v>
      </c>
      <c r="J109" s="77"/>
      <c r="K109" s="64">
        <f t="shared" si="14"/>
        <v>1317.914336833551</v>
      </c>
      <c r="L109" s="64">
        <f t="shared" si="16"/>
        <v>46.21832473366933</v>
      </c>
      <c r="M109" s="32">
        <f t="shared" si="11"/>
        <v>816.829852861683</v>
      </c>
      <c r="N109" s="62">
        <f t="shared" si="17"/>
        <v>100</v>
      </c>
      <c r="O109" s="40">
        <f>G109/2</f>
        <v>270.6903673800061</v>
      </c>
      <c r="P109" s="40">
        <f>H109</f>
        <v>100</v>
      </c>
      <c r="Q109" s="40">
        <f>I109/2</f>
        <v>295.59724349574293</v>
      </c>
      <c r="R109" s="40"/>
      <c r="S109" s="40">
        <f>K109</f>
        <v>1317.914336833551</v>
      </c>
      <c r="T109" s="40">
        <f>L109</f>
        <v>46.21832473366933</v>
      </c>
      <c r="U109" s="40">
        <f t="shared" si="12"/>
        <v>628.0673159030999</v>
      </c>
    </row>
    <row r="110" spans="2:21" ht="12.75">
      <c r="B110" s="9" t="s">
        <v>80</v>
      </c>
      <c r="C110" s="9"/>
      <c r="D110" s="9" t="s">
        <v>55</v>
      </c>
      <c r="E110" s="9" t="s">
        <v>15</v>
      </c>
      <c r="F110" s="17">
        <v>100</v>
      </c>
      <c r="G110" s="64">
        <f t="shared" si="15"/>
        <v>5.4138073476001205</v>
      </c>
      <c r="H110" s="85">
        <v>100</v>
      </c>
      <c r="I110" s="64">
        <f t="shared" si="13"/>
        <v>5.911944869914859</v>
      </c>
      <c r="J110" s="9">
        <v>100</v>
      </c>
      <c r="K110" s="64">
        <f t="shared" si="14"/>
        <v>5.857397052593558</v>
      </c>
      <c r="L110" s="64">
        <f>SUM((K110*J110/100),(I110*H110/100),(G110*F110/100))/(M110*3)*100</f>
        <v>100</v>
      </c>
      <c r="M110" s="32">
        <f t="shared" si="11"/>
        <v>5.727716423369512</v>
      </c>
      <c r="N110" s="62">
        <f t="shared" si="17"/>
        <v>100</v>
      </c>
      <c r="O110" s="30">
        <f>G110/2</f>
        <v>2.7069036738000603</v>
      </c>
      <c r="P110" s="40">
        <f>H110</f>
        <v>100</v>
      </c>
      <c r="Q110" s="30">
        <f>I110/2</f>
        <v>2.9559724349574297</v>
      </c>
      <c r="R110" s="40">
        <f>J110</f>
        <v>100</v>
      </c>
      <c r="S110" s="62">
        <f>K110/2</f>
        <v>2.928698526296779</v>
      </c>
      <c r="T110" s="40">
        <f>L110</f>
        <v>100</v>
      </c>
      <c r="U110" s="40">
        <f t="shared" si="12"/>
        <v>2.863858211684756</v>
      </c>
    </row>
    <row r="111" spans="2:21" ht="12.75">
      <c r="B111" s="9" t="s">
        <v>102</v>
      </c>
      <c r="C111" s="9"/>
      <c r="D111" s="9" t="s">
        <v>55</v>
      </c>
      <c r="E111" s="9" t="s">
        <v>15</v>
      </c>
      <c r="F111" s="17">
        <v>100</v>
      </c>
      <c r="G111" s="64">
        <f t="shared" si="15"/>
        <v>67.67259184500152</v>
      </c>
      <c r="H111" s="85">
        <v>100</v>
      </c>
      <c r="I111" s="64">
        <f t="shared" si="13"/>
        <v>73.89931087393573</v>
      </c>
      <c r="J111" s="9">
        <v>100</v>
      </c>
      <c r="K111" s="64">
        <f t="shared" si="14"/>
        <v>73.2174631574195</v>
      </c>
      <c r="L111" s="64">
        <f t="shared" si="16"/>
        <v>100.00000000000001</v>
      </c>
      <c r="M111" s="32">
        <f t="shared" si="11"/>
        <v>71.59645529211892</v>
      </c>
      <c r="N111" s="62">
        <f t="shared" si="17"/>
        <v>100</v>
      </c>
      <c r="O111" s="30">
        <f aca="true" t="shared" si="18" ref="O111:S112">G111/2</f>
        <v>33.83629592250076</v>
      </c>
      <c r="P111" s="40">
        <f>H111</f>
        <v>100</v>
      </c>
      <c r="Q111" s="30">
        <f t="shared" si="18"/>
        <v>36.949655436967866</v>
      </c>
      <c r="R111" s="40">
        <f>J111</f>
        <v>100</v>
      </c>
      <c r="S111" s="62">
        <f t="shared" si="18"/>
        <v>36.60873157870975</v>
      </c>
      <c r="T111" s="40">
        <f>L111</f>
        <v>100.00000000000001</v>
      </c>
      <c r="U111" s="40">
        <f t="shared" si="12"/>
        <v>35.79822764605946</v>
      </c>
    </row>
    <row r="112" spans="2:21" ht="12.75">
      <c r="B112" s="9" t="s">
        <v>109</v>
      </c>
      <c r="C112" s="9"/>
      <c r="D112" s="9" t="s">
        <v>55</v>
      </c>
      <c r="E112" s="9" t="s">
        <v>15</v>
      </c>
      <c r="F112" s="17">
        <v>100</v>
      </c>
      <c r="G112" s="64">
        <f t="shared" si="15"/>
        <v>1624.1422042800364</v>
      </c>
      <c r="H112" s="85">
        <v>100</v>
      </c>
      <c r="I112" s="64">
        <f t="shared" si="13"/>
        <v>1773.583460974458</v>
      </c>
      <c r="J112" s="9">
        <v>100</v>
      </c>
      <c r="K112" s="64">
        <f t="shared" si="14"/>
        <v>1757.2191157780674</v>
      </c>
      <c r="L112" s="64">
        <f t="shared" si="16"/>
        <v>100</v>
      </c>
      <c r="M112" s="32">
        <f t="shared" si="11"/>
        <v>1718.314927010854</v>
      </c>
      <c r="N112" s="62">
        <f t="shared" si="17"/>
        <v>100</v>
      </c>
      <c r="O112" s="62">
        <f t="shared" si="18"/>
        <v>812.0711021400182</v>
      </c>
      <c r="P112" s="40">
        <f>H112</f>
        <v>100</v>
      </c>
      <c r="Q112" s="62">
        <f t="shared" si="18"/>
        <v>886.791730487229</v>
      </c>
      <c r="R112" s="40">
        <f>J112</f>
        <v>100</v>
      </c>
      <c r="S112" s="62">
        <f t="shared" si="18"/>
        <v>878.6095578890337</v>
      </c>
      <c r="T112" s="40">
        <f>L112</f>
        <v>100</v>
      </c>
      <c r="U112" s="40">
        <f t="shared" si="12"/>
        <v>859.157463505427</v>
      </c>
    </row>
    <row r="113" spans="12:21" ht="12.75">
      <c r="L113" s="64"/>
      <c r="N113" s="62"/>
      <c r="O113" s="62"/>
      <c r="P113" s="40"/>
      <c r="Q113" s="62"/>
      <c r="R113" s="40"/>
      <c r="S113" s="62"/>
      <c r="T113" s="40"/>
      <c r="U113" s="62"/>
    </row>
    <row r="114" spans="2:21" ht="12.75">
      <c r="B114" s="9" t="s">
        <v>56</v>
      </c>
      <c r="C114" s="9"/>
      <c r="D114" s="9" t="s">
        <v>55</v>
      </c>
      <c r="E114" s="9" t="s">
        <v>15</v>
      </c>
      <c r="F114" s="17">
        <v>100</v>
      </c>
      <c r="G114" s="69">
        <f>G107+G109</f>
        <v>595.5188082360133</v>
      </c>
      <c r="H114" s="86">
        <v>100</v>
      </c>
      <c r="I114" s="69">
        <f>I107+I109</f>
        <v>650.3139356906345</v>
      </c>
      <c r="J114" s="86">
        <f>K107/K114*100</f>
        <v>4.255319148936169</v>
      </c>
      <c r="K114" s="69">
        <f>K107+K109</f>
        <v>1376.4883073594867</v>
      </c>
      <c r="L114" s="64">
        <f t="shared" si="16"/>
        <v>49.74244911060104</v>
      </c>
      <c r="M114" s="40">
        <f>AVERAGE(G114,I114,K114)</f>
        <v>874.1070170953781</v>
      </c>
      <c r="N114" s="62">
        <f t="shared" si="17"/>
        <v>100</v>
      </c>
      <c r="O114" s="40">
        <f aca="true" t="shared" si="19" ref="O114:U115">G114</f>
        <v>595.5188082360133</v>
      </c>
      <c r="P114" s="40">
        <f t="shared" si="19"/>
        <v>100</v>
      </c>
      <c r="Q114" s="40">
        <f t="shared" si="19"/>
        <v>650.3139356906345</v>
      </c>
      <c r="R114" s="40">
        <f t="shared" si="19"/>
        <v>4.255319148936169</v>
      </c>
      <c r="S114" s="40">
        <f t="shared" si="19"/>
        <v>1376.4883073594867</v>
      </c>
      <c r="T114" s="40">
        <f t="shared" si="19"/>
        <v>49.74244911060104</v>
      </c>
      <c r="U114" s="40">
        <f t="shared" si="19"/>
        <v>874.1070170953781</v>
      </c>
    </row>
    <row r="115" spans="2:21" ht="12.75">
      <c r="B115" s="9" t="s">
        <v>57</v>
      </c>
      <c r="C115" s="9"/>
      <c r="D115" s="9" t="s">
        <v>55</v>
      </c>
      <c r="E115" s="9" t="s">
        <v>15</v>
      </c>
      <c r="F115" s="27">
        <f>G106/G115*100</f>
        <v>1.612903225806452</v>
      </c>
      <c r="G115" s="69">
        <f>G104+G106+G108</f>
        <v>1678.2802777560375</v>
      </c>
      <c r="H115" s="9">
        <f>I106/I115*100</f>
        <v>0.4962779156327544</v>
      </c>
      <c r="I115" s="69">
        <f>I104+I106+I108</f>
        <v>5956.28445643922</v>
      </c>
      <c r="J115" s="86"/>
      <c r="K115" s="69">
        <f>K104+K106+K108</f>
        <v>6106.336427328785</v>
      </c>
      <c r="L115" s="64">
        <f t="shared" si="16"/>
        <v>0.41211824771828903</v>
      </c>
      <c r="M115" s="40">
        <f>AVERAGE(G115,I115,K115)</f>
        <v>4580.3003871746805</v>
      </c>
      <c r="N115" s="62">
        <f t="shared" si="17"/>
        <v>1.612903225806452</v>
      </c>
      <c r="O115" s="40">
        <f t="shared" si="19"/>
        <v>1678.2802777560375</v>
      </c>
      <c r="P115" s="40">
        <f t="shared" si="19"/>
        <v>0.4962779156327544</v>
      </c>
      <c r="Q115" s="40">
        <f t="shared" si="19"/>
        <v>5956.28445643922</v>
      </c>
      <c r="R115" s="40">
        <f t="shared" si="19"/>
        <v>0</v>
      </c>
      <c r="S115" s="40">
        <f t="shared" si="19"/>
        <v>6106.336427328785</v>
      </c>
      <c r="T115" s="40">
        <f t="shared" si="19"/>
        <v>0.41211824771828903</v>
      </c>
      <c r="U115" s="40">
        <f t="shared" si="19"/>
        <v>4580.3003871746805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B1">
      <selection activeCell="C24" sqref="C24"/>
    </sheetView>
  </sheetViews>
  <sheetFormatPr defaultColWidth="9.140625" defaultRowHeight="12.75"/>
  <cols>
    <col min="1" max="1" width="3.8515625" style="0" hidden="1" customWidth="1"/>
    <col min="2" max="2" width="33.710937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6" t="s">
        <v>65</v>
      </c>
      <c r="C1" s="12"/>
      <c r="D1" s="12"/>
      <c r="E1" s="12"/>
      <c r="F1" s="12"/>
    </row>
    <row r="2" spans="2:6" ht="12.75">
      <c r="B2" s="12"/>
      <c r="C2" s="12"/>
      <c r="D2" s="12"/>
      <c r="E2" s="12"/>
      <c r="F2" s="12"/>
    </row>
    <row r="3" spans="1:6" ht="12.75">
      <c r="A3" t="s">
        <v>86</v>
      </c>
      <c r="B3" s="6" t="str">
        <f>cond!C3</f>
        <v>3028C1</v>
      </c>
      <c r="C3" s="12" t="str">
        <f>cond!C10</f>
        <v>Trial burn - min temp/DRE</v>
      </c>
      <c r="D3" s="12"/>
      <c r="E3" s="51" t="s">
        <v>47</v>
      </c>
      <c r="F3" s="12"/>
    </row>
    <row r="4" spans="2:6" ht="12.75">
      <c r="B4" s="12"/>
      <c r="C4" s="12"/>
      <c r="D4" s="12"/>
      <c r="F4" s="12"/>
    </row>
    <row r="5" spans="2:6" ht="14.25">
      <c r="B5" s="12" t="s">
        <v>125</v>
      </c>
      <c r="C5" s="7" t="s">
        <v>54</v>
      </c>
      <c r="D5" s="7"/>
      <c r="E5">
        <v>1785</v>
      </c>
      <c r="F5" s="12"/>
    </row>
    <row r="6" spans="2:6" ht="14.25">
      <c r="B6" s="12" t="s">
        <v>151</v>
      </c>
      <c r="C6" s="12" t="s">
        <v>112</v>
      </c>
      <c r="D6" s="7"/>
      <c r="E6">
        <v>-0.67</v>
      </c>
      <c r="F6" s="12"/>
    </row>
    <row r="7" spans="2:5" s="12" customFormat="1" ht="12.75">
      <c r="B7" s="12" t="s">
        <v>146</v>
      </c>
      <c r="C7" s="12" t="s">
        <v>147</v>
      </c>
      <c r="E7">
        <v>384</v>
      </c>
    </row>
    <row r="8" spans="2:5" s="12" customFormat="1" ht="12.75">
      <c r="B8" s="12" t="s">
        <v>148</v>
      </c>
      <c r="E8">
        <v>8.6</v>
      </c>
    </row>
    <row r="9" spans="2:5" s="12" customFormat="1" ht="12.75">
      <c r="B9" s="12" t="s">
        <v>149</v>
      </c>
      <c r="C9" s="12" t="s">
        <v>150</v>
      </c>
      <c r="E9">
        <v>0.512</v>
      </c>
    </row>
    <row r="10" s="12" customFormat="1" ht="12.75">
      <c r="E10"/>
    </row>
    <row r="11" spans="2:5" ht="12.75">
      <c r="B11" s="6" t="str">
        <f>emiss!B29</f>
        <v>3028C2</v>
      </c>
      <c r="C11" s="12" t="str">
        <f>cond!C20</f>
        <v>Trial burn - worst-case PM/HCl/metals; As/Cr spiked</v>
      </c>
      <c r="D11" s="12"/>
      <c r="E11" t="s">
        <v>47</v>
      </c>
    </row>
    <row r="12" spans="2:4" ht="12.75">
      <c r="B12" s="12"/>
      <c r="C12" s="12"/>
      <c r="D12" s="12"/>
    </row>
    <row r="13" spans="2:5" ht="14.25">
      <c r="B13" s="12" t="s">
        <v>125</v>
      </c>
      <c r="C13" s="7" t="s">
        <v>54</v>
      </c>
      <c r="D13" s="7"/>
      <c r="E13">
        <v>2400</v>
      </c>
    </row>
    <row r="14" spans="2:5" ht="14.25">
      <c r="B14" s="12" t="s">
        <v>151</v>
      </c>
      <c r="C14" s="12" t="s">
        <v>112</v>
      </c>
      <c r="D14" s="7"/>
      <c r="E14">
        <v>-1.2</v>
      </c>
    </row>
    <row r="15" spans="2:5" ht="14.25">
      <c r="B15" s="12" t="s">
        <v>146</v>
      </c>
      <c r="C15" s="12" t="s">
        <v>147</v>
      </c>
      <c r="D15" s="7"/>
      <c r="E15">
        <v>382</v>
      </c>
    </row>
    <row r="16" spans="2:5" ht="12.75">
      <c r="B16" s="12" t="s">
        <v>148</v>
      </c>
      <c r="C16" s="12"/>
      <c r="D16" s="12"/>
      <c r="E16">
        <v>8.6</v>
      </c>
    </row>
    <row r="17" spans="2:4" ht="12.75">
      <c r="B17" s="12" t="s">
        <v>149</v>
      </c>
      <c r="C17" s="12" t="s">
        <v>150</v>
      </c>
      <c r="D17" s="12"/>
    </row>
    <row r="19" spans="2:5" ht="12.75">
      <c r="B19" s="6" t="str">
        <f>cond!C23</f>
        <v>3028C3</v>
      </c>
      <c r="C19" t="str">
        <f>cond!C30</f>
        <v>Risk burn (Slightly higher than annual median waste feedrate)</v>
      </c>
      <c r="E19" t="s">
        <v>47</v>
      </c>
    </row>
    <row r="20" spans="2:4" ht="12.75">
      <c r="B20" s="12"/>
      <c r="C20" s="12"/>
      <c r="D20" s="12"/>
    </row>
    <row r="21" spans="2:5" ht="14.25">
      <c r="B21" s="12" t="s">
        <v>125</v>
      </c>
      <c r="C21" s="7" t="s">
        <v>54</v>
      </c>
      <c r="D21" s="7"/>
      <c r="E21">
        <v>2164</v>
      </c>
    </row>
    <row r="22" spans="2:5" ht="14.25">
      <c r="B22" s="12" t="s">
        <v>151</v>
      </c>
      <c r="C22" s="12" t="s">
        <v>112</v>
      </c>
      <c r="D22" s="7"/>
      <c r="E22">
        <v>-1.57</v>
      </c>
    </row>
    <row r="23" spans="2:5" ht="14.25">
      <c r="B23" s="12" t="s">
        <v>146</v>
      </c>
      <c r="C23" s="12" t="s">
        <v>147</v>
      </c>
      <c r="D23" s="7"/>
      <c r="E23">
        <v>382</v>
      </c>
    </row>
    <row r="24" spans="2:5" ht="12.75">
      <c r="B24" s="12" t="s">
        <v>148</v>
      </c>
      <c r="C24" s="12"/>
      <c r="D24" s="12"/>
      <c r="E24">
        <v>8.6</v>
      </c>
    </row>
    <row r="25" spans="2:4" ht="12.75">
      <c r="B25" s="12" t="s">
        <v>149</v>
      </c>
      <c r="C25" s="12" t="s">
        <v>150</v>
      </c>
      <c r="D25" s="12"/>
    </row>
    <row r="26" spans="2:4" ht="12.75">
      <c r="B26" s="12"/>
      <c r="C26" s="12"/>
      <c r="D26" s="1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workbookViewId="0" topLeftCell="A1">
      <selection activeCell="C24" sqref="C24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281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51" customWidth="1"/>
    <col min="11" max="11" width="9.28125" style="0" customWidth="1"/>
    <col min="13" max="13" width="9.28125" style="0" customWidth="1"/>
    <col min="14" max="14" width="4.421875" style="0" customWidth="1"/>
    <col min="16" max="16" width="9.00390625" style="0" customWidth="1"/>
    <col min="18" max="18" width="9.00390625" style="0" customWidth="1"/>
  </cols>
  <sheetData>
    <row r="1" spans="1:18" ht="12.75">
      <c r="A1" s="41" t="s">
        <v>67</v>
      </c>
      <c r="B1" s="27"/>
      <c r="C1" s="27"/>
      <c r="D1" s="27"/>
      <c r="E1" s="34"/>
      <c r="F1" s="35"/>
      <c r="G1" s="34"/>
      <c r="H1" s="35"/>
      <c r="I1" s="38"/>
      <c r="J1" s="34"/>
      <c r="K1" s="34"/>
      <c r="L1" s="34"/>
      <c r="M1" s="34"/>
      <c r="N1" s="34"/>
      <c r="O1" s="34"/>
      <c r="P1" s="34"/>
      <c r="Q1" s="34"/>
      <c r="R1" s="34"/>
    </row>
    <row r="2" spans="1:18" ht="12.75">
      <c r="A2" s="27" t="s">
        <v>224</v>
      </c>
      <c r="B2" s="27"/>
      <c r="C2" s="27"/>
      <c r="D2" s="27"/>
      <c r="E2" s="34"/>
      <c r="F2" s="35"/>
      <c r="G2" s="34"/>
      <c r="H2" s="35"/>
      <c r="I2" s="38"/>
      <c r="J2" s="34"/>
      <c r="K2" s="34"/>
      <c r="L2" s="34"/>
      <c r="M2" s="34"/>
      <c r="N2" s="34"/>
      <c r="O2" s="34"/>
      <c r="P2" s="34"/>
      <c r="Q2" s="34"/>
      <c r="R2" s="34"/>
    </row>
    <row r="3" spans="1:18" ht="12.75">
      <c r="A3" s="27" t="s">
        <v>20</v>
      </c>
      <c r="B3" s="27"/>
      <c r="C3" s="9" t="s">
        <v>172</v>
      </c>
      <c r="D3" s="9"/>
      <c r="E3" s="34"/>
      <c r="F3" s="35"/>
      <c r="G3" s="34"/>
      <c r="H3" s="35"/>
      <c r="I3" s="38"/>
      <c r="J3" s="34"/>
      <c r="K3" s="34"/>
      <c r="L3" s="34"/>
      <c r="M3" s="34"/>
      <c r="N3" s="34"/>
      <c r="O3" s="34"/>
      <c r="P3" s="34"/>
      <c r="Q3" s="34"/>
      <c r="R3" s="34"/>
    </row>
    <row r="4" spans="1:18" ht="12.75">
      <c r="A4" s="27" t="s">
        <v>21</v>
      </c>
      <c r="B4" s="27"/>
      <c r="C4" s="26" t="str">
        <f>cond!C23</f>
        <v>3028C3</v>
      </c>
      <c r="D4" s="9"/>
      <c r="E4" s="36" t="str">
        <f>cond!C30</f>
        <v>Risk burn (Slightly higher than annual median waste feedrate)</v>
      </c>
      <c r="F4" s="37"/>
      <c r="G4" s="36"/>
      <c r="H4" s="37"/>
      <c r="I4" s="38"/>
      <c r="J4" s="36"/>
      <c r="K4" s="36"/>
      <c r="L4" s="36"/>
      <c r="M4" s="36"/>
      <c r="N4" s="36"/>
      <c r="O4" s="36"/>
      <c r="P4" s="36"/>
      <c r="Q4" s="36"/>
      <c r="R4" s="36"/>
    </row>
    <row r="5" spans="1:18" ht="12.75">
      <c r="A5" s="27" t="s">
        <v>22</v>
      </c>
      <c r="B5" s="27"/>
      <c r="C5" s="12" t="s">
        <v>173</v>
      </c>
      <c r="D5" s="12"/>
      <c r="E5" s="12"/>
      <c r="F5" s="12"/>
      <c r="G5" s="12"/>
      <c r="H5" s="12"/>
      <c r="I5" s="46"/>
      <c r="J5" s="12"/>
      <c r="K5" s="34"/>
      <c r="L5" s="12"/>
      <c r="M5" s="34"/>
      <c r="N5" s="34"/>
      <c r="O5" s="34"/>
      <c r="P5" s="34"/>
      <c r="Q5" s="34"/>
      <c r="R5" s="34"/>
    </row>
    <row r="6" spans="1:18" ht="12.75">
      <c r="A6" s="27"/>
      <c r="B6" s="27"/>
      <c r="C6" s="29"/>
      <c r="D6" s="29"/>
      <c r="E6" s="38"/>
      <c r="F6" s="35"/>
      <c r="G6" s="38"/>
      <c r="H6" s="35"/>
      <c r="I6" s="38"/>
      <c r="J6" s="38"/>
      <c r="K6" s="34"/>
      <c r="L6" s="38"/>
      <c r="M6" s="34"/>
      <c r="N6" s="34"/>
      <c r="O6" s="38"/>
      <c r="P6" s="34"/>
      <c r="Q6" s="38"/>
      <c r="R6" s="34"/>
    </row>
    <row r="7" spans="1:18" ht="12.75">
      <c r="A7" s="27"/>
      <c r="B7" s="27"/>
      <c r="C7" s="29" t="s">
        <v>23</v>
      </c>
      <c r="D7" s="29"/>
      <c r="E7" s="39" t="s">
        <v>174</v>
      </c>
      <c r="F7" s="39"/>
      <c r="G7" s="39"/>
      <c r="H7" s="39"/>
      <c r="I7" s="11"/>
      <c r="J7" s="39" t="s">
        <v>113</v>
      </c>
      <c r="K7" s="39"/>
      <c r="L7" s="39"/>
      <c r="M7" s="39"/>
      <c r="N7" s="11"/>
      <c r="O7" s="39" t="s">
        <v>175</v>
      </c>
      <c r="P7" s="39"/>
      <c r="Q7" s="39"/>
      <c r="R7" s="39"/>
    </row>
    <row r="8" spans="1:18" ht="12.75">
      <c r="A8" s="27"/>
      <c r="B8" s="27"/>
      <c r="C8" s="29" t="s">
        <v>24</v>
      </c>
      <c r="D8" s="27"/>
      <c r="E8" s="38" t="s">
        <v>25</v>
      </c>
      <c r="F8" s="37" t="s">
        <v>26</v>
      </c>
      <c r="G8" s="38" t="s">
        <v>25</v>
      </c>
      <c r="H8" s="37" t="s">
        <v>26</v>
      </c>
      <c r="I8" s="38"/>
      <c r="J8" s="38" t="s">
        <v>25</v>
      </c>
      <c r="K8" s="38" t="s">
        <v>27</v>
      </c>
      <c r="L8" s="38" t="s">
        <v>25</v>
      </c>
      <c r="M8" s="38" t="s">
        <v>27</v>
      </c>
      <c r="N8" s="34"/>
      <c r="O8" s="38" t="s">
        <v>25</v>
      </c>
      <c r="P8" s="38" t="s">
        <v>27</v>
      </c>
      <c r="Q8" s="38" t="s">
        <v>25</v>
      </c>
      <c r="R8" s="38" t="s">
        <v>27</v>
      </c>
    </row>
    <row r="9" spans="1:18" ht="12.75">
      <c r="A9" s="27"/>
      <c r="B9" s="27"/>
      <c r="C9" s="29"/>
      <c r="D9" s="27"/>
      <c r="E9" s="38" t="s">
        <v>223</v>
      </c>
      <c r="F9" s="38" t="s">
        <v>223</v>
      </c>
      <c r="G9" s="38" t="s">
        <v>66</v>
      </c>
      <c r="H9" s="37" t="s">
        <v>66</v>
      </c>
      <c r="I9" s="38"/>
      <c r="J9" s="38" t="s">
        <v>223</v>
      </c>
      <c r="K9" s="38" t="s">
        <v>223</v>
      </c>
      <c r="L9" s="38" t="s">
        <v>66</v>
      </c>
      <c r="M9" s="37" t="s">
        <v>66</v>
      </c>
      <c r="N9" s="34"/>
      <c r="O9" s="38" t="s">
        <v>223</v>
      </c>
      <c r="P9" s="38" t="s">
        <v>223</v>
      </c>
      <c r="Q9" s="38" t="s">
        <v>66</v>
      </c>
      <c r="R9" s="37" t="s">
        <v>66</v>
      </c>
    </row>
    <row r="10" spans="1:18" ht="12.75">
      <c r="A10" s="27" t="s">
        <v>99</v>
      </c>
      <c r="B10" s="27"/>
      <c r="C10" s="27"/>
      <c r="D10" s="27"/>
      <c r="E10" s="34"/>
      <c r="F10" s="35"/>
      <c r="G10" s="34"/>
      <c r="H10" s="35"/>
      <c r="I10" s="38"/>
      <c r="J10" s="34"/>
      <c r="K10" s="34"/>
      <c r="L10" s="34"/>
      <c r="M10" s="34"/>
      <c r="N10" s="34"/>
      <c r="O10" s="30"/>
      <c r="P10" s="34"/>
      <c r="Q10" s="34"/>
      <c r="R10" s="34"/>
    </row>
    <row r="11" spans="1:18" ht="12.75">
      <c r="A11" s="27"/>
      <c r="B11" s="27" t="s">
        <v>28</v>
      </c>
      <c r="C11" s="29">
        <v>1</v>
      </c>
      <c r="D11" t="s">
        <v>98</v>
      </c>
      <c r="E11">
        <v>8</v>
      </c>
      <c r="F11" s="32">
        <f aca="true" t="shared" si="0" ref="F11:F35">IF(E11="","",E11*$C11)</f>
        <v>8</v>
      </c>
      <c r="G11" s="32">
        <f aca="true" t="shared" si="1" ref="G11:G35">IF(E11=0,"",IF(D11="nd",E11/2,E11))</f>
        <v>4</v>
      </c>
      <c r="H11" s="32">
        <f aca="true" t="shared" si="2" ref="H11:H35">IF(G11="","",G11*$C11)</f>
        <v>4</v>
      </c>
      <c r="I11" t="s">
        <v>98</v>
      </c>
      <c r="J11">
        <v>7.5</v>
      </c>
      <c r="K11" s="32">
        <f aca="true" t="shared" si="3" ref="K11:K35">IF(J11="","",J11*$C11)</f>
        <v>7.5</v>
      </c>
      <c r="L11" s="32">
        <f>IF(J11=0,"",IF(I11="nd",J11/2,J11))</f>
        <v>3.75</v>
      </c>
      <c r="M11" s="32">
        <f aca="true" t="shared" si="4" ref="M11:M35">IF(L11="","",L11*$C11)</f>
        <v>3.75</v>
      </c>
      <c r="N11" t="s">
        <v>98</v>
      </c>
      <c r="O11">
        <v>4.7</v>
      </c>
      <c r="P11" s="40">
        <f aca="true" t="shared" si="5" ref="P11:P35">IF(O11="","",O11*$C11)</f>
        <v>4.7</v>
      </c>
      <c r="Q11" s="40">
        <f>IF(O11=0,"",IF(N11="nd",O11/2,O11))</f>
        <v>2.35</v>
      </c>
      <c r="R11" s="40">
        <f aca="true" t="shared" si="6" ref="R11:R35">IF(Q11="","",Q11*$C11)</f>
        <v>2.35</v>
      </c>
    </row>
    <row r="12" spans="1:18" ht="12.75">
      <c r="A12" s="27"/>
      <c r="B12" s="27" t="s">
        <v>89</v>
      </c>
      <c r="C12" s="29">
        <v>0</v>
      </c>
      <c r="E12">
        <v>330</v>
      </c>
      <c r="F12" s="40">
        <f t="shared" si="0"/>
        <v>0</v>
      </c>
      <c r="G12" s="40">
        <f>IF(E12=0,"",IF(D12="nd",E12/2,E12))</f>
        <v>330</v>
      </c>
      <c r="H12" s="40">
        <f t="shared" si="2"/>
        <v>0</v>
      </c>
      <c r="I12"/>
      <c r="J12">
        <v>78</v>
      </c>
      <c r="K12" s="32">
        <f t="shared" si="3"/>
        <v>0</v>
      </c>
      <c r="L12" s="40">
        <f>IF(J12=0,"",IF(I12="nd",J12/2,J12))</f>
        <v>78</v>
      </c>
      <c r="M12" s="32">
        <f t="shared" si="4"/>
        <v>0</v>
      </c>
      <c r="O12">
        <v>29</v>
      </c>
      <c r="P12" s="40">
        <f t="shared" si="5"/>
        <v>0</v>
      </c>
      <c r="Q12" s="40">
        <f>IF(O12=0,"",IF(N12="nd",O12/2,O12))</f>
        <v>29</v>
      </c>
      <c r="R12" s="40">
        <f t="shared" si="6"/>
        <v>0</v>
      </c>
    </row>
    <row r="13" spans="1:18" ht="12.75">
      <c r="A13" s="27"/>
      <c r="B13" s="27" t="s">
        <v>29</v>
      </c>
      <c r="C13" s="29">
        <v>0.5</v>
      </c>
      <c r="E13">
        <v>48</v>
      </c>
      <c r="F13" s="32">
        <f t="shared" si="0"/>
        <v>24</v>
      </c>
      <c r="G13" s="32">
        <f t="shared" si="1"/>
        <v>48</v>
      </c>
      <c r="H13" s="32">
        <f t="shared" si="2"/>
        <v>24</v>
      </c>
      <c r="I13"/>
      <c r="J13">
        <v>30</v>
      </c>
      <c r="K13" s="32">
        <f t="shared" si="3"/>
        <v>15</v>
      </c>
      <c r="L13" s="32">
        <f aca="true" t="shared" si="7" ref="L13:L35">IF(J13=0,"",IF(I13="nd",J13/2,J13))</f>
        <v>30</v>
      </c>
      <c r="M13" s="32">
        <f t="shared" si="4"/>
        <v>15</v>
      </c>
      <c r="O13">
        <v>11</v>
      </c>
      <c r="P13" s="40">
        <f t="shared" si="5"/>
        <v>5.5</v>
      </c>
      <c r="Q13" s="40">
        <f aca="true" t="shared" si="8" ref="Q13:Q35">IF(O13=0,"",IF(N13="nd",O13/2,O13))</f>
        <v>11</v>
      </c>
      <c r="R13" s="40">
        <f t="shared" si="6"/>
        <v>5.5</v>
      </c>
    </row>
    <row r="14" spans="1:18" ht="12.75">
      <c r="A14" s="27"/>
      <c r="B14" s="27" t="s">
        <v>90</v>
      </c>
      <c r="C14" s="29">
        <v>0</v>
      </c>
      <c r="E14">
        <v>400</v>
      </c>
      <c r="F14" s="40">
        <f t="shared" si="0"/>
        <v>0</v>
      </c>
      <c r="G14" s="40">
        <f>IF(E14=0,"",IF(D14="nd",E14/2,E14))</f>
        <v>400</v>
      </c>
      <c r="H14" s="40">
        <f t="shared" si="2"/>
        <v>0</v>
      </c>
      <c r="I14"/>
      <c r="J14">
        <v>180</v>
      </c>
      <c r="K14" s="32">
        <f t="shared" si="3"/>
        <v>0</v>
      </c>
      <c r="L14" s="40">
        <f>IF(J14=0,"",IF(I14="nd",J14/2,J14))</f>
        <v>180</v>
      </c>
      <c r="M14" s="32">
        <f t="shared" si="4"/>
        <v>0</v>
      </c>
      <c r="O14">
        <v>48</v>
      </c>
      <c r="P14" s="40">
        <f t="shared" si="5"/>
        <v>0</v>
      </c>
      <c r="Q14" s="40">
        <f>IF(O14=0,"",IF(N14="nd",O14/2,O14))</f>
        <v>48</v>
      </c>
      <c r="R14" s="40">
        <f t="shared" si="6"/>
        <v>0</v>
      </c>
    </row>
    <row r="15" spans="1:18" ht="12.75">
      <c r="A15" s="27"/>
      <c r="B15" s="27" t="s">
        <v>30</v>
      </c>
      <c r="C15" s="29">
        <v>0.1</v>
      </c>
      <c r="E15">
        <v>200</v>
      </c>
      <c r="F15" s="32">
        <f t="shared" si="0"/>
        <v>20</v>
      </c>
      <c r="G15" s="32">
        <f t="shared" si="1"/>
        <v>200</v>
      </c>
      <c r="H15" s="32">
        <f t="shared" si="2"/>
        <v>20</v>
      </c>
      <c r="I15"/>
      <c r="J15">
        <v>160</v>
      </c>
      <c r="K15" s="32">
        <f t="shared" si="3"/>
        <v>16</v>
      </c>
      <c r="L15" s="32">
        <f t="shared" si="7"/>
        <v>160</v>
      </c>
      <c r="M15" s="32">
        <f t="shared" si="4"/>
        <v>16</v>
      </c>
      <c r="O15">
        <v>70</v>
      </c>
      <c r="P15" s="40">
        <f t="shared" si="5"/>
        <v>7</v>
      </c>
      <c r="Q15" s="40">
        <f t="shared" si="8"/>
        <v>70</v>
      </c>
      <c r="R15" s="40">
        <f t="shared" si="6"/>
        <v>7</v>
      </c>
    </row>
    <row r="16" spans="1:18" ht="12.75">
      <c r="A16" s="27"/>
      <c r="B16" s="27" t="s">
        <v>31</v>
      </c>
      <c r="C16" s="29">
        <v>0.1</v>
      </c>
      <c r="E16">
        <v>130</v>
      </c>
      <c r="F16" s="32">
        <f t="shared" si="0"/>
        <v>13</v>
      </c>
      <c r="G16" s="32">
        <f t="shared" si="1"/>
        <v>130</v>
      </c>
      <c r="H16" s="32">
        <f t="shared" si="2"/>
        <v>13</v>
      </c>
      <c r="I16"/>
      <c r="J16">
        <v>120</v>
      </c>
      <c r="K16" s="32">
        <f t="shared" si="3"/>
        <v>12</v>
      </c>
      <c r="L16" s="32">
        <f t="shared" si="7"/>
        <v>120</v>
      </c>
      <c r="M16" s="32">
        <f t="shared" si="4"/>
        <v>12</v>
      </c>
      <c r="O16">
        <v>48</v>
      </c>
      <c r="P16" s="40">
        <f t="shared" si="5"/>
        <v>4.800000000000001</v>
      </c>
      <c r="Q16" s="40">
        <f t="shared" si="8"/>
        <v>48</v>
      </c>
      <c r="R16" s="40">
        <f t="shared" si="6"/>
        <v>4.800000000000001</v>
      </c>
    </row>
    <row r="17" spans="1:18" ht="12.75">
      <c r="A17" s="27"/>
      <c r="B17" s="27" t="s">
        <v>32</v>
      </c>
      <c r="C17" s="29">
        <v>0.1</v>
      </c>
      <c r="E17">
        <v>220</v>
      </c>
      <c r="F17" s="32">
        <f t="shared" si="0"/>
        <v>22</v>
      </c>
      <c r="G17" s="32">
        <f t="shared" si="1"/>
        <v>220</v>
      </c>
      <c r="H17" s="32">
        <f t="shared" si="2"/>
        <v>22</v>
      </c>
      <c r="I17"/>
      <c r="J17">
        <v>210</v>
      </c>
      <c r="K17" s="32">
        <f t="shared" si="3"/>
        <v>21</v>
      </c>
      <c r="L17" s="32">
        <f t="shared" si="7"/>
        <v>210</v>
      </c>
      <c r="M17" s="32">
        <f t="shared" si="4"/>
        <v>21</v>
      </c>
      <c r="O17">
        <v>83</v>
      </c>
      <c r="P17" s="40">
        <f t="shared" si="5"/>
        <v>8.3</v>
      </c>
      <c r="Q17" s="40">
        <f t="shared" si="8"/>
        <v>83</v>
      </c>
      <c r="R17" s="40">
        <f t="shared" si="6"/>
        <v>8.3</v>
      </c>
    </row>
    <row r="18" spans="1:18" ht="12.75">
      <c r="A18" s="27"/>
      <c r="B18" s="27" t="s">
        <v>91</v>
      </c>
      <c r="C18" s="29">
        <v>0</v>
      </c>
      <c r="E18">
        <v>1300</v>
      </c>
      <c r="F18" s="40">
        <f t="shared" si="0"/>
        <v>0</v>
      </c>
      <c r="G18" s="40">
        <f>IF(E18=0,"",IF(D18="nd",E18/2,E18))</f>
        <v>1300</v>
      </c>
      <c r="H18" s="40">
        <f t="shared" si="2"/>
        <v>0</v>
      </c>
      <c r="I18"/>
      <c r="J18">
        <v>1000</v>
      </c>
      <c r="K18" s="32">
        <f t="shared" si="3"/>
        <v>0</v>
      </c>
      <c r="L18" s="40">
        <f>IF(J18=0,"",IF(I18="nd",J18/2,J18))</f>
        <v>1000</v>
      </c>
      <c r="M18" s="32">
        <f t="shared" si="4"/>
        <v>0</v>
      </c>
      <c r="O18">
        <v>440</v>
      </c>
      <c r="P18" s="40">
        <f t="shared" si="5"/>
        <v>0</v>
      </c>
      <c r="Q18" s="40">
        <f>IF(O18=0,"",IF(N18="nd",O18/2,O18))</f>
        <v>440</v>
      </c>
      <c r="R18" s="40">
        <f t="shared" si="6"/>
        <v>0</v>
      </c>
    </row>
    <row r="19" spans="1:18" ht="12.75">
      <c r="A19" s="27"/>
      <c r="B19" s="27" t="s">
        <v>33</v>
      </c>
      <c r="C19" s="29">
        <v>0.01</v>
      </c>
      <c r="E19">
        <v>4700</v>
      </c>
      <c r="F19" s="32">
        <f t="shared" si="0"/>
        <v>47</v>
      </c>
      <c r="G19" s="32">
        <f t="shared" si="1"/>
        <v>4700</v>
      </c>
      <c r="H19" s="32">
        <f t="shared" si="2"/>
        <v>47</v>
      </c>
      <c r="I19"/>
      <c r="J19">
        <v>5500</v>
      </c>
      <c r="K19" s="32">
        <f t="shared" si="3"/>
        <v>55</v>
      </c>
      <c r="L19" s="32">
        <f t="shared" si="7"/>
        <v>5500</v>
      </c>
      <c r="M19" s="32">
        <f t="shared" si="4"/>
        <v>55</v>
      </c>
      <c r="O19">
        <v>2300</v>
      </c>
      <c r="P19" s="40">
        <f t="shared" si="5"/>
        <v>23</v>
      </c>
      <c r="Q19" s="40">
        <f t="shared" si="8"/>
        <v>2300</v>
      </c>
      <c r="R19" s="40">
        <f t="shared" si="6"/>
        <v>23</v>
      </c>
    </row>
    <row r="20" spans="1:18" ht="12.75">
      <c r="A20" s="27"/>
      <c r="B20" s="27" t="s">
        <v>92</v>
      </c>
      <c r="C20" s="29">
        <v>0</v>
      </c>
      <c r="E20">
        <v>8100</v>
      </c>
      <c r="F20" s="40">
        <f t="shared" si="0"/>
        <v>0</v>
      </c>
      <c r="G20" s="40">
        <f>IF(E20=0,"",IF(D20="nd",E20/2,E20))</f>
        <v>8100</v>
      </c>
      <c r="H20" s="40">
        <f t="shared" si="2"/>
        <v>0</v>
      </c>
      <c r="I20"/>
      <c r="J20">
        <v>9200</v>
      </c>
      <c r="K20" s="32">
        <f t="shared" si="3"/>
        <v>0</v>
      </c>
      <c r="L20" s="40">
        <f>IF(J20=0,"",IF(I20="nd",J20/2,J20))</f>
        <v>9200</v>
      </c>
      <c r="M20" s="32">
        <f t="shared" si="4"/>
        <v>0</v>
      </c>
      <c r="O20">
        <v>3800</v>
      </c>
      <c r="P20" s="40">
        <f t="shared" si="5"/>
        <v>0</v>
      </c>
      <c r="Q20" s="40">
        <f>IF(O20=0,"",IF(N20="nd",O20/2,O20))</f>
        <v>3800</v>
      </c>
      <c r="R20" s="40">
        <f t="shared" si="6"/>
        <v>0</v>
      </c>
    </row>
    <row r="21" spans="1:18" ht="12.75">
      <c r="A21" s="27"/>
      <c r="B21" s="27" t="s">
        <v>34</v>
      </c>
      <c r="C21" s="29">
        <v>0.001</v>
      </c>
      <c r="E21">
        <v>41000</v>
      </c>
      <c r="F21" s="32">
        <f t="shared" si="0"/>
        <v>41</v>
      </c>
      <c r="G21" s="32">
        <f t="shared" si="1"/>
        <v>41000</v>
      </c>
      <c r="H21" s="32">
        <f t="shared" si="2"/>
        <v>41</v>
      </c>
      <c r="I21"/>
      <c r="J21">
        <v>57000</v>
      </c>
      <c r="K21" s="32">
        <f t="shared" si="3"/>
        <v>57</v>
      </c>
      <c r="L21" s="40">
        <f t="shared" si="7"/>
        <v>57000</v>
      </c>
      <c r="M21" s="32">
        <f t="shared" si="4"/>
        <v>57</v>
      </c>
      <c r="O21">
        <v>25000</v>
      </c>
      <c r="P21" s="40">
        <f t="shared" si="5"/>
        <v>25</v>
      </c>
      <c r="Q21" s="40">
        <f t="shared" si="8"/>
        <v>25000</v>
      </c>
      <c r="R21" s="40">
        <f t="shared" si="6"/>
        <v>25</v>
      </c>
    </row>
    <row r="22" spans="1:18" ht="12.75">
      <c r="A22" s="27"/>
      <c r="B22" s="27" t="s">
        <v>35</v>
      </c>
      <c r="C22" s="29">
        <v>0.1</v>
      </c>
      <c r="E22">
        <v>300</v>
      </c>
      <c r="F22" s="32">
        <f t="shared" si="0"/>
        <v>30</v>
      </c>
      <c r="G22" s="32">
        <f t="shared" si="1"/>
        <v>300</v>
      </c>
      <c r="H22" s="32">
        <f t="shared" si="2"/>
        <v>30</v>
      </c>
      <c r="I22"/>
      <c r="J22">
        <v>170</v>
      </c>
      <c r="K22" s="32">
        <f t="shared" si="3"/>
        <v>17</v>
      </c>
      <c r="L22" s="40">
        <f t="shared" si="7"/>
        <v>170</v>
      </c>
      <c r="M22" s="32">
        <f t="shared" si="4"/>
        <v>17</v>
      </c>
      <c r="O22">
        <v>510</v>
      </c>
      <c r="P22" s="40">
        <f t="shared" si="5"/>
        <v>51</v>
      </c>
      <c r="Q22" s="40">
        <f t="shared" si="8"/>
        <v>510</v>
      </c>
      <c r="R22" s="40">
        <f t="shared" si="6"/>
        <v>51</v>
      </c>
    </row>
    <row r="23" spans="1:18" ht="12.75">
      <c r="A23" s="27"/>
      <c r="B23" s="27" t="s">
        <v>93</v>
      </c>
      <c r="C23" s="29">
        <v>0</v>
      </c>
      <c r="E23">
        <v>3200</v>
      </c>
      <c r="F23" s="40">
        <f t="shared" si="0"/>
        <v>0</v>
      </c>
      <c r="G23" s="40">
        <f>IF(E23=0,"",IF(D23="nd",E23/2,E23))</f>
        <v>3200</v>
      </c>
      <c r="H23" s="40">
        <f t="shared" si="2"/>
        <v>0</v>
      </c>
      <c r="I23"/>
      <c r="J23">
        <v>1800</v>
      </c>
      <c r="K23" s="32">
        <f t="shared" si="3"/>
        <v>0</v>
      </c>
      <c r="L23" s="40">
        <f>IF(J23=0,"",IF(I23="nd",J23/2,J23))</f>
        <v>1800</v>
      </c>
      <c r="M23" s="32">
        <f t="shared" si="4"/>
        <v>0</v>
      </c>
      <c r="O23">
        <v>720</v>
      </c>
      <c r="P23" s="40">
        <f t="shared" si="5"/>
        <v>0</v>
      </c>
      <c r="Q23" s="40">
        <f>IF(O23=0,"",IF(N23="nd",O23/2,O23))</f>
        <v>720</v>
      </c>
      <c r="R23" s="40">
        <f t="shared" si="6"/>
        <v>0</v>
      </c>
    </row>
    <row r="24" spans="1:18" ht="12.75">
      <c r="A24" s="27"/>
      <c r="B24" s="27" t="s">
        <v>36</v>
      </c>
      <c r="C24" s="29">
        <v>0.05</v>
      </c>
      <c r="E24">
        <v>620</v>
      </c>
      <c r="F24" s="40">
        <f t="shared" si="0"/>
        <v>31</v>
      </c>
      <c r="G24" s="40">
        <f t="shared" si="1"/>
        <v>620</v>
      </c>
      <c r="H24" s="40">
        <f t="shared" si="2"/>
        <v>31</v>
      </c>
      <c r="I24"/>
      <c r="J24">
        <v>350</v>
      </c>
      <c r="K24" s="32">
        <f t="shared" si="3"/>
        <v>17.5</v>
      </c>
      <c r="L24" s="40">
        <f t="shared" si="7"/>
        <v>350</v>
      </c>
      <c r="M24" s="32">
        <f t="shared" si="4"/>
        <v>17.5</v>
      </c>
      <c r="O24">
        <v>130</v>
      </c>
      <c r="P24" s="40">
        <f t="shared" si="5"/>
        <v>6.5</v>
      </c>
      <c r="Q24" s="40">
        <f t="shared" si="8"/>
        <v>130</v>
      </c>
      <c r="R24" s="40">
        <f t="shared" si="6"/>
        <v>6.5</v>
      </c>
    </row>
    <row r="25" spans="1:18" ht="12.75">
      <c r="A25" s="27"/>
      <c r="B25" s="27" t="s">
        <v>37</v>
      </c>
      <c r="C25" s="29">
        <v>0.5</v>
      </c>
      <c r="E25">
        <v>700</v>
      </c>
      <c r="F25" s="40">
        <f t="shared" si="0"/>
        <v>350</v>
      </c>
      <c r="G25" s="40">
        <f t="shared" si="1"/>
        <v>700</v>
      </c>
      <c r="H25" s="40">
        <f t="shared" si="2"/>
        <v>350</v>
      </c>
      <c r="I25"/>
      <c r="J25">
        <v>430</v>
      </c>
      <c r="K25" s="32">
        <f t="shared" si="3"/>
        <v>215</v>
      </c>
      <c r="L25" s="40">
        <f t="shared" si="7"/>
        <v>430</v>
      </c>
      <c r="M25" s="32">
        <f t="shared" si="4"/>
        <v>215</v>
      </c>
      <c r="O25">
        <v>160</v>
      </c>
      <c r="P25" s="40">
        <f t="shared" si="5"/>
        <v>80</v>
      </c>
      <c r="Q25" s="40">
        <f t="shared" si="8"/>
        <v>160</v>
      </c>
      <c r="R25" s="40">
        <f t="shared" si="6"/>
        <v>80</v>
      </c>
    </row>
    <row r="26" spans="1:18" ht="12.75">
      <c r="A26" s="27"/>
      <c r="B26" s="27" t="s">
        <v>94</v>
      </c>
      <c r="C26" s="29">
        <v>0</v>
      </c>
      <c r="E26">
        <v>9400</v>
      </c>
      <c r="F26" s="40">
        <f t="shared" si="0"/>
        <v>0</v>
      </c>
      <c r="G26" s="40">
        <f>IF(E26=0,"",IF(D26="nd",E26/2,E26))</f>
        <v>9400</v>
      </c>
      <c r="H26" s="40">
        <f t="shared" si="2"/>
        <v>0</v>
      </c>
      <c r="I26"/>
      <c r="J26">
        <v>4800</v>
      </c>
      <c r="K26" s="32">
        <f t="shared" si="3"/>
        <v>0</v>
      </c>
      <c r="L26" s="40">
        <f>IF(J26=0,"",IF(I26="nd",J26/2,J26))</f>
        <v>4800</v>
      </c>
      <c r="M26" s="32">
        <f t="shared" si="4"/>
        <v>0</v>
      </c>
      <c r="O26">
        <v>1800</v>
      </c>
      <c r="P26" s="40">
        <f t="shared" si="5"/>
        <v>0</v>
      </c>
      <c r="Q26" s="40">
        <f>IF(O26=0,"",IF(N26="nd",O26/2,O26))</f>
        <v>1800</v>
      </c>
      <c r="R26" s="40">
        <f t="shared" si="6"/>
        <v>0</v>
      </c>
    </row>
    <row r="27" spans="1:18" ht="12.75">
      <c r="A27" s="27"/>
      <c r="B27" s="27" t="s">
        <v>38</v>
      </c>
      <c r="C27" s="29">
        <v>0.1</v>
      </c>
      <c r="E27">
        <v>6400</v>
      </c>
      <c r="F27" s="40">
        <f t="shared" si="0"/>
        <v>640</v>
      </c>
      <c r="G27" s="40">
        <f t="shared" si="1"/>
        <v>6400</v>
      </c>
      <c r="H27" s="40">
        <f t="shared" si="2"/>
        <v>640</v>
      </c>
      <c r="I27"/>
      <c r="J27">
        <v>4400</v>
      </c>
      <c r="K27" s="32">
        <f t="shared" si="3"/>
        <v>440</v>
      </c>
      <c r="L27" s="40">
        <f t="shared" si="7"/>
        <v>4400</v>
      </c>
      <c r="M27" s="32">
        <f t="shared" si="4"/>
        <v>440</v>
      </c>
      <c r="O27">
        <v>1800</v>
      </c>
      <c r="P27" s="40">
        <f t="shared" si="5"/>
        <v>180</v>
      </c>
      <c r="Q27" s="40">
        <f t="shared" si="8"/>
        <v>1800</v>
      </c>
      <c r="R27" s="40">
        <f t="shared" si="6"/>
        <v>180</v>
      </c>
    </row>
    <row r="28" spans="1:18" ht="12.75">
      <c r="A28" s="27"/>
      <c r="B28" s="27" t="s">
        <v>39</v>
      </c>
      <c r="C28" s="29">
        <v>0.1</v>
      </c>
      <c r="E28">
        <v>2600</v>
      </c>
      <c r="F28" s="40">
        <f t="shared" si="0"/>
        <v>260</v>
      </c>
      <c r="G28" s="40">
        <f t="shared" si="1"/>
        <v>2600</v>
      </c>
      <c r="H28" s="40">
        <f t="shared" si="2"/>
        <v>260</v>
      </c>
      <c r="I28"/>
      <c r="J28">
        <v>1900</v>
      </c>
      <c r="K28" s="32">
        <f t="shared" si="3"/>
        <v>190</v>
      </c>
      <c r="L28" s="40">
        <f t="shared" si="7"/>
        <v>1900</v>
      </c>
      <c r="M28" s="32">
        <f t="shared" si="4"/>
        <v>190</v>
      </c>
      <c r="O28">
        <v>800</v>
      </c>
      <c r="P28" s="40">
        <f t="shared" si="5"/>
        <v>80</v>
      </c>
      <c r="Q28" s="40">
        <f t="shared" si="8"/>
        <v>800</v>
      </c>
      <c r="R28" s="40">
        <f t="shared" si="6"/>
        <v>80</v>
      </c>
    </row>
    <row r="29" spans="1:18" ht="12.75">
      <c r="A29" s="27"/>
      <c r="B29" s="27" t="s">
        <v>40</v>
      </c>
      <c r="C29" s="29">
        <v>0.1</v>
      </c>
      <c r="E29">
        <v>2300</v>
      </c>
      <c r="F29" s="40">
        <f t="shared" si="0"/>
        <v>230</v>
      </c>
      <c r="G29" s="40">
        <f t="shared" si="1"/>
        <v>2300</v>
      </c>
      <c r="H29" s="40">
        <f t="shared" si="2"/>
        <v>230</v>
      </c>
      <c r="I29"/>
      <c r="J29">
        <v>2000</v>
      </c>
      <c r="K29" s="32">
        <f t="shared" si="3"/>
        <v>200</v>
      </c>
      <c r="L29" s="40">
        <f t="shared" si="7"/>
        <v>2000</v>
      </c>
      <c r="M29" s="32">
        <f t="shared" si="4"/>
        <v>200</v>
      </c>
      <c r="O29">
        <v>750</v>
      </c>
      <c r="P29" s="40">
        <f t="shared" si="5"/>
        <v>75</v>
      </c>
      <c r="Q29" s="40">
        <f t="shared" si="8"/>
        <v>750</v>
      </c>
      <c r="R29" s="40">
        <f t="shared" si="6"/>
        <v>75</v>
      </c>
    </row>
    <row r="30" spans="1:18" ht="12.75">
      <c r="A30" s="27"/>
      <c r="B30" s="27" t="s">
        <v>41</v>
      </c>
      <c r="C30" s="29">
        <v>0.1</v>
      </c>
      <c r="E30">
        <v>210</v>
      </c>
      <c r="F30" s="40">
        <f t="shared" si="0"/>
        <v>21</v>
      </c>
      <c r="G30" s="40">
        <f t="shared" si="1"/>
        <v>210</v>
      </c>
      <c r="H30" s="40">
        <f t="shared" si="2"/>
        <v>21</v>
      </c>
      <c r="I30"/>
      <c r="J30">
        <v>200</v>
      </c>
      <c r="K30" s="32">
        <f t="shared" si="3"/>
        <v>20</v>
      </c>
      <c r="L30" s="40">
        <f t="shared" si="7"/>
        <v>200</v>
      </c>
      <c r="M30" s="32">
        <f t="shared" si="4"/>
        <v>20</v>
      </c>
      <c r="O30">
        <v>96</v>
      </c>
      <c r="P30" s="40">
        <f t="shared" si="5"/>
        <v>9.600000000000001</v>
      </c>
      <c r="Q30" s="40">
        <f t="shared" si="8"/>
        <v>96</v>
      </c>
      <c r="R30" s="40">
        <f t="shared" si="6"/>
        <v>9.600000000000001</v>
      </c>
    </row>
    <row r="31" spans="1:18" ht="12.75">
      <c r="A31" s="27"/>
      <c r="B31" s="27" t="s">
        <v>95</v>
      </c>
      <c r="C31" s="29">
        <v>0</v>
      </c>
      <c r="E31">
        <v>25000</v>
      </c>
      <c r="F31" s="40">
        <f t="shared" si="0"/>
        <v>0</v>
      </c>
      <c r="G31" s="40">
        <f>IF(E31=0,"",IF(D31="nd",E31/2,E31))</f>
        <v>25000</v>
      </c>
      <c r="H31" s="40">
        <f t="shared" si="2"/>
        <v>0</v>
      </c>
      <c r="I31"/>
      <c r="J31">
        <v>17000</v>
      </c>
      <c r="K31" s="32">
        <f t="shared" si="3"/>
        <v>0</v>
      </c>
      <c r="L31" s="40">
        <f>IF(J31=0,"",IF(I31="nd",J31/2,J31))</f>
        <v>17000</v>
      </c>
      <c r="M31" s="32">
        <f t="shared" si="4"/>
        <v>0</v>
      </c>
      <c r="O31">
        <v>7200</v>
      </c>
      <c r="P31" s="40">
        <f t="shared" si="5"/>
        <v>0</v>
      </c>
      <c r="Q31" s="40">
        <f>IF(O31=0,"",IF(N31="nd",O31/2,O31))</f>
        <v>7200</v>
      </c>
      <c r="R31" s="40">
        <f t="shared" si="6"/>
        <v>0</v>
      </c>
    </row>
    <row r="32" spans="1:18" ht="12.75">
      <c r="A32" s="27"/>
      <c r="B32" s="27" t="s">
        <v>42</v>
      </c>
      <c r="C32" s="29">
        <v>0.01</v>
      </c>
      <c r="E32">
        <v>41000</v>
      </c>
      <c r="F32" s="40">
        <f t="shared" si="0"/>
        <v>410</v>
      </c>
      <c r="G32" s="40">
        <f t="shared" si="1"/>
        <v>41000</v>
      </c>
      <c r="H32" s="40">
        <f t="shared" si="2"/>
        <v>410</v>
      </c>
      <c r="I32"/>
      <c r="J32">
        <v>47000</v>
      </c>
      <c r="K32" s="32">
        <f t="shared" si="3"/>
        <v>470</v>
      </c>
      <c r="L32" s="40">
        <f t="shared" si="7"/>
        <v>47000</v>
      </c>
      <c r="M32" s="32">
        <f t="shared" si="4"/>
        <v>470</v>
      </c>
      <c r="O32">
        <v>20000</v>
      </c>
      <c r="P32" s="40">
        <f t="shared" si="5"/>
        <v>200</v>
      </c>
      <c r="Q32" s="40">
        <f t="shared" si="8"/>
        <v>20000</v>
      </c>
      <c r="R32" s="40">
        <f t="shared" si="6"/>
        <v>200</v>
      </c>
    </row>
    <row r="33" spans="1:18" ht="12.75">
      <c r="A33" s="27"/>
      <c r="B33" s="27" t="s">
        <v>43</v>
      </c>
      <c r="C33" s="29">
        <v>0.01</v>
      </c>
      <c r="E33">
        <v>7100</v>
      </c>
      <c r="F33" s="40">
        <f t="shared" si="0"/>
        <v>71</v>
      </c>
      <c r="G33" s="40">
        <f t="shared" si="1"/>
        <v>7100</v>
      </c>
      <c r="H33" s="40">
        <f t="shared" si="2"/>
        <v>71</v>
      </c>
      <c r="I33"/>
      <c r="J33">
        <v>10000</v>
      </c>
      <c r="K33" s="32">
        <f t="shared" si="3"/>
        <v>100</v>
      </c>
      <c r="L33" s="40">
        <f t="shared" si="7"/>
        <v>10000</v>
      </c>
      <c r="M33" s="32">
        <f t="shared" si="4"/>
        <v>100</v>
      </c>
      <c r="O33">
        <v>4000</v>
      </c>
      <c r="P33" s="40">
        <f t="shared" si="5"/>
        <v>40</v>
      </c>
      <c r="Q33" s="40">
        <f t="shared" si="8"/>
        <v>4000</v>
      </c>
      <c r="R33" s="40">
        <f t="shared" si="6"/>
        <v>40</v>
      </c>
    </row>
    <row r="34" spans="1:18" ht="12.75">
      <c r="A34" s="27"/>
      <c r="B34" s="27" t="s">
        <v>96</v>
      </c>
      <c r="C34" s="29">
        <v>0</v>
      </c>
      <c r="E34">
        <v>78000</v>
      </c>
      <c r="F34" s="40">
        <f t="shared" si="0"/>
        <v>0</v>
      </c>
      <c r="G34" s="40">
        <f>IF(E34=0,"",IF(D34="nd",E34/2,E34))</f>
        <v>78000</v>
      </c>
      <c r="H34" s="40">
        <f t="shared" si="2"/>
        <v>0</v>
      </c>
      <c r="I34"/>
      <c r="J34">
        <v>92000</v>
      </c>
      <c r="K34" s="32">
        <f t="shared" si="3"/>
        <v>0</v>
      </c>
      <c r="L34" s="40">
        <f>IF(J34=0,"",IF(I34="nd",J34/2,J34))</f>
        <v>92000</v>
      </c>
      <c r="M34" s="32">
        <f t="shared" si="4"/>
        <v>0</v>
      </c>
      <c r="O34">
        <v>38000</v>
      </c>
      <c r="P34" s="40">
        <f t="shared" si="5"/>
        <v>0</v>
      </c>
      <c r="Q34" s="40">
        <f>IF(O34=0,"",IF(N34="nd",O34/2,O34))</f>
        <v>38000</v>
      </c>
      <c r="R34" s="40">
        <f t="shared" si="6"/>
        <v>0</v>
      </c>
    </row>
    <row r="35" spans="1:18" ht="12.75">
      <c r="A35" s="27"/>
      <c r="B35" s="27" t="s">
        <v>44</v>
      </c>
      <c r="C35" s="29">
        <v>0.001</v>
      </c>
      <c r="E35">
        <v>150000</v>
      </c>
      <c r="F35" s="40">
        <f t="shared" si="0"/>
        <v>150</v>
      </c>
      <c r="G35" s="40">
        <f t="shared" si="1"/>
        <v>150000</v>
      </c>
      <c r="H35" s="40">
        <f t="shared" si="2"/>
        <v>150</v>
      </c>
      <c r="I35"/>
      <c r="J35">
        <v>240000</v>
      </c>
      <c r="K35" s="32">
        <f t="shared" si="3"/>
        <v>240</v>
      </c>
      <c r="L35" s="40">
        <f t="shared" si="7"/>
        <v>240000</v>
      </c>
      <c r="M35" s="32">
        <f t="shared" si="4"/>
        <v>240</v>
      </c>
      <c r="O35">
        <v>90000</v>
      </c>
      <c r="P35" s="40">
        <f t="shared" si="5"/>
        <v>90</v>
      </c>
      <c r="Q35" s="40">
        <f t="shared" si="8"/>
        <v>90000</v>
      </c>
      <c r="R35" s="40">
        <f t="shared" si="6"/>
        <v>90</v>
      </c>
    </row>
    <row r="36" spans="1:18" ht="12.75">
      <c r="A36" s="27"/>
      <c r="B36" s="27"/>
      <c r="C36" s="27"/>
      <c r="D36" s="27"/>
      <c r="E36" s="32"/>
      <c r="F36" s="35"/>
      <c r="G36" s="32"/>
      <c r="H36" s="35"/>
      <c r="I36" s="52"/>
      <c r="J36" s="12"/>
      <c r="K36" s="30"/>
      <c r="L36" s="30"/>
      <c r="M36" s="30"/>
      <c r="N36" s="32"/>
      <c r="O36" s="12"/>
      <c r="P36" s="34"/>
      <c r="Q36" s="32"/>
      <c r="R36" s="34"/>
    </row>
    <row r="37" spans="1:18" ht="12.75">
      <c r="A37" s="27"/>
      <c r="B37" s="27" t="s">
        <v>45</v>
      </c>
      <c r="C37" s="27"/>
      <c r="D37" s="27"/>
      <c r="F37" s="32">
        <v>109.24</v>
      </c>
      <c r="G37" s="32">
        <v>109.24</v>
      </c>
      <c r="H37" s="32">
        <v>109.24</v>
      </c>
      <c r="I37"/>
      <c r="K37">
        <v>116.88</v>
      </c>
      <c r="L37">
        <v>116.88</v>
      </c>
      <c r="M37">
        <v>116.88</v>
      </c>
      <c r="P37">
        <v>120.31</v>
      </c>
      <c r="Q37">
        <v>120.31</v>
      </c>
      <c r="R37">
        <v>120.31</v>
      </c>
    </row>
    <row r="38" spans="1:18" ht="12.75">
      <c r="A38" s="27"/>
      <c r="B38" s="27" t="s">
        <v>58</v>
      </c>
      <c r="C38" s="27"/>
      <c r="D38" s="27"/>
      <c r="F38" s="32">
        <v>8</v>
      </c>
      <c r="G38" s="32">
        <v>8</v>
      </c>
      <c r="H38" s="32">
        <v>8</v>
      </c>
      <c r="I38"/>
      <c r="K38">
        <v>8.3</v>
      </c>
      <c r="L38">
        <v>8.3</v>
      </c>
      <c r="M38">
        <v>8.3</v>
      </c>
      <c r="P38">
        <v>8.8</v>
      </c>
      <c r="Q38">
        <v>8.8</v>
      </c>
      <c r="R38">
        <v>8.8</v>
      </c>
    </row>
    <row r="39" spans="1:18" ht="12.75">
      <c r="A39" s="27"/>
      <c r="B39" s="27"/>
      <c r="C39" s="27"/>
      <c r="D39" s="27"/>
      <c r="E39" s="32"/>
      <c r="F39" s="12"/>
      <c r="G39" s="32"/>
      <c r="H39" s="12"/>
      <c r="I39" s="46"/>
      <c r="J39" s="32"/>
      <c r="K39" s="33"/>
      <c r="L39" s="30"/>
      <c r="M39" s="33"/>
      <c r="N39" s="32"/>
      <c r="O39" s="32"/>
      <c r="P39" s="32"/>
      <c r="Q39" s="32"/>
      <c r="R39" s="32"/>
    </row>
    <row r="40" spans="1:18" ht="12.75">
      <c r="A40" s="27"/>
      <c r="B40" s="27" t="s">
        <v>97</v>
      </c>
      <c r="C40" s="35"/>
      <c r="D40" s="35"/>
      <c r="E40" s="30"/>
      <c r="F40" s="31">
        <f>SUM(F11:F35)/1000</f>
        <v>2.368</v>
      </c>
      <c r="G40" s="30">
        <f>SUM(G35,G34,G31,G26,G23,G21,G20,G18,G14,G12)/1000</f>
        <v>316.73</v>
      </c>
      <c r="H40" s="31">
        <f>SUM(H11:H35)/1000</f>
        <v>2.364</v>
      </c>
      <c r="I40" s="37"/>
      <c r="J40" s="30"/>
      <c r="K40" s="31">
        <f>SUM(K11:K35)/1000</f>
        <v>2.093</v>
      </c>
      <c r="L40" s="30">
        <f>SUM(L35,L34,L31,L26,L23,L21,L20,L18,L14,L12)/1000</f>
        <v>423.058</v>
      </c>
      <c r="M40" s="31">
        <f>SUM(M11:M35)/1000</f>
        <v>2.08925</v>
      </c>
      <c r="N40" s="35"/>
      <c r="O40" s="32"/>
      <c r="P40" s="32">
        <f>SUM(P11:P35)/1000</f>
        <v>0.8904</v>
      </c>
      <c r="Q40" s="30">
        <f>SUM(Q35,Q34,Q31,Q26,Q23,Q21,Q20,Q18,Q14,Q12)/1000</f>
        <v>167.037</v>
      </c>
      <c r="R40" s="32">
        <f>SUM(R11:R35)/1000</f>
        <v>0.8880500000000001</v>
      </c>
    </row>
    <row r="41" spans="1:18" ht="12.75">
      <c r="A41" s="27"/>
      <c r="B41" s="27" t="s">
        <v>46</v>
      </c>
      <c r="C41" s="35"/>
      <c r="D41" s="30">
        <f>(F41-H41)*2/F41*100</f>
        <v>0.337837837837824</v>
      </c>
      <c r="E41" s="32"/>
      <c r="F41" s="31">
        <f>(F40/F37/0.0283*(21-7)/(21-F38))</f>
        <v>0.8248942084125872</v>
      </c>
      <c r="G41" s="31">
        <f>(G40/G37/0.0283*(21-7)/(21-G38))</f>
        <v>110.33308388113126</v>
      </c>
      <c r="H41" s="31">
        <f>(H40/H37/0.0283*(21-7)/(21-H38))</f>
        <v>0.823500806033512</v>
      </c>
      <c r="I41" s="30">
        <f>(K41-M41)*2/K41*100</f>
        <v>0.3583373148590729</v>
      </c>
      <c r="J41" s="32"/>
      <c r="K41" s="32">
        <f>K40/K37/0.0283*(21-7)/(21-K38)</f>
        <v>0.6975364465768973</v>
      </c>
      <c r="L41" s="32">
        <f>(L40/L37/0.0283*(21-7)/(21-L38))</f>
        <v>140.99301195218774</v>
      </c>
      <c r="M41" s="32">
        <f>M40/M37/0.0283*(21-7)/(21-M38)</f>
        <v>0.6962866798904838</v>
      </c>
      <c r="N41" s="30">
        <f>(P41-R41)*2/P41*100</f>
        <v>0.5278526504940552</v>
      </c>
      <c r="O41" s="32"/>
      <c r="P41" s="32">
        <f>P40/P37/0.0283*(21-7)/(21-P38)</f>
        <v>0.30009944621955076</v>
      </c>
      <c r="Q41" s="32">
        <f>(Q40/Q37/0.0283*(21-7)/(21-Q38))</f>
        <v>56.2979685514096</v>
      </c>
      <c r="R41" s="32">
        <f>R40/R37/0.0283*(21-7)/(21-R38)</f>
        <v>0.2993074047790568</v>
      </c>
    </row>
    <row r="42" spans="1:18" ht="12.75">
      <c r="A42" s="27"/>
      <c r="B42" s="27"/>
      <c r="C42" s="27"/>
      <c r="D42" s="27"/>
      <c r="E42" s="31"/>
      <c r="F42" s="35"/>
      <c r="G42" s="31"/>
      <c r="H42" s="35"/>
      <c r="I42" s="53"/>
      <c r="J42" s="31"/>
      <c r="K42" s="31"/>
      <c r="L42" s="31"/>
      <c r="M42" s="31"/>
      <c r="N42" s="31"/>
      <c r="O42" s="31"/>
      <c r="P42" s="34"/>
      <c r="Q42" s="31"/>
      <c r="R42" s="34"/>
    </row>
    <row r="43" spans="1:18" ht="12.75">
      <c r="A43" s="32"/>
      <c r="B43" s="27" t="s">
        <v>59</v>
      </c>
      <c r="C43" s="32">
        <f>AVERAGE(H41,M41,R41)</f>
        <v>0.6063649635676841</v>
      </c>
      <c r="D43" s="32"/>
      <c r="E43" s="32"/>
      <c r="F43" s="35"/>
      <c r="G43" s="32"/>
      <c r="H43" s="35"/>
      <c r="I43" s="52"/>
      <c r="J43" s="32"/>
      <c r="K43" s="32"/>
      <c r="L43" s="32"/>
      <c r="M43" s="32"/>
      <c r="N43" s="32"/>
      <c r="O43" s="32"/>
      <c r="P43" s="34"/>
      <c r="Q43" s="32"/>
      <c r="R43" s="34"/>
    </row>
    <row r="44" spans="1:18" ht="12.75">
      <c r="A44" s="27"/>
      <c r="B44" s="27" t="s">
        <v>60</v>
      </c>
      <c r="C44" s="30">
        <f>AVERAGE(G41,L41,Q41)</f>
        <v>102.54135479490954</v>
      </c>
      <c r="D44" s="27"/>
      <c r="E44" s="34"/>
      <c r="F44" s="35"/>
      <c r="G44" s="34"/>
      <c r="H44" s="35"/>
      <c r="I44" s="38"/>
      <c r="J44" s="34"/>
      <c r="K44" s="34"/>
      <c r="L44" s="34"/>
      <c r="M44" s="34"/>
      <c r="N44" s="34"/>
      <c r="O44" s="34"/>
      <c r="P44" s="34"/>
      <c r="Q44" s="34"/>
      <c r="R44" s="3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2004-02-24T20:52:19Z</cp:lastPrinted>
  <dcterms:created xsi:type="dcterms:W3CDTF">2000-01-10T00:44:42Z</dcterms:created>
  <dcterms:modified xsi:type="dcterms:W3CDTF">2004-02-24T20:52:25Z</dcterms:modified>
  <cp:category/>
  <cp:version/>
  <cp:contentType/>
  <cp:contentStatus/>
</cp:coreProperties>
</file>