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780" windowWidth="12760" windowHeight="6680" activeTab="0"/>
  </bookViews>
  <sheets>
    <sheet name="Curve fit &amp; Nadir Sites" sheetId="1" r:id="rId1"/>
  </sheets>
  <externalReferences>
    <externalReference r:id="rId4"/>
  </externalReferences>
  <definedNames>
    <definedName name="_xlnm.Print_Area" localSheetId="0">'Curve fit &amp; Nadir Sites'!$F$1:$T$57</definedName>
  </definedNames>
  <calcPr fullCalcOnLoad="1"/>
</workbook>
</file>

<file path=xl/sharedStrings.xml><?xml version="1.0" encoding="utf-8"?>
<sst xmlns="http://schemas.openxmlformats.org/spreadsheetml/2006/main" count="210" uniqueCount="91">
  <si>
    <t xml:space="preserve">Approximate Dimensions as a function of Latitude, based on Curve Fits using ROTO Site Data </t>
  </si>
  <si>
    <t>Uncertainties ~ +/- 5 km Downtrack, +/- 1 km Crosstrack, +/- 1 deg Azimuth</t>
  </si>
  <si>
    <t>Planetocentric</t>
  </si>
  <si>
    <t>E. Longitude</t>
  </si>
  <si>
    <t>Mission</t>
  </si>
  <si>
    <t>Open</t>
  </si>
  <si>
    <t>Close</t>
  </si>
  <si>
    <t>Latitude [deg.]</t>
  </si>
  <si>
    <t>[deg.]</t>
  </si>
  <si>
    <t>Tot Downtrack</t>
  </si>
  <si>
    <t>Tot Crosstrack</t>
  </si>
  <si>
    <t>Azimuth</t>
  </si>
  <si>
    <t>[km]</t>
  </si>
  <si>
    <t>Nadir Site</t>
  </si>
  <si>
    <t>Hematite</t>
  </si>
  <si>
    <t xml:space="preserve"> </t>
  </si>
  <si>
    <t>TM11A</t>
  </si>
  <si>
    <t>3.4S</t>
  </si>
  <si>
    <t>352.94E</t>
  </si>
  <si>
    <t>A</t>
  </si>
  <si>
    <t>TM22B</t>
  </si>
  <si>
    <t>352.64E</t>
  </si>
  <si>
    <t>B</t>
  </si>
  <si>
    <t>TM12A</t>
  </si>
  <si>
    <t>3.6S</t>
  </si>
  <si>
    <t>356.94E</t>
  </si>
  <si>
    <t>TM23B</t>
  </si>
  <si>
    <t>3.1S</t>
  </si>
  <si>
    <t>356.73E</t>
  </si>
  <si>
    <t>TM21B</t>
  </si>
  <si>
    <t>2.5S</t>
  </si>
  <si>
    <t>356.54E</t>
  </si>
  <si>
    <t>NE</t>
  </si>
  <si>
    <t>Valles</t>
  </si>
  <si>
    <t>Marineris</t>
  </si>
  <si>
    <t>Outflow</t>
  </si>
  <si>
    <t>VM37A</t>
  </si>
  <si>
    <t>10.925S</t>
  </si>
  <si>
    <t>321.84E</t>
  </si>
  <si>
    <t>Meridiani</t>
  </si>
  <si>
    <t>Highlands</t>
  </si>
  <si>
    <t>TM13A</t>
  </si>
  <si>
    <t>2.95S</t>
  </si>
  <si>
    <t>349.81E</t>
  </si>
  <si>
    <t>TM24B</t>
  </si>
  <si>
    <t>2.77S</t>
  </si>
  <si>
    <t>349.71E</t>
  </si>
  <si>
    <t>Crater</t>
  </si>
  <si>
    <t>TM15A</t>
  </si>
  <si>
    <t>8.5S</t>
  </si>
  <si>
    <t>352.72E</t>
  </si>
  <si>
    <t>TM16A</t>
  </si>
  <si>
    <t>9.25S</t>
  </si>
  <si>
    <t>353.06E</t>
  </si>
  <si>
    <t>EP69A</t>
  </si>
  <si>
    <t>9.08S</t>
  </si>
  <si>
    <t>150.299E</t>
  </si>
  <si>
    <t>Central</t>
  </si>
  <si>
    <t>VM44A</t>
  </si>
  <si>
    <t>12.93S</t>
  </si>
  <si>
    <t>297.399E</t>
  </si>
  <si>
    <t>Boedickker</t>
  </si>
  <si>
    <t>EP64A</t>
  </si>
  <si>
    <t>15.11S</t>
  </si>
  <si>
    <t>162.45E</t>
  </si>
  <si>
    <t>Isidis</t>
  </si>
  <si>
    <t>Planitia</t>
  </si>
  <si>
    <t>Sites</t>
  </si>
  <si>
    <t>IP84A</t>
  </si>
  <si>
    <t>4.41N</t>
  </si>
  <si>
    <t>87.98E</t>
  </si>
  <si>
    <t>IP96B</t>
  </si>
  <si>
    <t>4.38N</t>
  </si>
  <si>
    <t>88.28E</t>
  </si>
  <si>
    <t>Work Area</t>
  </si>
  <si>
    <t>e.g. MER-A Site at 5N</t>
  </si>
  <si>
    <t>-</t>
  </si>
  <si>
    <t>e.g. MER-B Site at 5N</t>
  </si>
  <si>
    <t>CF - True</t>
  </si>
  <si>
    <t>Roto &amp; Misc Sites</t>
  </si>
  <si>
    <t>TM9A</t>
  </si>
  <si>
    <t>TM19B</t>
  </si>
  <si>
    <t>CF-True DT</t>
  </si>
  <si>
    <t>CF-True CT</t>
  </si>
  <si>
    <t>CF-True Az</t>
  </si>
  <si>
    <t>Global</t>
  </si>
  <si>
    <t>Min</t>
  </si>
  <si>
    <t>Max</t>
  </si>
  <si>
    <t>PCK 10/5/2001</t>
  </si>
  <si>
    <t>Sin Merid High</t>
  </si>
  <si>
    <t>Ares Valles Trib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</si>
</sst>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0E+00"/>
    <numFmt numFmtId="172" formatCode="###,###"/>
    <numFmt numFmtId="173" formatCode="###,###.0"/>
    <numFmt numFmtId="174" formatCode="0.0%"/>
    <numFmt numFmtId="175" formatCode="mm/dd/yy"/>
    <numFmt numFmtId="176" formatCode="0.00000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Helv"/>
      <family val="0"/>
    </font>
    <font>
      <sz val="10"/>
      <name val="Geneva"/>
      <family val="0"/>
    </font>
    <font>
      <sz val="10"/>
      <name val="Helv"/>
      <family val="0"/>
    </font>
    <font>
      <sz val="9"/>
      <name val="Helv"/>
      <family val="0"/>
    </font>
    <font>
      <b/>
      <sz val="10"/>
      <name val="Helv"/>
      <family val="0"/>
    </font>
    <font>
      <b/>
      <sz val="9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 quotePrefix="1">
      <alignment horizontal="center"/>
    </xf>
    <xf numFmtId="0" fontId="8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" fontId="6" fillId="3" borderId="10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8" fillId="2" borderId="1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" fontId="7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1" fontId="9" fillId="0" borderId="23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 plane Ellipse worksheet Chart 2" xfId="19"/>
    <cellStyle name="Normal_ellipse info" xfId="20"/>
    <cellStyle name="Normal_Ellipse worksheet" xfId="21"/>
    <cellStyle name="Normal_Partia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NAV%20ENTRY%20&amp;%20FOOTPRINTS\Ellipse%20Summary%20-%20Updat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ERA Ellipses Open"/>
      <sheetName val="MERA Ellipses Close"/>
      <sheetName val="MERB Ellipses Open"/>
      <sheetName val="MERB Ellipses Close"/>
      <sheetName val="Curve fit &amp; Nadir Sites"/>
      <sheetName val="MERA Isidis"/>
      <sheetName val="MERA Hematite TM10A"/>
      <sheetName val="MERA Melas"/>
      <sheetName val="MERA Gusev"/>
      <sheetName val="MERB Isidis"/>
      <sheetName val="MERB Hematite TM20B"/>
      <sheetName val="MERB Melas"/>
    </sheetNames>
    <sheetDataSet>
      <sheetData sheetId="0">
        <row r="3">
          <cell r="B3" t="str">
            <v>Isidis IP85A</v>
          </cell>
          <cell r="C3">
            <v>4.62</v>
          </cell>
          <cell r="F3">
            <v>132.24</v>
          </cell>
          <cell r="G3">
            <v>16.45</v>
          </cell>
          <cell r="H3">
            <v>88.2</v>
          </cell>
          <cell r="J3">
            <v>126.74000000000001</v>
          </cell>
          <cell r="K3">
            <v>16.7</v>
          </cell>
          <cell r="L3">
            <v>85.3</v>
          </cell>
        </row>
        <row r="4">
          <cell r="F4">
            <v>119.35350000000001</v>
          </cell>
          <cell r="G4">
            <v>16.86</v>
          </cell>
          <cell r="H4">
            <v>84.14</v>
          </cell>
          <cell r="J4">
            <v>114.26050000000001</v>
          </cell>
          <cell r="K4">
            <v>17.265</v>
          </cell>
          <cell r="L4">
            <v>81.34</v>
          </cell>
        </row>
        <row r="5">
          <cell r="B5" t="str">
            <v>Hematite TM10A</v>
          </cell>
          <cell r="C5">
            <v>-2.2</v>
          </cell>
          <cell r="F5">
            <v>118.82000000000001</v>
          </cell>
          <cell r="G5">
            <v>17.2</v>
          </cell>
          <cell r="H5">
            <v>83.5</v>
          </cell>
          <cell r="J5">
            <v>112.88000000000001</v>
          </cell>
          <cell r="K5">
            <v>17.4</v>
          </cell>
          <cell r="L5">
            <v>80.7</v>
          </cell>
        </row>
        <row r="6">
          <cell r="B6" t="str">
            <v>Gale EP82A</v>
          </cell>
          <cell r="C6">
            <v>-5.76</v>
          </cell>
          <cell r="F6">
            <v>107.6495</v>
          </cell>
          <cell r="G6">
            <v>18.189999999999998</v>
          </cell>
          <cell r="H6">
            <v>81</v>
          </cell>
          <cell r="J6">
            <v>106.47250000000001</v>
          </cell>
          <cell r="K6">
            <v>18.265</v>
          </cell>
          <cell r="L6">
            <v>78.96</v>
          </cell>
        </row>
        <row r="7">
          <cell r="B7" t="str">
            <v>Melas VM53A</v>
          </cell>
          <cell r="C7">
            <v>-8.68</v>
          </cell>
          <cell r="F7">
            <v>102.672</v>
          </cell>
          <cell r="G7">
            <v>17.63</v>
          </cell>
          <cell r="H7">
            <v>79.63</v>
          </cell>
          <cell r="J7">
            <v>99.60849999999999</v>
          </cell>
          <cell r="K7">
            <v>18.515</v>
          </cell>
          <cell r="L7">
            <v>78.12</v>
          </cell>
        </row>
        <row r="8">
          <cell r="B8" t="str">
            <v>Eos VM41A</v>
          </cell>
          <cell r="C8">
            <v>-13.2</v>
          </cell>
          <cell r="F8">
            <v>98.2115</v>
          </cell>
          <cell r="G8">
            <v>19.209999999999997</v>
          </cell>
          <cell r="H8">
            <v>77.55</v>
          </cell>
          <cell r="J8">
            <v>102.80950000000001</v>
          </cell>
          <cell r="K8">
            <v>18.615</v>
          </cell>
          <cell r="L8">
            <v>75.06</v>
          </cell>
        </row>
        <row r="9">
          <cell r="B9" t="str">
            <v>Gusev EP55A</v>
          </cell>
          <cell r="C9">
            <v>-14.67</v>
          </cell>
          <cell r="F9">
            <v>96.38000000000001</v>
          </cell>
          <cell r="G9">
            <v>18.9</v>
          </cell>
          <cell r="H9">
            <v>76.1</v>
          </cell>
          <cell r="J9">
            <v>103.23850000000002</v>
          </cell>
          <cell r="K9">
            <v>18.575</v>
          </cell>
          <cell r="L9">
            <v>73.99</v>
          </cell>
        </row>
        <row r="15">
          <cell r="B15" t="str">
            <v>10N</v>
          </cell>
          <cell r="C15">
            <v>10</v>
          </cell>
          <cell r="F15">
            <v>149.389</v>
          </cell>
          <cell r="G15">
            <v>15.755000000000003</v>
          </cell>
          <cell r="H15">
            <v>95.16</v>
          </cell>
          <cell r="J15">
            <v>145.64533333333333</v>
          </cell>
          <cell r="K15">
            <v>16.156666666666666</v>
          </cell>
          <cell r="L15">
            <v>89.86</v>
          </cell>
        </row>
        <row r="16">
          <cell r="B16" t="str">
            <v>Elysium Flow EP49B</v>
          </cell>
          <cell r="C16">
            <v>9.16</v>
          </cell>
          <cell r="F16">
            <v>151.82</v>
          </cell>
          <cell r="G16">
            <v>16.005000000000003</v>
          </cell>
          <cell r="H16">
            <v>94.59</v>
          </cell>
          <cell r="J16">
            <v>147.53733333333335</v>
          </cell>
          <cell r="K16">
            <v>16.586666666666666</v>
          </cell>
          <cell r="L16">
            <v>89.43</v>
          </cell>
        </row>
        <row r="17">
          <cell r="B17" t="str">
            <v>Isidis IP98B</v>
          </cell>
          <cell r="C17">
            <v>4.55</v>
          </cell>
          <cell r="F17">
            <v>140.02800000000002</v>
          </cell>
          <cell r="G17">
            <v>15.9</v>
          </cell>
          <cell r="H17">
            <v>91.12</v>
          </cell>
          <cell r="J17">
            <v>132.79000000000002</v>
          </cell>
          <cell r="K17">
            <v>16.69</v>
          </cell>
          <cell r="L17">
            <v>86.17</v>
          </cell>
        </row>
        <row r="18">
          <cell r="F18">
            <v>119.10600000000001</v>
          </cell>
          <cell r="G18">
            <v>17.785</v>
          </cell>
          <cell r="H18">
            <v>86.56</v>
          </cell>
          <cell r="J18">
            <v>112.04033333333334</v>
          </cell>
          <cell r="K18">
            <v>18.256666666666664</v>
          </cell>
          <cell r="L18">
            <v>82.23</v>
          </cell>
        </row>
        <row r="19">
          <cell r="B19" t="str">
            <v>Hematite TM20B</v>
          </cell>
          <cell r="C19">
            <v>-1.98</v>
          </cell>
          <cell r="F19">
            <v>117.33500000000001</v>
          </cell>
          <cell r="G19">
            <v>17.945</v>
          </cell>
          <cell r="H19">
            <v>86.09</v>
          </cell>
          <cell r="J19">
            <v>111.56</v>
          </cell>
          <cell r="K19">
            <v>18.5</v>
          </cell>
          <cell r="L19">
            <v>81.8</v>
          </cell>
        </row>
        <row r="20">
          <cell r="B20" t="str">
            <v>Melas B Site</v>
          </cell>
          <cell r="C20">
            <v>-8.68</v>
          </cell>
          <cell r="F20">
            <v>105.18</v>
          </cell>
          <cell r="G20">
            <v>19.5</v>
          </cell>
          <cell r="H20">
            <v>82.3</v>
          </cell>
          <cell r="J20">
            <v>102.98</v>
          </cell>
          <cell r="K20">
            <v>20</v>
          </cell>
          <cell r="L20">
            <v>78.5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tabSelected="1" workbookViewId="0" topLeftCell="F41">
      <selection activeCell="G54" sqref="G54"/>
    </sheetView>
  </sheetViews>
  <sheetFormatPr defaultColWidth="11.00390625" defaultRowHeight="12"/>
  <cols>
    <col min="1" max="1" width="9.375" style="0" hidden="1" customWidth="1"/>
    <col min="2" max="2" width="8.125" style="0" hidden="1" customWidth="1"/>
    <col min="3" max="4" width="8.50390625" style="0" hidden="1" customWidth="1"/>
    <col min="5" max="5" width="2.50390625" style="0" hidden="1" customWidth="1"/>
    <col min="6" max="6" width="2.625" style="0" customWidth="1"/>
    <col min="7" max="7" width="22.00390625" style="23" customWidth="1"/>
    <col min="8" max="8" width="14.625" style="32" bestFit="1" customWidth="1"/>
    <col min="9" max="9" width="11.00390625" style="32" customWidth="1"/>
    <col min="10" max="10" width="1.4921875" style="25" customWidth="1"/>
    <col min="11" max="11" width="6.875" style="33" bestFit="1" customWidth="1"/>
    <col min="12" max="12" width="1.625" style="26" customWidth="1"/>
    <col min="13" max="13" width="12.375" style="32" bestFit="1" customWidth="1"/>
    <col min="14" max="14" width="12.50390625" style="32" bestFit="1" customWidth="1"/>
    <col min="15" max="15" width="10.875" style="32" customWidth="1"/>
    <col min="16" max="16" width="1.4921875" style="25" customWidth="1"/>
    <col min="17" max="17" width="12.125" style="32" bestFit="1" customWidth="1"/>
    <col min="18" max="18" width="12.50390625" style="32" bestFit="1" customWidth="1"/>
    <col min="19" max="19" width="8.875" style="32" customWidth="1"/>
    <col min="20" max="20" width="4.375" style="0" bestFit="1" customWidth="1"/>
    <col min="21" max="23" width="10.375" style="28" customWidth="1"/>
    <col min="24" max="24" width="2.125" style="28" customWidth="1"/>
    <col min="25" max="25" width="12.125" style="28" customWidth="1"/>
    <col min="26" max="26" width="12.50390625" style="28" customWidth="1"/>
    <col min="27" max="27" width="8.375" style="28" customWidth="1"/>
  </cols>
  <sheetData>
    <row r="1" spans="7:27" s="1" customFormat="1" ht="12.75">
      <c r="G1" s="2"/>
      <c r="H1" s="3"/>
      <c r="I1" s="3"/>
      <c r="J1" s="4"/>
      <c r="K1" s="5"/>
      <c r="L1" s="6"/>
      <c r="M1" s="3"/>
      <c r="N1" s="5"/>
      <c r="O1" s="3"/>
      <c r="P1" s="4"/>
      <c r="Q1" s="3"/>
      <c r="R1" s="5"/>
      <c r="S1" s="83" t="s">
        <v>88</v>
      </c>
      <c r="U1" s="7"/>
      <c r="V1" s="7"/>
      <c r="W1" s="7"/>
      <c r="X1" s="7"/>
      <c r="Y1" s="7"/>
      <c r="Z1" s="7"/>
      <c r="AA1" s="7"/>
    </row>
    <row r="2" spans="7:27" s="8" customFormat="1" ht="19.5" customHeight="1">
      <c r="G2" s="9"/>
      <c r="H2" s="10"/>
      <c r="I2" s="10"/>
      <c r="J2" s="11"/>
      <c r="K2" s="12"/>
      <c r="L2" s="13"/>
      <c r="M2" s="14" t="s">
        <v>0</v>
      </c>
      <c r="N2" s="12"/>
      <c r="O2" s="10"/>
      <c r="P2" s="11"/>
      <c r="Q2" s="10"/>
      <c r="R2" s="12"/>
      <c r="S2" s="15"/>
      <c r="U2" s="16"/>
      <c r="V2" s="16"/>
      <c r="W2" s="16"/>
      <c r="X2" s="16"/>
      <c r="Y2" s="16"/>
      <c r="Z2" s="16"/>
      <c r="AA2" s="16"/>
    </row>
    <row r="3" spans="7:27" s="8" customFormat="1" ht="19.5" customHeight="1">
      <c r="G3" s="17"/>
      <c r="H3" s="18"/>
      <c r="I3" s="18"/>
      <c r="J3" s="19"/>
      <c r="K3" s="20"/>
      <c r="L3" s="21"/>
      <c r="M3" s="20" t="s">
        <v>1</v>
      </c>
      <c r="N3" s="20"/>
      <c r="O3" s="18"/>
      <c r="P3" s="19"/>
      <c r="Q3" s="18"/>
      <c r="R3" s="20"/>
      <c r="S3" s="22"/>
      <c r="U3" s="16"/>
      <c r="V3" s="16"/>
      <c r="W3" s="16"/>
      <c r="X3" s="16"/>
      <c r="Y3" s="16"/>
      <c r="Z3" s="16"/>
      <c r="AA3" s="16"/>
    </row>
    <row r="4" spans="7:27" s="1" customFormat="1" ht="12.75">
      <c r="G4" s="2"/>
      <c r="H4" s="3"/>
      <c r="I4" s="3"/>
      <c r="J4" s="4"/>
      <c r="K4" s="5"/>
      <c r="L4" s="6"/>
      <c r="M4" s="3"/>
      <c r="N4" s="5"/>
      <c r="O4" s="3"/>
      <c r="P4" s="4"/>
      <c r="Q4" s="3"/>
      <c r="R4" s="5"/>
      <c r="S4" s="3"/>
      <c r="U4" s="7"/>
      <c r="V4" s="7"/>
      <c r="W4" s="7"/>
      <c r="X4" s="7"/>
      <c r="Y4" s="7"/>
      <c r="Z4" s="7"/>
      <c r="AA4" s="7"/>
    </row>
    <row r="5" spans="8:21" ht="12.75">
      <c r="H5" s="24" t="s">
        <v>2</v>
      </c>
      <c r="I5" s="24" t="s">
        <v>3</v>
      </c>
      <c r="K5" s="24" t="s">
        <v>4</v>
      </c>
      <c r="M5" s="24" t="s">
        <v>5</v>
      </c>
      <c r="N5" s="24" t="s">
        <v>5</v>
      </c>
      <c r="O5" s="24" t="s">
        <v>5</v>
      </c>
      <c r="Q5" s="24" t="s">
        <v>6</v>
      </c>
      <c r="R5" s="24" t="s">
        <v>6</v>
      </c>
      <c r="S5" s="24" t="s">
        <v>6</v>
      </c>
      <c r="U5" s="27"/>
    </row>
    <row r="6" spans="8:19" ht="12.75">
      <c r="H6" s="29" t="s">
        <v>7</v>
      </c>
      <c r="I6" s="29" t="s">
        <v>8</v>
      </c>
      <c r="K6" s="29"/>
      <c r="M6" s="30" t="s">
        <v>9</v>
      </c>
      <c r="N6" s="30" t="s">
        <v>10</v>
      </c>
      <c r="O6" s="30" t="s">
        <v>11</v>
      </c>
      <c r="Q6" s="30" t="s">
        <v>9</v>
      </c>
      <c r="R6" s="30" t="s">
        <v>10</v>
      </c>
      <c r="S6" s="30" t="s">
        <v>11</v>
      </c>
    </row>
    <row r="7" spans="8:19" ht="12.75">
      <c r="H7" s="5"/>
      <c r="I7" s="5"/>
      <c r="K7" s="5"/>
      <c r="M7" s="29" t="s">
        <v>12</v>
      </c>
      <c r="N7" s="29" t="s">
        <v>12</v>
      </c>
      <c r="O7" s="29" t="s">
        <v>8</v>
      </c>
      <c r="Q7" s="29" t="s">
        <v>12</v>
      </c>
      <c r="R7" s="29" t="s">
        <v>12</v>
      </c>
      <c r="S7" s="29" t="s">
        <v>8</v>
      </c>
    </row>
    <row r="8" spans="7:19" ht="12.75" hidden="1">
      <c r="G8" s="23" t="s">
        <v>13</v>
      </c>
      <c r="H8" s="5"/>
      <c r="I8" s="5"/>
      <c r="K8" s="5"/>
      <c r="M8" s="5"/>
      <c r="N8" s="5"/>
      <c r="O8" s="5"/>
      <c r="Q8" s="5"/>
      <c r="R8" s="5"/>
      <c r="S8" s="5"/>
    </row>
    <row r="9" spans="8:19" ht="12.75" hidden="1">
      <c r="H9" s="5"/>
      <c r="I9" s="5"/>
      <c r="K9" s="5"/>
      <c r="M9" s="5"/>
      <c r="N9" s="5"/>
      <c r="O9" s="5"/>
      <c r="Q9" s="5"/>
      <c r="R9" s="5"/>
      <c r="S9" s="5"/>
    </row>
    <row r="10" spans="1:7" ht="12.75">
      <c r="A10" t="s">
        <v>14</v>
      </c>
      <c r="E10" t="s">
        <v>15</v>
      </c>
      <c r="G10" s="31" t="str">
        <f>CONCATENATE(A10,E10,B10,E10,C10,E10,D10)</f>
        <v>Hematite   </v>
      </c>
    </row>
    <row r="11" spans="2:19" ht="12.75">
      <c r="B11" t="s">
        <v>16</v>
      </c>
      <c r="C11" t="s">
        <v>17</v>
      </c>
      <c r="D11" t="s">
        <v>18</v>
      </c>
      <c r="E11" t="s">
        <v>15</v>
      </c>
      <c r="G11" s="34" t="s">
        <v>16</v>
      </c>
      <c r="H11" s="35">
        <f>3.4*(-1)</f>
        <v>-3.4</v>
      </c>
      <c r="I11" s="35">
        <v>352.94</v>
      </c>
      <c r="K11" s="35" t="s">
        <v>19</v>
      </c>
      <c r="L11" s="6"/>
      <c r="M11" s="36">
        <f>0.041526323*H11^2+2.341647035*H11+121.388402817</f>
        <v>113.90684719188</v>
      </c>
      <c r="N11" s="36">
        <f>0.001841064*H11^2-0.121254589*H11+16.927142554</f>
        <v>17.360690856439998</v>
      </c>
      <c r="O11" s="36">
        <f>0.006642084*H11^2+0.676591723*H11+84.918588469</f>
        <v>82.69495910184</v>
      </c>
      <c r="Q11" s="36">
        <f>0.088940416*H11^2+2.199522638*H11+115.663056922</f>
        <v>109.21283116176</v>
      </c>
      <c r="R11" s="36">
        <f>-0.003634418*H11^2-0.14640073*H11+17.318517117</f>
        <v>17.77426572692</v>
      </c>
      <c r="S11" s="36">
        <f>0.002533618*H11^2+0.585883614*H11+82.316043616</f>
        <v>80.35332795248</v>
      </c>
    </row>
    <row r="12" spans="2:19" ht="12.75">
      <c r="B12" t="s">
        <v>20</v>
      </c>
      <c r="C12" t="s">
        <v>17</v>
      </c>
      <c r="D12" t="s">
        <v>21</v>
      </c>
      <c r="E12" t="s">
        <v>15</v>
      </c>
      <c r="G12" s="37" t="s">
        <v>20</v>
      </c>
      <c r="H12" s="38">
        <f>3.4*(-1)</f>
        <v>-3.4</v>
      </c>
      <c r="I12" s="38">
        <v>352.64</v>
      </c>
      <c r="K12" s="38" t="s">
        <v>22</v>
      </c>
      <c r="L12" s="6"/>
      <c r="M12" s="39">
        <f>0.029493227*H12^2+2.552731989*H12+124.032231132</f>
        <v>115.69388407352001</v>
      </c>
      <c r="N12" s="39">
        <f>0.00600948*H12^2-0.21634001*H12+17.28984339</f>
        <v>18.0948690128</v>
      </c>
      <c r="O12" s="39">
        <f>0.008922*H12^2+0.687377*H12+87.521501</f>
        <v>85.28755752000001</v>
      </c>
      <c r="P12" s="40"/>
      <c r="Q12" s="39">
        <f>0.07730765*H12^2+2.39565917*H12+117.01795393</f>
        <v>109.766389186</v>
      </c>
      <c r="R12" s="39">
        <f>0.00450924*H12^2-0.21110643*H12+17.90084589</f>
        <v>18.6707345664</v>
      </c>
      <c r="S12" s="39">
        <f>0.0089129*H12^2+0.6066464*H12+83.0430466</f>
        <v>81.083481964</v>
      </c>
    </row>
    <row r="13" spans="2:19" ht="12.75">
      <c r="B13" t="s">
        <v>23</v>
      </c>
      <c r="C13" t="s">
        <v>24</v>
      </c>
      <c r="D13" t="s">
        <v>25</v>
      </c>
      <c r="E13" t="s">
        <v>15</v>
      </c>
      <c r="G13" s="34" t="s">
        <v>23</v>
      </c>
      <c r="H13" s="41">
        <f>3.6*(-1)</f>
        <v>-3.6</v>
      </c>
      <c r="I13" s="35">
        <v>356.94</v>
      </c>
      <c r="J13" s="4"/>
      <c r="K13" s="35" t="s">
        <v>19</v>
      </c>
      <c r="L13" s="6"/>
      <c r="M13" s="36">
        <f>0.041526323*H13^2+2.341647035*H13+121.388402817</f>
        <v>113.49665463708</v>
      </c>
      <c r="N13" s="36">
        <f>0.001841064*H13^2-0.121254589*H13+16.927142554</f>
        <v>17.387519263839998</v>
      </c>
      <c r="O13" s="36">
        <f>0.006642084*H13^2+0.676591723*H13+84.918588469</f>
        <v>82.56893967484</v>
      </c>
      <c r="Q13" s="36">
        <f>0.088940416*H13^2+2.199522638*H13+115.663056922</f>
        <v>108.89744321655999</v>
      </c>
      <c r="R13" s="36">
        <f>-0.003634418*H13^2-0.14640073*H13+17.318517117</f>
        <v>17.79845768772</v>
      </c>
      <c r="S13" s="36">
        <f>0.002533618*H13^2+0.585883614*H13+82.316043616</f>
        <v>80.23969829488</v>
      </c>
    </row>
    <row r="14" spans="2:19" ht="12.75">
      <c r="B14" t="s">
        <v>26</v>
      </c>
      <c r="C14" t="s">
        <v>27</v>
      </c>
      <c r="D14" t="s">
        <v>28</v>
      </c>
      <c r="E14" t="s">
        <v>15</v>
      </c>
      <c r="G14" s="37" t="s">
        <v>26</v>
      </c>
      <c r="H14" s="38">
        <f>3.1*(-1)</f>
        <v>-3.1</v>
      </c>
      <c r="I14" s="38">
        <v>356.73</v>
      </c>
      <c r="K14" s="38" t="s">
        <v>22</v>
      </c>
      <c r="L14" s="6"/>
      <c r="M14" s="39">
        <f>0.029493227*H14^2+2.552731989*H14+124.032231132</f>
        <v>116.40219187757</v>
      </c>
      <c r="N14" s="39">
        <f>0.00600948*H14^2-0.21634001*H14+17.28984339</f>
        <v>18.0182485238</v>
      </c>
      <c r="O14" s="39">
        <f>0.008922*H14^2+0.687377*H14+87.521501</f>
        <v>85.47637272</v>
      </c>
      <c r="P14" s="40"/>
      <c r="Q14" s="39">
        <f>0.07730765*H14^2+2.39565917*H14+117.01795393</f>
        <v>110.3343370195</v>
      </c>
      <c r="R14" s="39">
        <f>0.00450924*H14^2-0.21110643*H14+17.90084589</f>
        <v>18.5986096194</v>
      </c>
      <c r="S14" s="39">
        <f>0.0089129*H14^2+0.6066464*H14+83.0430466</f>
        <v>81.248095729</v>
      </c>
    </row>
    <row r="15" spans="2:19" ht="12.75">
      <c r="B15" t="s">
        <v>29</v>
      </c>
      <c r="C15" t="s">
        <v>30</v>
      </c>
      <c r="D15" t="s">
        <v>31</v>
      </c>
      <c r="E15" t="s">
        <v>15</v>
      </c>
      <c r="G15" s="37" t="s">
        <v>29</v>
      </c>
      <c r="H15" s="38">
        <f>2.5*(-1)</f>
        <v>-2.5</v>
      </c>
      <c r="I15" s="38">
        <v>356.54</v>
      </c>
      <c r="K15" s="38" t="s">
        <v>22</v>
      </c>
      <c r="L15" s="6"/>
      <c r="M15" s="39">
        <f>0.029493227*H15^2+2.552731989*H15+124.032231132</f>
        <v>117.83473382825001</v>
      </c>
      <c r="N15" s="39">
        <f>0.00600948*H15^2-0.21634001*H15+17.28984339</f>
        <v>17.868252665</v>
      </c>
      <c r="O15" s="39">
        <f>0.008922*H15^2+0.687377*H15+87.521501</f>
        <v>85.858821</v>
      </c>
      <c r="P15" s="40"/>
      <c r="Q15" s="39">
        <f>0.07730765*H15^2+2.39565917*H15+117.01795393</f>
        <v>111.51197881750001</v>
      </c>
      <c r="R15" s="39">
        <f>0.00450924*H15^2-0.21110643*H15+17.90084589</f>
        <v>18.456794715</v>
      </c>
      <c r="S15" s="39">
        <f>0.0089129*H15^2+0.6066464*H15+83.0430466</f>
        <v>81.582136225</v>
      </c>
    </row>
    <row r="16" spans="5:16" ht="12.75">
      <c r="E16" t="s">
        <v>15</v>
      </c>
      <c r="H16" s="33"/>
      <c r="I16" s="33"/>
      <c r="J16" s="4"/>
      <c r="P16" s="4"/>
    </row>
    <row r="17" spans="1:9" ht="12.75">
      <c r="A17" t="s">
        <v>32</v>
      </c>
      <c r="B17" t="s">
        <v>33</v>
      </c>
      <c r="C17" t="s">
        <v>34</v>
      </c>
      <c r="D17" t="s">
        <v>35</v>
      </c>
      <c r="E17" t="s">
        <v>15</v>
      </c>
      <c r="G17" s="31" t="str">
        <f>CONCATENATE(A17,E17,B17,E17,C17,E17,D17)</f>
        <v>NE Valles Marineris Outflow</v>
      </c>
      <c r="H17" s="33"/>
      <c r="I17" s="33"/>
    </row>
    <row r="18" spans="2:19" ht="12.75">
      <c r="B18" t="s">
        <v>36</v>
      </c>
      <c r="C18" t="s">
        <v>37</v>
      </c>
      <c r="D18" t="s">
        <v>38</v>
      </c>
      <c r="E18" t="s">
        <v>15</v>
      </c>
      <c r="G18" s="34" t="s">
        <v>36</v>
      </c>
      <c r="H18" s="35">
        <f>10.925*(-1)</f>
        <v>-10.925</v>
      </c>
      <c r="I18" s="35">
        <v>321.84</v>
      </c>
      <c r="K18" s="35" t="s">
        <v>19</v>
      </c>
      <c r="L18" s="6"/>
      <c r="M18" s="36">
        <f>0.041526323*H18^2+2.341647035*H18+121.388402817</f>
        <v>100.76230919524187</v>
      </c>
      <c r="N18" s="36">
        <f>0.001841064*H18^2-0.121254589*H18+16.927142554</f>
        <v>18.47159028321</v>
      </c>
      <c r="O18" s="36">
        <f>0.006642084*H18^2+0.676591723*H18+84.918588469</f>
        <v>78.3195939823475</v>
      </c>
      <c r="Q18" s="36">
        <f>0.088940416*H18^2+2.199522638*H18+115.663056922</f>
        <v>102.24881104129</v>
      </c>
      <c r="R18" s="36">
        <f>-0.003634418*H18^2-0.14640073*H18+17.318517117</f>
        <v>18.484156860348747</v>
      </c>
      <c r="S18" s="36">
        <f>0.002533618*H18^2+0.585883614*H18+82.316043616</f>
        <v>76.21766669295125</v>
      </c>
    </row>
    <row r="19" spans="5:9" ht="12.75">
      <c r="E19" t="s">
        <v>15</v>
      </c>
      <c r="H19" s="33"/>
      <c r="I19" s="33"/>
    </row>
    <row r="20" spans="1:9" ht="12.75">
      <c r="A20" t="s">
        <v>39</v>
      </c>
      <c r="B20" t="s">
        <v>40</v>
      </c>
      <c r="E20" t="s">
        <v>15</v>
      </c>
      <c r="G20" s="31" t="str">
        <f>CONCATENATE(A20,E20,B20,E20,C20,E20,D20)</f>
        <v>Meridiani Highlands  </v>
      </c>
      <c r="H20" s="33"/>
      <c r="I20" s="33"/>
    </row>
    <row r="21" spans="2:19" ht="12.75">
      <c r="B21" t="s">
        <v>41</v>
      </c>
      <c r="C21" t="s">
        <v>42</v>
      </c>
      <c r="D21" t="s">
        <v>43</v>
      </c>
      <c r="E21" t="s">
        <v>15</v>
      </c>
      <c r="G21" s="34" t="s">
        <v>41</v>
      </c>
      <c r="H21" s="35">
        <f>2.95*(-1)</f>
        <v>-2.95</v>
      </c>
      <c r="I21" s="35">
        <v>349.81</v>
      </c>
      <c r="K21" s="35" t="s">
        <v>19</v>
      </c>
      <c r="L21" s="6"/>
      <c r="M21" s="36">
        <f>0.041526323*H21^2+2.341647035*H21+121.388402817</f>
        <v>114.8419268896575</v>
      </c>
      <c r="N21" s="36">
        <f>0.001841064*H21^2-0.121254589*H21+16.927142554</f>
        <v>17.30086545101</v>
      </c>
      <c r="O21" s="36">
        <f>0.006642084*H21^2+0.676591723*H21+84.918588469</f>
        <v>82.98044562216</v>
      </c>
      <c r="Q21" s="36">
        <f>0.088940416*H21^2+2.199522638*H21+115.663056922</f>
        <v>109.94846911014</v>
      </c>
      <c r="R21" s="36">
        <f>-0.003634418*H21^2-0.14640073*H21+17.318517117</f>
        <v>17.718770747855</v>
      </c>
      <c r="S21" s="36">
        <f>0.002533618*H21^2+0.585883614*H21+82.316043616</f>
        <v>80.60973576534501</v>
      </c>
    </row>
    <row r="22" spans="2:19" ht="12.75">
      <c r="B22" t="s">
        <v>44</v>
      </c>
      <c r="C22" t="s">
        <v>45</v>
      </c>
      <c r="D22" t="s">
        <v>46</v>
      </c>
      <c r="E22" t="s">
        <v>15</v>
      </c>
      <c r="G22" s="37" t="s">
        <v>44</v>
      </c>
      <c r="H22" s="38">
        <f>2.77*(-1)</f>
        <v>-2.77</v>
      </c>
      <c r="I22" s="38">
        <v>349.71</v>
      </c>
      <c r="K22" s="38" t="s">
        <v>22</v>
      </c>
      <c r="L22" s="6"/>
      <c r="M22" s="39">
        <f>0.029493227*H22^2+2.552731989*H22+124.032231132</f>
        <v>117.1874621039183</v>
      </c>
      <c r="N22" s="39">
        <f>0.00600948*H22^2-0.21634001*H22+17.28984339</f>
        <v>17.935215356792</v>
      </c>
      <c r="O22" s="39">
        <f>0.008922*H22^2+0.687377*H22+87.521501</f>
        <v>85.6859243238</v>
      </c>
      <c r="P22" s="40"/>
      <c r="Q22" s="39">
        <f>0.07730765*H22^2+2.39565917*H22+117.01795393</f>
        <v>110.97515189678501</v>
      </c>
      <c r="R22" s="39">
        <f>0.00450924*H22^2-0.21110643*H22+17.90084589</f>
        <v>18.520209648696</v>
      </c>
      <c r="S22" s="39">
        <f>0.0089129*H22^2+0.6066464*H22+83.0430466</f>
        <v>81.43102386241</v>
      </c>
    </row>
    <row r="23" spans="5:9" ht="12.75">
      <c r="E23" t="s">
        <v>15</v>
      </c>
      <c r="H23" s="33"/>
      <c r="I23" s="33"/>
    </row>
    <row r="24" spans="1:9" ht="12.75">
      <c r="A24" t="s">
        <v>39</v>
      </c>
      <c r="B24" t="s">
        <v>47</v>
      </c>
      <c r="E24" t="s">
        <v>15</v>
      </c>
      <c r="G24" s="31" t="str">
        <f>CONCATENATE(A24,E24,B24,E24,C24,E24,D24)</f>
        <v>Meridiani Crater  </v>
      </c>
      <c r="H24" s="33"/>
      <c r="I24" s="33"/>
    </row>
    <row r="25" spans="2:19" ht="12.75">
      <c r="B25" t="s">
        <v>48</v>
      </c>
      <c r="C25" t="s">
        <v>49</v>
      </c>
      <c r="D25" t="s">
        <v>50</v>
      </c>
      <c r="E25" t="s">
        <v>15</v>
      </c>
      <c r="G25" s="34" t="s">
        <v>48</v>
      </c>
      <c r="H25" s="35">
        <f>8.5*(-1)</f>
        <v>-8.5</v>
      </c>
      <c r="I25" s="35">
        <v>352.72</v>
      </c>
      <c r="K25" s="35" t="s">
        <v>19</v>
      </c>
      <c r="L25" s="6"/>
      <c r="M25" s="36">
        <f>0.041526323*H25^2+2.341647035*H25+121.388402817</f>
        <v>104.48467985625</v>
      </c>
      <c r="N25" s="36">
        <f>0.001841064*H25^2-0.121254589*H25+16.927142554</f>
        <v>18.0908234345</v>
      </c>
      <c r="O25" s="36">
        <f>0.006642084*H25^2+0.676591723*H25+84.918588469</f>
        <v>79.6474493925</v>
      </c>
      <c r="Q25" s="36">
        <f>0.088940416*H25^2+2.199522638*H25+115.663056922</f>
        <v>103.393059555</v>
      </c>
      <c r="R25" s="36">
        <f>-0.003634418*H25^2-0.14640073*H25+17.318517117</f>
        <v>18.300336621499998</v>
      </c>
      <c r="S25" s="36">
        <f>0.002533618*H25^2+0.585883614*H25+82.316043616</f>
        <v>77.5190867975</v>
      </c>
    </row>
    <row r="26" spans="2:19" ht="12.75">
      <c r="B26" t="s">
        <v>51</v>
      </c>
      <c r="C26" t="s">
        <v>52</v>
      </c>
      <c r="D26" t="s">
        <v>53</v>
      </c>
      <c r="E26" t="s">
        <v>15</v>
      </c>
      <c r="G26" s="34" t="s">
        <v>51</v>
      </c>
      <c r="H26" s="35">
        <f>9.25*(-1)</f>
        <v>-9.25</v>
      </c>
      <c r="I26" s="35">
        <v>353.06</v>
      </c>
      <c r="K26" s="35" t="s">
        <v>19</v>
      </c>
      <c r="L26" s="6"/>
      <c r="M26" s="36">
        <f>0.041526323*H26^2+2.341647035*H26+121.388402817</f>
        <v>103.2812637549375</v>
      </c>
      <c r="N26" s="36">
        <f>0.001841064*H26^2-0.121254589*H26+16.927142554</f>
        <v>18.20627354075</v>
      </c>
      <c r="O26" s="36">
        <f>0.006642084*H26^2+0.676591723*H26+84.918588469</f>
        <v>79.2284283435</v>
      </c>
      <c r="Q26" s="36">
        <f>0.088940416*H26^2+2.199522638*H26+115.663056922</f>
        <v>102.9274368645</v>
      </c>
      <c r="R26" s="36">
        <f>-0.003634418*H26^2-0.14640073*H26+17.318517117</f>
        <v>18.361753979375</v>
      </c>
      <c r="S26" s="36">
        <f>0.002533618*H26^2+0.585883614*H26+82.316043616</f>
        <v>77.113402876625</v>
      </c>
    </row>
    <row r="27" spans="5:9" ht="12.75">
      <c r="E27" t="s">
        <v>15</v>
      </c>
      <c r="H27" s="33"/>
      <c r="I27" s="33"/>
    </row>
    <row r="28" spans="1:9" ht="12.75">
      <c r="A28" t="s">
        <v>54</v>
      </c>
      <c r="B28" t="s">
        <v>47</v>
      </c>
      <c r="E28" t="s">
        <v>15</v>
      </c>
      <c r="G28" s="31" t="str">
        <f>CONCATENATE(A28,E28,B28,E28,C28,E28,D28)</f>
        <v>EP69A Crater  </v>
      </c>
      <c r="H28" s="33"/>
      <c r="I28" s="33"/>
    </row>
    <row r="29" spans="2:19" ht="12.75">
      <c r="B29" t="s">
        <v>54</v>
      </c>
      <c r="C29" t="s">
        <v>55</v>
      </c>
      <c r="D29" t="s">
        <v>56</v>
      </c>
      <c r="E29" t="s">
        <v>15</v>
      </c>
      <c r="G29" s="34" t="s">
        <v>54</v>
      </c>
      <c r="H29" s="35">
        <f>9.08*(-1)</f>
        <v>-9.08</v>
      </c>
      <c r="I29" s="35">
        <v>150.299</v>
      </c>
      <c r="K29" s="35" t="s">
        <v>19</v>
      </c>
      <c r="L29" s="6"/>
      <c r="M29" s="36">
        <f>0.041526323*H29^2+2.341647035*H29+121.388402817</f>
        <v>103.5499435757872</v>
      </c>
      <c r="N29" s="36">
        <f>0.001841064*H29^2-0.121254589*H29+16.927142554</f>
        <v>18.1799233210896</v>
      </c>
      <c r="O29" s="36">
        <f>0.006642084*H29^2+0.676591723*H29+84.918588469</f>
        <v>79.3227515384576</v>
      </c>
      <c r="Q29" s="36">
        <f>0.088940416*H29^2+2.199522638*H29+115.663056922</f>
        <v>103.02420848266239</v>
      </c>
      <c r="R29" s="36">
        <f>-0.003634418*H29^2-0.14640073*H29+17.318517117</f>
        <v>18.348191065204798</v>
      </c>
      <c r="S29" s="36">
        <f>0.002533618*H29^2+0.585883614*H29+82.316043616</f>
        <v>77.2051080839552</v>
      </c>
    </row>
    <row r="30" spans="5:9" ht="12.75">
      <c r="E30" t="s">
        <v>15</v>
      </c>
      <c r="H30" s="33"/>
      <c r="I30" s="33"/>
    </row>
    <row r="31" spans="1:9" ht="12.75">
      <c r="A31" t="s">
        <v>57</v>
      </c>
      <c r="B31" t="s">
        <v>33</v>
      </c>
      <c r="C31" t="s">
        <v>34</v>
      </c>
      <c r="E31" t="s">
        <v>15</v>
      </c>
      <c r="G31" s="31" t="str">
        <f>CONCATENATE(A31,E31,B31,E31,C31,E31,D31)</f>
        <v>Central Valles Marineris </v>
      </c>
      <c r="H31" s="33"/>
      <c r="I31" s="33"/>
    </row>
    <row r="32" spans="2:19" ht="12.75">
      <c r="B32" t="s">
        <v>58</v>
      </c>
      <c r="C32" t="s">
        <v>59</v>
      </c>
      <c r="D32" t="s">
        <v>60</v>
      </c>
      <c r="E32" t="s">
        <v>15</v>
      </c>
      <c r="G32" s="34" t="s">
        <v>58</v>
      </c>
      <c r="H32" s="35">
        <f>12.93*(-1)</f>
        <v>-12.93</v>
      </c>
      <c r="I32" s="35">
        <v>297.399</v>
      </c>
      <c r="K32" s="35" t="s">
        <v>19</v>
      </c>
      <c r="L32" s="6"/>
      <c r="M32" s="36">
        <f>0.041526323*H32^2+2.341647035*H32+121.388402817</f>
        <v>98.0534808125727</v>
      </c>
      <c r="N32" s="36">
        <f>0.001841064*H32^2-0.121254589*H32+16.927142554</f>
        <v>18.8027624905036</v>
      </c>
      <c r="O32" s="36">
        <f>0.006642084*H32^2+0.676591723*H32+84.918588469</f>
        <v>77.2807136399416</v>
      </c>
      <c r="Q32" s="36">
        <f>0.088940416*H32^2+2.199522638*H32+115.663056922</f>
        <v>102.09272376757839</v>
      </c>
      <c r="R32" s="36">
        <f>-0.003634418*H32^2-0.14640073*H32+17.318517117</f>
        <v>18.6038587460118</v>
      </c>
      <c r="S32" s="36">
        <f>0.002533618*H32^2+0.585883614*H32+82.316043616</f>
        <v>75.1641511589482</v>
      </c>
    </row>
    <row r="33" spans="5:9" ht="12.75">
      <c r="E33" t="s">
        <v>15</v>
      </c>
      <c r="H33" s="33"/>
      <c r="I33" s="33"/>
    </row>
    <row r="34" spans="1:9" ht="12.75">
      <c r="A34" t="s">
        <v>61</v>
      </c>
      <c r="B34" t="s">
        <v>47</v>
      </c>
      <c r="E34" t="s">
        <v>15</v>
      </c>
      <c r="G34" s="31" t="str">
        <f>CONCATENATE(A34,E34,B34,E34,C34,E34,D34)</f>
        <v>Boedickker Crater  </v>
      </c>
      <c r="H34" s="33"/>
      <c r="I34" s="33"/>
    </row>
    <row r="35" spans="2:19" ht="12.75">
      <c r="B35" t="s">
        <v>62</v>
      </c>
      <c r="C35" t="s">
        <v>63</v>
      </c>
      <c r="D35" t="s">
        <v>64</v>
      </c>
      <c r="E35" t="s">
        <v>15</v>
      </c>
      <c r="G35" s="34" t="s">
        <v>62</v>
      </c>
      <c r="H35" s="35">
        <f>15.11*(-1)</f>
        <v>-15.11</v>
      </c>
      <c r="I35" s="35">
        <v>162.45</v>
      </c>
      <c r="K35" s="35" t="s">
        <v>19</v>
      </c>
      <c r="L35" s="6"/>
      <c r="M35" s="36">
        <f>0.041526323*H35^2+2.341647035*H35+121.388402817</f>
        <v>95.4870781275583</v>
      </c>
      <c r="N35" s="36">
        <f>0.001841064*H35^2-0.121254589*H35+16.927142554</f>
        <v>19.1796365818644</v>
      </c>
      <c r="O35" s="36">
        <f>0.006642084*H35^2+0.676591723*H35+84.918588469</f>
        <v>76.2117556808864</v>
      </c>
      <c r="Q35" s="36">
        <f>0.088940416*H35^2+2.199522638*H35+115.663056922</f>
        <v>102.73444301365359</v>
      </c>
      <c r="R35" s="36">
        <f>-0.003634418*H35^2-0.14640073*H35+17.318517117</f>
        <v>18.7008505414422</v>
      </c>
      <c r="S35" s="36">
        <f>0.002533618*H35^2+0.585883614*H35+82.316043616</f>
        <v>74.0417978546378</v>
      </c>
    </row>
    <row r="36" spans="5:9" ht="12.75">
      <c r="E36" t="s">
        <v>15</v>
      </c>
      <c r="H36" s="33"/>
      <c r="I36" s="33"/>
    </row>
    <row r="37" spans="1:9" ht="12.75">
      <c r="A37" t="s">
        <v>65</v>
      </c>
      <c r="B37" t="s">
        <v>66</v>
      </c>
      <c r="C37" t="s">
        <v>67</v>
      </c>
      <c r="E37" t="s">
        <v>15</v>
      </c>
      <c r="G37" s="31" t="str">
        <f>CONCATENATE(A37,E37,B37,E37,C37,E37,D37)</f>
        <v>Isidis Planitia Sites </v>
      </c>
      <c r="H37" s="33"/>
      <c r="I37" s="33"/>
    </row>
    <row r="38" spans="2:19" ht="12.75">
      <c r="B38" t="s">
        <v>68</v>
      </c>
      <c r="C38" t="s">
        <v>69</v>
      </c>
      <c r="D38" t="s">
        <v>70</v>
      </c>
      <c r="E38" t="s">
        <v>15</v>
      </c>
      <c r="G38" s="34" t="s">
        <v>68</v>
      </c>
      <c r="H38" s="35">
        <v>4.41</v>
      </c>
      <c r="I38" s="35">
        <v>87.98</v>
      </c>
      <c r="K38" s="35" t="s">
        <v>19</v>
      </c>
      <c r="L38" s="6"/>
      <c r="M38" s="36">
        <f>0.041526323*H38^2+2.341647035*H38+121.388402817</f>
        <v>132.5226743236863</v>
      </c>
      <c r="N38" s="36">
        <f>0.001841064*H38^2-0.121254589*H38+16.927142554</f>
        <v>16.4282150132884</v>
      </c>
      <c r="O38" s="36">
        <f>0.006642084*H38^2+0.676591723*H38+84.918588469</f>
        <v>88.0315338812704</v>
      </c>
      <c r="Q38" s="36">
        <f>0.088940416*H38^2+2.199522638*H38+115.663056922</f>
        <v>127.09267385998959</v>
      </c>
      <c r="R38" s="36">
        <f>-0.003634418*H38^2-0.14640073*H38+17.318517117</f>
        <v>16.6022073729942</v>
      </c>
      <c r="S38" s="36">
        <f>0.002533618*H38^2+0.585883614*H38+82.316043616</f>
        <v>84.9490644099658</v>
      </c>
    </row>
    <row r="39" spans="2:19" ht="12.75">
      <c r="B39" t="s">
        <v>71</v>
      </c>
      <c r="C39" t="s">
        <v>72</v>
      </c>
      <c r="D39" t="s">
        <v>73</v>
      </c>
      <c r="E39" t="s">
        <v>15</v>
      </c>
      <c r="G39" s="37" t="s">
        <v>71</v>
      </c>
      <c r="H39" s="38">
        <v>4.38</v>
      </c>
      <c r="I39" s="38">
        <v>88.28</v>
      </c>
      <c r="K39" s="38" t="s">
        <v>22</v>
      </c>
      <c r="L39" s="6"/>
      <c r="M39" s="39">
        <f>0.029493227*H39^2+2.552731989*H39+124.032231132</f>
        <v>135.7790071078788</v>
      </c>
      <c r="N39" s="39">
        <f>0.00600948*H39^2-0.21634001*H39+17.28984339</f>
        <v>16.457562414312</v>
      </c>
      <c r="O39" s="39">
        <f>0.008922*H39^2+0.687377*H39+87.521501</f>
        <v>90.7033754768</v>
      </c>
      <c r="P39" s="40"/>
      <c r="Q39" s="39">
        <f>0.07730765*H39^2+2.39565917*H39+117.01795393</f>
        <v>128.99404197526002</v>
      </c>
      <c r="R39" s="39">
        <f>0.00450924*H39^2-0.21110643*H39+17.90084589</f>
        <v>17.062706790455998</v>
      </c>
      <c r="S39" s="39">
        <f>0.0089129*H39^2+0.6066464*H39+83.0430466</f>
        <v>85.87114647076</v>
      </c>
    </row>
    <row r="40" ht="13.5" thickBot="1"/>
    <row r="41" spans="6:20" ht="12.75">
      <c r="F41" s="42"/>
      <c r="G41" s="43"/>
      <c r="H41" s="44"/>
      <c r="I41" s="44"/>
      <c r="J41" s="45"/>
      <c r="K41" s="46"/>
      <c r="L41" s="47"/>
      <c r="M41" s="44"/>
      <c r="N41" s="44"/>
      <c r="O41" s="44"/>
      <c r="P41" s="45"/>
      <c r="Q41" s="44"/>
      <c r="R41" s="44"/>
      <c r="S41" s="44"/>
      <c r="T41" s="48"/>
    </row>
    <row r="42" spans="6:20" ht="12.75">
      <c r="F42" s="49"/>
      <c r="G42" s="50" t="s">
        <v>74</v>
      </c>
      <c r="H42" s="50" t="s">
        <v>2</v>
      </c>
      <c r="I42" s="3"/>
      <c r="J42" s="4"/>
      <c r="K42" s="5" t="s">
        <v>4</v>
      </c>
      <c r="L42" s="6"/>
      <c r="M42" s="3"/>
      <c r="N42" s="3"/>
      <c r="O42" s="3"/>
      <c r="P42" s="4"/>
      <c r="Q42" s="3"/>
      <c r="R42" s="3"/>
      <c r="S42" s="3"/>
      <c r="T42" s="51"/>
    </row>
    <row r="43" spans="6:20" ht="13.5" thickBot="1">
      <c r="F43" s="49"/>
      <c r="G43" s="50"/>
      <c r="H43" s="50" t="s">
        <v>7</v>
      </c>
      <c r="I43" s="3"/>
      <c r="J43" s="4"/>
      <c r="K43" s="5"/>
      <c r="L43" s="6"/>
      <c r="M43" s="3"/>
      <c r="N43" s="3"/>
      <c r="O43" s="3"/>
      <c r="P43" s="4"/>
      <c r="Q43" s="3"/>
      <c r="R43" s="3"/>
      <c r="S43" s="3"/>
      <c r="T43" s="51"/>
    </row>
    <row r="44" spans="6:20" ht="13.5" thickBot="1">
      <c r="F44" s="49"/>
      <c r="G44" s="52" t="s">
        <v>75</v>
      </c>
      <c r="H44" s="53">
        <v>5</v>
      </c>
      <c r="I44" s="54" t="s">
        <v>76</v>
      </c>
      <c r="J44" s="4"/>
      <c r="K44" s="35" t="s">
        <v>19</v>
      </c>
      <c r="L44" s="6"/>
      <c r="M44" s="36">
        <f aca="true" t="shared" si="0" ref="M44:M49">0.041526323*H44^2+2.341647035*H44+121.388402817</f>
        <v>134.134796067</v>
      </c>
      <c r="N44" s="36">
        <f aca="true" t="shared" si="1" ref="N44:N49">0.001841064*H44^2-0.121254589*H44+16.927142554</f>
        <v>16.366896209</v>
      </c>
      <c r="O44" s="36">
        <f aca="true" t="shared" si="2" ref="O44:O49">0.006642084*H44^2+0.676591723*H44+84.918588469</f>
        <v>88.467599184</v>
      </c>
      <c r="P44" s="4"/>
      <c r="Q44" s="36">
        <f aca="true" t="shared" si="3" ref="Q44:Q49">0.088940416*H44^2+2.199522638*H44+115.663056922</f>
        <v>128.884180512</v>
      </c>
      <c r="R44" s="36">
        <f aca="true" t="shared" si="4" ref="R44:R49">-0.003634418*H44^2-0.14640073*H44+17.318517117</f>
        <v>16.495653017</v>
      </c>
      <c r="S44" s="36">
        <f aca="true" t="shared" si="5" ref="S44:S49">0.002533618*H44^2+0.585883614*H44+82.316043616</f>
        <v>85.308802136</v>
      </c>
      <c r="T44" s="51"/>
    </row>
    <row r="45" spans="6:20" ht="13.5" thickBot="1">
      <c r="F45" s="49"/>
      <c r="G45" s="52" t="s">
        <v>89</v>
      </c>
      <c r="H45" s="53">
        <v>-0.5</v>
      </c>
      <c r="I45" s="54"/>
      <c r="J45" s="4"/>
      <c r="K45" s="35" t="s">
        <v>19</v>
      </c>
      <c r="L45" s="6"/>
      <c r="M45" s="36">
        <f t="shared" si="0"/>
        <v>120.22796088025</v>
      </c>
      <c r="N45" s="36">
        <f t="shared" si="1"/>
        <v>16.9882301145</v>
      </c>
      <c r="O45" s="36">
        <f t="shared" si="2"/>
        <v>84.5819531285</v>
      </c>
      <c r="P45" s="4"/>
      <c r="Q45" s="36">
        <f t="shared" si="3"/>
        <v>114.58553070699999</v>
      </c>
      <c r="R45" s="36">
        <f t="shared" si="4"/>
        <v>17.3908088775</v>
      </c>
      <c r="S45" s="36">
        <f t="shared" si="5"/>
        <v>82.0237352135</v>
      </c>
      <c r="T45" s="51"/>
    </row>
    <row r="46" spans="6:20" ht="13.5" thickBot="1">
      <c r="F46" s="49"/>
      <c r="G46" s="52"/>
      <c r="H46" s="53"/>
      <c r="I46" s="54"/>
      <c r="J46" s="4"/>
      <c r="K46" s="35" t="s">
        <v>19</v>
      </c>
      <c r="L46" s="6"/>
      <c r="M46" s="36">
        <f t="shared" si="0"/>
        <v>121.388402817</v>
      </c>
      <c r="N46" s="36">
        <f t="shared" si="1"/>
        <v>16.927142554</v>
      </c>
      <c r="O46" s="36">
        <f t="shared" si="2"/>
        <v>84.918588469</v>
      </c>
      <c r="P46" s="4"/>
      <c r="Q46" s="36">
        <f t="shared" si="3"/>
        <v>115.663056922</v>
      </c>
      <c r="R46" s="36">
        <f t="shared" si="4"/>
        <v>17.318517117</v>
      </c>
      <c r="S46" s="36">
        <f t="shared" si="5"/>
        <v>82.316043616</v>
      </c>
      <c r="T46" s="51"/>
    </row>
    <row r="47" spans="6:20" ht="13.5" thickBot="1">
      <c r="F47" s="49"/>
      <c r="G47" s="34"/>
      <c r="H47" s="53"/>
      <c r="I47" s="35" t="s">
        <v>76</v>
      </c>
      <c r="J47" s="4"/>
      <c r="K47" s="35" t="s">
        <v>19</v>
      </c>
      <c r="L47" s="6"/>
      <c r="M47" s="36">
        <f t="shared" si="0"/>
        <v>121.388402817</v>
      </c>
      <c r="N47" s="36">
        <f t="shared" si="1"/>
        <v>16.927142554</v>
      </c>
      <c r="O47" s="36">
        <f t="shared" si="2"/>
        <v>84.918588469</v>
      </c>
      <c r="P47" s="4"/>
      <c r="Q47" s="36">
        <f t="shared" si="3"/>
        <v>115.663056922</v>
      </c>
      <c r="R47" s="36">
        <f t="shared" si="4"/>
        <v>17.318517117</v>
      </c>
      <c r="S47" s="36">
        <f t="shared" si="5"/>
        <v>82.316043616</v>
      </c>
      <c r="T47" s="51"/>
    </row>
    <row r="48" spans="6:20" ht="13.5" thickBot="1">
      <c r="F48" s="49"/>
      <c r="G48" s="34"/>
      <c r="H48" s="53"/>
      <c r="I48" s="35" t="s">
        <v>76</v>
      </c>
      <c r="J48" s="4"/>
      <c r="K48" s="35" t="s">
        <v>19</v>
      </c>
      <c r="L48" s="6"/>
      <c r="M48" s="36">
        <f t="shared" si="0"/>
        <v>121.388402817</v>
      </c>
      <c r="N48" s="36">
        <f t="shared" si="1"/>
        <v>16.927142554</v>
      </c>
      <c r="O48" s="36">
        <f t="shared" si="2"/>
        <v>84.918588469</v>
      </c>
      <c r="P48" s="4"/>
      <c r="Q48" s="36">
        <f t="shared" si="3"/>
        <v>115.663056922</v>
      </c>
      <c r="R48" s="36">
        <f t="shared" si="4"/>
        <v>17.318517117</v>
      </c>
      <c r="S48" s="36">
        <f t="shared" si="5"/>
        <v>82.316043616</v>
      </c>
      <c r="T48" s="51"/>
    </row>
    <row r="49" spans="6:20" ht="13.5" thickBot="1">
      <c r="F49" s="49"/>
      <c r="G49" s="52"/>
      <c r="H49" s="53"/>
      <c r="I49" s="35" t="s">
        <v>76</v>
      </c>
      <c r="J49" s="4"/>
      <c r="K49" s="35" t="s">
        <v>19</v>
      </c>
      <c r="L49" s="6"/>
      <c r="M49" s="36">
        <f t="shared" si="0"/>
        <v>121.388402817</v>
      </c>
      <c r="N49" s="36">
        <f t="shared" si="1"/>
        <v>16.927142554</v>
      </c>
      <c r="O49" s="36">
        <f t="shared" si="2"/>
        <v>84.918588469</v>
      </c>
      <c r="P49" s="4"/>
      <c r="Q49" s="36">
        <f t="shared" si="3"/>
        <v>115.663056922</v>
      </c>
      <c r="R49" s="36">
        <f t="shared" si="4"/>
        <v>17.318517117</v>
      </c>
      <c r="S49" s="36">
        <f t="shared" si="5"/>
        <v>82.316043616</v>
      </c>
      <c r="T49" s="51"/>
    </row>
    <row r="50" spans="6:20" ht="13.5" thickBot="1">
      <c r="F50" s="49"/>
      <c r="G50" s="50"/>
      <c r="H50" s="3"/>
      <c r="I50" s="3"/>
      <c r="J50" s="4"/>
      <c r="K50" s="5"/>
      <c r="L50" s="6"/>
      <c r="M50" s="3"/>
      <c r="N50" s="3"/>
      <c r="O50" s="3"/>
      <c r="P50" s="4"/>
      <c r="Q50" s="3"/>
      <c r="R50" s="3"/>
      <c r="S50" s="3"/>
      <c r="T50" s="51"/>
    </row>
    <row r="51" spans="6:20" ht="13.5" thickBot="1">
      <c r="F51" s="49"/>
      <c r="G51" s="55" t="s">
        <v>77</v>
      </c>
      <c r="H51" s="56">
        <v>5</v>
      </c>
      <c r="I51" s="57" t="s">
        <v>76</v>
      </c>
      <c r="J51" s="4"/>
      <c r="K51" s="38" t="s">
        <v>22</v>
      </c>
      <c r="L51" s="6"/>
      <c r="M51" s="39">
        <f aca="true" t="shared" si="6" ref="M51:M56">0.029493227*H51^2+2.552731989*H51+124.032231132</f>
        <v>137.533221752</v>
      </c>
      <c r="N51" s="39">
        <f aca="true" t="shared" si="7" ref="N51:N56">0.00600948*H51^2-0.21634001*H51+17.28984339</f>
        <v>16.35838034</v>
      </c>
      <c r="O51" s="39">
        <f aca="true" t="shared" si="8" ref="O51:O56">0.008922*H51^2+0.687377*H51+87.521501</f>
        <v>91.181436</v>
      </c>
      <c r="P51" s="69"/>
      <c r="Q51" s="39">
        <f aca="true" t="shared" si="9" ref="Q51:Q56">0.07730765*H51^2+2.39565917*H51+117.01795393</f>
        <v>130.92894103</v>
      </c>
      <c r="R51" s="39">
        <f aca="true" t="shared" si="10" ref="R51:R56">0.00450924*H51^2-0.21110643*H51+17.90084589</f>
        <v>16.95804474</v>
      </c>
      <c r="S51" s="39">
        <f aca="true" t="shared" si="11" ref="S51:S56">0.0089129*H51^2+0.6066464*H51+83.0430466</f>
        <v>86.2991011</v>
      </c>
      <c r="T51" s="51"/>
    </row>
    <row r="52" spans="6:20" ht="13.5" thickBot="1">
      <c r="F52" s="49"/>
      <c r="G52" s="55" t="s">
        <v>40</v>
      </c>
      <c r="H52" s="56">
        <v>8</v>
      </c>
      <c r="I52" s="57"/>
      <c r="J52" s="4"/>
      <c r="K52" s="38" t="s">
        <v>22</v>
      </c>
      <c r="L52" s="6"/>
      <c r="M52" s="39">
        <f t="shared" si="6"/>
        <v>146.341653572</v>
      </c>
      <c r="N52" s="39">
        <f t="shared" si="7"/>
        <v>15.943730030000001</v>
      </c>
      <c r="O52" s="39">
        <f t="shared" si="8"/>
        <v>93.591525</v>
      </c>
      <c r="P52" s="69"/>
      <c r="Q52" s="39">
        <f t="shared" si="9"/>
        <v>141.13091689</v>
      </c>
      <c r="R52" s="39">
        <f t="shared" si="10"/>
        <v>16.50058581</v>
      </c>
      <c r="S52" s="39">
        <f t="shared" si="11"/>
        <v>88.4666434</v>
      </c>
      <c r="T52" s="51"/>
    </row>
    <row r="53" spans="6:20" ht="13.5" thickBot="1">
      <c r="F53" s="49"/>
      <c r="G53" s="55" t="s">
        <v>90</v>
      </c>
      <c r="H53" s="56">
        <v>5.3</v>
      </c>
      <c r="I53" s="57"/>
      <c r="J53" s="4"/>
      <c r="K53" s="38" t="s">
        <v>22</v>
      </c>
      <c r="L53" s="6"/>
      <c r="M53" s="39">
        <f t="shared" si="6"/>
        <v>138.39017542013002</v>
      </c>
      <c r="N53" s="39">
        <f t="shared" si="7"/>
        <v>16.312047630200002</v>
      </c>
      <c r="O53" s="39">
        <f t="shared" si="8"/>
        <v>91.41521808</v>
      </c>
      <c r="P53" s="69"/>
      <c r="Q53" s="39">
        <f t="shared" si="9"/>
        <v>131.88651941950002</v>
      </c>
      <c r="R53" s="39">
        <f t="shared" si="10"/>
        <v>16.9086463626</v>
      </c>
      <c r="S53" s="39">
        <f t="shared" si="11"/>
        <v>86.508635881</v>
      </c>
      <c r="T53" s="51"/>
    </row>
    <row r="54" spans="6:20" ht="13.5" thickBot="1">
      <c r="F54" s="49"/>
      <c r="G54" s="37" t="s">
        <v>89</v>
      </c>
      <c r="H54" s="56">
        <v>-0.5</v>
      </c>
      <c r="I54" s="38" t="s">
        <v>76</v>
      </c>
      <c r="J54" s="4"/>
      <c r="K54" s="38" t="s">
        <v>22</v>
      </c>
      <c r="L54" s="6"/>
      <c r="M54" s="39">
        <f t="shared" si="6"/>
        <v>122.76323844425</v>
      </c>
      <c r="N54" s="39">
        <f t="shared" si="7"/>
        <v>17.399515765</v>
      </c>
      <c r="O54" s="39">
        <f t="shared" si="8"/>
        <v>87.180043</v>
      </c>
      <c r="P54" s="69"/>
      <c r="Q54" s="39">
        <f t="shared" si="9"/>
        <v>115.8394512575</v>
      </c>
      <c r="R54" s="39">
        <f t="shared" si="10"/>
        <v>18.007526415</v>
      </c>
      <c r="S54" s="39">
        <f t="shared" si="11"/>
        <v>82.741951625</v>
      </c>
      <c r="T54" s="51"/>
    </row>
    <row r="55" spans="6:20" ht="13.5" thickBot="1">
      <c r="F55" s="49"/>
      <c r="G55" s="37"/>
      <c r="H55" s="56"/>
      <c r="I55" s="38" t="s">
        <v>76</v>
      </c>
      <c r="J55" s="4"/>
      <c r="K55" s="38" t="s">
        <v>22</v>
      </c>
      <c r="L55" s="6"/>
      <c r="M55" s="39">
        <f t="shared" si="6"/>
        <v>124.032231132</v>
      </c>
      <c r="N55" s="39">
        <f t="shared" si="7"/>
        <v>17.28984339</v>
      </c>
      <c r="O55" s="39">
        <f t="shared" si="8"/>
        <v>87.521501</v>
      </c>
      <c r="P55" s="69"/>
      <c r="Q55" s="39">
        <f t="shared" si="9"/>
        <v>117.01795393</v>
      </c>
      <c r="R55" s="39">
        <f t="shared" si="10"/>
        <v>17.90084589</v>
      </c>
      <c r="S55" s="39">
        <f t="shared" si="11"/>
        <v>83.0430466</v>
      </c>
      <c r="T55" s="51"/>
    </row>
    <row r="56" spans="6:20" ht="13.5" thickBot="1">
      <c r="F56" s="49"/>
      <c r="G56" s="55"/>
      <c r="H56" s="56"/>
      <c r="I56" s="38" t="s">
        <v>76</v>
      </c>
      <c r="J56" s="4"/>
      <c r="K56" s="38" t="s">
        <v>22</v>
      </c>
      <c r="L56" s="6"/>
      <c r="M56" s="39">
        <f t="shared" si="6"/>
        <v>124.032231132</v>
      </c>
      <c r="N56" s="39">
        <f t="shared" si="7"/>
        <v>17.28984339</v>
      </c>
      <c r="O56" s="39">
        <f t="shared" si="8"/>
        <v>87.521501</v>
      </c>
      <c r="P56" s="69"/>
      <c r="Q56" s="39">
        <f t="shared" si="9"/>
        <v>117.01795393</v>
      </c>
      <c r="R56" s="39">
        <f t="shared" si="10"/>
        <v>17.90084589</v>
      </c>
      <c r="S56" s="39">
        <f t="shared" si="11"/>
        <v>83.0430466</v>
      </c>
      <c r="T56" s="51"/>
    </row>
    <row r="57" spans="6:20" ht="13.5" thickBot="1">
      <c r="F57" s="58"/>
      <c r="G57" s="59"/>
      <c r="H57" s="60"/>
      <c r="I57" s="60"/>
      <c r="J57" s="61"/>
      <c r="K57" s="62"/>
      <c r="L57" s="63"/>
      <c r="M57" s="60"/>
      <c r="N57" s="60"/>
      <c r="O57" s="60"/>
      <c r="P57" s="61"/>
      <c r="Q57" s="60"/>
      <c r="R57" s="60"/>
      <c r="S57" s="60"/>
      <c r="T57" s="64"/>
    </row>
    <row r="58" spans="6:20" ht="12.75">
      <c r="F58" s="1"/>
      <c r="G58" s="50"/>
      <c r="H58" s="3"/>
      <c r="I58" s="3"/>
      <c r="J58" s="4"/>
      <c r="K58" s="5"/>
      <c r="L58" s="6"/>
      <c r="M58" s="3"/>
      <c r="N58" s="3"/>
      <c r="O58" s="3"/>
      <c r="P58" s="4"/>
      <c r="Q58" s="3"/>
      <c r="R58" s="3"/>
      <c r="S58" s="3"/>
      <c r="T58" s="1"/>
    </row>
    <row r="59" spans="6:27" ht="12.75" hidden="1">
      <c r="F59" s="1"/>
      <c r="G59" s="50"/>
      <c r="H59" s="3"/>
      <c r="I59" s="3"/>
      <c r="J59" s="4"/>
      <c r="K59" s="5"/>
      <c r="L59" s="6"/>
      <c r="M59" s="3"/>
      <c r="N59" s="3"/>
      <c r="O59" s="3"/>
      <c r="P59" s="4"/>
      <c r="Q59" s="3"/>
      <c r="R59" s="3"/>
      <c r="S59" s="3"/>
      <c r="T59" s="1"/>
      <c r="U59" s="28" t="s">
        <v>78</v>
      </c>
      <c r="V59" s="28" t="s">
        <v>78</v>
      </c>
      <c r="W59" s="28" t="s">
        <v>78</v>
      </c>
      <c r="Y59" s="28" t="s">
        <v>78</v>
      </c>
      <c r="Z59" s="28" t="s">
        <v>78</v>
      </c>
      <c r="AA59" s="28" t="s">
        <v>78</v>
      </c>
    </row>
    <row r="60" spans="6:27" ht="12.75" hidden="1">
      <c r="F60" s="1"/>
      <c r="G60" s="50"/>
      <c r="H60" s="3"/>
      <c r="I60" s="3"/>
      <c r="J60" s="4"/>
      <c r="K60" s="5"/>
      <c r="L60" s="6"/>
      <c r="M60" s="3"/>
      <c r="N60" s="3"/>
      <c r="O60" s="3"/>
      <c r="P60" s="4"/>
      <c r="Q60" s="3"/>
      <c r="R60" s="3"/>
      <c r="S60" s="3"/>
      <c r="T60" s="1"/>
      <c r="U60" s="28" t="str">
        <f aca="true" t="shared" si="12" ref="U60:W62">M5</f>
        <v>Open</v>
      </c>
      <c r="V60" s="28" t="str">
        <f t="shared" si="12"/>
        <v>Open</v>
      </c>
      <c r="W60" s="28" t="str">
        <f t="shared" si="12"/>
        <v>Open</v>
      </c>
      <c r="Y60" s="28" t="str">
        <f aca="true" t="shared" si="13" ref="Y60:AA62">Q5</f>
        <v>Close</v>
      </c>
      <c r="Z60" s="28" t="str">
        <f t="shared" si="13"/>
        <v>Close</v>
      </c>
      <c r="AA60" s="28" t="str">
        <f t="shared" si="13"/>
        <v>Close</v>
      </c>
    </row>
    <row r="61" spans="6:27" ht="12.75" hidden="1">
      <c r="F61" s="1"/>
      <c r="G61" s="50"/>
      <c r="H61" s="3"/>
      <c r="I61" s="3"/>
      <c r="J61" s="4"/>
      <c r="K61" s="5"/>
      <c r="L61" s="6"/>
      <c r="M61" s="3"/>
      <c r="N61" s="3"/>
      <c r="O61" s="3"/>
      <c r="P61" s="4"/>
      <c r="Q61" s="3"/>
      <c r="R61" s="3"/>
      <c r="S61" s="3"/>
      <c r="T61" s="1"/>
      <c r="U61" s="28" t="str">
        <f t="shared" si="12"/>
        <v>Tot Downtrack</v>
      </c>
      <c r="V61" s="28" t="str">
        <f t="shared" si="12"/>
        <v>Tot Crosstrack</v>
      </c>
      <c r="W61" s="28" t="str">
        <f t="shared" si="12"/>
        <v>Azimuth</v>
      </c>
      <c r="Y61" s="28" t="str">
        <f t="shared" si="13"/>
        <v>Tot Downtrack</v>
      </c>
      <c r="Z61" s="28" t="str">
        <f t="shared" si="13"/>
        <v>Tot Crosstrack</v>
      </c>
      <c r="AA61" s="28" t="str">
        <f t="shared" si="13"/>
        <v>Azimuth</v>
      </c>
    </row>
    <row r="62" spans="7:27" ht="12.75" hidden="1">
      <c r="G62" s="23" t="s">
        <v>79</v>
      </c>
      <c r="U62" s="28" t="str">
        <f t="shared" si="12"/>
        <v>[km]</v>
      </c>
      <c r="V62" s="28" t="str">
        <f t="shared" si="12"/>
        <v>[km]</v>
      </c>
      <c r="W62" s="28" t="str">
        <f t="shared" si="12"/>
        <v>[deg.]</v>
      </c>
      <c r="Y62" s="28" t="str">
        <f t="shared" si="13"/>
        <v>[km]</v>
      </c>
      <c r="Z62" s="28" t="str">
        <f t="shared" si="13"/>
        <v>[km]</v>
      </c>
      <c r="AA62" s="28" t="str">
        <f t="shared" si="13"/>
        <v>[deg.]</v>
      </c>
    </row>
    <row r="63" ht="12.75" hidden="1"/>
    <row r="64" spans="7:27" ht="12.75" hidden="1">
      <c r="G64" s="34" t="str">
        <f>'[1]Summary'!B3</f>
        <v>Isidis IP85A</v>
      </c>
      <c r="H64" s="35">
        <f>'[1]Summary'!C3</f>
        <v>4.62</v>
      </c>
      <c r="I64" s="35"/>
      <c r="K64" s="35" t="s">
        <v>19</v>
      </c>
      <c r="M64" s="36">
        <f aca="true" t="shared" si="14" ref="M64:M70">0.041526323*H64^2+2.341647035*H64+121.388402817</f>
        <v>133.0931665673412</v>
      </c>
      <c r="N64" s="36">
        <f aca="true" t="shared" si="15" ref="N64:N70">0.001841064*H64^2-0.121254589*H64+16.927142554</f>
        <v>16.4062427592616</v>
      </c>
      <c r="O64" s="36">
        <f aca="true" t="shared" si="16" ref="O64:O70">0.006642084*H64^2+0.676591723*H64+84.918588469</f>
        <v>88.1862135269896</v>
      </c>
      <c r="Q64" s="36">
        <f aca="true" t="shared" si="17" ref="Q64:Q70">0.088940416*H64^2+2.199522638*H64+115.663056922</f>
        <v>127.7232313248304</v>
      </c>
      <c r="R64" s="36">
        <f aca="true" t="shared" si="18" ref="R64:R70">-0.003634418*H64^2-0.14640073*H64+17.318517117</f>
        <v>16.564571272840798</v>
      </c>
      <c r="S64" s="36">
        <f aca="true" t="shared" si="19" ref="S64:S70">0.002533618*H64^2+0.585883614*H64+82.316043616</f>
        <v>85.0769044687192</v>
      </c>
      <c r="U64" s="65">
        <f>M64-'[1]Summary'!F3</f>
        <v>0.8531665673411908</v>
      </c>
      <c r="V64" s="65">
        <f>N64-'[1]Summary'!G3</f>
        <v>-0.04375724073840104</v>
      </c>
      <c r="W64" s="65">
        <f>O64-'[1]Summary'!H3</f>
        <v>-0.013786473010398481</v>
      </c>
      <c r="X64" s="65"/>
      <c r="Y64" s="65">
        <f>Q64-'[1]Summary'!J3</f>
        <v>0.9832313248303848</v>
      </c>
      <c r="Z64" s="65">
        <f>R64-'[1]Summary'!K3</f>
        <v>-0.1354287271592014</v>
      </c>
      <c r="AA64" s="65">
        <f>S64-'[1]Summary'!L3</f>
        <v>-0.22309553128079074</v>
      </c>
    </row>
    <row r="65" spans="7:27" ht="12.75" hidden="1">
      <c r="G65" s="34" t="s">
        <v>80</v>
      </c>
      <c r="H65" s="35">
        <v>-1.2</v>
      </c>
      <c r="I65" s="35"/>
      <c r="K65" s="35" t="s">
        <v>19</v>
      </c>
      <c r="M65" s="36">
        <f t="shared" si="14"/>
        <v>118.63822428012</v>
      </c>
      <c r="N65" s="36">
        <f t="shared" si="15"/>
        <v>17.07529919296</v>
      </c>
      <c r="O65" s="36">
        <f t="shared" si="16"/>
        <v>84.11624300236</v>
      </c>
      <c r="Q65" s="36">
        <f t="shared" si="17"/>
        <v>113.15170395544</v>
      </c>
      <c r="R65" s="36">
        <f t="shared" si="18"/>
        <v>17.48896443108</v>
      </c>
      <c r="S65" s="36">
        <f t="shared" si="19"/>
        <v>81.61663168912</v>
      </c>
      <c r="U65" s="65">
        <f>M65-'[1]Summary'!F4</f>
        <v>-0.7152757198800117</v>
      </c>
      <c r="V65" s="65">
        <f>N65-'[1]Summary'!G4</f>
        <v>0.21529919295999989</v>
      </c>
      <c r="W65" s="65">
        <f>O65-'[1]Summary'!H4</f>
        <v>-0.023756997640006716</v>
      </c>
      <c r="X65" s="65"/>
      <c r="Y65" s="65">
        <f>Q65-'[1]Summary'!J4</f>
        <v>-1.108796044560009</v>
      </c>
      <c r="Z65" s="65">
        <f>R65-'[1]Summary'!K4</f>
        <v>0.22396443107999886</v>
      </c>
      <c r="AA65" s="65">
        <f>S65-'[1]Summary'!L4</f>
        <v>0.2766316891199949</v>
      </c>
    </row>
    <row r="66" spans="7:27" ht="12.75" hidden="1">
      <c r="G66" s="34" t="str">
        <f>'[1]Summary'!B5</f>
        <v>Hematite TM10A</v>
      </c>
      <c r="H66" s="35">
        <f>'[1]Summary'!C5</f>
        <v>-2.2</v>
      </c>
      <c r="I66" s="35"/>
      <c r="K66" s="35" t="s">
        <v>19</v>
      </c>
      <c r="M66" s="36">
        <f t="shared" si="14"/>
        <v>116.43776674332</v>
      </c>
      <c r="N66" s="36">
        <f t="shared" si="15"/>
        <v>17.20281339956</v>
      </c>
      <c r="O66" s="36">
        <f t="shared" si="16"/>
        <v>83.46223436496</v>
      </c>
      <c r="Q66" s="36">
        <f t="shared" si="17"/>
        <v>111.25457873184</v>
      </c>
      <c r="R66" s="36">
        <f t="shared" si="18"/>
        <v>17.62300813988</v>
      </c>
      <c r="S66" s="36">
        <f t="shared" si="19"/>
        <v>81.03936237632</v>
      </c>
      <c r="U66" s="65">
        <f>M66-'[1]Summary'!F5</f>
        <v>-2.38223325668001</v>
      </c>
      <c r="V66" s="65">
        <f>N66-'[1]Summary'!G5</f>
        <v>0.0028133995600008177</v>
      </c>
      <c r="W66" s="65">
        <f>O66-'[1]Summary'!H5</f>
        <v>-0.037765635040003076</v>
      </c>
      <c r="X66" s="65"/>
      <c r="Y66" s="65">
        <f>Q66-'[1]Summary'!J5</f>
        <v>-1.6254212681600109</v>
      </c>
      <c r="Z66" s="65">
        <f>R66-'[1]Summary'!K5</f>
        <v>0.223008139880001</v>
      </c>
      <c r="AA66" s="65">
        <f>S66-'[1]Summary'!L5</f>
        <v>0.3393623763199969</v>
      </c>
    </row>
    <row r="67" spans="7:27" ht="12.75" hidden="1">
      <c r="G67" s="34" t="str">
        <f>'[1]Summary'!B6</f>
        <v>Gale EP82A</v>
      </c>
      <c r="H67" s="35">
        <f>'[1]Summary'!C6</f>
        <v>-5.76</v>
      </c>
      <c r="I67" s="35"/>
      <c r="K67" s="35" t="s">
        <v>19</v>
      </c>
      <c r="M67" s="36">
        <f t="shared" si="14"/>
        <v>109.2782596293648</v>
      </c>
      <c r="N67" s="36">
        <f t="shared" si="15"/>
        <v>17.6866510716064</v>
      </c>
      <c r="O67" s="36">
        <f t="shared" si="16"/>
        <v>81.2417885506384</v>
      </c>
      <c r="Q67" s="36">
        <f t="shared" si="17"/>
        <v>105.94463607300159</v>
      </c>
      <c r="R67" s="36">
        <f t="shared" si="18"/>
        <v>18.0412040551632</v>
      </c>
      <c r="S67" s="36">
        <f t="shared" si="19"/>
        <v>79.0254133639168</v>
      </c>
      <c r="U67" s="65">
        <f>M67-'[1]Summary'!F6</f>
        <v>1.6287596293647937</v>
      </c>
      <c r="V67" s="65">
        <f>N67-'[1]Summary'!G6</f>
        <v>-0.5033489283935992</v>
      </c>
      <c r="W67" s="65">
        <f>O67-'[1]Summary'!H6</f>
        <v>0.24178855063840388</v>
      </c>
      <c r="X67" s="65"/>
      <c r="Y67" s="65">
        <f>Q67-'[1]Summary'!J6</f>
        <v>-0.5278639269984211</v>
      </c>
      <c r="Z67" s="65">
        <f>R67-'[1]Summary'!K6</f>
        <v>-0.22379594483680165</v>
      </c>
      <c r="AA67" s="65">
        <f>S67-'[1]Summary'!L6</f>
        <v>0.06541336391680375</v>
      </c>
    </row>
    <row r="68" spans="7:27" ht="12.75" hidden="1">
      <c r="G68" s="34" t="str">
        <f>'[1]Summary'!B7</f>
        <v>Melas VM53A</v>
      </c>
      <c r="H68" s="35">
        <f>'[1]Summary'!C7</f>
        <v>-8.68</v>
      </c>
      <c r="I68" s="35"/>
      <c r="K68" s="35" t="s">
        <v>19</v>
      </c>
      <c r="M68" s="36">
        <f t="shared" si="14"/>
        <v>104.1915993911952</v>
      </c>
      <c r="N68" s="36">
        <f t="shared" si="15"/>
        <v>18.1183425668336</v>
      </c>
      <c r="O68" s="36">
        <f t="shared" si="16"/>
        <v>79.5462028629216</v>
      </c>
      <c r="Q68" s="36">
        <f t="shared" si="17"/>
        <v>103.2721848225984</v>
      </c>
      <c r="R68" s="36">
        <f t="shared" si="18"/>
        <v>18.3154496786768</v>
      </c>
      <c r="S68" s="36">
        <f t="shared" si="19"/>
        <v>77.4214627072832</v>
      </c>
      <c r="U68" s="65">
        <f>M68-'[1]Summary'!F7</f>
        <v>1.5195993911952002</v>
      </c>
      <c r="V68" s="65">
        <f>N68-'[1]Summary'!G7</f>
        <v>0.48834256683360167</v>
      </c>
      <c r="W68" s="65">
        <f>O68-'[1]Summary'!H7</f>
        <v>-0.08379713707839187</v>
      </c>
      <c r="X68" s="65"/>
      <c r="Y68" s="65">
        <f>Q68-'[1]Summary'!J7</f>
        <v>3.6636848225984124</v>
      </c>
      <c r="Z68" s="65">
        <f>R68-'[1]Summary'!K7</f>
        <v>-0.19955032132320127</v>
      </c>
      <c r="AA68" s="65">
        <f>S68-'[1]Summary'!L7</f>
        <v>-0.6985372927168072</v>
      </c>
    </row>
    <row r="69" spans="7:27" ht="12.75" hidden="1">
      <c r="G69" s="34" t="str">
        <f>'[1]Summary'!B8</f>
        <v>Eos VM41A</v>
      </c>
      <c r="H69" s="35">
        <f>'[1]Summary'!C8</f>
        <v>-13.2</v>
      </c>
      <c r="I69" s="35"/>
      <c r="K69" s="35" t="s">
        <v>19</v>
      </c>
      <c r="M69" s="36">
        <f t="shared" si="14"/>
        <v>97.71420847452</v>
      </c>
      <c r="N69" s="36">
        <f t="shared" si="15"/>
        <v>18.84849012016</v>
      </c>
      <c r="O69" s="36">
        <f t="shared" si="16"/>
        <v>77.14489444156</v>
      </c>
      <c r="Q69" s="36">
        <f t="shared" si="17"/>
        <v>102.12633618423999</v>
      </c>
      <c r="R69" s="36">
        <f t="shared" si="18"/>
        <v>18.61774576068</v>
      </c>
      <c r="S69" s="36">
        <f t="shared" si="19"/>
        <v>75.02383751152</v>
      </c>
      <c r="U69" s="65">
        <f>M69-'[1]Summary'!F8</f>
        <v>-0.49729152547999433</v>
      </c>
      <c r="V69" s="65">
        <f>N69-'[1]Summary'!G8</f>
        <v>-0.3615098798399963</v>
      </c>
      <c r="W69" s="65">
        <f>O69-'[1]Summary'!H8</f>
        <v>-0.40510555843999896</v>
      </c>
      <c r="X69" s="65"/>
      <c r="Y69" s="65">
        <f>Q69-'[1]Summary'!J8</f>
        <v>-0.6831638157600253</v>
      </c>
      <c r="Z69" s="65">
        <f>R69-'[1]Summary'!K8</f>
        <v>0.0027457606799998757</v>
      </c>
      <c r="AA69" s="65">
        <f>S69-'[1]Summary'!L8</f>
        <v>-0.03616248848000225</v>
      </c>
    </row>
    <row r="70" spans="7:27" ht="12.75" hidden="1">
      <c r="G70" s="34" t="str">
        <f>'[1]Summary'!B9</f>
        <v>Gusev EP55A</v>
      </c>
      <c r="H70" s="35">
        <f>'[1]Summary'!C9</f>
        <v>-14.67</v>
      </c>
      <c r="I70" s="35"/>
      <c r="K70" s="35" t="s">
        <v>19</v>
      </c>
      <c r="M70" s="36">
        <f t="shared" si="14"/>
        <v>95.9732751074247</v>
      </c>
      <c r="N70" s="36">
        <f t="shared" si="15"/>
        <v>19.1021607328996</v>
      </c>
      <c r="O70" s="36">
        <f t="shared" si="16"/>
        <v>76.42242348393759</v>
      </c>
      <c r="Q70" s="36">
        <f t="shared" si="17"/>
        <v>102.5368289154424</v>
      </c>
      <c r="R70" s="36">
        <f t="shared" si="18"/>
        <v>18.6840567261798</v>
      </c>
      <c r="S70" s="36">
        <f t="shared" si="19"/>
        <v>74.26638814142021</v>
      </c>
      <c r="U70" s="65">
        <f>M70-'[1]Summary'!F9</f>
        <v>-0.40672489257531197</v>
      </c>
      <c r="V70" s="65">
        <f>N70-'[1]Summary'!G9</f>
        <v>0.2021607328995998</v>
      </c>
      <c r="W70" s="65">
        <f>O70-'[1]Summary'!H9</f>
        <v>0.3224234839375981</v>
      </c>
      <c r="X70" s="65"/>
      <c r="Y70" s="65">
        <f>Q70-'[1]Summary'!J9</f>
        <v>-0.7016710845576171</v>
      </c>
      <c r="Z70" s="65">
        <f>R70-'[1]Summary'!K9</f>
        <v>0.10905672617980144</v>
      </c>
      <c r="AA70" s="65">
        <f>S70-'[1]Summary'!L9</f>
        <v>0.2763881414202132</v>
      </c>
    </row>
    <row r="71" spans="7:27" s="66" customFormat="1" ht="12.75" hidden="1">
      <c r="G71" s="67"/>
      <c r="H71" s="6"/>
      <c r="I71" s="6"/>
      <c r="J71" s="4"/>
      <c r="K71" s="6"/>
      <c r="L71" s="6"/>
      <c r="M71" s="68"/>
      <c r="N71" s="68"/>
      <c r="O71" s="69"/>
      <c r="P71" s="4"/>
      <c r="Q71" s="69"/>
      <c r="R71" s="69"/>
      <c r="S71" s="68"/>
      <c r="U71" s="70"/>
      <c r="V71" s="70"/>
      <c r="W71" s="70"/>
      <c r="X71" s="70"/>
      <c r="Y71" s="70"/>
      <c r="Z71" s="70"/>
      <c r="AA71" s="70"/>
    </row>
    <row r="72" spans="7:27" s="66" customFormat="1" ht="12.75" hidden="1">
      <c r="G72" s="37" t="str">
        <f>'[1]Summary'!B15</f>
        <v>10N</v>
      </c>
      <c r="H72" s="38">
        <f>'[1]Summary'!C15</f>
        <v>10</v>
      </c>
      <c r="I72" s="38"/>
      <c r="J72" s="4"/>
      <c r="K72" s="38" t="s">
        <v>22</v>
      </c>
      <c r="L72" s="6"/>
      <c r="M72" s="39">
        <f aca="true" t="shared" si="20" ref="M72:M77">0.029493227*H72^2+2.552731989*H72+124.032231132</f>
        <v>152.508873722</v>
      </c>
      <c r="N72" s="39">
        <f aca="true" t="shared" si="21" ref="N72:N77">0.00600948*H72^2-0.21634001*H72+17.28984339</f>
        <v>15.727391290000002</v>
      </c>
      <c r="O72" s="39">
        <f aca="true" t="shared" si="22" ref="O72:O77">0.008922*H72^2+0.687377*H72+87.521501</f>
        <v>95.287471</v>
      </c>
      <c r="P72" s="40"/>
      <c r="Q72" s="39">
        <f aca="true" t="shared" si="23" ref="Q72:Q77">0.07730765*H72^2+2.39565917*H72+117.01795393</f>
        <v>148.70531063</v>
      </c>
      <c r="R72" s="39">
        <f aca="true" t="shared" si="24" ref="R72:R77">0.00450924*H72^2-0.21110643*H72+17.90084589</f>
        <v>16.240705589999997</v>
      </c>
      <c r="S72" s="39">
        <f aca="true" t="shared" si="25" ref="S72:S77">0.0089129*H72^2+0.6066464*H72+83.0430466</f>
        <v>90.00080059999999</v>
      </c>
      <c r="U72" s="65">
        <f>M72-'[1]Summary'!F15</f>
        <v>3.119873721999994</v>
      </c>
      <c r="V72" s="65">
        <f>N72-'[1]Summary'!G15</f>
        <v>-0.02760871000000087</v>
      </c>
      <c r="W72" s="65">
        <f>O72-'[1]Summary'!H15</f>
        <v>0.1274709999999999</v>
      </c>
      <c r="X72" s="65"/>
      <c r="Y72" s="65">
        <f>Q72-'[1]Summary'!J15</f>
        <v>3.0599772966666876</v>
      </c>
      <c r="Z72" s="65">
        <f>R72-'[1]Summary'!K15</f>
        <v>0.08403892333333118</v>
      </c>
      <c r="AA72" s="65">
        <f>S72-'[1]Summary'!L15</f>
        <v>0.1408005999999915</v>
      </c>
    </row>
    <row r="73" spans="7:27" ht="12.75" hidden="1">
      <c r="G73" s="37" t="str">
        <f>'[1]Summary'!B16</f>
        <v>Elysium Flow EP49B</v>
      </c>
      <c r="H73" s="38">
        <f>'[1]Summary'!C16</f>
        <v>9.16</v>
      </c>
      <c r="I73" s="38"/>
      <c r="K73" s="38" t="s">
        <v>22</v>
      </c>
      <c r="M73" s="39">
        <f t="shared" si="20"/>
        <v>149.8899030586112</v>
      </c>
      <c r="N73" s="39">
        <f t="shared" si="21"/>
        <v>15.812397923488001</v>
      </c>
      <c r="O73" s="39">
        <f t="shared" si="22"/>
        <v>94.5664800832</v>
      </c>
      <c r="P73" s="40"/>
      <c r="Q73" s="39">
        <f t="shared" si="23"/>
        <v>145.44873668504002</v>
      </c>
      <c r="R73" s="39">
        <f t="shared" si="24"/>
        <v>16.345461478944</v>
      </c>
      <c r="S73" s="39">
        <f t="shared" si="25"/>
        <v>89.34776984624</v>
      </c>
      <c r="U73" s="65">
        <f>M73-'[1]Summary'!F16</f>
        <v>-1.930096941388797</v>
      </c>
      <c r="V73" s="65">
        <f>N73-'[1]Summary'!G16</f>
        <v>-0.19260207651200112</v>
      </c>
      <c r="W73" s="65">
        <f>O73-'[1]Summary'!H16</f>
        <v>-0.023519916799997986</v>
      </c>
      <c r="X73" s="65"/>
      <c r="Y73" s="65">
        <f>Q73-'[1]Summary'!J16</f>
        <v>-2.0885966482933327</v>
      </c>
      <c r="Z73" s="65">
        <f>R73-'[1]Summary'!K16</f>
        <v>-0.24120518772266664</v>
      </c>
      <c r="AA73" s="65">
        <f>S73-'[1]Summary'!L16</f>
        <v>-0.0822301537600083</v>
      </c>
    </row>
    <row r="74" spans="7:27" ht="12.75" hidden="1">
      <c r="G74" s="37" t="str">
        <f>'[1]Summary'!B17</f>
        <v>Isidis IP98B</v>
      </c>
      <c r="H74" s="38">
        <f>'[1]Summary'!C17</f>
        <v>4.55</v>
      </c>
      <c r="I74" s="38"/>
      <c r="K74" s="38" t="s">
        <v>22</v>
      </c>
      <c r="M74" s="39">
        <f t="shared" si="20"/>
        <v>136.2577452139175</v>
      </c>
      <c r="N74" s="39">
        <f t="shared" si="21"/>
        <v>16.4299076042</v>
      </c>
      <c r="O74" s="39">
        <f t="shared" si="22"/>
        <v>90.833774055</v>
      </c>
      <c r="P74" s="40"/>
      <c r="Q74" s="39">
        <f t="shared" si="23"/>
        <v>129.518664777625</v>
      </c>
      <c r="R74" s="39">
        <f t="shared" si="24"/>
        <v>17.0336641746</v>
      </c>
      <c r="S74" s="39">
        <f t="shared" si="25"/>
        <v>85.98780703225</v>
      </c>
      <c r="U74" s="65">
        <f>M74-'[1]Summary'!F17</f>
        <v>-3.7702547860825177</v>
      </c>
      <c r="V74" s="65">
        <f>N74-'[1]Summary'!G17</f>
        <v>0.5299076041999999</v>
      </c>
      <c r="W74" s="65">
        <f>O74-'[1]Summary'!H17</f>
        <v>-0.2862259449999982</v>
      </c>
      <c r="X74" s="65"/>
      <c r="Y74" s="65">
        <f>Q74-'[1]Summary'!J17</f>
        <v>-3.271335222375029</v>
      </c>
      <c r="Z74" s="65">
        <f>R74-'[1]Summary'!K17</f>
        <v>0.3436641745999971</v>
      </c>
      <c r="AA74" s="65">
        <f>S74-'[1]Summary'!L17</f>
        <v>-0.18219296774999805</v>
      </c>
    </row>
    <row r="75" spans="7:27" ht="12.75" hidden="1">
      <c r="G75" s="37" t="s">
        <v>81</v>
      </c>
      <c r="H75" s="38">
        <v>-1.2</v>
      </c>
      <c r="I75" s="38"/>
      <c r="K75" s="38" t="s">
        <v>22</v>
      </c>
      <c r="M75" s="39">
        <f t="shared" si="20"/>
        <v>121.01142299208</v>
      </c>
      <c r="N75" s="39">
        <f t="shared" si="21"/>
        <v>17.558105053200002</v>
      </c>
      <c r="O75" s="39">
        <f t="shared" si="22"/>
        <v>86.70949628</v>
      </c>
      <c r="P75" s="40"/>
      <c r="Q75" s="39">
        <f t="shared" si="23"/>
        <v>114.254485942</v>
      </c>
      <c r="R75" s="39">
        <f t="shared" si="24"/>
        <v>18.1606669116</v>
      </c>
      <c r="S75" s="39">
        <f t="shared" si="25"/>
        <v>82.327905496</v>
      </c>
      <c r="U75" s="65">
        <f>M75-'[1]Summary'!F18</f>
        <v>1.9054229920799912</v>
      </c>
      <c r="V75" s="65">
        <f>N75-'[1]Summary'!G18</f>
        <v>-0.2268949467999981</v>
      </c>
      <c r="W75" s="65">
        <f>O75-'[1]Summary'!H18</f>
        <v>0.14949627999999393</v>
      </c>
      <c r="X75" s="65"/>
      <c r="Y75" s="65">
        <f>Q75-'[1]Summary'!J18</f>
        <v>2.214152608666666</v>
      </c>
      <c r="Z75" s="65">
        <f>R75-'[1]Summary'!K18</f>
        <v>-0.09599975506666425</v>
      </c>
      <c r="AA75" s="65">
        <f>S75-'[1]Summary'!L18</f>
        <v>0.09790549599999565</v>
      </c>
    </row>
    <row r="76" spans="7:27" ht="12.75" hidden="1">
      <c r="G76" s="37" t="str">
        <f>'[1]Summary'!B19</f>
        <v>Hematite TM20B</v>
      </c>
      <c r="H76" s="38">
        <f>'[1]Summary'!C19</f>
        <v>-1.98</v>
      </c>
      <c r="I76" s="38"/>
      <c r="K76" s="38" t="s">
        <v>22</v>
      </c>
      <c r="M76" s="39">
        <f t="shared" si="20"/>
        <v>119.0934470409108</v>
      </c>
      <c r="N76" s="39">
        <f t="shared" si="21"/>
        <v>17.741756175192002</v>
      </c>
      <c r="O76" s="39">
        <f t="shared" si="22"/>
        <v>86.1954723488</v>
      </c>
      <c r="P76" s="40"/>
      <c r="Q76" s="39">
        <f t="shared" si="23"/>
        <v>112.57762568446</v>
      </c>
      <c r="R76" s="39">
        <f t="shared" si="24"/>
        <v>18.336514645896</v>
      </c>
      <c r="S76" s="39">
        <f t="shared" si="25"/>
        <v>81.87682886115999</v>
      </c>
      <c r="U76" s="65">
        <f>M76-'[1]Summary'!F19</f>
        <v>1.758447040910795</v>
      </c>
      <c r="V76" s="65">
        <f>N76-'[1]Summary'!G19</f>
        <v>-0.2032438248079984</v>
      </c>
      <c r="W76" s="65">
        <f>O76-'[1]Summary'!H19</f>
        <v>0.10547234879999223</v>
      </c>
      <c r="X76" s="65"/>
      <c r="Y76" s="65">
        <f>Q76-'[1]Summary'!J19</f>
        <v>1.0176256844600005</v>
      </c>
      <c r="Z76" s="65">
        <f>R76-'[1]Summary'!K19</f>
        <v>-0.1634853541040009</v>
      </c>
      <c r="AA76" s="65">
        <f>S76-'[1]Summary'!L19</f>
        <v>0.07682886115999565</v>
      </c>
    </row>
    <row r="77" spans="7:27" ht="12.75" hidden="1">
      <c r="G77" s="37" t="str">
        <f>'[1]Summary'!B20</f>
        <v>Melas B Site</v>
      </c>
      <c r="H77" s="38">
        <f>'[1]Summary'!C20</f>
        <v>-8.68</v>
      </c>
      <c r="I77" s="38"/>
      <c r="K77" s="38" t="s">
        <v>22</v>
      </c>
      <c r="M77" s="39">
        <f t="shared" si="20"/>
        <v>104.0966079734048</v>
      </c>
      <c r="N77" s="39">
        <f t="shared" si="21"/>
        <v>19.620443322752003</v>
      </c>
      <c r="O77" s="39">
        <f t="shared" si="22"/>
        <v>82.2272735328</v>
      </c>
      <c r="P77" s="40"/>
      <c r="Q77" s="39">
        <f t="shared" si="23"/>
        <v>102.04817622376001</v>
      </c>
      <c r="R77" s="39">
        <f t="shared" si="24"/>
        <v>20.072986666176</v>
      </c>
      <c r="S77" s="39">
        <f t="shared" si="25"/>
        <v>78.44887512496</v>
      </c>
      <c r="U77" s="65">
        <f>M77-'[1]Summary'!F20</f>
        <v>-1.083392026595206</v>
      </c>
      <c r="V77" s="65">
        <f>N77-'[1]Summary'!G20</f>
        <v>0.12044332275200276</v>
      </c>
      <c r="W77" s="65">
        <f>O77-'[1]Summary'!H20</f>
        <v>-0.07272646719999898</v>
      </c>
      <c r="X77" s="65"/>
      <c r="Y77" s="65">
        <f>Q77-'[1]Summary'!J20</f>
        <v>-0.9318237762399946</v>
      </c>
      <c r="Z77" s="65">
        <f>R77-'[1]Summary'!K20</f>
        <v>0.07298666617599991</v>
      </c>
      <c r="AA77" s="65">
        <f>S77-'[1]Summary'!L20</f>
        <v>-0.05112487504000285</v>
      </c>
    </row>
    <row r="78" ht="13.5" hidden="1" thickBot="1">
      <c r="H78" s="23"/>
    </row>
    <row r="79" spans="7:23" ht="12.75" hidden="1">
      <c r="G79" s="31"/>
      <c r="H79" s="23"/>
      <c r="S79" s="71"/>
      <c r="T79" s="72"/>
      <c r="U79" s="73" t="s">
        <v>82</v>
      </c>
      <c r="V79" s="73" t="s">
        <v>83</v>
      </c>
      <c r="W79" s="74" t="s">
        <v>84</v>
      </c>
    </row>
    <row r="80" spans="19:23" ht="12.75" hidden="1">
      <c r="S80" s="75" t="s">
        <v>85</v>
      </c>
      <c r="T80" s="76" t="s">
        <v>86</v>
      </c>
      <c r="U80" s="77">
        <f>MIN(U64:U77,Y64:Y77)</f>
        <v>-3.7702547860825177</v>
      </c>
      <c r="V80" s="77">
        <f>MIN(V64:V77,Z64:Z77)</f>
        <v>-0.5033489283935992</v>
      </c>
      <c r="W80" s="78">
        <f>MIN(W64:W77,AA64:AA77)</f>
        <v>-0.6985372927168072</v>
      </c>
    </row>
    <row r="81" spans="19:23" ht="13.5" hidden="1" thickBot="1">
      <c r="S81" s="79" t="s">
        <v>85</v>
      </c>
      <c r="T81" s="80" t="s">
        <v>87</v>
      </c>
      <c r="U81" s="81">
        <f>MAX(U64:U77,Y64:Y77)</f>
        <v>3.6636848225984124</v>
      </c>
      <c r="V81" s="81">
        <f>MAX(V64:V77,Z64:Z77)</f>
        <v>0.5299076041999999</v>
      </c>
      <c r="W81" s="82">
        <f>MAX(W64:W77,AA64:AA77)</f>
        <v>0.3393623763199969</v>
      </c>
    </row>
    <row r="82" ht="12.75" hidden="1"/>
    <row r="83" ht="12.75" hidden="1"/>
  </sheetData>
  <printOptions horizontalCentered="1"/>
  <pageMargins left="0" right="0" top="0.56" bottom="0" header="0" footer="0"/>
  <pageSetup fitToHeight="1" fitToWidth="1" orientation="landscape" paperSize="9" scale="72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OAO/JPL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OAO/JPL</dc:creator>
  <cp:keywords/>
  <dc:description/>
  <cp:lastModifiedBy>OAO JPL</cp:lastModifiedBy>
  <cp:lastPrinted>2001-10-05T18:48:13Z</cp:lastPrinted>
  <dcterms:created xsi:type="dcterms:W3CDTF">2001-10-05T18:45:28Z</dcterms:created>
  <cp:category/>
  <cp:version/>
  <cp:contentType/>
  <cp:contentStatus/>
</cp:coreProperties>
</file>