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30" windowWidth="12120" windowHeight="9120" activeTab="0"/>
  </bookViews>
  <sheets>
    <sheet name="Current MY Credit Calc" sheetId="1" r:id="rId1"/>
    <sheet name="Field Descriptions" sheetId="2" r:id="rId2"/>
    <sheet name="Summary" sheetId="3" r:id="rId3"/>
  </sheets>
  <definedNames>
    <definedName name="_xlnm.Print_Area" localSheetId="0">'Current MY Credit Calc'!$A$1:$G$28</definedName>
  </definedNames>
  <calcPr fullCalcOnLoad="1"/>
</workbook>
</file>

<file path=xl/sharedStrings.xml><?xml version="1.0" encoding="utf-8"?>
<sst xmlns="http://schemas.openxmlformats.org/spreadsheetml/2006/main" count="116" uniqueCount="94">
  <si>
    <t>Engine Family Name or Test Group</t>
  </si>
  <si>
    <t xml:space="preserve">U.S. Production  </t>
  </si>
  <si>
    <t>Credit Balance</t>
  </si>
  <si>
    <t>Regular Program</t>
  </si>
  <si>
    <t>Data Element</t>
  </si>
  <si>
    <t>Standard</t>
  </si>
  <si>
    <t xml:space="preserve">Emission Level </t>
  </si>
  <si>
    <t xml:space="preserve">Field </t>
  </si>
  <si>
    <t>Description</t>
  </si>
  <si>
    <t xml:space="preserve">Enter the 12-character engine family name or test group name.  </t>
  </si>
  <si>
    <t>Enter number of engines/vehicles manufactured for U.S. production.</t>
  </si>
  <si>
    <t>Y</t>
  </si>
  <si>
    <t>N</t>
  </si>
  <si>
    <t>Column1</t>
  </si>
  <si>
    <t>HC + NOx Num</t>
  </si>
  <si>
    <t>Default Value</t>
  </si>
  <si>
    <t>N/A</t>
  </si>
  <si>
    <t>Messages</t>
  </si>
  <si>
    <t>Complete?</t>
  </si>
  <si>
    <t>MESSAGES</t>
  </si>
  <si>
    <t>Useful Life must be greater than zero.</t>
  </si>
  <si>
    <t>U.S. Production must be greater than zero.</t>
  </si>
  <si>
    <t>Invalid Production</t>
  </si>
  <si>
    <t>Invalid UL</t>
  </si>
  <si>
    <t>RAW CALCULATIONS</t>
  </si>
  <si>
    <t>Emissions</t>
  </si>
  <si>
    <t>Credit</t>
  </si>
  <si>
    <t>Invalid Entry Flag</t>
  </si>
  <si>
    <t>Invalid Regular Useful Life</t>
  </si>
  <si>
    <t>HC + NOx Denom</t>
  </si>
  <si>
    <t>Credit Summary</t>
  </si>
  <si>
    <t xml:space="preserve">Current Credit Balances </t>
  </si>
  <si>
    <t>Current MY Credits</t>
  </si>
  <si>
    <t>Credit Balances after Application of Traded or Banked Credits</t>
  </si>
  <si>
    <t>Total Credit Balance</t>
  </si>
  <si>
    <t>Class III</t>
  </si>
  <si>
    <t>Class I or II</t>
  </si>
  <si>
    <t>Averaging Set</t>
  </si>
  <si>
    <t>Useful Life (km)</t>
  </si>
  <si>
    <t>FEL (g/km)</t>
  </si>
  <si>
    <t>Condition</t>
  </si>
  <si>
    <t>If B=Class I or II, and C=Y</t>
  </si>
  <si>
    <t>Only Class III engines may select the optional early banking option.</t>
  </si>
  <si>
    <t>If D=0</t>
  </si>
  <si>
    <t>If E=0</t>
  </si>
  <si>
    <t>If F&gt;5.0</t>
  </si>
  <si>
    <t>Maximum allowable FEL is 5.0 g/km</t>
  </si>
  <si>
    <t>C</t>
  </si>
  <si>
    <t>E</t>
  </si>
  <si>
    <t>D</t>
  </si>
  <si>
    <t>F</t>
  </si>
  <si>
    <t>B and C</t>
  </si>
  <si>
    <t>Multiplier</t>
  </si>
  <si>
    <t>Class III (unadjusted)</t>
  </si>
  <si>
    <t>Class III (adjusted)</t>
  </si>
  <si>
    <r>
      <t>Early Banking Credits: HC+NO</t>
    </r>
    <r>
      <rPr>
        <b/>
        <vertAlign val="subscript"/>
        <sz val="8"/>
        <rFont val="Arial"/>
        <family val="2"/>
      </rPr>
      <t>x</t>
    </r>
    <r>
      <rPr>
        <b/>
        <sz val="8"/>
        <rFont val="Arial"/>
        <family val="2"/>
      </rPr>
      <t xml:space="preserve"> (g/km)</t>
    </r>
  </si>
  <si>
    <r>
      <t>Regular Program Credits: HC+NO</t>
    </r>
    <r>
      <rPr>
        <b/>
        <vertAlign val="subscript"/>
        <sz val="8"/>
        <rFont val="Arial"/>
        <family val="2"/>
      </rPr>
      <t>x</t>
    </r>
    <r>
      <rPr>
        <b/>
        <sz val="8"/>
        <rFont val="Arial"/>
        <family val="2"/>
      </rPr>
      <t xml:space="preserve"> (g/km)</t>
    </r>
  </si>
  <si>
    <t>Regular Class I or II</t>
  </si>
  <si>
    <t>Regular Class III</t>
  </si>
  <si>
    <t>Optional-Class III</t>
  </si>
  <si>
    <t>If D23 is &lt; 0.4 and first character of Efam name is 6, THEN Multiplier = 3.0</t>
  </si>
  <si>
    <t>If D23 is &lt; 0.8 but &gt;=0.4 and first character of Efam name is 7, THEN Multiplier = 1.375</t>
  </si>
  <si>
    <t>If D23 is &lt; 0.4 and first character of Efam name is 7, THEN Multiplier = 2.5</t>
  </si>
  <si>
    <t>If D23 is &lt; 0.8 but &gt;=0.4 and first character of Efam name is 8, THEN Multiplier = 1.25</t>
  </si>
  <si>
    <t>If D23 is &lt; 0.4 and first character of Efam name is 8, THEN Multiplier = 2.0</t>
  </si>
  <si>
    <t>If D23 is &lt; 0.8 but &gt;=0.4 and first character of Efam name is 9, THEN Multiplier = 1.125</t>
  </si>
  <si>
    <t>Ave Set - III</t>
  </si>
  <si>
    <t>Ave Set - I&amp;II</t>
  </si>
  <si>
    <t>Optional Pgm - III</t>
  </si>
  <si>
    <t>If F&gt;0.8 and B=ClassIII and C=Y</t>
  </si>
  <si>
    <t>FEL must be below 0.8 for Class III Optional Early Banking Credits</t>
  </si>
  <si>
    <t>Invalid Optional III + FEL</t>
  </si>
  <si>
    <t>Invalid Ave Set + FEL</t>
  </si>
  <si>
    <t>Ave Set III + Optional Program</t>
  </si>
  <si>
    <t>Invalid FEL</t>
  </si>
  <si>
    <t>If D23 is &lt; 0.4 and first character of Efam name is 9, THEN Multiplier = 1.5</t>
  </si>
  <si>
    <t>MODEL YEAR:</t>
  </si>
  <si>
    <t>On Highway Motorcycles ABT - DRAFT</t>
  </si>
  <si>
    <t>If D24 is &lt; 0.8 but &gt;=0.4 and first character of Efam name is 6, THEN Multiplier = 1.5</t>
  </si>
  <si>
    <t>Select the Averaging Set for the associated engine family.  Choose 'Class I or II' or 'Class III' from the dropdown list.</t>
  </si>
  <si>
    <t>Useful Life (km )</t>
  </si>
  <si>
    <t>Enter the useful life (UL) of the engine family (or subset) in terms of kilometers (km).</t>
  </si>
  <si>
    <t xml:space="preserve">Enter the family emission limit (FEL) to which the engine family or test group is certified in terms of g/km.  </t>
  </si>
  <si>
    <t>Optional Early Banking Program</t>
  </si>
  <si>
    <t>Credits Banked from Previous Model Years (Class III only)</t>
  </si>
  <si>
    <t>Application of "Class III" Credits to Current MY "Class I or II" Credit Balance</t>
  </si>
  <si>
    <t>Apply Current MY Class III Credits (Regular Program only)</t>
  </si>
  <si>
    <t>Model Year</t>
  </si>
  <si>
    <t>Select the applicable model year (2006, 2007, 2008 or 2009) from the drop-down menu.  Note that an entry in this field is essential for determining the value of the multiplier for Class III credits accrued under the Optional Early Banking Program.</t>
  </si>
  <si>
    <t>Optional Early Banking? (Y/N)</t>
  </si>
  <si>
    <r>
      <t>If 'Class III' is selected in the preceding column, select either 'Y' or 'N' from the dropdown list to indicate whether the engine family is certified under the Optional Early Banking Program.  These engines must be certified to an HC + NO</t>
    </r>
    <r>
      <rPr>
        <vertAlign val="subscript"/>
        <sz val="10"/>
        <rFont val="Arial"/>
        <family val="2"/>
      </rPr>
      <t>x</t>
    </r>
    <r>
      <rPr>
        <sz val="10"/>
        <rFont val="Arial"/>
        <family val="2"/>
      </rPr>
      <t xml:space="preserve"> standard of less than 0.8 g/km.  If 'Class I or II' is selected as the Averaging Set, please select 'N'.</t>
    </r>
  </si>
  <si>
    <t>NOTE:  Total Credits will not be displayed until there is an entry in each of the fields listed above.</t>
  </si>
  <si>
    <t>NOTE:  Engine family credits will only be included in the 'Credit Balance' if there is an entry or selection in all fields.</t>
  </si>
  <si>
    <t>6xndk098abt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</si>
</sst>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Red]\(#,##0.0\)"/>
    <numFmt numFmtId="167" formatCode="0.0%"/>
    <numFmt numFmtId="168" formatCode="#,##0.000"/>
  </numFmts>
  <fonts count="11">
    <font>
      <sz val="10"/>
      <name val="Arial"/>
      <family val="0"/>
    </font>
    <font>
      <sz val="8"/>
      <name val="Arial"/>
      <family val="0"/>
    </font>
    <font>
      <b/>
      <sz val="8"/>
      <name val="Arial"/>
      <family val="0"/>
    </font>
    <font>
      <b/>
      <sz val="10"/>
      <name val="Arial"/>
      <family val="2"/>
    </font>
    <font>
      <u val="single"/>
      <sz val="10"/>
      <color indexed="12"/>
      <name val="Arial"/>
      <family val="0"/>
    </font>
    <font>
      <u val="single"/>
      <sz val="10"/>
      <color indexed="36"/>
      <name val="Arial"/>
      <family val="0"/>
    </font>
    <font>
      <sz val="8"/>
      <color indexed="10"/>
      <name val="Arial"/>
      <family val="0"/>
    </font>
    <font>
      <sz val="10"/>
      <color indexed="10"/>
      <name val="Arial"/>
      <family val="0"/>
    </font>
    <font>
      <b/>
      <vertAlign val="subscript"/>
      <sz val="8"/>
      <name val="Arial"/>
      <family val="2"/>
    </font>
    <font>
      <vertAlign val="subscript"/>
      <sz val="10"/>
      <name val="Arial"/>
      <family val="2"/>
    </font>
    <font>
      <b/>
      <i/>
      <sz val="10"/>
      <name val="Arial"/>
      <family val="2"/>
    </font>
  </fonts>
  <fills count="10">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lightUp">
        <bgColor indexed="22"/>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style="medium"/>
      <right style="medium"/>
      <top style="medium"/>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style="thin"/>
      <top style="thin"/>
      <bottom>
        <color indexed="63"/>
      </bottom>
    </border>
    <border>
      <left>
        <color indexed="63"/>
      </left>
      <right style="thin"/>
      <top style="thin"/>
      <bottom>
        <color indexed="63"/>
      </bottom>
    </border>
    <border>
      <left style="medium"/>
      <right style="thin"/>
      <top style="medium"/>
      <bottom style="medium"/>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2" borderId="0" xfId="0" applyFont="1" applyFill="1" applyAlignment="1">
      <alignment/>
    </xf>
    <xf numFmtId="0" fontId="1" fillId="2" borderId="1" xfId="0" applyFont="1" applyFill="1" applyBorder="1" applyAlignment="1">
      <alignment/>
    </xf>
    <xf numFmtId="0" fontId="2" fillId="3" borderId="2" xfId="0" applyFont="1" applyFill="1" applyBorder="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center" vertical="center" wrapText="1"/>
    </xf>
    <xf numFmtId="0" fontId="2" fillId="4" borderId="1" xfId="0" applyFont="1" applyFill="1" applyBorder="1" applyAlignment="1">
      <alignment/>
    </xf>
    <xf numFmtId="164"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2" fillId="4" borderId="1" xfId="0" applyNumberFormat="1" applyFont="1" applyFill="1" applyBorder="1" applyAlignment="1">
      <alignment horizontal="center"/>
    </xf>
    <xf numFmtId="0" fontId="3" fillId="3" borderId="3" xfId="0" applyFont="1" applyFill="1" applyBorder="1" applyAlignment="1">
      <alignment wrapText="1"/>
    </xf>
    <xf numFmtId="0" fontId="0" fillId="5" borderId="0" xfId="0" applyFill="1" applyAlignment="1">
      <alignment/>
    </xf>
    <xf numFmtId="0" fontId="2" fillId="2" borderId="0" xfId="0" applyFont="1" applyFill="1" applyAlignment="1">
      <alignment/>
    </xf>
    <xf numFmtId="0" fontId="1" fillId="5" borderId="0" xfId="0" applyFont="1" applyFill="1" applyAlignment="1">
      <alignment/>
    </xf>
    <xf numFmtId="0" fontId="6" fillId="5" borderId="0" xfId="0" applyFont="1" applyFill="1" applyAlignment="1">
      <alignment/>
    </xf>
    <xf numFmtId="0" fontId="1" fillId="5" borderId="0" xfId="0" applyFont="1" applyFill="1" applyAlignment="1">
      <alignment wrapText="1"/>
    </xf>
    <xf numFmtId="0" fontId="7" fillId="5" borderId="0" xfId="0" applyFont="1" applyFill="1" applyAlignment="1">
      <alignment/>
    </xf>
    <xf numFmtId="0" fontId="0" fillId="5" borderId="0" xfId="0" applyFont="1" applyFill="1" applyAlignment="1">
      <alignment/>
    </xf>
    <xf numFmtId="0" fontId="3" fillId="5" borderId="0" xfId="0" applyFont="1" applyFill="1" applyAlignment="1">
      <alignment/>
    </xf>
    <xf numFmtId="0" fontId="0" fillId="5" borderId="0" xfId="0" applyFill="1" applyAlignment="1">
      <alignment wrapText="1"/>
    </xf>
    <xf numFmtId="0" fontId="0" fillId="5" borderId="3" xfId="0" applyFont="1" applyFill="1" applyBorder="1" applyAlignment="1">
      <alignment vertical="top" wrapText="1"/>
    </xf>
    <xf numFmtId="0" fontId="0" fillId="5" borderId="0" xfId="0" applyFont="1" applyFill="1" applyBorder="1" applyAlignment="1">
      <alignment wrapText="1"/>
    </xf>
    <xf numFmtId="0" fontId="2" fillId="5" borderId="0" xfId="0" applyFont="1" applyFill="1" applyAlignment="1">
      <alignment/>
    </xf>
    <xf numFmtId="0" fontId="3" fillId="5" borderId="4" xfId="0" applyFont="1" applyFill="1" applyBorder="1" applyAlignment="1">
      <alignment wrapText="1"/>
    </xf>
    <xf numFmtId="0" fontId="0" fillId="5" borderId="4" xfId="0" applyFont="1" applyFill="1" applyBorder="1" applyAlignment="1">
      <alignment wrapText="1"/>
    </xf>
    <xf numFmtId="0" fontId="7" fillId="5" borderId="3" xfId="0" applyFont="1" applyFill="1" applyBorder="1" applyAlignment="1">
      <alignment/>
    </xf>
    <xf numFmtId="0" fontId="0" fillId="5" borderId="0" xfId="0" applyFill="1" applyAlignment="1">
      <alignment horizontal="center"/>
    </xf>
    <xf numFmtId="0" fontId="3" fillId="5" borderId="4" xfId="0" applyFont="1" applyFill="1" applyBorder="1" applyAlignment="1">
      <alignment/>
    </xf>
    <xf numFmtId="0" fontId="0" fillId="5" borderId="0" xfId="0" applyFill="1" applyAlignment="1">
      <alignment horizontal="left"/>
    </xf>
    <xf numFmtId="0" fontId="3" fillId="5" borderId="0" xfId="0" applyFont="1" applyFill="1" applyAlignment="1">
      <alignment horizontal="left"/>
    </xf>
    <xf numFmtId="0" fontId="7" fillId="5" borderId="0" xfId="0" applyFont="1" applyFill="1" applyBorder="1" applyAlignment="1">
      <alignment/>
    </xf>
    <xf numFmtId="0" fontId="2" fillId="5" borderId="0" xfId="0" applyFont="1" applyFill="1" applyBorder="1" applyAlignment="1">
      <alignment wrapText="1"/>
    </xf>
    <xf numFmtId="0" fontId="2" fillId="3" borderId="1" xfId="0" applyFont="1" applyFill="1" applyBorder="1" applyAlignment="1">
      <alignment horizontal="center" wrapText="1"/>
    </xf>
    <xf numFmtId="0" fontId="0" fillId="5" borderId="0" xfId="0" applyFill="1" applyBorder="1" applyAlignment="1">
      <alignment/>
    </xf>
    <xf numFmtId="0" fontId="1" fillId="5" borderId="5" xfId="0" applyFont="1" applyFill="1" applyBorder="1" applyAlignment="1">
      <alignment/>
    </xf>
    <xf numFmtId="0" fontId="1" fillId="5" borderId="3" xfId="0" applyFont="1" applyFill="1" applyBorder="1" applyAlignment="1">
      <alignment/>
    </xf>
    <xf numFmtId="165" fontId="1" fillId="2" borderId="5" xfId="0" applyNumberFormat="1" applyFont="1" applyFill="1" applyBorder="1" applyAlignment="1">
      <alignment horizontal="center"/>
    </xf>
    <xf numFmtId="0" fontId="1" fillId="0" borderId="3" xfId="0" applyFont="1" applyFill="1" applyBorder="1" applyAlignment="1" applyProtection="1">
      <alignment horizontal="center"/>
      <protection locked="0"/>
    </xf>
    <xf numFmtId="0" fontId="1" fillId="0" borderId="3" xfId="0" applyFont="1" applyFill="1" applyBorder="1" applyAlignment="1" applyProtection="1">
      <alignment/>
      <protection locked="0"/>
    </xf>
    <xf numFmtId="0" fontId="1" fillId="5" borderId="6" xfId="0" applyFont="1" applyFill="1" applyBorder="1" applyAlignment="1" applyProtection="1">
      <alignment/>
      <protection locked="0"/>
    </xf>
    <xf numFmtId="0" fontId="1" fillId="5" borderId="3" xfId="0" applyFont="1" applyFill="1" applyBorder="1" applyAlignment="1" applyProtection="1">
      <alignment/>
      <protection locked="0"/>
    </xf>
    <xf numFmtId="3" fontId="1" fillId="5" borderId="3" xfId="0" applyNumberFormat="1" applyFont="1" applyFill="1" applyBorder="1" applyAlignment="1" applyProtection="1">
      <alignment/>
      <protection locked="0"/>
    </xf>
    <xf numFmtId="165" fontId="1" fillId="5" borderId="3" xfId="0" applyNumberFormat="1" applyFont="1" applyFill="1" applyBorder="1" applyAlignment="1" applyProtection="1">
      <alignment/>
      <protection locked="0"/>
    </xf>
    <xf numFmtId="165" fontId="1" fillId="2" borderId="3" xfId="0" applyNumberFormat="1" applyFont="1" applyFill="1" applyBorder="1" applyAlignment="1">
      <alignment horizontal="center"/>
    </xf>
    <xf numFmtId="0" fontId="1" fillId="5" borderId="0" xfId="0" applyFont="1" applyFill="1" applyAlignment="1">
      <alignment horizontal="center"/>
    </xf>
    <xf numFmtId="164" fontId="1" fillId="6" borderId="1" xfId="0" applyNumberFormat="1" applyFont="1" applyFill="1" applyBorder="1" applyAlignment="1">
      <alignment horizontal="center"/>
    </xf>
    <xf numFmtId="0" fontId="3" fillId="2" borderId="0" xfId="0" applyFont="1" applyFill="1" applyAlignment="1">
      <alignment/>
    </xf>
    <xf numFmtId="0" fontId="0" fillId="2" borderId="0" xfId="0" applyFill="1" applyAlignment="1">
      <alignment/>
    </xf>
    <xf numFmtId="0" fontId="1" fillId="5" borderId="0" xfId="0" applyFont="1" applyFill="1" applyAlignment="1">
      <alignment/>
    </xf>
    <xf numFmtId="0" fontId="0" fillId="5" borderId="0" xfId="0" applyFont="1" applyFill="1" applyAlignment="1">
      <alignment horizontal="center"/>
    </xf>
    <xf numFmtId="0" fontId="2" fillId="3" borderId="5" xfId="0" applyFont="1" applyFill="1" applyBorder="1" applyAlignment="1">
      <alignment wrapText="1"/>
    </xf>
    <xf numFmtId="0" fontId="6" fillId="3" borderId="7" xfId="0" applyFont="1" applyFill="1" applyBorder="1" applyAlignment="1">
      <alignment/>
    </xf>
    <xf numFmtId="0" fontId="7" fillId="3" borderId="7" xfId="0" applyFont="1" applyFill="1" applyBorder="1" applyAlignment="1">
      <alignment/>
    </xf>
    <xf numFmtId="0" fontId="2" fillId="3" borderId="5" xfId="0" applyFont="1" applyFill="1" applyBorder="1" applyAlignment="1">
      <alignment horizontal="center" wrapText="1"/>
    </xf>
    <xf numFmtId="0" fontId="1" fillId="5" borderId="3" xfId="0" applyFont="1" applyFill="1" applyBorder="1" applyAlignment="1" applyProtection="1">
      <alignment horizontal="center"/>
      <protection locked="0"/>
    </xf>
    <xf numFmtId="0" fontId="0" fillId="3" borderId="8" xfId="0" applyFill="1" applyBorder="1" applyAlignment="1">
      <alignment horizontal="center"/>
    </xf>
    <xf numFmtId="0" fontId="2" fillId="3" borderId="9" xfId="0" applyFont="1" applyFill="1" applyBorder="1" applyAlignment="1">
      <alignment horizontal="right"/>
    </xf>
    <xf numFmtId="0" fontId="0" fillId="7" borderId="3" xfId="0" applyFont="1" applyFill="1" applyBorder="1" applyAlignment="1">
      <alignment/>
    </xf>
    <xf numFmtId="0" fontId="0" fillId="7" borderId="3" xfId="0" applyFill="1" applyBorder="1" applyAlignment="1">
      <alignment/>
    </xf>
    <xf numFmtId="0" fontId="0" fillId="8" borderId="0" xfId="0" applyFill="1" applyAlignment="1">
      <alignment/>
    </xf>
    <xf numFmtId="0" fontId="2" fillId="8" borderId="0" xfId="0" applyFont="1" applyFill="1" applyAlignment="1">
      <alignment/>
    </xf>
    <xf numFmtId="0" fontId="0" fillId="8" borderId="0" xfId="0" applyFont="1" applyFill="1" applyAlignment="1">
      <alignment/>
    </xf>
    <xf numFmtId="0" fontId="0" fillId="9" borderId="0" xfId="0" applyFill="1" applyAlignment="1">
      <alignment/>
    </xf>
    <xf numFmtId="0" fontId="2" fillId="9" borderId="0" xfId="0" applyFont="1" applyFill="1" applyAlignment="1">
      <alignment/>
    </xf>
    <xf numFmtId="0" fontId="0" fillId="9" borderId="0" xfId="0" applyFont="1" applyFill="1" applyAlignment="1">
      <alignment/>
    </xf>
    <xf numFmtId="168" fontId="2" fillId="4" borderId="1" xfId="0" applyNumberFormat="1" applyFont="1" applyFill="1" applyBorder="1" applyAlignment="1">
      <alignment horizontal="center"/>
    </xf>
    <xf numFmtId="0" fontId="0" fillId="5" borderId="3" xfId="0" applyFont="1" applyFill="1" applyBorder="1" applyAlignment="1">
      <alignment vertical="center" wrapText="1"/>
    </xf>
    <xf numFmtId="0" fontId="2" fillId="3" borderId="10" xfId="0" applyFont="1" applyFill="1" applyBorder="1" applyAlignment="1">
      <alignment horizontal="center" vertical="center" wrapText="1"/>
    </xf>
    <xf numFmtId="0" fontId="1" fillId="6" borderId="3" xfId="0" applyFont="1" applyFill="1" applyBorder="1" applyAlignment="1" applyProtection="1">
      <alignment horizontal="center"/>
      <protection/>
    </xf>
    <xf numFmtId="0" fontId="1" fillId="6" borderId="3" xfId="0" applyFont="1" applyFill="1" applyBorder="1" applyAlignment="1" applyProtection="1">
      <alignment/>
      <protection/>
    </xf>
    <xf numFmtId="0" fontId="2" fillId="5" borderId="11" xfId="0" applyFont="1" applyFill="1" applyBorder="1" applyAlignment="1" applyProtection="1">
      <alignment horizontal="center" wrapText="1"/>
      <protection locked="0"/>
    </xf>
    <xf numFmtId="0" fontId="2" fillId="3" borderId="12" xfId="0" applyFont="1" applyFill="1" applyBorder="1" applyAlignment="1">
      <alignment horizontal="center" vertical="center" wrapText="1"/>
    </xf>
    <xf numFmtId="0" fontId="0" fillId="3" borderId="11" xfId="0" applyFill="1" applyBorder="1" applyAlignment="1">
      <alignment horizontal="center" vertical="center" wrapText="1"/>
    </xf>
    <xf numFmtId="0" fontId="2" fillId="3" borderId="10" xfId="0" applyFont="1" applyFill="1" applyBorder="1" applyAlignment="1">
      <alignment horizontal="left" vertical="center"/>
    </xf>
    <xf numFmtId="0" fontId="2" fillId="3" borderId="2" xfId="0" applyFont="1" applyFill="1" applyBorder="1" applyAlignment="1">
      <alignment horizontal="left" vertical="center"/>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0" fillId="3" borderId="14" xfId="0" applyFont="1" applyFill="1" applyBorder="1" applyAlignment="1">
      <alignment vertical="center" wrapText="1"/>
    </xf>
    <xf numFmtId="0" fontId="10" fillId="3" borderId="15" xfId="0" applyFont="1" applyFill="1" applyBorder="1" applyAlignment="1">
      <alignment vertical="center" wrapText="1"/>
    </xf>
    <xf numFmtId="0" fontId="0" fillId="3" borderId="16" xfId="0" applyFill="1" applyBorder="1" applyAlignment="1">
      <alignment vertical="center" wrapText="1"/>
    </xf>
    <xf numFmtId="0" fontId="10" fillId="3" borderId="16" xfId="0" applyFont="1" applyFill="1" applyBorder="1" applyAlignment="1">
      <alignment vertical="center" wrapText="1"/>
    </xf>
    <xf numFmtId="0" fontId="2" fillId="7" borderId="5" xfId="0" applyFont="1" applyFill="1" applyBorder="1" applyAlignment="1">
      <alignment/>
    </xf>
    <xf numFmtId="0" fontId="0" fillId="7" borderId="5" xfId="0" applyFill="1" applyBorder="1" applyAlignment="1">
      <alignment/>
    </xf>
    <xf numFmtId="0" fontId="2" fillId="7" borderId="3" xfId="0" applyFont="1" applyFill="1" applyBorder="1" applyAlignment="1">
      <alignment/>
    </xf>
    <xf numFmtId="0" fontId="0" fillId="7" borderId="3" xfId="0" applyFill="1" applyBorder="1" applyAlignment="1">
      <alignment/>
    </xf>
    <xf numFmtId="0" fontId="2" fillId="2" borderId="3" xfId="0" applyFont="1" applyFill="1" applyBorder="1" applyAlignment="1">
      <alignment/>
    </xf>
    <xf numFmtId="0" fontId="0" fillId="2" borderId="3" xfId="0" applyFill="1" applyBorder="1" applyAlignment="1">
      <alignment/>
    </xf>
    <xf numFmtId="0" fontId="2" fillId="3" borderId="17" xfId="0" applyFont="1" applyFill="1" applyBorder="1" applyAlignment="1">
      <alignment horizontal="left" vertical="center"/>
    </xf>
    <xf numFmtId="0" fontId="0" fillId="3" borderId="18" xfId="0" applyFill="1" applyBorder="1" applyAlignment="1">
      <alignment/>
    </xf>
    <xf numFmtId="0" fontId="0" fillId="3" borderId="19" xfId="0" applyFill="1" applyBorder="1" applyAlignment="1">
      <alignment/>
    </xf>
    <xf numFmtId="0" fontId="0" fillId="3" borderId="2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2" name="List1" displayName="List1" ref="C3:C5" totalsRowShown="0">
  <autoFilter ref="C3:C5"/>
  <tableColumns count="1">
    <tableColumn id="1"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C49"/>
  <sheetViews>
    <sheetView tabSelected="1" workbookViewId="0" topLeftCell="A7">
      <selection activeCell="F10" sqref="F10"/>
    </sheetView>
  </sheetViews>
  <sheetFormatPr defaultColWidth="9.140625" defaultRowHeight="12.75"/>
  <cols>
    <col min="1" max="4" width="20.00390625" style="11" customWidth="1"/>
    <col min="5" max="5" width="15.7109375" style="11" customWidth="1"/>
    <col min="6" max="6" width="17.8515625" style="11" customWidth="1"/>
    <col min="7" max="7" width="57.28125" style="11" customWidth="1"/>
    <col min="8" max="10" width="17.421875" style="11" customWidth="1"/>
    <col min="11" max="11" width="14.00390625" style="11" customWidth="1"/>
    <col min="12" max="15" width="14.00390625" style="11" hidden="1" customWidth="1"/>
    <col min="16" max="16" width="13.28125" style="11" hidden="1" customWidth="1"/>
    <col min="17" max="17" width="17.7109375" style="11" hidden="1" customWidth="1"/>
    <col min="18" max="18" width="11.57421875" style="11" hidden="1" customWidth="1"/>
    <col min="19" max="19" width="12.140625" style="11" hidden="1" customWidth="1"/>
    <col min="20" max="23" width="13.8515625" style="11" hidden="1" customWidth="1"/>
    <col min="24" max="24" width="12.421875" style="11" hidden="1" customWidth="1"/>
    <col min="25" max="25" width="10.8515625" style="11" hidden="1" customWidth="1"/>
    <col min="26" max="27" width="8.7109375" style="11" hidden="1" customWidth="1"/>
    <col min="28" max="30" width="0" style="11" hidden="1" customWidth="1"/>
    <col min="31" max="16384" width="9.140625" style="11" customWidth="1"/>
  </cols>
  <sheetData>
    <row r="1" spans="1:24" ht="12.75" hidden="1">
      <c r="A1" s="12" t="s">
        <v>77</v>
      </c>
      <c r="B1" s="1"/>
      <c r="C1" s="13"/>
      <c r="D1" s="13"/>
      <c r="E1" s="13"/>
      <c r="F1" s="13"/>
      <c r="G1" s="13"/>
      <c r="H1" s="13"/>
      <c r="I1" s="13"/>
      <c r="J1" s="13"/>
      <c r="K1" s="13"/>
      <c r="L1" s="13"/>
      <c r="M1" s="13"/>
      <c r="N1" s="13"/>
      <c r="O1" s="13"/>
      <c r="P1" s="13"/>
      <c r="Q1" s="13"/>
      <c r="R1" s="13"/>
      <c r="S1" s="13"/>
      <c r="T1" s="13"/>
      <c r="U1" s="13"/>
      <c r="V1" s="13"/>
      <c r="W1" s="13"/>
      <c r="X1" s="13"/>
    </row>
    <row r="2" spans="1:16" ht="12.75" hidden="1">
      <c r="A2" s="13">
        <v>2006</v>
      </c>
      <c r="B2" s="13"/>
      <c r="C2" s="13"/>
      <c r="E2" s="14"/>
      <c r="F2" s="14"/>
      <c r="K2" s="13"/>
      <c r="L2" s="13"/>
      <c r="M2" s="13"/>
      <c r="N2" s="13"/>
      <c r="O2" s="13"/>
      <c r="P2" s="13"/>
    </row>
    <row r="3" spans="1:6" ht="12.75" hidden="1">
      <c r="A3" s="13">
        <v>2007</v>
      </c>
      <c r="B3" s="13"/>
      <c r="C3" s="22" t="s">
        <v>13</v>
      </c>
      <c r="E3" s="14"/>
      <c r="F3" s="14"/>
    </row>
    <row r="4" spans="1:6" ht="12.75" hidden="1">
      <c r="A4" s="13">
        <v>2008</v>
      </c>
      <c r="B4" s="13" t="s">
        <v>36</v>
      </c>
      <c r="C4" s="13" t="s">
        <v>11</v>
      </c>
      <c r="E4" s="14"/>
      <c r="F4" s="14">
        <v>5</v>
      </c>
    </row>
    <row r="5" spans="1:23" ht="12.75" hidden="1">
      <c r="A5" s="13">
        <v>2009</v>
      </c>
      <c r="B5" s="15" t="s">
        <v>35</v>
      </c>
      <c r="C5" s="15" t="s">
        <v>12</v>
      </c>
      <c r="D5" s="14"/>
      <c r="E5" s="14"/>
      <c r="F5" s="14"/>
      <c r="G5" s="14"/>
      <c r="H5" s="14"/>
      <c r="I5" s="14"/>
      <c r="J5" s="14"/>
      <c r="K5" s="13"/>
      <c r="L5" s="44"/>
      <c r="M5" s="44" t="s">
        <v>51</v>
      </c>
      <c r="N5" s="44" t="s">
        <v>48</v>
      </c>
      <c r="O5" s="44" t="s">
        <v>49</v>
      </c>
      <c r="P5" s="44" t="s">
        <v>50</v>
      </c>
      <c r="Q5" s="44" t="s">
        <v>47</v>
      </c>
      <c r="R5" s="13"/>
      <c r="S5" s="13"/>
      <c r="T5" s="13"/>
      <c r="U5" s="13"/>
      <c r="V5" s="13"/>
      <c r="W5" s="13"/>
    </row>
    <row r="6" spans="1:10" ht="13.5" hidden="1" thickBot="1">
      <c r="A6" s="13"/>
      <c r="B6" s="15"/>
      <c r="C6"/>
      <c r="D6" s="14"/>
      <c r="E6" s="14"/>
      <c r="F6" s="14"/>
      <c r="G6" s="16"/>
      <c r="H6" s="16"/>
      <c r="I6" s="16"/>
      <c r="J6" s="16"/>
    </row>
    <row r="7" spans="1:10" ht="13.5" thickBot="1">
      <c r="A7" s="56" t="s">
        <v>76</v>
      </c>
      <c r="B7" s="70">
        <v>2006</v>
      </c>
      <c r="C7" s="55"/>
      <c r="D7" s="51"/>
      <c r="E7" s="51"/>
      <c r="F7" s="51"/>
      <c r="G7" s="52"/>
      <c r="H7" s="16"/>
      <c r="I7" s="16"/>
      <c r="J7" s="16"/>
    </row>
    <row r="8" spans="1:29" ht="49.5" customHeight="1">
      <c r="A8" s="50" t="s">
        <v>0</v>
      </c>
      <c r="B8" s="50" t="s">
        <v>37</v>
      </c>
      <c r="C8" s="53" t="s">
        <v>89</v>
      </c>
      <c r="D8" s="53" t="s">
        <v>38</v>
      </c>
      <c r="E8" s="53" t="s">
        <v>1</v>
      </c>
      <c r="F8" s="53" t="s">
        <v>39</v>
      </c>
      <c r="G8" s="50" t="s">
        <v>17</v>
      </c>
      <c r="H8" s="31"/>
      <c r="I8" s="31"/>
      <c r="J8" s="31"/>
      <c r="L8" s="27" t="s">
        <v>18</v>
      </c>
      <c r="M8" s="23" t="s">
        <v>27</v>
      </c>
      <c r="N8" s="23" t="s">
        <v>22</v>
      </c>
      <c r="O8" s="23" t="s">
        <v>23</v>
      </c>
      <c r="P8" s="23" t="s">
        <v>74</v>
      </c>
      <c r="Q8" s="23" t="s">
        <v>68</v>
      </c>
      <c r="R8" s="23" t="s">
        <v>67</v>
      </c>
      <c r="S8" s="23" t="s">
        <v>66</v>
      </c>
      <c r="T8" s="23" t="s">
        <v>73</v>
      </c>
      <c r="U8" s="23" t="s">
        <v>72</v>
      </c>
      <c r="V8" s="23" t="s">
        <v>71</v>
      </c>
      <c r="W8" s="23" t="s">
        <v>28</v>
      </c>
      <c r="X8" s="23" t="s">
        <v>14</v>
      </c>
      <c r="Y8" s="23" t="s">
        <v>29</v>
      </c>
      <c r="Z8" s="23"/>
      <c r="AA8" s="23"/>
      <c r="AB8" s="24"/>
      <c r="AC8" s="23" t="s">
        <v>15</v>
      </c>
    </row>
    <row r="9" spans="1:29" ht="12.75">
      <c r="A9" s="39" t="s">
        <v>93</v>
      </c>
      <c r="B9" s="40" t="s">
        <v>36</v>
      </c>
      <c r="C9" s="54" t="s">
        <v>12</v>
      </c>
      <c r="D9" s="41">
        <v>10000</v>
      </c>
      <c r="E9" s="41">
        <v>3000</v>
      </c>
      <c r="F9" s="42">
        <v>3</v>
      </c>
      <c r="G9" s="25">
        <f>IF(M9=1,$G$37,IF(N9=1,$G$39,IF(O9=1,$G$38,IF(U9=1,$G$40,IF(V9=1,$G$41,"")))))</f>
      </c>
      <c r="H9" s="30"/>
      <c r="I9" s="30"/>
      <c r="J9" s="30"/>
      <c r="L9" s="26">
        <f>IF(AND(A9&lt;&gt;"",B9&lt;&gt;"",C9&lt;&gt;"",D9&lt;&gt;"",E9&lt;&gt;"",F9&lt;&gt;"",M9=0,N9=0,O9=0,P9=0,U9=0,V9=0),1,0)</f>
        <v>1</v>
      </c>
      <c r="M9" s="26">
        <f>IF(AND(B9=$B$4,C9=$C$4),1,0)</f>
        <v>0</v>
      </c>
      <c r="N9" s="26">
        <f>IF(AND(E9&lt;&gt;"",E9&lt;=0),1,0)</f>
        <v>0</v>
      </c>
      <c r="O9" s="26">
        <f>IF(AND(D9&lt;&gt;"",D9&lt;=0),1,0)</f>
        <v>0</v>
      </c>
      <c r="P9" s="26">
        <f>IF(F9&gt;$F$4,1,0)</f>
        <v>0</v>
      </c>
      <c r="Q9" s="26">
        <f>IF(C9=$C$4,1,0)</f>
        <v>0</v>
      </c>
      <c r="R9" s="26">
        <f>IF(B9=$B$4,1,0)</f>
        <v>1</v>
      </c>
      <c r="S9" s="26">
        <f>IF(AND(C9=$C$5,B9=$B$5),1,0)</f>
        <v>0</v>
      </c>
      <c r="T9" s="26">
        <f>IF(AND(C9=$C$4,B9=$B$5),1,0)</f>
        <v>0</v>
      </c>
      <c r="U9" s="26">
        <f>IF(AND(C9=$C$5,F9&gt;5),1,0)</f>
        <v>0</v>
      </c>
      <c r="V9" s="26">
        <f>IF(AND(B9=$B$5,C9=$C$4,F9&gt;0.8),1,0)</f>
        <v>0</v>
      </c>
      <c r="W9" s="26">
        <f>IF(AND(C9=$C$4,D9&lt;10000),1,0)</f>
        <v>0</v>
      </c>
      <c r="X9" s="11">
        <f>IF(AND(L9=1),(D9*E9*F9),"")</f>
        <v>90000000</v>
      </c>
      <c r="Y9" s="11">
        <f>IF(AND(L9=1),(E9*D9),0)</f>
        <v>30000000</v>
      </c>
      <c r="AC9" s="11" t="s">
        <v>16</v>
      </c>
    </row>
    <row r="10" spans="1:29" ht="12.75">
      <c r="A10" s="39"/>
      <c r="B10" s="40"/>
      <c r="C10" s="54"/>
      <c r="D10" s="41"/>
      <c r="E10" s="41"/>
      <c r="F10" s="42"/>
      <c r="G10" s="25">
        <f aca="true" t="shared" si="0" ref="G10:G19">IF(M10=1,$G$37,IF(N10=1,$G$39,IF(O10=1,$G$38,IF(U10=1,$G$40,IF(V10=1,$G$41,"")))))</f>
      </c>
      <c r="H10" s="30"/>
      <c r="I10" s="30"/>
      <c r="J10" s="30"/>
      <c r="L10" s="26">
        <f aca="true" t="shared" si="1" ref="L10:L19">IF(AND(A10&lt;&gt;"",B10&lt;&gt;"",C10&lt;&gt;"",D10&lt;&gt;"",E10&lt;&gt;"",F10&lt;&gt;"",M10=0,N10=0,O10=0,P10=0,U10=0,V10=0),1,0)</f>
        <v>0</v>
      </c>
      <c r="M10" s="26">
        <f aca="true" t="shared" si="2" ref="M10:M19">IF(AND(B10=$B$4,C10=$C$4),1,0)</f>
        <v>0</v>
      </c>
      <c r="N10" s="26">
        <f aca="true" t="shared" si="3" ref="N10:N19">IF(AND(E10&lt;&gt;"",E10&lt;=0),1,0)</f>
        <v>0</v>
      </c>
      <c r="O10" s="26">
        <f aca="true" t="shared" si="4" ref="O10:O19">IF(AND(D10&lt;&gt;"",D10&lt;=0),1,0)</f>
        <v>0</v>
      </c>
      <c r="P10" s="26">
        <f aca="true" t="shared" si="5" ref="P10:P19">IF(F10&gt;$F$4,1,0)</f>
        <v>0</v>
      </c>
      <c r="Q10" s="26">
        <f aca="true" t="shared" si="6" ref="Q10:Q19">IF(C10=$C$4,1,0)</f>
        <v>0</v>
      </c>
      <c r="R10" s="26">
        <f aca="true" t="shared" si="7" ref="R10:R19">IF(B10=$B$4,1,0)</f>
        <v>0</v>
      </c>
      <c r="S10" s="26">
        <f aca="true" t="shared" si="8" ref="S10:S19">IF(AND(C10=$C$5,B10=$B$5),1,0)</f>
        <v>0</v>
      </c>
      <c r="T10" s="26">
        <f aca="true" t="shared" si="9" ref="T10:T19">IF(AND(C10=$C$4,B10=$B$5),1,0)</f>
        <v>0</v>
      </c>
      <c r="U10" s="26">
        <f aca="true" t="shared" si="10" ref="U10:U19">IF(AND(C10=$C$5,F10&gt;5),1,0)</f>
        <v>0</v>
      </c>
      <c r="V10" s="26">
        <f aca="true" t="shared" si="11" ref="V10:V19">IF(AND(B10=$B$5,C10=$C$4,F10&gt;0.8),1,0)</f>
        <v>0</v>
      </c>
      <c r="W10" s="26">
        <f aca="true" t="shared" si="12" ref="W10:W19">IF(AND(C10=$C$4,D10&lt;10000),1,0)</f>
        <v>0</v>
      </c>
      <c r="X10" s="11">
        <f aca="true" t="shared" si="13" ref="X10:X19">IF(AND(L10=1),(D10*E10*F10),"")</f>
      </c>
      <c r="Y10" s="11">
        <f aca="true" t="shared" si="14" ref="Y10:Y19">IF(AND(L10=1),(E10*D10),0)</f>
        <v>0</v>
      </c>
      <c r="AC10" s="11" t="s">
        <v>16</v>
      </c>
    </row>
    <row r="11" spans="1:29" ht="12.75">
      <c r="A11" s="39"/>
      <c r="B11" s="40"/>
      <c r="C11" s="54"/>
      <c r="D11" s="41"/>
      <c r="E11" s="41"/>
      <c r="F11" s="42"/>
      <c r="G11" s="25">
        <f t="shared" si="0"/>
      </c>
      <c r="H11" s="30"/>
      <c r="I11" s="30"/>
      <c r="J11" s="30"/>
      <c r="L11" s="26">
        <f t="shared" si="1"/>
        <v>0</v>
      </c>
      <c r="M11" s="26">
        <f t="shared" si="2"/>
        <v>0</v>
      </c>
      <c r="N11" s="26">
        <f t="shared" si="3"/>
        <v>0</v>
      </c>
      <c r="O11" s="26">
        <f t="shared" si="4"/>
        <v>0</v>
      </c>
      <c r="P11" s="26">
        <f t="shared" si="5"/>
        <v>0</v>
      </c>
      <c r="Q11" s="26">
        <f t="shared" si="6"/>
        <v>0</v>
      </c>
      <c r="R11" s="26">
        <f t="shared" si="7"/>
        <v>0</v>
      </c>
      <c r="S11" s="26">
        <f t="shared" si="8"/>
        <v>0</v>
      </c>
      <c r="T11" s="26">
        <f t="shared" si="9"/>
        <v>0</v>
      </c>
      <c r="U11" s="26">
        <f t="shared" si="10"/>
        <v>0</v>
      </c>
      <c r="V11" s="26">
        <f t="shared" si="11"/>
        <v>0</v>
      </c>
      <c r="W11" s="26">
        <f t="shared" si="12"/>
        <v>0</v>
      </c>
      <c r="X11" s="11">
        <f t="shared" si="13"/>
      </c>
      <c r="Y11" s="11">
        <f t="shared" si="14"/>
        <v>0</v>
      </c>
      <c r="AC11" s="11" t="s">
        <v>16</v>
      </c>
    </row>
    <row r="12" spans="1:29" ht="12.75">
      <c r="A12" s="39"/>
      <c r="B12" s="40"/>
      <c r="C12" s="54"/>
      <c r="D12" s="41"/>
      <c r="E12" s="41"/>
      <c r="F12" s="42"/>
      <c r="G12" s="25">
        <f t="shared" si="0"/>
      </c>
      <c r="H12" s="30"/>
      <c r="I12" s="30"/>
      <c r="J12" s="30"/>
      <c r="L12" s="26">
        <f t="shared" si="1"/>
        <v>0</v>
      </c>
      <c r="M12" s="26">
        <f t="shared" si="2"/>
        <v>0</v>
      </c>
      <c r="N12" s="26">
        <f t="shared" si="3"/>
        <v>0</v>
      </c>
      <c r="O12" s="26">
        <f t="shared" si="4"/>
        <v>0</v>
      </c>
      <c r="P12" s="26">
        <f t="shared" si="5"/>
        <v>0</v>
      </c>
      <c r="Q12" s="26">
        <f t="shared" si="6"/>
        <v>0</v>
      </c>
      <c r="R12" s="26">
        <f t="shared" si="7"/>
        <v>0</v>
      </c>
      <c r="S12" s="26">
        <f t="shared" si="8"/>
        <v>0</v>
      </c>
      <c r="T12" s="26">
        <f t="shared" si="9"/>
        <v>0</v>
      </c>
      <c r="U12" s="26">
        <f t="shared" si="10"/>
        <v>0</v>
      </c>
      <c r="V12" s="26">
        <f t="shared" si="11"/>
        <v>0</v>
      </c>
      <c r="W12" s="26">
        <f t="shared" si="12"/>
        <v>0</v>
      </c>
      <c r="X12" s="11">
        <f t="shared" si="13"/>
      </c>
      <c r="Y12" s="11">
        <f t="shared" si="14"/>
        <v>0</v>
      </c>
      <c r="AC12" s="11" t="s">
        <v>16</v>
      </c>
    </row>
    <row r="13" spans="1:29" ht="12.75">
      <c r="A13" s="39"/>
      <c r="B13" s="40"/>
      <c r="C13" s="54"/>
      <c r="D13" s="41"/>
      <c r="E13" s="41"/>
      <c r="F13" s="42"/>
      <c r="G13" s="25">
        <f t="shared" si="0"/>
      </c>
      <c r="H13" s="30"/>
      <c r="I13" s="30"/>
      <c r="J13" s="30"/>
      <c r="L13" s="26">
        <f t="shared" si="1"/>
        <v>0</v>
      </c>
      <c r="M13" s="26">
        <f t="shared" si="2"/>
        <v>0</v>
      </c>
      <c r="N13" s="26">
        <f t="shared" si="3"/>
        <v>0</v>
      </c>
      <c r="O13" s="26">
        <f t="shared" si="4"/>
        <v>0</v>
      </c>
      <c r="P13" s="26">
        <f t="shared" si="5"/>
        <v>0</v>
      </c>
      <c r="Q13" s="26">
        <f t="shared" si="6"/>
        <v>0</v>
      </c>
      <c r="R13" s="26">
        <f t="shared" si="7"/>
        <v>0</v>
      </c>
      <c r="S13" s="26">
        <f t="shared" si="8"/>
        <v>0</v>
      </c>
      <c r="T13" s="26">
        <f t="shared" si="9"/>
        <v>0</v>
      </c>
      <c r="U13" s="26">
        <f t="shared" si="10"/>
        <v>0</v>
      </c>
      <c r="V13" s="26">
        <f t="shared" si="11"/>
        <v>0</v>
      </c>
      <c r="W13" s="26">
        <f t="shared" si="12"/>
        <v>0</v>
      </c>
      <c r="X13" s="11">
        <f t="shared" si="13"/>
      </c>
      <c r="Y13" s="11">
        <f t="shared" si="14"/>
        <v>0</v>
      </c>
      <c r="AC13" s="11" t="s">
        <v>16</v>
      </c>
    </row>
    <row r="14" spans="1:29" ht="12.75">
      <c r="A14" s="39"/>
      <c r="B14" s="40"/>
      <c r="C14" s="54"/>
      <c r="D14" s="41"/>
      <c r="E14" s="41"/>
      <c r="F14" s="42"/>
      <c r="G14" s="25">
        <f t="shared" si="0"/>
      </c>
      <c r="H14" s="30"/>
      <c r="I14" s="30"/>
      <c r="J14" s="30"/>
      <c r="L14" s="26">
        <f t="shared" si="1"/>
        <v>0</v>
      </c>
      <c r="M14" s="26">
        <f t="shared" si="2"/>
        <v>0</v>
      </c>
      <c r="N14" s="26">
        <f t="shared" si="3"/>
        <v>0</v>
      </c>
      <c r="O14" s="26">
        <f t="shared" si="4"/>
        <v>0</v>
      </c>
      <c r="P14" s="26">
        <f t="shared" si="5"/>
        <v>0</v>
      </c>
      <c r="Q14" s="26">
        <f t="shared" si="6"/>
        <v>0</v>
      </c>
      <c r="R14" s="26">
        <f t="shared" si="7"/>
        <v>0</v>
      </c>
      <c r="S14" s="26">
        <f t="shared" si="8"/>
        <v>0</v>
      </c>
      <c r="T14" s="26">
        <f t="shared" si="9"/>
        <v>0</v>
      </c>
      <c r="U14" s="26">
        <f t="shared" si="10"/>
        <v>0</v>
      </c>
      <c r="V14" s="26">
        <f t="shared" si="11"/>
        <v>0</v>
      </c>
      <c r="W14" s="26">
        <f t="shared" si="12"/>
        <v>0</v>
      </c>
      <c r="X14" s="11">
        <f t="shared" si="13"/>
      </c>
      <c r="Y14" s="11">
        <f t="shared" si="14"/>
        <v>0</v>
      </c>
      <c r="AC14" s="11" t="s">
        <v>16</v>
      </c>
    </row>
    <row r="15" spans="1:29" ht="12.75">
      <c r="A15" s="39"/>
      <c r="B15" s="40"/>
      <c r="C15" s="54"/>
      <c r="D15" s="41"/>
      <c r="E15" s="41"/>
      <c r="F15" s="42"/>
      <c r="G15" s="25">
        <f t="shared" si="0"/>
      </c>
      <c r="H15" s="30"/>
      <c r="I15" s="30"/>
      <c r="J15" s="30"/>
      <c r="L15" s="26">
        <f t="shared" si="1"/>
        <v>0</v>
      </c>
      <c r="M15" s="26">
        <f t="shared" si="2"/>
        <v>0</v>
      </c>
      <c r="N15" s="26">
        <f t="shared" si="3"/>
        <v>0</v>
      </c>
      <c r="O15" s="26">
        <f t="shared" si="4"/>
        <v>0</v>
      </c>
      <c r="P15" s="26">
        <f t="shared" si="5"/>
        <v>0</v>
      </c>
      <c r="Q15" s="26">
        <f t="shared" si="6"/>
        <v>0</v>
      </c>
      <c r="R15" s="26">
        <f t="shared" si="7"/>
        <v>0</v>
      </c>
      <c r="S15" s="26">
        <f t="shared" si="8"/>
        <v>0</v>
      </c>
      <c r="T15" s="26">
        <f t="shared" si="9"/>
        <v>0</v>
      </c>
      <c r="U15" s="26">
        <f t="shared" si="10"/>
        <v>0</v>
      </c>
      <c r="V15" s="26">
        <f t="shared" si="11"/>
        <v>0</v>
      </c>
      <c r="W15" s="26">
        <f t="shared" si="12"/>
        <v>0</v>
      </c>
      <c r="X15" s="11">
        <f t="shared" si="13"/>
      </c>
      <c r="Y15" s="11">
        <f t="shared" si="14"/>
        <v>0</v>
      </c>
      <c r="AC15" s="11" t="s">
        <v>16</v>
      </c>
    </row>
    <row r="16" spans="1:29" ht="12.75">
      <c r="A16" s="39"/>
      <c r="B16" s="40"/>
      <c r="C16" s="54"/>
      <c r="D16" s="41"/>
      <c r="E16" s="41"/>
      <c r="F16" s="42"/>
      <c r="G16" s="25">
        <f t="shared" si="0"/>
      </c>
      <c r="H16" s="30"/>
      <c r="I16" s="30"/>
      <c r="J16" s="30"/>
      <c r="L16" s="26">
        <f t="shared" si="1"/>
        <v>0</v>
      </c>
      <c r="M16" s="26">
        <f t="shared" si="2"/>
        <v>0</v>
      </c>
      <c r="N16" s="26">
        <f t="shared" si="3"/>
        <v>0</v>
      </c>
      <c r="O16" s="26">
        <f t="shared" si="4"/>
        <v>0</v>
      </c>
      <c r="P16" s="26">
        <f t="shared" si="5"/>
        <v>0</v>
      </c>
      <c r="Q16" s="26">
        <f t="shared" si="6"/>
        <v>0</v>
      </c>
      <c r="R16" s="26">
        <f t="shared" si="7"/>
        <v>0</v>
      </c>
      <c r="S16" s="26">
        <f t="shared" si="8"/>
        <v>0</v>
      </c>
      <c r="T16" s="26">
        <f t="shared" si="9"/>
        <v>0</v>
      </c>
      <c r="U16" s="26">
        <f t="shared" si="10"/>
        <v>0</v>
      </c>
      <c r="V16" s="26">
        <f t="shared" si="11"/>
        <v>0</v>
      </c>
      <c r="W16" s="26">
        <f t="shared" si="12"/>
        <v>0</v>
      </c>
      <c r="X16" s="11">
        <f t="shared" si="13"/>
      </c>
      <c r="Y16" s="11">
        <f t="shared" si="14"/>
        <v>0</v>
      </c>
      <c r="AC16" s="11" t="s">
        <v>16</v>
      </c>
    </row>
    <row r="17" spans="1:29" ht="12.75">
      <c r="A17" s="39"/>
      <c r="B17" s="40"/>
      <c r="C17" s="54"/>
      <c r="D17" s="41"/>
      <c r="E17" s="41"/>
      <c r="F17" s="42"/>
      <c r="G17" s="25">
        <f t="shared" si="0"/>
      </c>
      <c r="H17" s="30"/>
      <c r="I17" s="30"/>
      <c r="J17" s="30"/>
      <c r="L17" s="26">
        <f t="shared" si="1"/>
        <v>0</v>
      </c>
      <c r="M17" s="26">
        <f t="shared" si="2"/>
        <v>0</v>
      </c>
      <c r="N17" s="26">
        <f t="shared" si="3"/>
        <v>0</v>
      </c>
      <c r="O17" s="26">
        <f t="shared" si="4"/>
        <v>0</v>
      </c>
      <c r="P17" s="26">
        <f t="shared" si="5"/>
        <v>0</v>
      </c>
      <c r="Q17" s="26">
        <f t="shared" si="6"/>
        <v>0</v>
      </c>
      <c r="R17" s="26">
        <f t="shared" si="7"/>
        <v>0</v>
      </c>
      <c r="S17" s="26">
        <f t="shared" si="8"/>
        <v>0</v>
      </c>
      <c r="T17" s="26">
        <f t="shared" si="9"/>
        <v>0</v>
      </c>
      <c r="U17" s="26">
        <f t="shared" si="10"/>
        <v>0</v>
      </c>
      <c r="V17" s="26">
        <f t="shared" si="11"/>
        <v>0</v>
      </c>
      <c r="W17" s="26">
        <f t="shared" si="12"/>
        <v>0</v>
      </c>
      <c r="X17" s="11">
        <f t="shared" si="13"/>
      </c>
      <c r="Y17" s="11">
        <f t="shared" si="14"/>
        <v>0</v>
      </c>
      <c r="AC17" s="11" t="s">
        <v>16</v>
      </c>
    </row>
    <row r="18" spans="1:29" ht="12.75">
      <c r="A18" s="39"/>
      <c r="B18" s="40"/>
      <c r="C18" s="54"/>
      <c r="D18" s="41"/>
      <c r="E18" s="41"/>
      <c r="F18" s="42"/>
      <c r="G18" s="25">
        <f t="shared" si="0"/>
      </c>
      <c r="H18" s="30"/>
      <c r="I18" s="30"/>
      <c r="J18" s="30"/>
      <c r="L18" s="26">
        <f t="shared" si="1"/>
        <v>0</v>
      </c>
      <c r="M18" s="26">
        <f t="shared" si="2"/>
        <v>0</v>
      </c>
      <c r="N18" s="26">
        <f t="shared" si="3"/>
        <v>0</v>
      </c>
      <c r="O18" s="26">
        <f t="shared" si="4"/>
        <v>0</v>
      </c>
      <c r="P18" s="26">
        <f t="shared" si="5"/>
        <v>0</v>
      </c>
      <c r="Q18" s="26">
        <f t="shared" si="6"/>
        <v>0</v>
      </c>
      <c r="R18" s="26">
        <f t="shared" si="7"/>
        <v>0</v>
      </c>
      <c r="S18" s="26">
        <f t="shared" si="8"/>
        <v>0</v>
      </c>
      <c r="T18" s="26">
        <f t="shared" si="9"/>
        <v>0</v>
      </c>
      <c r="U18" s="26">
        <f t="shared" si="10"/>
        <v>0</v>
      </c>
      <c r="V18" s="26">
        <f t="shared" si="11"/>
        <v>0</v>
      </c>
      <c r="W18" s="26">
        <f t="shared" si="12"/>
        <v>0</v>
      </c>
      <c r="X18" s="11">
        <f t="shared" si="13"/>
      </c>
      <c r="Y18" s="11">
        <f t="shared" si="14"/>
        <v>0</v>
      </c>
      <c r="AC18" s="11" t="s">
        <v>16</v>
      </c>
    </row>
    <row r="19" spans="1:29" ht="12.75">
      <c r="A19" s="39"/>
      <c r="B19" s="40"/>
      <c r="C19" s="54"/>
      <c r="D19" s="41"/>
      <c r="E19" s="41"/>
      <c r="F19" s="42"/>
      <c r="G19" s="25">
        <f t="shared" si="0"/>
      </c>
      <c r="H19" s="30"/>
      <c r="I19" s="30"/>
      <c r="J19" s="30"/>
      <c r="L19" s="26">
        <f t="shared" si="1"/>
        <v>0</v>
      </c>
      <c r="M19" s="26">
        <f t="shared" si="2"/>
        <v>0</v>
      </c>
      <c r="N19" s="26">
        <f t="shared" si="3"/>
        <v>0</v>
      </c>
      <c r="O19" s="26">
        <f t="shared" si="4"/>
        <v>0</v>
      </c>
      <c r="P19" s="26">
        <f t="shared" si="5"/>
        <v>0</v>
      </c>
      <c r="Q19" s="26">
        <f t="shared" si="6"/>
        <v>0</v>
      </c>
      <c r="R19" s="26">
        <f t="shared" si="7"/>
        <v>0</v>
      </c>
      <c r="S19" s="26">
        <f t="shared" si="8"/>
        <v>0</v>
      </c>
      <c r="T19" s="26">
        <f t="shared" si="9"/>
        <v>0</v>
      </c>
      <c r="U19" s="26">
        <f t="shared" si="10"/>
        <v>0</v>
      </c>
      <c r="V19" s="26">
        <f t="shared" si="11"/>
        <v>0</v>
      </c>
      <c r="W19" s="26">
        <f t="shared" si="12"/>
        <v>0</v>
      </c>
      <c r="X19" s="11">
        <f t="shared" si="13"/>
      </c>
      <c r="Y19" s="11">
        <f t="shared" si="14"/>
        <v>0</v>
      </c>
      <c r="AC19" s="11" t="s">
        <v>16</v>
      </c>
    </row>
    <row r="20" spans="13:15" s="13" customFormat="1" ht="13.5" thickBot="1">
      <c r="M20" s="26"/>
      <c r="N20" s="26"/>
      <c r="O20" s="26"/>
    </row>
    <row r="21" spans="1:6" ht="30.75" customHeight="1" thickBot="1">
      <c r="A21" s="73" t="s">
        <v>4</v>
      </c>
      <c r="B21" s="71" t="s">
        <v>56</v>
      </c>
      <c r="C21" s="72"/>
      <c r="D21" s="71" t="s">
        <v>55</v>
      </c>
      <c r="E21" s="75"/>
      <c r="F21" s="76"/>
    </row>
    <row r="22" spans="1:6" ht="28.5" customHeight="1" thickBot="1">
      <c r="A22" s="74"/>
      <c r="B22" s="4" t="s">
        <v>36</v>
      </c>
      <c r="C22" s="3" t="s">
        <v>35</v>
      </c>
      <c r="D22" s="3" t="s">
        <v>53</v>
      </c>
      <c r="E22" s="3" t="s">
        <v>52</v>
      </c>
      <c r="F22" s="3" t="s">
        <v>54</v>
      </c>
    </row>
    <row r="23" spans="1:6" ht="15" customHeight="1" thickBot="1">
      <c r="A23" s="2" t="s">
        <v>5</v>
      </c>
      <c r="B23" s="7">
        <v>1.4</v>
      </c>
      <c r="C23" s="7">
        <v>1.4</v>
      </c>
      <c r="D23" s="7">
        <v>0.8</v>
      </c>
      <c r="E23" s="45"/>
      <c r="F23" s="45"/>
    </row>
    <row r="24" spans="1:6" ht="15" customHeight="1" thickBot="1">
      <c r="A24" s="2" t="s">
        <v>6</v>
      </c>
      <c r="B24" s="8">
        <f>IF(SUMPRODUCT(L9:L19,R9:R19)&gt;0,B43,$AC$9)</f>
        <v>3</v>
      </c>
      <c r="C24" s="8" t="str">
        <f>IF(SUMPRODUCT(L9:L19,S9:S19)&gt;0,C43,AC9)</f>
        <v>N/A</v>
      </c>
      <c r="D24" s="8" t="str">
        <f>IF(SUMPRODUCT(L9:L19,T9:T19)&gt;0,D43,AC9)</f>
        <v>N/A</v>
      </c>
      <c r="E24" s="45"/>
      <c r="F24" s="45"/>
    </row>
    <row r="25" spans="1:6" ht="13.5" thickBot="1">
      <c r="A25" s="6" t="s">
        <v>2</v>
      </c>
      <c r="B25" s="9">
        <f>IF(B24=$AC$9,$AC$9,B45)</f>
        <v>-48000000</v>
      </c>
      <c r="C25" s="9" t="str">
        <f>IF(C24=$AC$9,$AC$9,C45)</f>
        <v>N/A</v>
      </c>
      <c r="D25" s="9" t="str">
        <f>IF(D24=$AC$9,$AC$9,D45)</f>
        <v>N/A</v>
      </c>
      <c r="E25" s="65">
        <f>IF(AND(A36&lt;&gt;"",A36&lt;&gt;0),A36,"")</f>
      </c>
      <c r="F25" s="9" t="str">
        <f>IF(D25=$AC$9,$AC$9,IF(E25&lt;&gt;"",(D25*E25),""))</f>
        <v>N/A</v>
      </c>
    </row>
    <row r="26" s="13" customFormat="1" ht="11.25">
      <c r="B26" s="14"/>
    </row>
    <row r="27" spans="1:8" s="17" customFormat="1" ht="12.75" hidden="1">
      <c r="A27" s="57">
        <f>IF(AND(B7=$B$27,$D$24&lt;0.8,$D$24&gt;=0.4),1.5,"")</f>
      </c>
      <c r="B27" s="57">
        <v>2006</v>
      </c>
      <c r="C27" s="60" t="s">
        <v>78</v>
      </c>
      <c r="D27" s="61"/>
      <c r="E27" s="61"/>
      <c r="F27" s="61"/>
      <c r="G27" s="49"/>
      <c r="H27" s="17">
        <f>IF(AND(D23&lt;0.8,D23&gt;=0.4,LEFT(A9,1)=6),1.5,"")</f>
      </c>
    </row>
    <row r="28" spans="1:7" s="17" customFormat="1" ht="12.75" hidden="1">
      <c r="A28" s="57">
        <f>IF(AND($B$7=$B$27,$D$24&lt;0.4),3,"")</f>
      </c>
      <c r="B28" s="57">
        <v>2007</v>
      </c>
      <c r="C28" s="63" t="s">
        <v>60</v>
      </c>
      <c r="D28" s="64"/>
      <c r="E28" s="64"/>
      <c r="F28" s="64"/>
      <c r="G28" s="49"/>
    </row>
    <row r="29" spans="1:7" ht="12.75" hidden="1">
      <c r="A29" s="57">
        <f>IF(AND($B$7=$B$28,$D$24&lt;0.8,$D$24&gt;=0.4),1.375,"")</f>
      </c>
      <c r="B29" s="58">
        <v>2008</v>
      </c>
      <c r="C29" s="60" t="s">
        <v>61</v>
      </c>
      <c r="D29" s="59"/>
      <c r="E29" s="59"/>
      <c r="F29" s="59"/>
      <c r="G29" s="26"/>
    </row>
    <row r="30" spans="1:7" ht="12.75" hidden="1">
      <c r="A30" s="57">
        <f>IF(AND($B$7=$B$28,$D$24&lt;0.4),2.5,"")</f>
      </c>
      <c r="B30" s="57">
        <v>2009</v>
      </c>
      <c r="C30" s="63" t="s">
        <v>62</v>
      </c>
      <c r="D30" s="62"/>
      <c r="E30" s="62"/>
      <c r="F30" s="62"/>
      <c r="G30" s="26"/>
    </row>
    <row r="31" spans="1:7" ht="12.75" hidden="1">
      <c r="A31" s="57">
        <f>IF(AND($B$7=$B$29,$D$24&lt;0.8,$D$24&gt;=0.4),1.25,"")</f>
      </c>
      <c r="B31" s="18"/>
      <c r="C31" s="60" t="s">
        <v>63</v>
      </c>
      <c r="D31" s="59"/>
      <c r="E31" s="59"/>
      <c r="F31" s="59"/>
      <c r="G31" s="26"/>
    </row>
    <row r="32" spans="1:7" ht="12.75" hidden="1">
      <c r="A32" s="57">
        <f>IF(AND($B$7=$B$29,$D$24&lt;0.4),2,"")</f>
      </c>
      <c r="B32" s="18"/>
      <c r="C32" s="63" t="s">
        <v>64</v>
      </c>
      <c r="D32" s="62"/>
      <c r="E32" s="62"/>
      <c r="F32" s="62"/>
      <c r="G32" s="26"/>
    </row>
    <row r="33" spans="1:7" ht="12.75" hidden="1">
      <c r="A33" s="57">
        <f>IF(AND($B$7=$B$30,$D$24&lt;0.8,$D$24&gt;=0.4),1.125,"")</f>
      </c>
      <c r="B33" s="18"/>
      <c r="C33" s="60" t="s">
        <v>65</v>
      </c>
      <c r="D33" s="59"/>
      <c r="E33" s="59"/>
      <c r="F33" s="59"/>
      <c r="G33" s="26"/>
    </row>
    <row r="34" spans="1:7" ht="12.75" hidden="1">
      <c r="A34" s="57">
        <f>IF(AND($B$7=$B$30,$D$24&lt;0.4),1.5,"")</f>
      </c>
      <c r="B34" s="18"/>
      <c r="C34" s="63" t="s">
        <v>75</v>
      </c>
      <c r="D34" s="62"/>
      <c r="E34" s="63"/>
      <c r="F34" s="62"/>
      <c r="G34" s="26"/>
    </row>
    <row r="35" spans="2:5" ht="12.75" hidden="1">
      <c r="B35" s="28"/>
      <c r="E35" s="48"/>
    </row>
    <row r="36" spans="1:7" ht="12.75" hidden="1">
      <c r="A36" s="11">
        <f>MAX(A27:A34)</f>
        <v>0</v>
      </c>
      <c r="B36" s="26"/>
      <c r="C36" s="26"/>
      <c r="D36" s="26"/>
      <c r="E36" s="46" t="s">
        <v>40</v>
      </c>
      <c r="F36" s="46"/>
      <c r="G36" s="46" t="s">
        <v>19</v>
      </c>
    </row>
    <row r="37" spans="2:7" ht="12.75" hidden="1">
      <c r="B37" s="28"/>
      <c r="C37" s="26"/>
      <c r="D37" s="26"/>
      <c r="E37" s="47" t="s">
        <v>41</v>
      </c>
      <c r="F37" s="47"/>
      <c r="G37" s="47" t="s">
        <v>42</v>
      </c>
    </row>
    <row r="38" spans="2:7" ht="12.75" hidden="1">
      <c r="B38" s="26"/>
      <c r="C38" s="26"/>
      <c r="D38" s="26"/>
      <c r="E38" s="47" t="s">
        <v>43</v>
      </c>
      <c r="F38" s="47"/>
      <c r="G38" s="47" t="s">
        <v>20</v>
      </c>
    </row>
    <row r="39" spans="2:7" ht="12.75" hidden="1">
      <c r="B39" s="26"/>
      <c r="C39" s="26"/>
      <c r="D39" s="26"/>
      <c r="E39" s="47" t="s">
        <v>44</v>
      </c>
      <c r="F39" s="47"/>
      <c r="G39" s="47" t="s">
        <v>21</v>
      </c>
    </row>
    <row r="40" spans="2:7" ht="12.75" hidden="1">
      <c r="B40" s="28" t="s">
        <v>24</v>
      </c>
      <c r="C40" s="26"/>
      <c r="D40" s="26"/>
      <c r="E40" s="47" t="s">
        <v>45</v>
      </c>
      <c r="F40" s="47"/>
      <c r="G40" s="47" t="s">
        <v>46</v>
      </c>
    </row>
    <row r="41" spans="2:7" ht="12.75" hidden="1">
      <c r="B41" s="29" t="s">
        <v>25</v>
      </c>
      <c r="C41" s="26"/>
      <c r="D41" s="26"/>
      <c r="E41" s="47" t="s">
        <v>69</v>
      </c>
      <c r="F41" s="46"/>
      <c r="G41" s="47" t="s">
        <v>70</v>
      </c>
    </row>
    <row r="42" spans="2:6" ht="12.75" hidden="1">
      <c r="B42" s="28" t="s">
        <v>57</v>
      </c>
      <c r="C42" s="26" t="s">
        <v>58</v>
      </c>
      <c r="D42" s="26" t="s">
        <v>59</v>
      </c>
      <c r="F42" s="18"/>
    </row>
    <row r="43" spans="2:4" ht="12.75" hidden="1">
      <c r="B43" s="26">
        <f>ROUND(SUMPRODUCT(L9:L19,R9:R19,X9:X19)/SUMPRODUCT(L9:L19,R9:R19,Y9:Y19),1)</f>
        <v>3</v>
      </c>
      <c r="C43" s="26" t="e">
        <f>ROUND(SUMPRODUCT(L9:L19,S9:S19,X9:X19)/SUMPRODUCT(L9:L19,S9:S19,Y9:Y19),1)</f>
        <v>#DIV/0!</v>
      </c>
      <c r="D43" s="26" t="e">
        <f>ROUND(SUMPRODUCT(L9:L19,Q9:Q19,T9:T19,X9:X19)/SUMPRODUCT(L9:L19,Q9:Q19,T9:T19,Y9:Y19),1)</f>
        <v>#DIV/0!</v>
      </c>
    </row>
    <row r="44" spans="2:6" ht="12.75" hidden="1">
      <c r="B44" s="28" t="s">
        <v>26</v>
      </c>
      <c r="C44" s="26"/>
      <c r="D44" s="26"/>
      <c r="F44" s="18"/>
    </row>
    <row r="45" spans="2:6" ht="12.75" hidden="1">
      <c r="B45" s="26">
        <f>ROUND((B23-B24)*SUMPRODUCT(L9:L19,R9:R19,Y9:Y19),1)</f>
        <v>-48000000</v>
      </c>
      <c r="C45" s="26" t="e">
        <f>ROUND((C23-C24)*SUMPRODUCT(L9:L19,S9:S19,Y9:Y19),1)</f>
        <v>#VALUE!</v>
      </c>
      <c r="D45" s="26" t="e">
        <f>ROUND((D23-D24)*SUMPRODUCT(L9:L19,Q9:Q19,T9:T19,Y9:Y19),1)</f>
        <v>#VALUE!</v>
      </c>
      <c r="F45" s="18"/>
    </row>
    <row r="46" spans="2:4" ht="12.75" hidden="1">
      <c r="B46" s="28"/>
      <c r="C46" s="26"/>
      <c r="D46" s="26"/>
    </row>
    <row r="47" spans="2:6" ht="12.75" hidden="1">
      <c r="B47" s="26"/>
      <c r="C47" s="26"/>
      <c r="D47" s="26"/>
      <c r="F47" s="18"/>
    </row>
    <row r="48" spans="2:6" ht="12.75">
      <c r="B48" s="26"/>
      <c r="C48" s="26"/>
      <c r="D48" s="26"/>
      <c r="F48" s="18"/>
    </row>
    <row r="49" spans="1:5" ht="38.25" customHeight="1">
      <c r="A49" s="77" t="s">
        <v>92</v>
      </c>
      <c r="B49" s="78"/>
      <c r="C49" s="78"/>
      <c r="D49" s="78"/>
      <c r="E49" s="79"/>
    </row>
  </sheetData>
  <sheetProtection password="E3E4" sheet="1" objects="1" scenarios="1" selectLockedCells="1"/>
  <mergeCells count="4">
    <mergeCell ref="B21:C21"/>
    <mergeCell ref="A21:A22"/>
    <mergeCell ref="D21:F21"/>
    <mergeCell ref="A49:E49"/>
  </mergeCells>
  <dataValidations count="3">
    <dataValidation type="list" allowBlank="1" showInputMessage="1" showErrorMessage="1" sqref="C9:C19">
      <formula1>$C$4:$C$5</formula1>
    </dataValidation>
    <dataValidation type="list" allowBlank="1" showInputMessage="1" showErrorMessage="1" sqref="B9:B19">
      <formula1>$B$4:$B$5</formula1>
    </dataValidation>
    <dataValidation type="list" allowBlank="1" showInputMessage="1" showErrorMessage="1" sqref="B7">
      <formula1>$A$2:$A$5</formula1>
    </dataValidation>
  </dataValidations>
  <printOptions/>
  <pageMargins left="0.75" right="0.75" top="1" bottom="1" header="0.5" footer="0.5"/>
  <pageSetup horizontalDpi="300" verticalDpi="300" orientation="landscape" scale="95" r:id="rId2"/>
  <tableParts>
    <tablePart r:id="rId1"/>
  </tableParts>
</worksheet>
</file>

<file path=xl/worksheets/sheet2.xml><?xml version="1.0" encoding="utf-8"?>
<worksheet xmlns="http://schemas.openxmlformats.org/spreadsheetml/2006/main" xmlns:r="http://schemas.openxmlformats.org/officeDocument/2006/relationships">
  <sheetPr codeName="Sheet2"/>
  <dimension ref="A1:B10"/>
  <sheetViews>
    <sheetView workbookViewId="0" topLeftCell="A1">
      <selection activeCell="A5" sqref="A5"/>
    </sheetView>
  </sheetViews>
  <sheetFormatPr defaultColWidth="9.140625" defaultRowHeight="12.75"/>
  <cols>
    <col min="1" max="1" width="36.00390625" style="21" customWidth="1"/>
    <col min="2" max="2" width="57.57421875" style="19" customWidth="1"/>
    <col min="3" max="16384" width="9.140625" style="19" customWidth="1"/>
  </cols>
  <sheetData>
    <row r="1" spans="1:2" ht="12.75">
      <c r="A1" s="10" t="s">
        <v>7</v>
      </c>
      <c r="B1" s="10" t="s">
        <v>8</v>
      </c>
    </row>
    <row r="2" spans="1:2" ht="51">
      <c r="A2" s="66" t="s">
        <v>87</v>
      </c>
      <c r="B2" s="20" t="s">
        <v>88</v>
      </c>
    </row>
    <row r="3" spans="1:2" ht="12.75">
      <c r="A3" s="66" t="s">
        <v>0</v>
      </c>
      <c r="B3" s="20" t="s">
        <v>9</v>
      </c>
    </row>
    <row r="4" spans="1:2" ht="25.5">
      <c r="A4" s="66" t="s">
        <v>37</v>
      </c>
      <c r="B4" s="20" t="s">
        <v>79</v>
      </c>
    </row>
    <row r="5" spans="1:2" ht="79.5">
      <c r="A5" s="66" t="s">
        <v>89</v>
      </c>
      <c r="B5" s="20" t="s">
        <v>90</v>
      </c>
    </row>
    <row r="6" spans="1:2" ht="25.5">
      <c r="A6" s="66" t="s">
        <v>80</v>
      </c>
      <c r="B6" s="20" t="s">
        <v>81</v>
      </c>
    </row>
    <row r="7" spans="1:2" ht="25.5">
      <c r="A7" s="66" t="s">
        <v>1</v>
      </c>
      <c r="B7" s="20" t="s">
        <v>10</v>
      </c>
    </row>
    <row r="8" spans="1:2" ht="25.5">
      <c r="A8" s="66" t="s">
        <v>39</v>
      </c>
      <c r="B8" s="20" t="s">
        <v>82</v>
      </c>
    </row>
    <row r="10" spans="1:2" ht="30.75" customHeight="1">
      <c r="A10" s="77" t="s">
        <v>91</v>
      </c>
      <c r="B10" s="80"/>
    </row>
  </sheetData>
  <sheetProtection password="E3E4" sheet="1" objects="1" scenarios="1" selectLockedCells="1"/>
  <mergeCells count="1">
    <mergeCell ref="A10:B10"/>
  </mergeCells>
  <printOptions/>
  <pageMargins left="0.75" right="0.75" top="1" bottom="1" header="0.5" footer="0.5"/>
  <pageSetup horizontalDpi="300" verticalDpi="300" orientation="portrait" scale="95" r:id="rId1"/>
  <headerFooter alignWithMargins="0">
    <oddHeader>&amp;CField Descriptions for Current Model Year Credit Calculation</oddHeader>
  </headerFooter>
</worksheet>
</file>

<file path=xl/worksheets/sheet3.xml><?xml version="1.0" encoding="utf-8"?>
<worksheet xmlns="http://schemas.openxmlformats.org/spreadsheetml/2006/main" xmlns:r="http://schemas.openxmlformats.org/officeDocument/2006/relationships">
  <sheetPr codeName="Sheet4"/>
  <dimension ref="B2:F10"/>
  <sheetViews>
    <sheetView workbookViewId="0" topLeftCell="A1">
      <selection activeCell="D8" sqref="D8"/>
    </sheetView>
  </sheetViews>
  <sheetFormatPr defaultColWidth="9.140625" defaultRowHeight="12.75"/>
  <cols>
    <col min="1" max="1" width="9.140625" style="11" customWidth="1"/>
    <col min="2" max="2" width="5.7109375" style="11" customWidth="1"/>
    <col min="3" max="3" width="47.28125" style="11" customWidth="1"/>
    <col min="4" max="5" width="18.7109375" style="11" customWidth="1"/>
    <col min="6" max="6" width="16.140625" style="11" customWidth="1"/>
    <col min="7" max="16384" width="9.140625" style="11" customWidth="1"/>
  </cols>
  <sheetData>
    <row r="1" ht="13.5" thickBot="1"/>
    <row r="2" spans="2:6" ht="36" customHeight="1" thickBot="1">
      <c r="B2" s="87" t="s">
        <v>30</v>
      </c>
      <c r="C2" s="88"/>
      <c r="D2" s="71" t="s">
        <v>3</v>
      </c>
      <c r="E2" s="72"/>
      <c r="F2" s="67" t="s">
        <v>83</v>
      </c>
    </row>
    <row r="3" spans="2:6" ht="13.5" thickBot="1">
      <c r="B3" s="89"/>
      <c r="C3" s="90"/>
      <c r="D3" s="4" t="s">
        <v>36</v>
      </c>
      <c r="E3" s="32" t="s">
        <v>35</v>
      </c>
      <c r="F3" s="5" t="s">
        <v>35</v>
      </c>
    </row>
    <row r="4" spans="2:6" ht="12.75">
      <c r="B4" s="81" t="s">
        <v>31</v>
      </c>
      <c r="C4" s="82"/>
      <c r="D4" s="82"/>
      <c r="E4" s="82"/>
      <c r="F4" s="82"/>
    </row>
    <row r="5" spans="2:6" ht="12.75">
      <c r="B5" s="33"/>
      <c r="C5" s="34" t="s">
        <v>32</v>
      </c>
      <c r="D5" s="36">
        <f>'Current MY Credit Calc'!B25</f>
        <v>-48000000</v>
      </c>
      <c r="E5" s="36" t="str">
        <f>'Current MY Credit Calc'!C25</f>
        <v>N/A</v>
      </c>
      <c r="F5" s="36" t="str">
        <f>'Current MY Credit Calc'!F25</f>
        <v>N/A</v>
      </c>
    </row>
    <row r="6" spans="2:6" ht="12.75">
      <c r="B6" s="33"/>
      <c r="C6" s="35" t="s">
        <v>84</v>
      </c>
      <c r="D6" s="68"/>
      <c r="E6" s="69"/>
      <c r="F6" s="38"/>
    </row>
    <row r="7" spans="2:6" ht="12.75">
      <c r="B7" s="83" t="s">
        <v>85</v>
      </c>
      <c r="C7" s="84"/>
      <c r="D7" s="84"/>
      <c r="E7" s="84"/>
      <c r="F7" s="84"/>
    </row>
    <row r="8" spans="2:6" ht="12.75">
      <c r="B8" s="33"/>
      <c r="C8" s="35" t="s">
        <v>86</v>
      </c>
      <c r="D8" s="37"/>
      <c r="E8" s="69"/>
      <c r="F8" s="69"/>
    </row>
    <row r="9" spans="2:6" ht="12.75">
      <c r="B9" s="83" t="s">
        <v>33</v>
      </c>
      <c r="C9" s="84"/>
      <c r="D9" s="84"/>
      <c r="E9" s="84"/>
      <c r="F9" s="84"/>
    </row>
    <row r="10" spans="2:6" ht="12.75">
      <c r="B10" s="85" t="s">
        <v>34</v>
      </c>
      <c r="C10" s="86"/>
      <c r="D10" s="43">
        <f>IF(D8&gt;0,(D5+D8),D5)</f>
        <v>-48000000</v>
      </c>
      <c r="E10" s="43" t="str">
        <f>IF(D8&gt;0,(E5-D8),E5)</f>
        <v>N/A</v>
      </c>
      <c r="F10" s="43" t="str">
        <f>IF(F6&gt;0,(F5-F6),F5)</f>
        <v>N/A</v>
      </c>
    </row>
  </sheetData>
  <sheetProtection password="E3E4" sheet="1" objects="1" scenarios="1" selectLockedCells="1"/>
  <mergeCells count="6">
    <mergeCell ref="B4:F4"/>
    <mergeCell ref="B7:F7"/>
    <mergeCell ref="B10:C10"/>
    <mergeCell ref="D2:E2"/>
    <mergeCell ref="B2:C3"/>
    <mergeCell ref="B9:F9"/>
  </mergeCells>
  <printOptions/>
  <pageMargins left="0.75" right="0.75" top="1" bottom="1" header="0.5" footer="0.5"/>
  <pageSetup horizontalDpi="300" verticalDpi="3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Perrin Quarles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epa</cp:lastModifiedBy>
  <cp:lastPrinted>2007-05-11T17:38:01Z</cp:lastPrinted>
  <dcterms:created xsi:type="dcterms:W3CDTF">2005-12-22T15:08:31Z</dcterms:created>
  <dcterms:modified xsi:type="dcterms:W3CDTF">2007-07-27T15:06:19Z</dcterms:modified>
  <cp:category/>
  <cp:version/>
  <cp:contentType/>
  <cp:contentStatus/>
</cp:coreProperties>
</file>