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Chart2" sheetId="1" r:id="rId1"/>
    <sheet name="Ericcson0_7mmquadcable" sheetId="2" r:id="rId2"/>
    <sheet name="GeoSpace0_9mmquadcabl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<sst xmlns="http://schemas.openxmlformats.org/spreadsheetml/2006/main" count="91" uniqueCount="75">
  <si>
    <t>Frequency (Khz)</t>
  </si>
  <si>
    <t>Vin p-p</t>
  </si>
  <si>
    <t>Vout p-p</t>
  </si>
  <si>
    <t>Near End Cross-talk mV p-p</t>
  </si>
  <si>
    <t>Far End Cross-talk mV p-p</t>
  </si>
  <si>
    <t>Near End Cross-talk  dB</t>
  </si>
  <si>
    <t>Far End Cross-talk dB</t>
  </si>
  <si>
    <t>Near End Margin (1.7km)</t>
  </si>
  <si>
    <t>Predicted Near End Margin (3.1km)</t>
  </si>
  <si>
    <t>Worst Case Predicted Near End Margin (3.1km)</t>
  </si>
  <si>
    <t>Worst Case Predicted Near End Margin (3.1km) rescaled to 0.9mm</t>
  </si>
  <si>
    <t>Attenuation</t>
  </si>
  <si>
    <t>Attenuation dB/km</t>
  </si>
  <si>
    <t>Frequency (Khz)</t>
  </si>
  <si>
    <t>On Reel NE Xtalk</t>
  </si>
  <si>
    <t>On Reel FE Xtalk</t>
  </si>
  <si>
    <t xml:space="preserve">500' Off Reel NE Xtalk </t>
  </si>
  <si>
    <t>500' Off Reel FE Xtalk</t>
  </si>
  <si>
    <t xml:space="preserve">The worst case predicted near-end margin adds in quadrature both the near end crosstalk plus the far end crosstalk.  </t>
  </si>
  <si>
    <t>Voltages stated as 10 microvolts in this table are actually just unmeasurable in the noise.</t>
  </si>
  <si>
    <t>Geospace 0.9mm</t>
  </si>
  <si>
    <t>Ericsson rescaled to  0.9mm</t>
  </si>
  <si>
    <t>Gray dominated by far-end cross-talk in Ericsson</t>
  </si>
  <si>
    <t>Lab measurements of a 2613 meter length of  proposed IceCube 0.9mm  quad cable, from GeoSpace, wound on one spool.</t>
  </si>
  <si>
    <t>Frequency (Khz)</t>
  </si>
  <si>
    <t>Vin p-p</t>
  </si>
  <si>
    <t>Vout p-p</t>
  </si>
  <si>
    <t>Near End Cross-talk mV p-p</t>
  </si>
  <si>
    <t>Far End Cross-talk mV p-p</t>
  </si>
  <si>
    <t>On Reel Near End Cross-talk  dB</t>
  </si>
  <si>
    <t>On Reel Far End Cross-talk  dB</t>
  </si>
  <si>
    <t>Near End Margin (2.6km)</t>
  </si>
  <si>
    <t>Predicted Near End Margin (3.1km)</t>
  </si>
  <si>
    <t>Worst Case Predicted Near End Margin (3.1km)</t>
  </si>
  <si>
    <t>Attenuation</t>
  </si>
  <si>
    <t>Attenuation dB/km</t>
  </si>
  <si>
    <t>Near End Cross-talk mV p-p</t>
  </si>
  <si>
    <t>Fare End Cross-talk mV p-p</t>
  </si>
  <si>
    <t>500' Off Reel Near End Cross-talk  dB</t>
  </si>
  <si>
    <t>500' Off Reel Far End Cross-talk  dB</t>
  </si>
  <si>
    <t>Frequency (Khz)</t>
  </si>
  <si>
    <t>On Reel NE Xtalk</t>
  </si>
  <si>
    <t>On Reel FE Xtalk</t>
  </si>
  <si>
    <t xml:space="preserve">500' Off Reel NE Xtalk </t>
  </si>
  <si>
    <t>500' Off Reel FE Xtalk</t>
  </si>
  <si>
    <t>The worst case predicted near-end margin selects the greater of near end or far end crosstalk becaue the communication is half-duplex.</t>
  </si>
  <si>
    <t>When  cross-talk becomes comparable to the signal received from the far end of the cable, the bit error rate becomes unacceptable.</t>
  </si>
  <si>
    <t>One expects that near-end cross-talk interference will dominate with this Geo Space cable.</t>
  </si>
  <si>
    <t>Length</t>
  </si>
  <si>
    <t>Meters</t>
  </si>
  <si>
    <t>Near End Margin (3.5km)</t>
  </si>
  <si>
    <t>Actual Ericsson 0.9mm quad</t>
  </si>
  <si>
    <t>Predicted Ericsson advantage dB</t>
  </si>
  <si>
    <t xml:space="preserve">Observed Ericsson Advantage </t>
  </si>
  <si>
    <t>Ericsson Quad Cable fabricated with  0.7mm solid copper conductor, wound on one spool.</t>
  </si>
  <si>
    <t>Ericsson Quad Cable fabricated with 0.9mm solid copper conductor, wound on one spool.</t>
  </si>
  <si>
    <t>Pin 2</t>
  </si>
  <si>
    <t>Green</t>
  </si>
  <si>
    <t>Violet</t>
  </si>
  <si>
    <t>Pin 4</t>
  </si>
  <si>
    <t>Blue</t>
  </si>
  <si>
    <t>Pin 5</t>
  </si>
  <si>
    <t>White</t>
  </si>
  <si>
    <t>Pin 3</t>
  </si>
  <si>
    <t>Capacitence Measurements</t>
  </si>
  <si>
    <t>Pair</t>
  </si>
  <si>
    <t>Value (nF)</t>
  </si>
  <si>
    <t>2-to-3</t>
  </si>
  <si>
    <t>4-to-5</t>
  </si>
  <si>
    <t>2-to-4</t>
  </si>
  <si>
    <t>2-to-5</t>
  </si>
  <si>
    <t>3-to-4</t>
  </si>
  <si>
    <t>3-to-5</t>
  </si>
  <si>
    <t>141 ohms +/- 1%</t>
  </si>
  <si>
    <t xml:space="preserve">Zo  =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</si>
</sst>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Internal Error: Unknown Numberformat!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lbany"/>
      <family val="2"/>
    </font>
    <font>
      <sz val="8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wrapText="1"/>
    </xf>
    <xf numFmtId="0" fontId="1" fillId="2" borderId="0" xfId="0" applyAlignment="1">
      <alignment/>
    </xf>
    <xf numFmtId="172" fontId="1" fillId="0" borderId="0" xfId="0" applyAlignment="1">
      <alignment/>
    </xf>
    <xf numFmtId="172" fontId="1" fillId="3" borderId="0" xfId="0" applyAlignment="1">
      <alignment/>
    </xf>
    <xf numFmtId="0" fontId="1" fillId="0" borderId="0" xfId="0" applyAlignment="1">
      <alignment wrapText="1"/>
    </xf>
    <xf numFmtId="172" fontId="1" fillId="4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ill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66CC"/>
      <rgbColor rgb="0000B8FF"/>
      <rgbColor rgb="0000DCFF"/>
      <rgbColor rgb="00660066"/>
      <rgbColor rgb="00993366"/>
      <rgbColor rgb="00CCCCCC"/>
      <rgbColor rgb="00CCFFFF"/>
      <rgbColor rgb="00D9D9D9"/>
      <rgbColor rgb="00FF3333"/>
      <rgbColor rgb="00FF3366"/>
      <rgbColor rgb="00FF9966"/>
      <rgbColor rgb="00FFCC99"/>
      <rgbColor rgb="00FFFF99"/>
      <rgbColor rgb="00FFFFCC"/>
      <rgbColor rgb="00FFFF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Ericsson 0.7mm and 0.9mm quad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0.9mm NE Cross-Talk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Ericcson0_7mmquadcable!$F$48:$F$61</c:f>
              <c:numCache>
                <c:ptCount val="14"/>
                <c:pt idx="0">
                  <c:v>-80</c:v>
                </c:pt>
                <c:pt idx="1">
                  <c:v>-80</c:v>
                </c:pt>
                <c:pt idx="2">
                  <c:v>-80</c:v>
                </c:pt>
                <c:pt idx="3">
                  <c:v>-78.41637507904751</c:v>
                </c:pt>
                <c:pt idx="4">
                  <c:v>-86.02059991327963</c:v>
                </c:pt>
                <c:pt idx="5">
                  <c:v>-83.87640052032225</c:v>
                </c:pt>
                <c:pt idx="6">
                  <c:v>-76.24958558327074</c:v>
                </c:pt>
                <c:pt idx="7">
                  <c:v>-73.15154638355588</c:v>
                </c:pt>
                <c:pt idx="8">
                  <c:v>-70.75204004202088</c:v>
                </c:pt>
                <c:pt idx="9">
                  <c:v>-63.09803919971486</c:v>
                </c:pt>
                <c:pt idx="10">
                  <c:v>-60.9151498112135</c:v>
                </c:pt>
                <c:pt idx="11">
                  <c:v>-63.54356709393791</c:v>
                </c:pt>
                <c:pt idx="12">
                  <c:v>-63.09803919971486</c:v>
                </c:pt>
                <c:pt idx="13">
                  <c:v>-62.498774732166</c:v>
                </c:pt>
              </c:numCache>
            </c:numRef>
          </c:yVal>
          <c:smooth val="1"/>
        </c:ser>
        <c:ser>
          <c:idx val="1"/>
          <c:order val="1"/>
          <c:tx>
            <c:v>0.9mm FE Cross-Talk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Ericcson0_7mmquadcable!$G$48:$G$61</c:f>
              <c:numCache>
                <c:ptCount val="14"/>
                <c:pt idx="0">
                  <c:v>-73.97940008672037</c:v>
                </c:pt>
                <c:pt idx="1">
                  <c:v>-72.04119982655925</c:v>
                </c:pt>
                <c:pt idx="2">
                  <c:v>-73.15154638355588</c:v>
                </c:pt>
                <c:pt idx="3">
                  <c:v>-73.15154638355588</c:v>
                </c:pt>
                <c:pt idx="4">
                  <c:v>-77.07743928643524</c:v>
                </c:pt>
                <c:pt idx="5">
                  <c:v>-74.89454989793389</c:v>
                </c:pt>
                <c:pt idx="6">
                  <c:v>-67.535014192042</c:v>
                </c:pt>
                <c:pt idx="7">
                  <c:v>-64.43697499232714</c:v>
                </c:pt>
                <c:pt idx="8">
                  <c:v>-60.44552789422305</c:v>
                </c:pt>
                <c:pt idx="9">
                  <c:v>-58.97694955105237</c:v>
                </c:pt>
                <c:pt idx="10">
                  <c:v>-57.07743928643524</c:v>
                </c:pt>
                <c:pt idx="11">
                  <c:v>-60</c:v>
                </c:pt>
                <c:pt idx="12">
                  <c:v>-75.9176003468815</c:v>
                </c:pt>
                <c:pt idx="13">
                  <c:v>-63.741732867142886</c:v>
                </c:pt>
              </c:numCache>
            </c:numRef>
          </c:yVal>
          <c:smooth val="1"/>
        </c:ser>
        <c:ser>
          <c:idx val="2"/>
          <c:order val="2"/>
          <c:tx>
            <c:v>0.7mm NE Cross-Talk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Ericcson0_7mmquadcable!$N$48:$N$61</c:f>
              <c:numCache>
                <c:ptCount val="14"/>
                <c:pt idx="0">
                  <c:v>-73.97940008672037</c:v>
                </c:pt>
                <c:pt idx="1">
                  <c:v>-86.02059991327963</c:v>
                </c:pt>
                <c:pt idx="2">
                  <c:v>-76.47817481888637</c:v>
                </c:pt>
                <c:pt idx="3">
                  <c:v>-80.9151498112135</c:v>
                </c:pt>
                <c:pt idx="4">
                  <c:v>-86.02059991327963</c:v>
                </c:pt>
                <c:pt idx="5">
                  <c:v>-90.45757490560675</c:v>
                </c:pt>
                <c:pt idx="6">
                  <c:v>-100</c:v>
                </c:pt>
                <c:pt idx="7">
                  <c:v>-89.11863911299449</c:v>
                </c:pt>
                <c:pt idx="8">
                  <c:v>-86.02059991327963</c:v>
                </c:pt>
                <c:pt idx="9">
                  <c:v>-89.89700043360187</c:v>
                </c:pt>
                <c:pt idx="10">
                  <c:v>-73.35123080168789</c:v>
                </c:pt>
                <c:pt idx="11">
                  <c:v>-72.76544327964814</c:v>
                </c:pt>
                <c:pt idx="12">
                  <c:v>-75.65032111572188</c:v>
                </c:pt>
                <c:pt idx="13">
                  <c:v>-70.75204004202088</c:v>
                </c:pt>
              </c:numCache>
            </c:numRef>
          </c:yVal>
          <c:smooth val="1"/>
        </c:ser>
        <c:ser>
          <c:idx val="3"/>
          <c:order val="3"/>
          <c:tx>
            <c:v>0.7mm FE Cross-Talk</c:v>
          </c:tx>
          <c:spPr>
            <a:ln w="127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3333"/>
              </a:solidFill>
              <a:ln>
                <a:solidFill>
                  <a:srgbClr val="FF3333"/>
                </a:solidFill>
              </a:ln>
            </c:spPr>
          </c:marker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Ericcson0_7mmquadcable!$O$48:$O$61</c:f>
              <c:numCache>
                <c:ptCount val="14"/>
                <c:pt idx="0">
                  <c:v>-107.18043885283336</c:v>
                </c:pt>
                <c:pt idx="1">
                  <c:v>-107.79744773848009</c:v>
                </c:pt>
                <c:pt idx="2">
                  <c:v>-107.69152094228112</c:v>
                </c:pt>
                <c:pt idx="3">
                  <c:v>-100</c:v>
                </c:pt>
                <c:pt idx="4">
                  <c:v>-96.47817481888637</c:v>
                </c:pt>
                <c:pt idx="5">
                  <c:v>-86.02059991327963</c:v>
                </c:pt>
                <c:pt idx="6">
                  <c:v>-77.39332463009988</c:v>
                </c:pt>
                <c:pt idx="7">
                  <c:v>-67.95880017344075</c:v>
                </c:pt>
                <c:pt idx="8">
                  <c:v>-61.938200260161125</c:v>
                </c:pt>
                <c:pt idx="9">
                  <c:v>-53.55561410532161</c:v>
                </c:pt>
                <c:pt idx="10">
                  <c:v>-48.178707859470016</c:v>
                </c:pt>
                <c:pt idx="11">
                  <c:v>-56.47817481888637</c:v>
                </c:pt>
                <c:pt idx="12">
                  <c:v>-57.72113295386326</c:v>
                </c:pt>
                <c:pt idx="13">
                  <c:v>-73.97940008672037</c:v>
                </c:pt>
              </c:numCache>
            </c:numRef>
          </c:yVal>
          <c:smooth val="1"/>
        </c:ser>
        <c:axId val="47180071"/>
        <c:axId val="21967456"/>
      </c:scatterChart>
      <c:valAx>
        <c:axId val="471800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1967456"/>
        <c:crosses val="autoZero"/>
        <c:crossBetween val="midCat"/>
        <c:dispUnits/>
      </c:valAx>
      <c:valAx>
        <c:axId val="2196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8007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Ericsson 0.9mm Quad Performance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475"/>
          <c:w val="0.9755"/>
          <c:h val="0.89775"/>
        </c:manualLayout>
      </c:layout>
      <c:scatterChart>
        <c:scatterStyle val="smoothMarker"/>
        <c:varyColors val="0"/>
        <c:ser>
          <c:idx val="0"/>
          <c:order val="0"/>
          <c:tx>
            <c:v>Near End Xtalk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Ericcson0_7mmquadcable!$F$48:$F$61</c:f>
              <c:numCache>
                <c:ptCount val="14"/>
                <c:pt idx="0">
                  <c:v>-80</c:v>
                </c:pt>
                <c:pt idx="1">
                  <c:v>-80</c:v>
                </c:pt>
                <c:pt idx="2">
                  <c:v>-80</c:v>
                </c:pt>
                <c:pt idx="3">
                  <c:v>-78.41637507904751</c:v>
                </c:pt>
                <c:pt idx="4">
                  <c:v>-86.02059991327963</c:v>
                </c:pt>
                <c:pt idx="5">
                  <c:v>-83.87640052032225</c:v>
                </c:pt>
                <c:pt idx="6">
                  <c:v>-76.24958558327074</c:v>
                </c:pt>
                <c:pt idx="7">
                  <c:v>-73.15154638355588</c:v>
                </c:pt>
                <c:pt idx="8">
                  <c:v>-70.75204004202088</c:v>
                </c:pt>
                <c:pt idx="9">
                  <c:v>-63.09803919971486</c:v>
                </c:pt>
                <c:pt idx="10">
                  <c:v>-60.9151498112135</c:v>
                </c:pt>
                <c:pt idx="11">
                  <c:v>-63.54356709393791</c:v>
                </c:pt>
                <c:pt idx="12">
                  <c:v>-63.09803919971486</c:v>
                </c:pt>
                <c:pt idx="13">
                  <c:v>-62.498774732166</c:v>
                </c:pt>
              </c:numCache>
            </c:numRef>
          </c:yVal>
          <c:smooth val="1"/>
        </c:ser>
        <c:ser>
          <c:idx val="1"/>
          <c:order val="1"/>
          <c:tx>
            <c:v>Far End Xtalk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Ericcson0_7mmquadcable!$A$48:$A$61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Ericcson0_7mmquadcable!$G$48:$G$61</c:f>
              <c:numCache>
                <c:ptCount val="14"/>
                <c:pt idx="0">
                  <c:v>-73.97940008672037</c:v>
                </c:pt>
                <c:pt idx="1">
                  <c:v>-72.04119982655925</c:v>
                </c:pt>
                <c:pt idx="2">
                  <c:v>-73.15154638355588</c:v>
                </c:pt>
                <c:pt idx="3">
                  <c:v>-73.15154638355588</c:v>
                </c:pt>
                <c:pt idx="4">
                  <c:v>-77.07743928643524</c:v>
                </c:pt>
                <c:pt idx="5">
                  <c:v>-74.89454989793389</c:v>
                </c:pt>
                <c:pt idx="6">
                  <c:v>-67.535014192042</c:v>
                </c:pt>
                <c:pt idx="7">
                  <c:v>-64.43697499232714</c:v>
                </c:pt>
                <c:pt idx="8">
                  <c:v>-60.44552789422305</c:v>
                </c:pt>
                <c:pt idx="9">
                  <c:v>-58.97694955105237</c:v>
                </c:pt>
                <c:pt idx="10">
                  <c:v>-57.07743928643524</c:v>
                </c:pt>
                <c:pt idx="11">
                  <c:v>-60</c:v>
                </c:pt>
                <c:pt idx="12">
                  <c:v>-75.9176003468815</c:v>
                </c:pt>
                <c:pt idx="13">
                  <c:v>-63.741732867142886</c:v>
                </c:pt>
              </c:numCache>
            </c:numRef>
          </c:yVal>
          <c:smooth val="1"/>
        </c:ser>
        <c:axId val="63489377"/>
        <c:axId val="34533482"/>
      </c:scatterChart>
      <c:valAx>
        <c:axId val="634893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3482"/>
        <c:crosses val="autoZero"/>
        <c:crossBetween val="midCat"/>
        <c:dispUnits/>
      </c:valAx>
      <c:valAx>
        <c:axId val="34533482"/>
        <c:scaling>
          <c:orientation val="minMax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937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Ericsson 0.7mm Quad Performance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725"/>
          <c:w val="0.9747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v>Far End Cross-talk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Ericcson0_7mmquadcable!$A$5:$A$18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Ericcson0_7mmquadcable!$F$5:$F$18</c:f>
              <c:numCache>
                <c:ptCount val="14"/>
                <c:pt idx="0">
                  <c:v>-73.97940008672037</c:v>
                </c:pt>
                <c:pt idx="1">
                  <c:v>-86.02059991327963</c:v>
                </c:pt>
                <c:pt idx="2">
                  <c:v>-76.47817481888637</c:v>
                </c:pt>
                <c:pt idx="3">
                  <c:v>-80.9151498112135</c:v>
                </c:pt>
                <c:pt idx="4">
                  <c:v>-86.02059991327963</c:v>
                </c:pt>
                <c:pt idx="5">
                  <c:v>-90.45757490560675</c:v>
                </c:pt>
                <c:pt idx="6">
                  <c:v>-100</c:v>
                </c:pt>
                <c:pt idx="7">
                  <c:v>-89.11863911299449</c:v>
                </c:pt>
                <c:pt idx="8">
                  <c:v>-86.02059991327963</c:v>
                </c:pt>
                <c:pt idx="9">
                  <c:v>-89.89700043360187</c:v>
                </c:pt>
                <c:pt idx="10">
                  <c:v>-73.35123080168789</c:v>
                </c:pt>
                <c:pt idx="11">
                  <c:v>-72.76544327964814</c:v>
                </c:pt>
                <c:pt idx="12">
                  <c:v>-75.65032111572188</c:v>
                </c:pt>
                <c:pt idx="13">
                  <c:v>-70.75204004202088</c:v>
                </c:pt>
              </c:numCache>
            </c:numRef>
          </c:yVal>
          <c:smooth val="1"/>
        </c:ser>
        <c:ser>
          <c:idx val="1"/>
          <c:order val="1"/>
          <c:tx>
            <c:v>Near End Cross-talk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Ericcson0_7mmquadcable!$A$5:$A$18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70</c:v>
                </c:pt>
                <c:pt idx="8">
                  <c:v>100</c:v>
                </c:pt>
                <c:pt idx="9">
                  <c:v>200</c:v>
                </c:pt>
                <c:pt idx="10">
                  <c:v>400</c:v>
                </c:pt>
                <c:pt idx="11">
                  <c:v>700</c:v>
                </c:pt>
                <c:pt idx="12">
                  <c:v>1000</c:v>
                </c:pt>
                <c:pt idx="13">
                  <c:v>2000</c:v>
                </c:pt>
              </c:numCache>
            </c:numRef>
          </c:xVal>
          <c:yVal>
            <c:numRef>
              <c:f>Ericcson0_7mmquadcable!$G$5:$G$18</c:f>
              <c:numCache>
                <c:ptCount val="14"/>
                <c:pt idx="0">
                  <c:v>-107.18043885283336</c:v>
                </c:pt>
                <c:pt idx="1">
                  <c:v>-107.79744773848009</c:v>
                </c:pt>
                <c:pt idx="2">
                  <c:v>-107.69152094228112</c:v>
                </c:pt>
                <c:pt idx="3">
                  <c:v>-100</c:v>
                </c:pt>
                <c:pt idx="4">
                  <c:v>-96.47817481888637</c:v>
                </c:pt>
                <c:pt idx="5">
                  <c:v>-86.02059991327963</c:v>
                </c:pt>
                <c:pt idx="6">
                  <c:v>-77.39332463009988</c:v>
                </c:pt>
                <c:pt idx="7">
                  <c:v>-67.95880017344075</c:v>
                </c:pt>
                <c:pt idx="8">
                  <c:v>-61.938200260161125</c:v>
                </c:pt>
                <c:pt idx="9">
                  <c:v>-53.55561410532161</c:v>
                </c:pt>
                <c:pt idx="10">
                  <c:v>-48.178707859470016</c:v>
                </c:pt>
                <c:pt idx="11">
                  <c:v>-56.47817481888637</c:v>
                </c:pt>
                <c:pt idx="12">
                  <c:v>-57.72113295386326</c:v>
                </c:pt>
                <c:pt idx="13">
                  <c:v>-73.97940008672037</c:v>
                </c:pt>
              </c:numCache>
            </c:numRef>
          </c:yVal>
          <c:smooth val="1"/>
        </c:ser>
        <c:axId val="42365883"/>
        <c:axId val="45748628"/>
      </c:scatterChart>
      <c:valAx>
        <c:axId val="423658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Frequency(kHz)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8628"/>
        <c:crosses val="autoZero"/>
        <c:crossBetween val="midCat"/>
        <c:dispUnits/>
      </c:valAx>
      <c:valAx>
        <c:axId val="4574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658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2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Geo Space Cable Cross-Talk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"/>
          <c:w val="0.979"/>
          <c:h val="0.903"/>
        </c:manualLayout>
      </c:layout>
      <c:scatterChart>
        <c:scatterStyle val="smoothMarker"/>
        <c:varyColors val="0"/>
        <c:ser>
          <c:idx val="0"/>
          <c:order val="0"/>
          <c:tx>
            <c:v>On Reel NE Xtalk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GeoSpace0_9mmquadcable!$A$4:$A$17</c:f>
              <c:numCache/>
            </c:numRef>
          </c:xVal>
          <c:yVal>
            <c:numRef>
              <c:f>GeoSpace0_9mmquadcable!$F$4:$F$17</c:f>
              <c:numCache/>
            </c:numRef>
          </c:yVal>
          <c:smooth val="1"/>
        </c:ser>
        <c:ser>
          <c:idx val="1"/>
          <c:order val="1"/>
          <c:tx>
            <c:v>On Reel FE Xtalk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GeoSpace0_9mmquadcable!$A$4:$A$17</c:f>
              <c:numCache/>
            </c:numRef>
          </c:xVal>
          <c:yVal>
            <c:numRef>
              <c:f>GeoSpace0_9mmquadcable!$G$4:$G$17</c:f>
              <c:numCache/>
            </c:numRef>
          </c:yVal>
          <c:smooth val="1"/>
        </c:ser>
        <c:ser>
          <c:idx val="2"/>
          <c:order val="2"/>
          <c:tx>
            <c:v>500' Off Reel NE Xtalk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GeoSpace0_9mmquadcable!$A$4:$A$17</c:f>
              <c:numCache/>
            </c:numRef>
          </c:xVal>
          <c:yVal>
            <c:numRef>
              <c:f>GeoSpace0_9mmquadcable!$O$4:$O$17</c:f>
              <c:numCache/>
            </c:numRef>
          </c:yVal>
          <c:smooth val="1"/>
        </c:ser>
        <c:ser>
          <c:idx val="3"/>
          <c:order val="3"/>
          <c:tx>
            <c:v>500' Off Reel FE Xtalk</c:v>
          </c:tx>
          <c:spPr>
            <a:ln w="127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3333"/>
              </a:solidFill>
              <a:ln>
                <a:solidFill>
                  <a:srgbClr val="FF3333"/>
                </a:solidFill>
              </a:ln>
            </c:spPr>
          </c:marker>
          <c:xVal>
            <c:numRef>
              <c:f>GeoSpace0_9mmquadcable!$A$4:$A$17</c:f>
              <c:numCache/>
            </c:numRef>
          </c:xVal>
          <c:yVal>
            <c:numRef>
              <c:f>GeoSpace0_9mmquadcable!$P$4:$P$17</c:f>
              <c:numCache/>
            </c:numRef>
          </c:yVal>
          <c:smooth val="1"/>
        </c:ser>
        <c:axId val="9084469"/>
        <c:axId val="14651358"/>
      </c:scatterChart>
      <c:valAx>
        <c:axId val="90844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4651358"/>
        <c:crosses val="autoZero"/>
        <c:crossBetween val="midCat"/>
        <c:dispUnits/>
      </c:valAx>
      <c:valAx>
        <c:axId val="14651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8446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835"/>
          <c:y val="0.2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66</xdr:row>
      <xdr:rowOff>142875</xdr:rowOff>
    </xdr:from>
    <xdr:to>
      <xdr:col>10</xdr:col>
      <xdr:colOff>619125</xdr:colOff>
      <xdr:row>89</xdr:row>
      <xdr:rowOff>142875</xdr:rowOff>
    </xdr:to>
    <xdr:graphicFrame>
      <xdr:nvGraphicFramePr>
        <xdr:cNvPr id="1" name="Chart 7"/>
        <xdr:cNvGraphicFramePr/>
      </xdr:nvGraphicFramePr>
      <xdr:xfrm>
        <a:off x="142875" y="12963525"/>
        <a:ext cx="7686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22</xdr:row>
      <xdr:rowOff>19050</xdr:rowOff>
    </xdr:from>
    <xdr:to>
      <xdr:col>15</xdr:col>
      <xdr:colOff>47625</xdr:colOff>
      <xdr:row>42</xdr:row>
      <xdr:rowOff>66675</xdr:rowOff>
    </xdr:to>
    <xdr:graphicFrame>
      <xdr:nvGraphicFramePr>
        <xdr:cNvPr id="2" name="Chart 8"/>
        <xdr:cNvGraphicFramePr/>
      </xdr:nvGraphicFramePr>
      <xdr:xfrm>
        <a:off x="3505200" y="4191000"/>
        <a:ext cx="75342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95250</xdr:rowOff>
    </xdr:from>
    <xdr:to>
      <xdr:col>16</xdr:col>
      <xdr:colOff>400050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104775" y="4476750"/>
        <a:ext cx="98679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zoomScale="75" zoomScaleNormal="75" workbookViewId="0" topLeftCell="A1">
      <selection activeCell="N48" activeCellId="2" sqref="A48:A61 F48:G61 N48:O61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8.8515625" style="0" customWidth="1"/>
    <col min="4" max="4" width="11.8515625" style="0" customWidth="1"/>
    <col min="5" max="5" width="12.00390625" style="0" customWidth="1"/>
    <col min="6" max="6" width="9.421875" style="0" customWidth="1"/>
    <col min="7" max="8" width="11.421875" style="0" customWidth="1"/>
    <col min="9" max="9" width="8.8515625" style="0" customWidth="1"/>
    <col min="10" max="10" width="13.00390625" style="0" customWidth="1"/>
    <col min="11" max="11" width="15.28125" style="0" customWidth="1"/>
    <col min="12" max="12" width="11.7109375" style="0" customWidth="1"/>
    <col min="13" max="13" width="12.00390625" style="0" customWidth="1"/>
    <col min="14" max="16384" width="8.8515625" style="0" customWidth="1"/>
  </cols>
  <sheetData>
    <row r="1" spans="1:13" ht="12.75">
      <c r="A1" s="12" t="s">
        <v>54</v>
      </c>
      <c r="B1" s="1"/>
      <c r="D1" s="1"/>
      <c r="E1" s="1"/>
      <c r="F1" s="1"/>
      <c r="G1" s="1"/>
      <c r="H1" s="1"/>
      <c r="J1" s="1"/>
      <c r="K1" s="1"/>
      <c r="L1" s="1"/>
      <c r="M1" s="1"/>
    </row>
    <row r="2" spans="1:13" ht="12.75">
      <c r="A2" s="12" t="s">
        <v>48</v>
      </c>
      <c r="B2" s="1">
        <v>1700</v>
      </c>
      <c r="C2" t="s">
        <v>49</v>
      </c>
      <c r="D2" s="1"/>
      <c r="E2" s="1"/>
      <c r="F2" s="1"/>
      <c r="G2" s="1"/>
      <c r="H2" s="1"/>
      <c r="J2" s="1"/>
      <c r="K2" s="1"/>
      <c r="L2" s="1"/>
      <c r="M2" s="1"/>
    </row>
    <row r="3" spans="1:16" ht="6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/>
      <c r="O3" s="2"/>
      <c r="P3" s="2"/>
    </row>
    <row r="4" spans="1:16" s="1" customFormat="1" ht="13.5" customHeight="1">
      <c r="A4" s="2" t="s">
        <v>13</v>
      </c>
      <c r="B4" s="2"/>
      <c r="C4" s="2"/>
      <c r="D4" s="2"/>
      <c r="E4" s="2"/>
      <c r="F4" s="2" t="s">
        <v>14</v>
      </c>
      <c r="G4" s="2" t="s">
        <v>15</v>
      </c>
      <c r="H4" s="2"/>
      <c r="I4" s="2"/>
      <c r="J4" s="2"/>
      <c r="K4" s="2"/>
      <c r="L4" s="2"/>
      <c r="M4" s="2"/>
      <c r="N4" s="2"/>
      <c r="O4" s="2" t="s">
        <v>16</v>
      </c>
      <c r="P4" s="2" t="s">
        <v>17</v>
      </c>
    </row>
    <row r="5" spans="1:16" ht="12.75">
      <c r="A5" s="3">
        <v>1</v>
      </c>
      <c r="B5" s="3">
        <v>2</v>
      </c>
      <c r="C5" s="3">
        <v>0.875</v>
      </c>
      <c r="D5" s="3">
        <v>0.4</v>
      </c>
      <c r="E5" s="3">
        <f>0.01*C5</f>
        <v>0.00875</v>
      </c>
      <c r="F5" s="4">
        <f aca="true" t="shared" si="0" ref="F5:F18">20*LOG10(0.001*D5/$B5)</f>
        <v>-73.97940008672037</v>
      </c>
      <c r="G5" s="4">
        <f aca="true" t="shared" si="1" ref="G5:G18">20*LOG10(0.001*E5/$B5)</f>
        <v>-107.18043885283336</v>
      </c>
      <c r="H5" s="4">
        <f>20*LOG10($C5/(0.001*$D5))</f>
        <v>66.79896123388701</v>
      </c>
      <c r="I5" s="4">
        <f>20*LOG10(17*$C5/(31*0.001*$D5))</f>
        <v>61.58070578476704</v>
      </c>
      <c r="J5" s="5">
        <f aca="true" t="shared" si="2" ref="J5:J18">20*LOG10((17/31)*$C5/(0.001*MAX($D5,(17/31)*$E5)))</f>
        <v>61.58070578476704</v>
      </c>
      <c r="K5" s="5">
        <f aca="true" t="shared" si="3" ref="K5:K18">20*LOG10((17/31)*((0.45*0.45)/(0.35*0.35))*$C5/(0.001*MAX($D5,(17/31)*$E5*(0.45*0.45)/(0.35*0.35))))</f>
        <v>65.94648456176976</v>
      </c>
      <c r="L5" s="4">
        <f aca="true" t="shared" si="4" ref="L5:L18">20*LOG10($C5/$B5)</f>
        <v>-7.180438852833358</v>
      </c>
      <c r="M5" s="4">
        <f aca="true" t="shared" si="5" ref="M5:M18">20*LOG10($C5/$B5)/1.7</f>
        <v>-4.22378756049021</v>
      </c>
      <c r="N5" s="1">
        <f aca="true" t="shared" si="6" ref="N5:N18">M5*(0.35*0.35)/(0.45*0.45)</f>
        <v>-2.555130746469387</v>
      </c>
      <c r="O5" s="1"/>
      <c r="P5" s="1"/>
    </row>
    <row r="6" spans="1:16" ht="12.75">
      <c r="A6" s="3">
        <v>2</v>
      </c>
      <c r="B6" s="3">
        <v>2</v>
      </c>
      <c r="C6" s="3">
        <v>0.815</v>
      </c>
      <c r="D6" s="3">
        <v>0.1</v>
      </c>
      <c r="E6" s="3">
        <f>0.01*C6</f>
        <v>0.00815</v>
      </c>
      <c r="F6" s="4">
        <f t="shared" si="0"/>
        <v>-86.02059991327963</v>
      </c>
      <c r="G6" s="4">
        <f t="shared" si="1"/>
        <v>-107.79744773848009</v>
      </c>
      <c r="H6" s="4">
        <f aca="true" t="shared" si="7" ref="H6:H18">20*LOG10($C6/(0.001*D6))</f>
        <v>78.22315217479952</v>
      </c>
      <c r="I6" s="4">
        <f aca="true" t="shared" si="8" ref="I6:I18">20*LOG10(17*$C6/(31*0.001*$D6))</f>
        <v>73.00489672567956</v>
      </c>
      <c r="J6" s="5">
        <f t="shared" si="2"/>
        <v>73.00489672567956</v>
      </c>
      <c r="K6" s="5">
        <f t="shared" si="3"/>
        <v>77.37067550268227</v>
      </c>
      <c r="L6" s="4">
        <f t="shared" si="4"/>
        <v>-7.797447738480092</v>
      </c>
      <c r="M6" s="4">
        <f t="shared" si="5"/>
        <v>-4.5867339638118185</v>
      </c>
      <c r="N6" s="1">
        <f t="shared" si="6"/>
        <v>-2.7746909163799898</v>
      </c>
      <c r="O6" s="1"/>
      <c r="P6" s="1"/>
    </row>
    <row r="7" spans="1:16" ht="12.75">
      <c r="A7" s="3">
        <v>4</v>
      </c>
      <c r="B7" s="3">
        <v>2</v>
      </c>
      <c r="C7" s="3">
        <v>0.825</v>
      </c>
      <c r="D7" s="3">
        <v>0.3</v>
      </c>
      <c r="E7" s="3">
        <f>0.01*C7</f>
        <v>0.00825</v>
      </c>
      <c r="F7" s="4">
        <f t="shared" si="0"/>
        <v>-76.47817481888637</v>
      </c>
      <c r="G7" s="4">
        <f t="shared" si="1"/>
        <v>-107.69152094228112</v>
      </c>
      <c r="H7" s="4">
        <f t="shared" si="7"/>
        <v>68.78665387660526</v>
      </c>
      <c r="I7" s="4">
        <f t="shared" si="8"/>
        <v>63.56839842748528</v>
      </c>
      <c r="J7" s="5">
        <f t="shared" si="2"/>
        <v>63.56839842748528</v>
      </c>
      <c r="K7" s="5">
        <f t="shared" si="3"/>
        <v>67.934177204488</v>
      </c>
      <c r="L7" s="4">
        <f t="shared" si="4"/>
        <v>-7.691520942281123</v>
      </c>
      <c r="M7" s="4">
        <f t="shared" si="5"/>
        <v>-4.524424083694778</v>
      </c>
      <c r="N7" s="1">
        <f t="shared" si="6"/>
        <v>-2.7369972851980764</v>
      </c>
      <c r="O7" s="1"/>
      <c r="P7" s="1"/>
    </row>
    <row r="8" spans="1:16" ht="12.75">
      <c r="A8" s="3">
        <v>7</v>
      </c>
      <c r="B8" s="3">
        <v>2</v>
      </c>
      <c r="C8" s="3">
        <v>0.855</v>
      </c>
      <c r="D8" s="3">
        <v>0.18</v>
      </c>
      <c r="E8" s="3">
        <v>0.02</v>
      </c>
      <c r="F8" s="4">
        <f t="shared" si="0"/>
        <v>-80.9151498112135</v>
      </c>
      <c r="G8" s="4">
        <f t="shared" si="1"/>
        <v>-100</v>
      </c>
      <c r="H8" s="4">
        <f t="shared" si="7"/>
        <v>73.53387219249733</v>
      </c>
      <c r="I8" s="4">
        <f t="shared" si="8"/>
        <v>68.31561674337736</v>
      </c>
      <c r="J8" s="5">
        <f t="shared" si="2"/>
        <v>68.31561674337736</v>
      </c>
      <c r="K8" s="5">
        <f t="shared" si="3"/>
        <v>72.68139552038008</v>
      </c>
      <c r="L8" s="4">
        <f t="shared" si="4"/>
        <v>-7.381277618716171</v>
      </c>
      <c r="M8" s="4">
        <f t="shared" si="5"/>
        <v>-4.341928011009512</v>
      </c>
      <c r="N8" s="1">
        <f t="shared" si="6"/>
        <v>-2.6265984264131617</v>
      </c>
      <c r="O8" s="1"/>
      <c r="P8" s="1"/>
    </row>
    <row r="9" spans="1:16" ht="12.75">
      <c r="A9" s="3">
        <v>10</v>
      </c>
      <c r="B9" s="3">
        <v>2</v>
      </c>
      <c r="C9" s="3">
        <v>0.88</v>
      </c>
      <c r="D9" s="3">
        <v>0.1</v>
      </c>
      <c r="E9" s="3">
        <v>0.03</v>
      </c>
      <c r="F9" s="4">
        <f t="shared" si="0"/>
        <v>-86.02059991327963</v>
      </c>
      <c r="G9" s="4">
        <f t="shared" si="1"/>
        <v>-96.47817481888637</v>
      </c>
      <c r="H9" s="4">
        <f t="shared" si="7"/>
        <v>78.88965344300337</v>
      </c>
      <c r="I9" s="4">
        <f t="shared" si="8"/>
        <v>73.67139799388339</v>
      </c>
      <c r="J9" s="5">
        <f t="shared" si="2"/>
        <v>73.67139799388339</v>
      </c>
      <c r="K9" s="5">
        <f t="shared" si="3"/>
        <v>78.03717677088612</v>
      </c>
      <c r="L9" s="4">
        <f t="shared" si="4"/>
        <v>-7.1309464702762515</v>
      </c>
      <c r="M9" s="4">
        <f t="shared" si="5"/>
        <v>-4.194674394280147</v>
      </c>
      <c r="N9" s="1">
        <f t="shared" si="6"/>
        <v>-2.537519078021324</v>
      </c>
      <c r="O9" s="1"/>
      <c r="P9" s="1"/>
    </row>
    <row r="10" spans="1:16" ht="12.75">
      <c r="A10" s="3">
        <v>20</v>
      </c>
      <c r="B10" s="3">
        <v>2</v>
      </c>
      <c r="C10" s="3">
        <v>0.915</v>
      </c>
      <c r="D10" s="3">
        <v>0.06</v>
      </c>
      <c r="E10" s="3">
        <v>0.1</v>
      </c>
      <c r="F10" s="4">
        <f t="shared" si="0"/>
        <v>-90.45757490560675</v>
      </c>
      <c r="G10" s="4">
        <f t="shared" si="1"/>
        <v>-86.02059991327963</v>
      </c>
      <c r="H10" s="4">
        <f t="shared" si="7"/>
        <v>83.66539687365609</v>
      </c>
      <c r="I10" s="4">
        <f t="shared" si="8"/>
        <v>78.44714142453613</v>
      </c>
      <c r="J10" s="5">
        <f t="shared" si="2"/>
        <v>78.44714142453611</v>
      </c>
      <c r="K10" s="5">
        <f t="shared" si="3"/>
        <v>79.22842188132897</v>
      </c>
      <c r="L10" s="4">
        <f t="shared" si="4"/>
        <v>-6.792178031950657</v>
      </c>
      <c r="M10" s="4">
        <f t="shared" si="5"/>
        <v>-3.9953988423239153</v>
      </c>
      <c r="N10" s="1">
        <f t="shared" si="6"/>
        <v>-2.416969670047801</v>
      </c>
      <c r="O10" s="1"/>
      <c r="P10" s="1"/>
    </row>
    <row r="11" spans="1:16" ht="12.75">
      <c r="A11" s="3">
        <v>40</v>
      </c>
      <c r="B11" s="3">
        <v>2</v>
      </c>
      <c r="C11" s="3">
        <v>1.045</v>
      </c>
      <c r="D11" s="3">
        <v>0.02</v>
      </c>
      <c r="E11" s="3">
        <v>0.27</v>
      </c>
      <c r="F11" s="4">
        <f t="shared" si="0"/>
        <v>-100</v>
      </c>
      <c r="G11" s="4">
        <f t="shared" si="1"/>
        <v>-77.39332463009988</v>
      </c>
      <c r="H11" s="4">
        <f t="shared" si="7"/>
        <v>94.36172589566183</v>
      </c>
      <c r="I11" s="4">
        <f t="shared" si="8"/>
        <v>89.14347044654185</v>
      </c>
      <c r="J11" s="5">
        <f t="shared" si="2"/>
        <v>71.75505052576172</v>
      </c>
      <c r="K11" s="5">
        <f t="shared" si="3"/>
        <v>71.75505052576172</v>
      </c>
      <c r="L11" s="4">
        <f t="shared" si="4"/>
        <v>-5.6382741043381674</v>
      </c>
      <c r="M11" s="4">
        <f t="shared" si="5"/>
        <v>-3.3166318260812746</v>
      </c>
      <c r="N11" s="1">
        <f t="shared" si="6"/>
        <v>-2.0063575244195366</v>
      </c>
      <c r="O11" s="1"/>
      <c r="P11" s="1"/>
    </row>
    <row r="12" spans="1:16" ht="12.75">
      <c r="A12" s="3">
        <v>70</v>
      </c>
      <c r="B12" s="3">
        <v>2</v>
      </c>
      <c r="C12" s="3">
        <v>0.91</v>
      </c>
      <c r="D12" s="3">
        <v>0.07</v>
      </c>
      <c r="E12" s="3">
        <v>0.8</v>
      </c>
      <c r="F12" s="4">
        <f t="shared" si="0"/>
        <v>-89.11863911299449</v>
      </c>
      <c r="G12" s="4">
        <f t="shared" si="1"/>
        <v>-67.95880017344075</v>
      </c>
      <c r="H12" s="4">
        <f t="shared" si="7"/>
        <v>82.27886704613674</v>
      </c>
      <c r="I12" s="4">
        <f t="shared" si="8"/>
        <v>77.06061159701676</v>
      </c>
      <c r="J12" s="5">
        <f t="shared" si="2"/>
        <v>61.119028106583</v>
      </c>
      <c r="K12" s="5">
        <f t="shared" si="3"/>
        <v>61.119028106583</v>
      </c>
      <c r="L12" s="4">
        <f t="shared" si="4"/>
        <v>-6.839772066857751</v>
      </c>
      <c r="M12" s="4">
        <f t="shared" si="5"/>
        <v>-4.023395333445736</v>
      </c>
      <c r="N12" s="1">
        <f t="shared" si="6"/>
        <v>-2.433905818998038</v>
      </c>
      <c r="O12" s="1"/>
      <c r="P12" s="1"/>
    </row>
    <row r="13" spans="1:16" ht="12.75">
      <c r="A13" s="3">
        <v>100</v>
      </c>
      <c r="B13" s="3">
        <v>2</v>
      </c>
      <c r="C13" s="3">
        <v>0.87</v>
      </c>
      <c r="D13" s="3">
        <v>0.1</v>
      </c>
      <c r="E13" s="3">
        <v>1.6</v>
      </c>
      <c r="F13" s="4">
        <f t="shared" si="0"/>
        <v>-86.02059991327963</v>
      </c>
      <c r="G13" s="4">
        <f t="shared" si="1"/>
        <v>-61.938200260161125</v>
      </c>
      <c r="H13" s="4">
        <f t="shared" si="7"/>
        <v>78.79038505237237</v>
      </c>
      <c r="I13" s="4">
        <f t="shared" si="8"/>
        <v>73.57212960325239</v>
      </c>
      <c r="J13" s="5">
        <f t="shared" si="2"/>
        <v>54.70798539925387</v>
      </c>
      <c r="K13" s="5">
        <f t="shared" si="3"/>
        <v>54.70798539925387</v>
      </c>
      <c r="L13" s="4">
        <f t="shared" si="4"/>
        <v>-7.230214860907253</v>
      </c>
      <c r="M13" s="4">
        <f t="shared" si="5"/>
        <v>-4.253067565239561</v>
      </c>
      <c r="N13" s="1">
        <f t="shared" si="6"/>
        <v>-2.572843341935043</v>
      </c>
      <c r="O13" s="1"/>
      <c r="P13" s="1"/>
    </row>
    <row r="14" spans="1:16" ht="12.75">
      <c r="A14" s="3">
        <v>200</v>
      </c>
      <c r="B14" s="3">
        <v>2</v>
      </c>
      <c r="C14" s="3">
        <v>0.646</v>
      </c>
      <c r="D14" s="3">
        <v>0.064</v>
      </c>
      <c r="E14" s="3">
        <v>4.2</v>
      </c>
      <c r="F14" s="4">
        <f t="shared" si="0"/>
        <v>-89.89700043360187</v>
      </c>
      <c r="G14" s="4">
        <f t="shared" si="1"/>
        <v>-53.55561410532161</v>
      </c>
      <c r="H14" s="4">
        <f t="shared" si="7"/>
        <v>80.08105088022393</v>
      </c>
      <c r="I14" s="4">
        <f t="shared" si="8"/>
        <v>74.86279543110396</v>
      </c>
      <c r="J14" s="5">
        <f t="shared" si="2"/>
        <v>43.73966455194367</v>
      </c>
      <c r="K14" s="5">
        <f t="shared" si="3"/>
        <v>43.73966455194367</v>
      </c>
      <c r="L14" s="4">
        <f t="shared" si="4"/>
        <v>-9.815949553377942</v>
      </c>
      <c r="M14" s="4">
        <f t="shared" si="5"/>
        <v>-5.774087972575259</v>
      </c>
      <c r="N14" s="1">
        <f t="shared" si="6"/>
        <v>-3.49296679822454</v>
      </c>
      <c r="O14" s="1"/>
      <c r="P14" s="1"/>
    </row>
    <row r="15" spans="1:16" ht="12.75">
      <c r="A15" s="3">
        <v>400</v>
      </c>
      <c r="B15" s="3">
        <v>2</v>
      </c>
      <c r="C15" s="3">
        <v>0.438</v>
      </c>
      <c r="D15" s="3">
        <v>0.43</v>
      </c>
      <c r="E15" s="3">
        <v>7.8</v>
      </c>
      <c r="F15" s="4">
        <f t="shared" si="0"/>
        <v>-73.35123080168789</v>
      </c>
      <c r="G15" s="4">
        <f t="shared" si="1"/>
        <v>-48.178707859470016</v>
      </c>
      <c r="H15" s="4">
        <f t="shared" si="7"/>
        <v>60.160113098490264</v>
      </c>
      <c r="I15" s="4">
        <f t="shared" si="8"/>
        <v>54.941857649370284</v>
      </c>
      <c r="J15" s="5">
        <f t="shared" si="2"/>
        <v>34.98759015627238</v>
      </c>
      <c r="K15" s="5">
        <f t="shared" si="3"/>
        <v>34.98759015627238</v>
      </c>
      <c r="L15" s="4">
        <f t="shared" si="4"/>
        <v>-13.191117703197632</v>
      </c>
      <c r="M15" s="4">
        <f t="shared" si="5"/>
        <v>-7.7594810018809595</v>
      </c>
      <c r="N15" s="1">
        <f t="shared" si="6"/>
        <v>-4.694007025829223</v>
      </c>
      <c r="O15" s="1"/>
      <c r="P15" s="1"/>
    </row>
    <row r="16" spans="1:16" ht="12.75">
      <c r="A16" s="3">
        <v>700</v>
      </c>
      <c r="B16" s="3">
        <v>2</v>
      </c>
      <c r="C16" s="3">
        <v>0.27</v>
      </c>
      <c r="D16" s="3">
        <v>0.46</v>
      </c>
      <c r="E16" s="3">
        <v>3</v>
      </c>
      <c r="F16" s="4">
        <f t="shared" si="0"/>
        <v>-72.76544327964814</v>
      </c>
      <c r="G16" s="4">
        <f t="shared" si="1"/>
        <v>-56.47817481888637</v>
      </c>
      <c r="H16" s="4">
        <f t="shared" si="7"/>
        <v>55.37211864954827</v>
      </c>
      <c r="I16" s="4">
        <f t="shared" si="8"/>
        <v>50.15386320042829</v>
      </c>
      <c r="J16" s="5">
        <f t="shared" si="2"/>
        <v>39.0848501887865</v>
      </c>
      <c r="K16" s="5">
        <f t="shared" si="3"/>
        <v>39.0848501887865</v>
      </c>
      <c r="L16" s="4">
        <f t="shared" si="4"/>
        <v>-17.393324630099876</v>
      </c>
      <c r="M16" s="4">
        <f t="shared" si="5"/>
        <v>-10.231367429470515</v>
      </c>
      <c r="N16" s="1">
        <f t="shared" si="6"/>
        <v>-6.189345728938954</v>
      </c>
      <c r="O16" s="1"/>
      <c r="P16" s="1"/>
    </row>
    <row r="17" spans="1:16" ht="12.75">
      <c r="A17" s="3">
        <v>1000</v>
      </c>
      <c r="B17" s="3">
        <v>2</v>
      </c>
      <c r="C17" s="3">
        <v>0.185</v>
      </c>
      <c r="D17" s="3">
        <v>0.33</v>
      </c>
      <c r="E17" s="3">
        <v>2.6</v>
      </c>
      <c r="F17" s="4">
        <f t="shared" si="0"/>
        <v>-75.65032111572188</v>
      </c>
      <c r="G17" s="4">
        <f t="shared" si="1"/>
        <v>-57.72113295386326</v>
      </c>
      <c r="H17" s="4">
        <f t="shared" si="7"/>
        <v>54.97315577050252</v>
      </c>
      <c r="I17" s="4">
        <f t="shared" si="8"/>
        <v>49.75490032138255</v>
      </c>
      <c r="J17" s="5">
        <f t="shared" si="2"/>
        <v>37.04396760864392</v>
      </c>
      <c r="K17" s="5">
        <f t="shared" si="3"/>
        <v>37.04396760864392</v>
      </c>
      <c r="L17" s="4">
        <f t="shared" si="4"/>
        <v>-20.677165345219347</v>
      </c>
      <c r="M17" s="4">
        <f t="shared" si="5"/>
        <v>-12.163038438364321</v>
      </c>
      <c r="N17" s="1">
        <f t="shared" si="6"/>
        <v>-7.357887450368541</v>
      </c>
      <c r="O17" s="1"/>
      <c r="P17" s="1"/>
    </row>
    <row r="18" spans="1:16" ht="12.75">
      <c r="A18" s="3">
        <v>2000</v>
      </c>
      <c r="B18" s="3">
        <v>2</v>
      </c>
      <c r="C18" s="3">
        <v>0.049</v>
      </c>
      <c r="D18" s="3">
        <v>0.58</v>
      </c>
      <c r="E18" s="3">
        <v>0.4</v>
      </c>
      <c r="F18" s="4">
        <f t="shared" si="0"/>
        <v>-70.75204004202088</v>
      </c>
      <c r="G18" s="4">
        <f t="shared" si="1"/>
        <v>-73.97940008672037</v>
      </c>
      <c r="H18" s="4">
        <f t="shared" si="7"/>
        <v>38.535361729311525</v>
      </c>
      <c r="I18" s="4">
        <f t="shared" si="8"/>
        <v>33.31710628019155</v>
      </c>
      <c r="J18" s="5">
        <f t="shared" si="2"/>
        <v>33.31710628019155</v>
      </c>
      <c r="K18" s="5">
        <f t="shared" si="3"/>
        <v>37.68288505719427</v>
      </c>
      <c r="L18" s="4">
        <f t="shared" si="4"/>
        <v>-32.216678312709355</v>
      </c>
      <c r="M18" s="4">
        <f t="shared" si="5"/>
        <v>-18.950987242770207</v>
      </c>
      <c r="N18" s="1">
        <f t="shared" si="6"/>
        <v>-11.464177467848645</v>
      </c>
      <c r="O18" s="1"/>
      <c r="P18" s="1"/>
    </row>
    <row r="19" spans="1:13" ht="12.75">
      <c r="A19" s="1"/>
      <c r="B19" s="1"/>
      <c r="D19" s="1"/>
      <c r="E19" s="1"/>
      <c r="F19" s="1"/>
      <c r="G19" s="1"/>
      <c r="H19" s="1"/>
      <c r="J19" s="1"/>
      <c r="K19" s="1"/>
      <c r="L19" s="1"/>
      <c r="M19" s="1"/>
    </row>
    <row r="20" spans="1:13" ht="12.75">
      <c r="A20" s="1" t="s">
        <v>18</v>
      </c>
      <c r="B20" s="1"/>
      <c r="D20" s="1"/>
      <c r="E20" s="1"/>
      <c r="F20" s="1"/>
      <c r="G20" s="1"/>
      <c r="H20" s="1"/>
      <c r="J20" s="1"/>
      <c r="K20" s="1"/>
      <c r="L20" s="1"/>
      <c r="M20" s="1"/>
    </row>
    <row r="21" spans="1:13" ht="12.75">
      <c r="A21" s="1"/>
      <c r="B21" s="1"/>
      <c r="D21" s="1"/>
      <c r="E21" s="1"/>
      <c r="F21" s="1"/>
      <c r="G21" s="1"/>
      <c r="H21" s="1"/>
      <c r="J21" s="1"/>
      <c r="K21" s="1"/>
      <c r="L21" s="1"/>
      <c r="M21" s="1"/>
    </row>
    <row r="22" spans="1:13" ht="12.75">
      <c r="A22" s="1" t="s">
        <v>19</v>
      </c>
      <c r="B22" s="1"/>
      <c r="D22" s="1"/>
      <c r="E22" s="1"/>
      <c r="F22" s="1"/>
      <c r="G22" s="1"/>
      <c r="H22" s="1"/>
      <c r="J22" s="1"/>
      <c r="K22" s="1"/>
      <c r="L22" s="1"/>
      <c r="M22" s="1"/>
    </row>
    <row r="23" spans="1:13" ht="12.75">
      <c r="A23" s="1"/>
      <c r="B23" s="1"/>
      <c r="D23" s="1"/>
      <c r="E23" s="1"/>
      <c r="F23" s="1"/>
      <c r="G23" s="1"/>
      <c r="H23" s="1"/>
      <c r="J23" s="1"/>
      <c r="K23" s="1"/>
      <c r="L23" s="1"/>
      <c r="M23" s="1"/>
    </row>
    <row r="24" spans="1:13" ht="12.75">
      <c r="A24" s="1"/>
      <c r="B24" s="1"/>
      <c r="D24" s="1"/>
      <c r="E24" s="1"/>
      <c r="F24" s="1"/>
      <c r="G24" s="1"/>
      <c r="H24" s="1"/>
      <c r="J24" s="1"/>
      <c r="K24" s="1"/>
      <c r="L24" s="1"/>
      <c r="M24" s="1"/>
    </row>
    <row r="25" spans="1:254" ht="69.75" customHeight="1">
      <c r="A25" s="6" t="s">
        <v>20</v>
      </c>
      <c r="B25" s="6" t="s">
        <v>21</v>
      </c>
      <c r="C25" s="10" t="s">
        <v>52</v>
      </c>
      <c r="D25" s="10" t="s">
        <v>51</v>
      </c>
      <c r="E25" s="10" t="s">
        <v>53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11" ht="12.75">
      <c r="A26" s="5">
        <v>55.41288387856</v>
      </c>
      <c r="B26" s="5">
        <v>65.9464845617698</v>
      </c>
      <c r="C26" s="4">
        <f aca="true" t="shared" si="9" ref="C26:C39">B26-A26</f>
        <v>10.53360068320979</v>
      </c>
      <c r="D26" s="5">
        <v>66.34036202096223</v>
      </c>
      <c r="E26" s="11">
        <f>D26-A26</f>
        <v>10.92747814240223</v>
      </c>
      <c r="F26" s="1"/>
      <c r="H26" s="1"/>
      <c r="I26" s="1"/>
      <c r="J26" s="1"/>
      <c r="K26" s="1"/>
    </row>
    <row r="27" spans="1:11" ht="12.75">
      <c r="A27" s="5">
        <v>49.3535939697364</v>
      </c>
      <c r="B27" s="5">
        <v>77.3706755026823</v>
      </c>
      <c r="C27" s="4">
        <f t="shared" si="9"/>
        <v>28.0170815329459</v>
      </c>
      <c r="D27" s="5">
        <v>64.86076097372589</v>
      </c>
      <c r="E27" s="11">
        <f aca="true" t="shared" si="10" ref="E27:E39">D27-A27</f>
        <v>15.507167003989487</v>
      </c>
      <c r="F27" s="1"/>
      <c r="H27" s="1"/>
      <c r="I27" s="1"/>
      <c r="J27" s="1"/>
      <c r="K27" s="1"/>
    </row>
    <row r="28" spans="1:11" ht="12.75">
      <c r="A28" s="5">
        <v>45.9396694263569</v>
      </c>
      <c r="B28" s="5">
        <v>67.934177204488</v>
      </c>
      <c r="C28" s="4">
        <f t="shared" si="9"/>
        <v>21.994507778131094</v>
      </c>
      <c r="D28" s="5">
        <v>65.87126861957253</v>
      </c>
      <c r="E28" s="11">
        <f t="shared" si="10"/>
        <v>19.931599193215632</v>
      </c>
      <c r="F28" s="1"/>
      <c r="H28" s="1"/>
      <c r="I28" s="1"/>
      <c r="J28" s="1"/>
      <c r="K28" s="1"/>
    </row>
    <row r="29" spans="1:11" ht="12.75">
      <c r="A29" s="5">
        <v>36.1366879259369</v>
      </c>
      <c r="B29" s="5">
        <v>72.6813955203801</v>
      </c>
      <c r="C29" s="4">
        <f t="shared" si="9"/>
        <v>36.544707594443196</v>
      </c>
      <c r="D29" s="5">
        <v>66.95546798412614</v>
      </c>
      <c r="E29" s="11">
        <f t="shared" si="10"/>
        <v>30.818780058189247</v>
      </c>
      <c r="F29" s="1"/>
      <c r="H29" s="1"/>
      <c r="I29" s="1"/>
      <c r="J29" s="1"/>
      <c r="K29" s="1"/>
    </row>
    <row r="30" spans="1:11" ht="12.75">
      <c r="A30" s="5">
        <v>34.0352580904038</v>
      </c>
      <c r="B30" s="5">
        <v>78.0371767708861</v>
      </c>
      <c r="C30" s="4">
        <f t="shared" si="9"/>
        <v>44.001918680482305</v>
      </c>
      <c r="D30" s="5">
        <v>70.14168956194212</v>
      </c>
      <c r="E30" s="11">
        <f t="shared" si="10"/>
        <v>36.106431471538315</v>
      </c>
      <c r="F30" s="1"/>
      <c r="H30" s="1"/>
      <c r="I30" s="1"/>
      <c r="J30" s="1"/>
      <c r="K30" s="1"/>
    </row>
    <row r="31" spans="1:11" ht="12.75">
      <c r="A31" s="5">
        <v>32.8614209372835</v>
      </c>
      <c r="B31" s="5">
        <v>79.228421881329</v>
      </c>
      <c r="C31" s="4">
        <f t="shared" si="9"/>
        <v>46.3670009440455</v>
      </c>
      <c r="D31" s="5">
        <v>69.38006728994966</v>
      </c>
      <c r="E31" s="11">
        <f t="shared" si="10"/>
        <v>36.51864635266617</v>
      </c>
      <c r="F31" s="1"/>
      <c r="H31" s="1"/>
      <c r="I31" s="1"/>
      <c r="J31" s="1"/>
      <c r="K31" s="1"/>
    </row>
    <row r="32" spans="1:11" ht="12.75">
      <c r="A32" s="5">
        <v>36.7131296756283</v>
      </c>
      <c r="B32" s="5">
        <v>71.7550505257617</v>
      </c>
      <c r="C32" s="7">
        <f t="shared" si="9"/>
        <v>35.0419208501334</v>
      </c>
      <c r="D32" s="5">
        <v>60.97697135075634</v>
      </c>
      <c r="E32" s="11">
        <f t="shared" si="10"/>
        <v>24.263841675128035</v>
      </c>
      <c r="F32" s="1"/>
      <c r="H32" s="1"/>
      <c r="I32" s="1"/>
      <c r="J32" s="1"/>
      <c r="K32" s="1"/>
    </row>
    <row r="33" spans="1:11" ht="12.75">
      <c r="A33" s="5">
        <v>30.4141645186592</v>
      </c>
      <c r="B33" s="5">
        <v>61.119028106583</v>
      </c>
      <c r="C33" s="7">
        <f t="shared" si="9"/>
        <v>30.704863587923803</v>
      </c>
      <c r="D33" s="5">
        <v>57.10634410391886</v>
      </c>
      <c r="E33" s="11">
        <f t="shared" si="10"/>
        <v>26.69217958525966</v>
      </c>
      <c r="F33" s="1"/>
      <c r="H33" s="1"/>
      <c r="I33" s="1"/>
      <c r="J33" s="1"/>
      <c r="K33" s="1"/>
    </row>
    <row r="34" spans="1:11" ht="12.75">
      <c r="A34" s="5">
        <v>28.1547562084973</v>
      </c>
      <c r="B34" s="5">
        <v>54.7079853992539</v>
      </c>
      <c r="C34" s="7">
        <f t="shared" si="9"/>
        <v>26.5532291907566</v>
      </c>
      <c r="D34" s="5">
        <v>51.868053435909275</v>
      </c>
      <c r="E34" s="11">
        <f t="shared" si="10"/>
        <v>23.713297227411974</v>
      </c>
      <c r="F34" s="1"/>
      <c r="H34" s="1"/>
      <c r="I34" s="1"/>
      <c r="J34" s="1"/>
      <c r="K34" s="1"/>
    </row>
    <row r="35" spans="1:11" ht="12.75">
      <c r="A35" s="5">
        <v>25.2325043210739</v>
      </c>
      <c r="B35" s="5">
        <v>43.7396645519437</v>
      </c>
      <c r="C35" s="7">
        <f t="shared" si="9"/>
        <v>18.507160230869797</v>
      </c>
      <c r="D35" s="5">
        <v>46.83088861624569</v>
      </c>
      <c r="E35" s="11">
        <f t="shared" si="10"/>
        <v>21.598384295171787</v>
      </c>
      <c r="F35" s="1"/>
      <c r="H35" s="1"/>
      <c r="I35" s="1"/>
      <c r="J35" s="1"/>
      <c r="K35" s="1"/>
    </row>
    <row r="36" spans="1:11" ht="12.75">
      <c r="A36" s="5">
        <v>27.3897475263967</v>
      </c>
      <c r="B36" s="5">
        <v>34.9875901562724</v>
      </c>
      <c r="C36" s="7">
        <f t="shared" si="9"/>
        <v>7.5978426298756965</v>
      </c>
      <c r="D36" s="5">
        <v>39.48891791055224</v>
      </c>
      <c r="E36" s="11">
        <f t="shared" si="10"/>
        <v>12.099170384155538</v>
      </c>
      <c r="F36" s="1"/>
      <c r="H36" s="1"/>
      <c r="I36" s="1"/>
      <c r="J36" s="1"/>
      <c r="K36" s="1"/>
    </row>
    <row r="37" spans="1:11" ht="12.75">
      <c r="A37" s="5">
        <v>23.3918816693924</v>
      </c>
      <c r="B37" s="5">
        <v>39.0848501887865</v>
      </c>
      <c r="C37" s="7">
        <f t="shared" si="9"/>
        <v>15.692968519394096</v>
      </c>
      <c r="D37" s="5">
        <v>36.90196080028514</v>
      </c>
      <c r="E37" s="11">
        <f t="shared" si="10"/>
        <v>13.510079130892738</v>
      </c>
      <c r="F37" s="1"/>
      <c r="H37" s="1"/>
      <c r="I37" s="1"/>
      <c r="J37" s="1"/>
      <c r="K37" s="1"/>
    </row>
    <row r="38" spans="1:11" ht="12.75">
      <c r="A38" s="5">
        <v>14.8068362090748</v>
      </c>
      <c r="B38" s="5">
        <v>37.0439676086439</v>
      </c>
      <c r="C38" s="7">
        <f t="shared" si="9"/>
        <v>22.237131399569094</v>
      </c>
      <c r="D38" s="5">
        <v>36.19336603659417</v>
      </c>
      <c r="E38" s="11">
        <f t="shared" si="10"/>
        <v>21.386529827519368</v>
      </c>
      <c r="F38" s="1"/>
      <c r="H38" s="1"/>
      <c r="I38" s="1"/>
      <c r="J38" s="1"/>
      <c r="K38" s="1"/>
    </row>
    <row r="39" spans="1:11" ht="12.75">
      <c r="A39" s="5">
        <v>-8.76232363762095</v>
      </c>
      <c r="B39" s="5">
        <v>37.6828850571943</v>
      </c>
      <c r="C39" s="7">
        <f t="shared" si="9"/>
        <v>46.44520869481525</v>
      </c>
      <c r="D39" s="5">
        <v>23.107373848263016</v>
      </c>
      <c r="E39" s="11">
        <f t="shared" si="10"/>
        <v>31.869697485883968</v>
      </c>
      <c r="F39" s="1"/>
      <c r="H39" s="1"/>
      <c r="I39" s="1"/>
      <c r="J39" s="1"/>
      <c r="K39" s="1"/>
    </row>
    <row r="40" spans="1:13" ht="12.75">
      <c r="A40" s="1"/>
      <c r="B40" s="1" t="s">
        <v>22</v>
      </c>
      <c r="D40" s="1"/>
      <c r="E40" s="1"/>
      <c r="F40" s="1"/>
      <c r="G40" s="1"/>
      <c r="H40" s="1"/>
      <c r="J40" s="1"/>
      <c r="K40" s="1"/>
      <c r="L40" s="1"/>
      <c r="M40" s="1"/>
    </row>
    <row r="44" ht="12" customHeight="1">
      <c r="A44" t="s">
        <v>55</v>
      </c>
    </row>
    <row r="45" spans="1:3" ht="12.75">
      <c r="A45" t="s">
        <v>48</v>
      </c>
      <c r="B45">
        <v>3494</v>
      </c>
      <c r="C45" t="s">
        <v>49</v>
      </c>
    </row>
    <row r="46" spans="1:16" ht="63.7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29</v>
      </c>
      <c r="G46" s="2" t="s">
        <v>30</v>
      </c>
      <c r="H46" s="8" t="s">
        <v>50</v>
      </c>
      <c r="I46" s="2" t="s">
        <v>8</v>
      </c>
      <c r="J46" s="2" t="s">
        <v>9</v>
      </c>
      <c r="K46" s="2" t="s">
        <v>11</v>
      </c>
      <c r="L46" s="2" t="s">
        <v>12</v>
      </c>
      <c r="M46" s="2"/>
      <c r="N46" s="2"/>
      <c r="O46" s="2"/>
      <c r="P46" s="2"/>
    </row>
    <row r="47" spans="1:16" ht="25.5">
      <c r="A47" s="2" t="s">
        <v>0</v>
      </c>
      <c r="B47" s="2"/>
      <c r="C47" s="2"/>
      <c r="D47" s="2"/>
      <c r="E47" s="2"/>
      <c r="F47" s="2" t="s">
        <v>14</v>
      </c>
      <c r="G47" s="2" t="s">
        <v>15</v>
      </c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3">
        <v>1</v>
      </c>
      <c r="B48" s="3">
        <v>2</v>
      </c>
      <c r="C48" s="3">
        <v>0.83</v>
      </c>
      <c r="D48" s="3">
        <v>0.2</v>
      </c>
      <c r="E48" s="3">
        <v>0.4</v>
      </c>
      <c r="F48" s="4">
        <f>20*LOG10(0.001*D48/$B48)</f>
        <v>-80</v>
      </c>
      <c r="G48" s="4">
        <f>20*LOG10(0.001*E48/$B48)</f>
        <v>-73.97940008672037</v>
      </c>
      <c r="H48" s="4">
        <f>20*LOG10($C48/(0.001*$D48))</f>
        <v>72.36096193424186</v>
      </c>
      <c r="I48" s="4">
        <f>20*LOG10(35*$C48/(31*0.001*$D48))</f>
        <v>73.41508894456192</v>
      </c>
      <c r="J48" s="5">
        <f>20*LOG10((35/31)*$C48/(0.001*MAX($D48,(35/31)*$E48)))</f>
        <v>66.34036202096223</v>
      </c>
      <c r="K48" s="4">
        <f>20*LOG10($C48/$B48)</f>
        <v>-7.639038065758146</v>
      </c>
      <c r="L48" s="4">
        <f>20*LOG10($C48/$B48)/3.5</f>
        <v>-2.1825823045023274</v>
      </c>
      <c r="M48" s="9"/>
      <c r="N48" s="9">
        <v>-73.97940008672037</v>
      </c>
      <c r="O48" s="4">
        <v>-107.18043885283336</v>
      </c>
      <c r="P48" s="4"/>
    </row>
    <row r="49" spans="1:16" ht="12.75">
      <c r="A49" s="3">
        <v>2</v>
      </c>
      <c r="B49" s="3">
        <v>2</v>
      </c>
      <c r="C49" s="3">
        <v>0.875</v>
      </c>
      <c r="D49" s="3">
        <v>0.2</v>
      </c>
      <c r="E49" s="3">
        <v>0.5</v>
      </c>
      <c r="F49" s="4">
        <f>20*LOG10(0.001*D49/$B49)</f>
        <v>-80</v>
      </c>
      <c r="G49" s="4">
        <f>20*LOG10(0.001*E49/$B49)</f>
        <v>-72.04119982655925</v>
      </c>
      <c r="H49" s="4">
        <f>20*LOG10($C49/(0.001*$D49))</f>
        <v>72.81956114716664</v>
      </c>
      <c r="I49" s="4">
        <f aca="true" t="shared" si="11" ref="I49:I61">20*LOG10(35*$C49/(31*0.001*$D49))</f>
        <v>73.8736881574867</v>
      </c>
      <c r="J49" s="5">
        <f aca="true" t="shared" si="12" ref="J49:J61">20*LOG10((35/31)*$C49/(0.001*MAX($D49,(35/31)*$E49)))</f>
        <v>64.86076097372589</v>
      </c>
      <c r="K49" s="4">
        <f>20*LOG10($C49/$B49)</f>
        <v>-7.180438852833358</v>
      </c>
      <c r="L49" s="4">
        <f aca="true" t="shared" si="13" ref="L49:L61">20*LOG10($C49/$B49)/3.5</f>
        <v>-2.0515539579523883</v>
      </c>
      <c r="M49" s="9"/>
      <c r="N49" s="9">
        <v>-86.02059991327963</v>
      </c>
      <c r="O49" s="4">
        <v>-107.79744773848009</v>
      </c>
      <c r="P49" s="4"/>
    </row>
    <row r="50" spans="1:16" ht="12.75">
      <c r="A50" s="3">
        <v>4</v>
      </c>
      <c r="B50" s="3">
        <v>2</v>
      </c>
      <c r="C50" s="3">
        <v>0.865</v>
      </c>
      <c r="D50" s="3">
        <v>0.2</v>
      </c>
      <c r="E50" s="3">
        <v>0.44</v>
      </c>
      <c r="F50" s="4">
        <f>20*LOG10(0.001*D50/$B50)</f>
        <v>-80</v>
      </c>
      <c r="G50" s="4">
        <f>20*LOG10(0.001*E50/$B50)</f>
        <v>-73.15154638355588</v>
      </c>
      <c r="H50" s="4">
        <f>20*LOG10($C50/(0.001*$D50))</f>
        <v>72.71972223601666</v>
      </c>
      <c r="I50" s="4">
        <f t="shared" si="11"/>
        <v>73.77384924633672</v>
      </c>
      <c r="J50" s="5">
        <f t="shared" si="12"/>
        <v>65.87126861957253</v>
      </c>
      <c r="K50" s="4">
        <f>20*LOG10($C50/$B50)</f>
        <v>-7.28027776398334</v>
      </c>
      <c r="L50" s="4">
        <f t="shared" si="13"/>
        <v>-2.080079361138097</v>
      </c>
      <c r="M50" s="9"/>
      <c r="N50" s="9">
        <v>-76.47817481888637</v>
      </c>
      <c r="O50" s="4">
        <v>-107.69152094228112</v>
      </c>
      <c r="P50" s="4"/>
    </row>
    <row r="51" spans="1:16" ht="12.75">
      <c r="A51" s="3">
        <v>7</v>
      </c>
      <c r="B51" s="3">
        <v>2</v>
      </c>
      <c r="C51" s="3">
        <v>0.98</v>
      </c>
      <c r="D51" s="3">
        <v>0.24</v>
      </c>
      <c r="E51" s="3">
        <v>0.44</v>
      </c>
      <c r="F51" s="4">
        <f>20*LOG10(0.001*D51/$B51)</f>
        <v>-78.41637507904751</v>
      </c>
      <c r="G51" s="4">
        <f>20*LOG10(0.001*E51/$B51)</f>
        <v>-73.15154638355588</v>
      </c>
      <c r="H51" s="4">
        <f>20*LOG10($C51/(0.001*$D51))</f>
        <v>72.22029667961777</v>
      </c>
      <c r="I51" s="4">
        <f t="shared" si="11"/>
        <v>73.27442368993783</v>
      </c>
      <c r="J51" s="5">
        <f t="shared" si="12"/>
        <v>66.95546798412614</v>
      </c>
      <c r="K51" s="4">
        <f>20*LOG10($C51/$B51)</f>
        <v>-6.196078399429727</v>
      </c>
      <c r="L51" s="4">
        <f t="shared" si="13"/>
        <v>-1.770308114122779</v>
      </c>
      <c r="M51" s="9"/>
      <c r="N51" s="9">
        <v>-80.9151498112135</v>
      </c>
      <c r="O51" s="4">
        <v>-100</v>
      </c>
      <c r="P51" s="4"/>
    </row>
    <row r="52" spans="1:16" ht="12.75">
      <c r="A52" s="3">
        <v>10</v>
      </c>
      <c r="B52" s="3">
        <v>2</v>
      </c>
      <c r="C52" s="3">
        <v>0.9</v>
      </c>
      <c r="D52" s="3">
        <v>0.1</v>
      </c>
      <c r="E52" s="3">
        <v>0.28</v>
      </c>
      <c r="F52" s="4">
        <f>20*LOG10(0.001*D52/$B52)</f>
        <v>-86.02059991327963</v>
      </c>
      <c r="G52" s="4">
        <f>20*LOG10(0.001*E52/$B52)</f>
        <v>-77.07743928643524</v>
      </c>
      <c r="H52" s="4">
        <f>20*LOG10($C52/(0.001*$D52))</f>
        <v>79.08485018878649</v>
      </c>
      <c r="I52" s="4">
        <f t="shared" si="11"/>
        <v>80.13897719910656</v>
      </c>
      <c r="J52" s="5">
        <f t="shared" si="12"/>
        <v>70.14168956194212</v>
      </c>
      <c r="K52" s="4">
        <f>20*LOG10($C52/$B52)</f>
        <v>-6.935749724493126</v>
      </c>
      <c r="L52" s="4">
        <f t="shared" si="13"/>
        <v>-1.9816427784266075</v>
      </c>
      <c r="M52" s="9"/>
      <c r="N52" s="9">
        <v>-86.02059991327963</v>
      </c>
      <c r="O52" s="4">
        <v>-96.47817481888637</v>
      </c>
      <c r="P52" s="4"/>
    </row>
    <row r="53" spans="1:16" ht="12.75">
      <c r="A53" s="3">
        <v>20</v>
      </c>
      <c r="B53" s="3">
        <v>2</v>
      </c>
      <c r="C53" s="3">
        <v>1.06</v>
      </c>
      <c r="D53" s="3">
        <v>0.128</v>
      </c>
      <c r="E53" s="3">
        <v>0.36</v>
      </c>
      <c r="F53" s="4">
        <f>20*LOG10(0.001*D53/$B53)</f>
        <v>-83.87640052032225</v>
      </c>
      <c r="G53" s="4">
        <f>20*LOG10(0.001*E53/$B53)</f>
        <v>-74.89454989793389</v>
      </c>
      <c r="H53" s="4">
        <f>20*LOG10($C53/(0.001*$D53))</f>
        <v>78.36191791233804</v>
      </c>
      <c r="I53" s="4">
        <f t="shared" si="11"/>
        <v>79.41604492265809</v>
      </c>
      <c r="J53" s="5">
        <f t="shared" si="12"/>
        <v>69.38006728994966</v>
      </c>
      <c r="K53" s="4">
        <f>20*LOG10($C53/$B53)</f>
        <v>-5.514482607984219</v>
      </c>
      <c r="L53" s="4">
        <f t="shared" si="13"/>
        <v>-1.5755664594240624</v>
      </c>
      <c r="M53" s="9"/>
      <c r="N53" s="9">
        <v>-90.45757490560675</v>
      </c>
      <c r="O53" s="4">
        <v>-86.02059991327963</v>
      </c>
      <c r="P53" s="4"/>
    </row>
    <row r="54" spans="1:16" ht="12.75">
      <c r="A54" s="3">
        <v>40</v>
      </c>
      <c r="B54" s="3">
        <v>2</v>
      </c>
      <c r="C54" s="3">
        <v>0.94</v>
      </c>
      <c r="D54" s="3">
        <v>0.308</v>
      </c>
      <c r="E54" s="3">
        <v>0.84</v>
      </c>
      <c r="F54" s="4">
        <f>20*LOG10(0.001*D54/$B54)</f>
        <v>-76.24958558327074</v>
      </c>
      <c r="G54" s="4">
        <f>20*LOG10(0.001*E54/$B54)</f>
        <v>-67.535014192042</v>
      </c>
      <c r="H54" s="4">
        <f>20*LOG10($C54/(0.001*$D54))</f>
        <v>69.69154274198509</v>
      </c>
      <c r="I54" s="4">
        <f t="shared" si="11"/>
        <v>70.74566975230515</v>
      </c>
      <c r="J54" s="5">
        <f t="shared" si="12"/>
        <v>60.97697135075634</v>
      </c>
      <c r="K54" s="4">
        <f>20*LOG10($C54/$B54)</f>
        <v>-6.558042841285651</v>
      </c>
      <c r="L54" s="4">
        <f t="shared" si="13"/>
        <v>-1.8737265260816147</v>
      </c>
      <c r="M54" s="9"/>
      <c r="N54" s="9">
        <v>-100</v>
      </c>
      <c r="O54" s="4">
        <v>-77.39332463009988</v>
      </c>
      <c r="P54" s="4"/>
    </row>
    <row r="55" spans="1:16" ht="12.75">
      <c r="A55" s="3">
        <v>70</v>
      </c>
      <c r="B55" s="3">
        <v>2</v>
      </c>
      <c r="C55" s="3">
        <v>0.86</v>
      </c>
      <c r="D55" s="3">
        <v>0.44</v>
      </c>
      <c r="E55" s="3">
        <v>1.2</v>
      </c>
      <c r="F55" s="4">
        <f>20*LOG10(0.001*D55/$B55)</f>
        <v>-73.15154638355588</v>
      </c>
      <c r="G55" s="4">
        <f>20*LOG10(0.001*E55/$B55)</f>
        <v>-64.43697499232714</v>
      </c>
      <c r="H55" s="4">
        <f>20*LOG10($C55/(0.001*$D55))</f>
        <v>65.8209154951476</v>
      </c>
      <c r="I55" s="4">
        <f t="shared" si="11"/>
        <v>66.87504250546766</v>
      </c>
      <c r="J55" s="5">
        <f t="shared" si="12"/>
        <v>57.10634410391886</v>
      </c>
      <c r="K55" s="4">
        <f>20*LOG10($C55/$B55)</f>
        <v>-7.330630888408269</v>
      </c>
      <c r="L55" s="4">
        <f t="shared" si="13"/>
        <v>-2.094465968116648</v>
      </c>
      <c r="M55" s="9"/>
      <c r="N55" s="9">
        <v>-89.11863911299449</v>
      </c>
      <c r="O55" s="4">
        <v>-67.95880017344075</v>
      </c>
      <c r="P55" s="4"/>
    </row>
    <row r="56" spans="1:16" ht="12.75">
      <c r="A56" s="3">
        <v>100</v>
      </c>
      <c r="B56" s="3">
        <v>2</v>
      </c>
      <c r="C56" s="3">
        <v>0.745</v>
      </c>
      <c r="D56" s="3">
        <v>0.58</v>
      </c>
      <c r="E56" s="3">
        <v>1.9</v>
      </c>
      <c r="F56" s="4">
        <f>20*LOG10(0.001*D56/$B56)</f>
        <v>-70.75204004202088</v>
      </c>
      <c r="G56" s="4">
        <f>20*LOG10(0.001*E56/$B56)</f>
        <v>-60.44552789422305</v>
      </c>
      <c r="H56" s="4">
        <f>20*LOG10($C56/(0.001*$D56))</f>
        <v>62.17456558370711</v>
      </c>
      <c r="I56" s="4">
        <f t="shared" si="11"/>
        <v>63.228692594027166</v>
      </c>
      <c r="J56" s="5">
        <f t="shared" si="12"/>
        <v>51.868053435909275</v>
      </c>
      <c r="K56" s="4">
        <f>20*LOG10($C56/$B56)</f>
        <v>-8.577474458313768</v>
      </c>
      <c r="L56" s="4">
        <f t="shared" si="13"/>
        <v>-2.450706988089648</v>
      </c>
      <c r="M56" s="9"/>
      <c r="N56" s="9">
        <v>-86.02059991327963</v>
      </c>
      <c r="O56" s="4">
        <v>-61.938200260161125</v>
      </c>
      <c r="P56" s="4"/>
    </row>
    <row r="57" spans="1:16" ht="12.75">
      <c r="A57" s="3">
        <v>200</v>
      </c>
      <c r="B57" s="3">
        <v>2</v>
      </c>
      <c r="C57" s="3">
        <v>0.494</v>
      </c>
      <c r="D57" s="3">
        <v>1.4</v>
      </c>
      <c r="E57" s="3">
        <v>2.25</v>
      </c>
      <c r="F57" s="4">
        <f>20*LOG10(0.001*D57/$B57)</f>
        <v>-63.09803919971486</v>
      </c>
      <c r="G57" s="4">
        <f>20*LOG10(0.001*E57/$B57)</f>
        <v>-58.97694955105237</v>
      </c>
      <c r="H57" s="4">
        <f>20*LOG10($C57/(0.001*$D57))</f>
        <v>50.95197826490818</v>
      </c>
      <c r="I57" s="4">
        <f t="shared" si="11"/>
        <v>52.00610527522824</v>
      </c>
      <c r="J57" s="5">
        <f t="shared" si="12"/>
        <v>46.83088861624569</v>
      </c>
      <c r="K57" s="4">
        <f>20*LOG10($C57/$B57)</f>
        <v>-12.146060934806686</v>
      </c>
      <c r="L57" s="4">
        <f t="shared" si="13"/>
        <v>-3.470303124230482</v>
      </c>
      <c r="M57" s="9"/>
      <c r="N57" s="9">
        <v>-89.89700043360187</v>
      </c>
      <c r="O57" s="4">
        <v>-53.55561410532161</v>
      </c>
      <c r="P57" s="4"/>
    </row>
    <row r="58" spans="1:16" ht="12.75">
      <c r="A58" s="3">
        <v>400</v>
      </c>
      <c r="B58" s="3">
        <v>2</v>
      </c>
      <c r="C58" s="3">
        <v>0.264</v>
      </c>
      <c r="D58" s="3">
        <v>1.8</v>
      </c>
      <c r="E58" s="3">
        <v>2.8</v>
      </c>
      <c r="F58" s="4">
        <f>20*LOG10(0.001*D58/$B58)</f>
        <v>-60.9151498112135</v>
      </c>
      <c r="G58" s="4">
        <f>20*LOG10(0.001*E58/$B58)</f>
        <v>-57.07743928643524</v>
      </c>
      <c r="H58" s="4">
        <f>20*LOG10($C58/(0.001*$D58))</f>
        <v>43.3266284353305</v>
      </c>
      <c r="I58" s="4">
        <f t="shared" si="11"/>
        <v>44.38075544565056</v>
      </c>
      <c r="J58" s="5">
        <f t="shared" si="12"/>
        <v>39.48891791055224</v>
      </c>
      <c r="K58" s="4">
        <f>20*LOG10($C58/$B58)</f>
        <v>-17.588521375883</v>
      </c>
      <c r="L58" s="4">
        <f t="shared" si="13"/>
        <v>-5.025291821680858</v>
      </c>
      <c r="M58" s="9"/>
      <c r="N58" s="9">
        <v>-73.35123080168789</v>
      </c>
      <c r="O58" s="4">
        <v>-48.178707859470016</v>
      </c>
      <c r="P58" s="4"/>
    </row>
    <row r="59" spans="1:16" ht="12.75">
      <c r="A59" s="3">
        <v>700</v>
      </c>
      <c r="B59" s="3">
        <v>2</v>
      </c>
      <c r="C59" s="3">
        <v>0.14</v>
      </c>
      <c r="D59" s="3">
        <v>1.33</v>
      </c>
      <c r="E59" s="3">
        <v>2</v>
      </c>
      <c r="F59" s="4">
        <f>20*LOG10(0.001*D59/$B59)</f>
        <v>-63.54356709393791</v>
      </c>
      <c r="G59" s="4">
        <f>20*LOG10(0.001*E59/$B59)</f>
        <v>-60</v>
      </c>
      <c r="H59" s="4">
        <f>20*LOG10($C59/(0.001*$D59))</f>
        <v>40.44552789422305</v>
      </c>
      <c r="I59" s="4">
        <f t="shared" si="11"/>
        <v>41.4996549045431</v>
      </c>
      <c r="J59" s="5">
        <f t="shared" si="12"/>
        <v>36.90196080028514</v>
      </c>
      <c r="K59" s="4">
        <f>20*LOG10($C59/$B59)</f>
        <v>-23.09803919971486</v>
      </c>
      <c r="L59" s="4">
        <f t="shared" si="13"/>
        <v>-6.599439771347103</v>
      </c>
      <c r="M59" s="9"/>
      <c r="N59" s="9">
        <v>-72.76544327964814</v>
      </c>
      <c r="O59" s="4">
        <v>-56.47817481888637</v>
      </c>
      <c r="P59" s="4"/>
    </row>
    <row r="60" spans="1:16" ht="12.75">
      <c r="A60" s="3">
        <v>1000</v>
      </c>
      <c r="B60" s="3">
        <v>2</v>
      </c>
      <c r="C60" s="3">
        <v>0.08</v>
      </c>
      <c r="D60" s="3">
        <v>1.4</v>
      </c>
      <c r="E60" s="3">
        <v>0.32</v>
      </c>
      <c r="F60" s="4">
        <f>20*LOG10(0.001*D60/$B60)</f>
        <v>-63.09803919971486</v>
      </c>
      <c r="G60" s="4">
        <f>20*LOG10(0.001*E60/$B60)</f>
        <v>-75.9176003468815</v>
      </c>
      <c r="H60" s="4">
        <f>20*LOG10($C60/(0.001*$D60))</f>
        <v>35.13923902627411</v>
      </c>
      <c r="I60" s="4">
        <f t="shared" si="11"/>
        <v>36.19336603659417</v>
      </c>
      <c r="J60" s="5">
        <f t="shared" si="12"/>
        <v>36.19336603659417</v>
      </c>
      <c r="K60" s="4">
        <f>20*LOG10($C60/$B60)</f>
        <v>-27.95880017344075</v>
      </c>
      <c r="L60" s="4">
        <f t="shared" si="13"/>
        <v>-7.9882286209830715</v>
      </c>
      <c r="M60" s="9"/>
      <c r="N60" s="9">
        <v>-75.65032111572188</v>
      </c>
      <c r="O60" s="4">
        <v>-57.72113295386326</v>
      </c>
      <c r="P60" s="4"/>
    </row>
    <row r="61" spans="1:16" ht="12.75">
      <c r="A61" s="3">
        <v>2000</v>
      </c>
      <c r="B61" s="3">
        <v>2</v>
      </c>
      <c r="C61" s="3">
        <v>0.019</v>
      </c>
      <c r="D61" s="3">
        <v>1.5</v>
      </c>
      <c r="E61" s="3">
        <v>1.3</v>
      </c>
      <c r="F61" s="4">
        <f>20*LOG10(0.001*D61/$B61)</f>
        <v>-62.498774732166</v>
      </c>
      <c r="G61" s="4">
        <f>20*LOG10(0.001*E61/$B61)</f>
        <v>-63.741732867142886</v>
      </c>
      <c r="H61" s="4">
        <f>20*LOG10($C61/(0.001*$D61))</f>
        <v>22.053246837942954</v>
      </c>
      <c r="I61" s="4">
        <f t="shared" si="11"/>
        <v>23.107373848263016</v>
      </c>
      <c r="J61" s="5">
        <f t="shared" si="12"/>
        <v>23.107373848263016</v>
      </c>
      <c r="K61" s="4">
        <f>20*LOG10($C61/$B61)</f>
        <v>-40.44552789422305</v>
      </c>
      <c r="L61" s="4">
        <f t="shared" si="13"/>
        <v>-11.555865112635157</v>
      </c>
      <c r="M61" s="9"/>
      <c r="N61" s="9">
        <v>-70.75204004202088</v>
      </c>
      <c r="O61" s="4">
        <v>-73.97940008672037</v>
      </c>
      <c r="P61" s="4"/>
    </row>
    <row r="68" spans="12:13" ht="12.75">
      <c r="L68" t="s">
        <v>56</v>
      </c>
      <c r="M68" t="s">
        <v>57</v>
      </c>
    </row>
    <row r="69" spans="12:13" ht="12.75">
      <c r="L69" t="s">
        <v>63</v>
      </c>
      <c r="M69" t="s">
        <v>58</v>
      </c>
    </row>
    <row r="70" spans="12:13" ht="12.75">
      <c r="L70" t="s">
        <v>59</v>
      </c>
      <c r="M70" t="s">
        <v>60</v>
      </c>
    </row>
    <row r="71" spans="12:13" ht="12.75">
      <c r="L71" t="s">
        <v>61</v>
      </c>
      <c r="M71" t="s">
        <v>62</v>
      </c>
    </row>
    <row r="74" ht="12.75">
      <c r="L74" t="s">
        <v>64</v>
      </c>
    </row>
    <row r="75" spans="12:13" ht="12.75">
      <c r="L75" t="s">
        <v>65</v>
      </c>
      <c r="M75" t="s">
        <v>66</v>
      </c>
    </row>
    <row r="76" spans="12:13" ht="12.75">
      <c r="L76" s="13" t="s">
        <v>67</v>
      </c>
      <c r="M76">
        <v>132.4</v>
      </c>
    </row>
    <row r="77" spans="12:13" ht="12.75">
      <c r="L77" t="s">
        <v>68</v>
      </c>
      <c r="M77">
        <v>132.2</v>
      </c>
    </row>
    <row r="78" spans="12:13" ht="12.75">
      <c r="L78" s="13" t="s">
        <v>69</v>
      </c>
      <c r="M78">
        <v>155.6</v>
      </c>
    </row>
    <row r="79" spans="12:13" ht="12.75">
      <c r="L79" t="s">
        <v>70</v>
      </c>
      <c r="M79">
        <v>156.3</v>
      </c>
    </row>
    <row r="80" spans="12:13" ht="12.75">
      <c r="L80" s="13" t="s">
        <v>71</v>
      </c>
      <c r="M80">
        <v>165</v>
      </c>
    </row>
    <row r="81" spans="12:13" ht="12.75">
      <c r="L81" t="s">
        <v>72</v>
      </c>
      <c r="M81">
        <v>156.7</v>
      </c>
    </row>
    <row r="84" spans="12:13" ht="12.75">
      <c r="L84" t="s">
        <v>74</v>
      </c>
      <c r="M84" t="s">
        <v>73</v>
      </c>
    </row>
  </sheetData>
  <printOptions/>
  <pageMargins left="0.7875" right="0.7875" top="0.7875" bottom="0.7875" header="0.5" footer="0.5"/>
  <pageSetup cellComments="asDisplayed"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22">
      <selection activeCell="E41" sqref="E41"/>
    </sheetView>
  </sheetViews>
  <sheetFormatPr defaultColWidth="9.140625" defaultRowHeight="12.75"/>
  <cols>
    <col min="1" max="10" width="8.8515625" style="0" customWidth="1"/>
    <col min="11" max="11" width="10.140625" style="0" customWidth="1"/>
    <col min="12" max="12" width="9.421875" style="0" customWidth="1"/>
    <col min="13" max="16384" width="8.8515625" style="0" customWidth="1"/>
  </cols>
  <sheetData>
    <row r="1" ht="12.75">
      <c r="A1" s="1" t="s">
        <v>23</v>
      </c>
    </row>
    <row r="2" spans="1:16" s="1" customFormat="1" ht="76.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2" t="s">
        <v>32</v>
      </c>
      <c r="J2" s="2" t="s">
        <v>33</v>
      </c>
      <c r="K2" s="2" t="s">
        <v>34</v>
      </c>
      <c r="L2" s="2" t="s">
        <v>35</v>
      </c>
      <c r="M2" s="2" t="s">
        <v>36</v>
      </c>
      <c r="N2" s="2" t="s">
        <v>37</v>
      </c>
      <c r="O2" s="2" t="s">
        <v>38</v>
      </c>
      <c r="P2" s="2" t="s">
        <v>39</v>
      </c>
    </row>
    <row r="3" spans="1:16" s="1" customFormat="1" ht="13.5" customHeight="1">
      <c r="A3" s="2" t="s">
        <v>40</v>
      </c>
      <c r="B3" s="2"/>
      <c r="C3" s="2"/>
      <c r="D3" s="2"/>
      <c r="E3" s="2"/>
      <c r="F3" s="2" t="s">
        <v>41</v>
      </c>
      <c r="G3" s="2" t="s">
        <v>42</v>
      </c>
      <c r="H3" s="2"/>
      <c r="I3" s="2"/>
      <c r="J3" s="2"/>
      <c r="K3" s="2"/>
      <c r="L3" s="2"/>
      <c r="M3" s="2"/>
      <c r="N3" s="2"/>
      <c r="O3" s="2" t="s">
        <v>43</v>
      </c>
      <c r="P3" s="2" t="s">
        <v>44</v>
      </c>
    </row>
    <row r="4" spans="1:16" ht="12.75">
      <c r="A4" s="3">
        <v>1</v>
      </c>
      <c r="B4" s="3">
        <v>2</v>
      </c>
      <c r="C4" s="3">
        <v>0.9</v>
      </c>
      <c r="D4" s="3">
        <v>1.28</v>
      </c>
      <c r="E4" s="3">
        <v>0.32</v>
      </c>
      <c r="F4" s="4">
        <f aca="true" t="shared" si="0" ref="F4:F17">20*LOG10(0.001*D4/$B4)</f>
        <v>-63.87640052032226</v>
      </c>
      <c r="G4" s="4">
        <f aca="true" t="shared" si="1" ref="G4:G17">20*LOG10(0.001*E4/$B4)</f>
        <v>-75.9176003468815</v>
      </c>
      <c r="H4" s="4">
        <f aca="true" t="shared" si="2" ref="H4:H17">20*LOG10($C4/(0.001*$D4))</f>
        <v>56.94065079582913</v>
      </c>
      <c r="I4" s="4">
        <f aca="true" t="shared" si="3" ref="I4:I17">20*LOG10(26*$C4/(32*0.001*$D4))</f>
        <v>55.13711818884737</v>
      </c>
      <c r="J4" s="5">
        <f aca="true" t="shared" si="4" ref="J4:J17">20*LOG10((26/31)*$C4/(0.001*MAX($D4,(26/31)*$E4)))</f>
        <v>55.41288387856004</v>
      </c>
      <c r="K4" s="4">
        <f aca="true" t="shared" si="5" ref="K4:K17">20*LOG10($C4/$B4)</f>
        <v>-6.935749724493126</v>
      </c>
      <c r="L4" s="4">
        <f aca="true" t="shared" si="6" ref="L4:L17">20*LOG10($C4/$B4)/2.6</f>
        <v>-2.6675960478819714</v>
      </c>
      <c r="M4" s="3">
        <f>(1.6+0.9)/2</f>
        <v>1.25</v>
      </c>
      <c r="N4" s="3">
        <f>(0.65+0.65)/2</f>
        <v>0.65</v>
      </c>
      <c r="O4" s="4">
        <f aca="true" t="shared" si="7" ref="O4:O17">20*LOG10(0.001*M4/$B4)</f>
        <v>-64.08239965311849</v>
      </c>
      <c r="P4" s="4">
        <f aca="true" t="shared" si="8" ref="P4:P17">20*LOG10(0.001*N4/$B4)</f>
        <v>-69.76233278042251</v>
      </c>
    </row>
    <row r="5" spans="1:16" ht="12.75">
      <c r="A5" s="3">
        <v>2</v>
      </c>
      <c r="B5" s="3">
        <v>2</v>
      </c>
      <c r="C5" s="3">
        <v>0.945</v>
      </c>
      <c r="D5" s="3">
        <v>2.7</v>
      </c>
      <c r="E5" s="3">
        <v>1.48</v>
      </c>
      <c r="F5" s="4">
        <f t="shared" si="0"/>
        <v>-57.393324630099876</v>
      </c>
      <c r="G5" s="4">
        <f t="shared" si="1"/>
        <v>-62.615365605380475</v>
      </c>
      <c r="H5" s="4">
        <f t="shared" si="2"/>
        <v>50.88136088700551</v>
      </c>
      <c r="I5" s="4">
        <f t="shared" si="3"/>
        <v>49.07782828002375</v>
      </c>
      <c r="J5" s="5">
        <f t="shared" si="4"/>
        <v>49.353593969736416</v>
      </c>
      <c r="K5" s="4">
        <f t="shared" si="5"/>
        <v>-6.511963743094365</v>
      </c>
      <c r="L5" s="4">
        <f t="shared" si="6"/>
        <v>-2.5046014396516787</v>
      </c>
      <c r="M5" s="3">
        <f>(6.32+7.44)/2</f>
        <v>6.880000000000001</v>
      </c>
      <c r="N5" s="3">
        <f>(1.24+1.45)/2</f>
        <v>1.345</v>
      </c>
      <c r="O5" s="4">
        <f t="shared" si="7"/>
        <v>-49.268831148569404</v>
      </c>
      <c r="P5" s="4">
        <f t="shared" si="8"/>
        <v>-63.44615422651109</v>
      </c>
    </row>
    <row r="6" spans="1:16" ht="12.75">
      <c r="A6" s="3">
        <v>4</v>
      </c>
      <c r="B6" s="3">
        <v>2</v>
      </c>
      <c r="C6" s="3">
        <v>0.945</v>
      </c>
      <c r="D6" s="3">
        <v>4</v>
      </c>
      <c r="E6" s="3">
        <v>2.4</v>
      </c>
      <c r="F6" s="4">
        <f t="shared" si="0"/>
        <v>-53.979400086720375</v>
      </c>
      <c r="G6" s="4">
        <f t="shared" si="1"/>
        <v>-58.416375079047505</v>
      </c>
      <c r="H6" s="4">
        <f t="shared" si="2"/>
        <v>47.46743634362601</v>
      </c>
      <c r="I6" s="4">
        <f t="shared" si="3"/>
        <v>45.66390373664425</v>
      </c>
      <c r="J6" s="5">
        <f t="shared" si="4"/>
        <v>45.93966942635692</v>
      </c>
      <c r="K6" s="4">
        <f t="shared" si="5"/>
        <v>-6.511963743094365</v>
      </c>
      <c r="L6" s="4">
        <f t="shared" si="6"/>
        <v>-2.5046014396516787</v>
      </c>
      <c r="M6" s="3">
        <f>(4.36+4.44)/2</f>
        <v>4.4</v>
      </c>
      <c r="N6" s="3">
        <f>(2.6+2.6)/2</f>
        <v>2.6</v>
      </c>
      <c r="O6" s="4">
        <f t="shared" si="7"/>
        <v>-53.151546383555875</v>
      </c>
      <c r="P6" s="4">
        <f t="shared" si="8"/>
        <v>-57.72113295386326</v>
      </c>
    </row>
    <row r="7" spans="1:16" ht="12.75">
      <c r="A7" s="3">
        <v>7</v>
      </c>
      <c r="B7" s="3">
        <v>2</v>
      </c>
      <c r="C7" s="3">
        <v>0.94</v>
      </c>
      <c r="D7" s="3">
        <v>12.3</v>
      </c>
      <c r="E7" s="3">
        <v>5</v>
      </c>
      <c r="F7" s="4">
        <f t="shared" si="0"/>
        <v>-44.222497684491664</v>
      </c>
      <c r="G7" s="4">
        <f t="shared" si="1"/>
        <v>-52.04119982655925</v>
      </c>
      <c r="H7" s="4">
        <f t="shared" si="2"/>
        <v>37.664454843206016</v>
      </c>
      <c r="I7" s="4">
        <f t="shared" si="3"/>
        <v>35.860922236224255</v>
      </c>
      <c r="J7" s="5">
        <f t="shared" si="4"/>
        <v>36.13668792593692</v>
      </c>
      <c r="K7" s="4">
        <f t="shared" si="5"/>
        <v>-6.558042841285651</v>
      </c>
      <c r="L7" s="4">
        <f t="shared" si="6"/>
        <v>-2.5223241697252505</v>
      </c>
      <c r="M7" s="3">
        <f>(8+8)/2</f>
        <v>8</v>
      </c>
      <c r="N7" s="3">
        <f>(4.75+4.75)/2</f>
        <v>4.75</v>
      </c>
      <c r="O7" s="4">
        <f t="shared" si="7"/>
        <v>-47.95880017344075</v>
      </c>
      <c r="P7" s="4">
        <f t="shared" si="8"/>
        <v>-52.48672772078229</v>
      </c>
    </row>
    <row r="8" spans="1:16" ht="12.75">
      <c r="A8" s="3">
        <v>10</v>
      </c>
      <c r="B8" s="3">
        <v>2</v>
      </c>
      <c r="C8" s="3">
        <v>0.99</v>
      </c>
      <c r="D8" s="3">
        <v>16.5</v>
      </c>
      <c r="E8" s="3">
        <v>7.08</v>
      </c>
      <c r="F8" s="4">
        <f t="shared" si="0"/>
        <v>-41.6709210290015</v>
      </c>
      <c r="G8" s="4">
        <f t="shared" si="1"/>
        <v>-49.019934759484244</v>
      </c>
      <c r="H8" s="4">
        <f t="shared" si="2"/>
        <v>35.56302500767287</v>
      </c>
      <c r="I8" s="4">
        <f t="shared" si="3"/>
        <v>33.75949240069111</v>
      </c>
      <c r="J8" s="5">
        <f t="shared" si="4"/>
        <v>34.03525809040378</v>
      </c>
      <c r="K8" s="4">
        <f t="shared" si="5"/>
        <v>-6.107896021328626</v>
      </c>
      <c r="L8" s="4">
        <f t="shared" si="6"/>
        <v>-2.349190777434087</v>
      </c>
      <c r="M8" s="3">
        <f>(16.6+16.4)/2</f>
        <v>16.5</v>
      </c>
      <c r="N8" s="3">
        <f>(6.6+6.6)/2</f>
        <v>6.6</v>
      </c>
      <c r="O8" s="4">
        <f t="shared" si="7"/>
        <v>-41.6709210290015</v>
      </c>
      <c r="P8" s="4">
        <f t="shared" si="8"/>
        <v>-49.62972120244225</v>
      </c>
    </row>
    <row r="9" spans="1:16" ht="12.75">
      <c r="A9" s="3">
        <v>20</v>
      </c>
      <c r="B9" s="3">
        <v>2</v>
      </c>
      <c r="C9" s="3">
        <v>1.085</v>
      </c>
      <c r="D9" s="3">
        <v>20.7</v>
      </c>
      <c r="E9" s="3">
        <v>11.92</v>
      </c>
      <c r="F9" s="4">
        <f t="shared" si="0"/>
        <v>-39.70119300414127</v>
      </c>
      <c r="G9" s="4">
        <f t="shared" si="1"/>
        <v>-44.49507480519527</v>
      </c>
      <c r="H9" s="4">
        <f t="shared" si="2"/>
        <v>34.38918785455261</v>
      </c>
      <c r="I9" s="4">
        <f t="shared" si="3"/>
        <v>32.585655247570855</v>
      </c>
      <c r="J9" s="5">
        <f t="shared" si="4"/>
        <v>32.86142093728352</v>
      </c>
      <c r="K9" s="4">
        <f t="shared" si="5"/>
        <v>-5.312005149588658</v>
      </c>
      <c r="L9" s="4">
        <f t="shared" si="6"/>
        <v>-2.0430789036879453</v>
      </c>
      <c r="M9" s="3">
        <f>(16+16)/2</f>
        <v>16</v>
      </c>
      <c r="N9" s="3">
        <f>(12.25+12.35)/2</f>
        <v>12.3</v>
      </c>
      <c r="O9" s="4">
        <f t="shared" si="7"/>
        <v>-41.938200260161125</v>
      </c>
      <c r="P9" s="4">
        <f t="shared" si="8"/>
        <v>-44.222497684491664</v>
      </c>
    </row>
    <row r="10" spans="1:16" ht="12.75">
      <c r="A10" s="3">
        <v>40</v>
      </c>
      <c r="B10" s="3">
        <v>2</v>
      </c>
      <c r="C10" s="3">
        <v>0.98</v>
      </c>
      <c r="D10" s="3">
        <v>12</v>
      </c>
      <c r="E10" s="3">
        <v>12.8</v>
      </c>
      <c r="F10" s="4">
        <f t="shared" si="0"/>
        <v>-44.43697499232712</v>
      </c>
      <c r="G10" s="4">
        <f t="shared" si="1"/>
        <v>-43.87640052032226</v>
      </c>
      <c r="H10" s="4">
        <f t="shared" si="2"/>
        <v>38.2408965928974</v>
      </c>
      <c r="I10" s="4">
        <f t="shared" si="3"/>
        <v>36.437363985915646</v>
      </c>
      <c r="J10" s="5">
        <f t="shared" si="4"/>
        <v>36.71312967562831</v>
      </c>
      <c r="K10" s="4">
        <f t="shared" si="5"/>
        <v>-6.196078399429727</v>
      </c>
      <c r="L10" s="4">
        <f t="shared" si="6"/>
        <v>-2.383107076703741</v>
      </c>
      <c r="M10" s="3">
        <f>(13.95+13.95)/2</f>
        <v>13.95</v>
      </c>
      <c r="N10" s="3">
        <f>(12.9+12.9)/2</f>
        <v>12.9</v>
      </c>
      <c r="O10" s="4">
        <f t="shared" si="7"/>
        <v>-43.12911576108729</v>
      </c>
      <c r="P10" s="4">
        <f t="shared" si="8"/>
        <v>-43.80880570729465</v>
      </c>
    </row>
    <row r="11" spans="1:16" ht="12.75">
      <c r="A11" s="3">
        <v>70</v>
      </c>
      <c r="B11" s="3">
        <v>2</v>
      </c>
      <c r="C11" s="3">
        <v>0.87</v>
      </c>
      <c r="D11" s="3">
        <v>22</v>
      </c>
      <c r="E11" s="3">
        <v>14.7</v>
      </c>
      <c r="F11" s="4">
        <f t="shared" si="0"/>
        <v>-39.1721462968355</v>
      </c>
      <c r="G11" s="4">
        <f t="shared" si="1"/>
        <v>-42.6742532183161</v>
      </c>
      <c r="H11" s="4">
        <f t="shared" si="2"/>
        <v>31.941931435928247</v>
      </c>
      <c r="I11" s="4">
        <f t="shared" si="3"/>
        <v>30.138398828946485</v>
      </c>
      <c r="J11" s="5">
        <f t="shared" si="4"/>
        <v>30.414164518659152</v>
      </c>
      <c r="K11" s="4">
        <f t="shared" si="5"/>
        <v>-7.230214860907253</v>
      </c>
      <c r="L11" s="4">
        <f t="shared" si="6"/>
        <v>-2.780851869579713</v>
      </c>
      <c r="M11" s="3">
        <f>(22.1+22.2)/2</f>
        <v>22.15</v>
      </c>
      <c r="N11" s="3">
        <f>(14.6+14.6)/2</f>
        <v>14.6</v>
      </c>
      <c r="O11" s="4">
        <f t="shared" si="7"/>
        <v>-39.113125302097856</v>
      </c>
      <c r="P11" s="4">
        <f t="shared" si="8"/>
        <v>-42.733542797590886</v>
      </c>
    </row>
    <row r="12" spans="1:16" ht="12.75">
      <c r="A12" s="3">
        <v>100</v>
      </c>
      <c r="B12" s="3">
        <v>2</v>
      </c>
      <c r="C12" s="3">
        <v>0.75</v>
      </c>
      <c r="D12" s="3">
        <v>24.6</v>
      </c>
      <c r="E12" s="3">
        <v>14.4</v>
      </c>
      <c r="F12" s="4">
        <f t="shared" si="0"/>
        <v>-38.201897771212046</v>
      </c>
      <c r="G12" s="4">
        <f t="shared" si="1"/>
        <v>-42.85335007137463</v>
      </c>
      <c r="H12" s="4">
        <f t="shared" si="2"/>
        <v>29.68252312576642</v>
      </c>
      <c r="I12" s="4">
        <f t="shared" si="3"/>
        <v>27.878990518784658</v>
      </c>
      <c r="J12" s="5">
        <f t="shared" si="4"/>
        <v>28.15475620849732</v>
      </c>
      <c r="K12" s="4">
        <f t="shared" si="5"/>
        <v>-8.519374645445623</v>
      </c>
      <c r="L12" s="4">
        <f t="shared" si="6"/>
        <v>-3.2766825559406243</v>
      </c>
      <c r="M12" s="3">
        <f>(24.7+24.6)/2</f>
        <v>24.65</v>
      </c>
      <c r="N12" s="3">
        <f>(16.2+16.2)/2</f>
        <v>16.2</v>
      </c>
      <c r="O12" s="4">
        <f t="shared" si="7"/>
        <v>-38.18426144101465</v>
      </c>
      <c r="P12" s="4">
        <f t="shared" si="8"/>
        <v>-41.830299622427006</v>
      </c>
    </row>
    <row r="13" spans="1:16" ht="12.75">
      <c r="A13" s="3">
        <v>200</v>
      </c>
      <c r="B13" s="3">
        <v>2</v>
      </c>
      <c r="C13" s="3">
        <v>0.588</v>
      </c>
      <c r="D13" s="3">
        <v>27</v>
      </c>
      <c r="E13" s="3">
        <v>14.4</v>
      </c>
      <c r="F13" s="4">
        <f t="shared" si="0"/>
        <v>-37.393324630099876</v>
      </c>
      <c r="G13" s="4">
        <f t="shared" si="1"/>
        <v>-42.85335007137463</v>
      </c>
      <c r="H13" s="4">
        <f t="shared" si="2"/>
        <v>26.760271238343023</v>
      </c>
      <c r="I13" s="4">
        <f t="shared" si="3"/>
        <v>24.95673863136126</v>
      </c>
      <c r="J13" s="5">
        <f t="shared" si="4"/>
        <v>25.23250432107393</v>
      </c>
      <c r="K13" s="4">
        <f t="shared" si="5"/>
        <v>-10.633053391756855</v>
      </c>
      <c r="L13" s="4">
        <f t="shared" si="6"/>
        <v>-4.089635919906483</v>
      </c>
      <c r="M13" s="3">
        <f>(28.3+28.1)/2</f>
        <v>28.200000000000003</v>
      </c>
      <c r="N13" s="3">
        <f>(16+16.1)/2</f>
        <v>16.05</v>
      </c>
      <c r="O13" s="4">
        <f t="shared" si="7"/>
        <v>-37.0156177468924</v>
      </c>
      <c r="P13" s="4">
        <f t="shared" si="8"/>
        <v>-41.911099178461804</v>
      </c>
    </row>
    <row r="14" spans="1:16" ht="12.75">
      <c r="A14" s="3">
        <v>400</v>
      </c>
      <c r="B14" s="3">
        <v>2</v>
      </c>
      <c r="C14" s="3">
        <v>0.28800000000000003</v>
      </c>
      <c r="D14" s="3">
        <v>6.7</v>
      </c>
      <c r="E14" s="3">
        <v>12.3</v>
      </c>
      <c r="F14" s="4">
        <f t="shared" si="0"/>
        <v>-49.499103859263094</v>
      </c>
      <c r="G14" s="4">
        <f t="shared" si="1"/>
        <v>-44.222497684491664</v>
      </c>
      <c r="H14" s="4">
        <f t="shared" si="2"/>
        <v>32.666353701168084</v>
      </c>
      <c r="I14" s="4">
        <f t="shared" si="3"/>
        <v>30.86282109418633</v>
      </c>
      <c r="J14" s="5">
        <f t="shared" si="4"/>
        <v>27.38974752639666</v>
      </c>
      <c r="K14" s="4">
        <f t="shared" si="5"/>
        <v>-16.832750158095006</v>
      </c>
      <c r="L14" s="4">
        <f t="shared" si="6"/>
        <v>-6.474134676190387</v>
      </c>
      <c r="M14" s="3">
        <f>(8.7+9.5)/2</f>
        <v>9.1</v>
      </c>
      <c r="N14" s="3">
        <f>(12.2+12.2)/2</f>
        <v>12.2</v>
      </c>
      <c r="O14" s="4">
        <f t="shared" si="7"/>
        <v>-46.83977206685775</v>
      </c>
      <c r="P14" s="4">
        <f t="shared" si="8"/>
        <v>-44.29340329978466</v>
      </c>
    </row>
    <row r="15" spans="1:16" ht="12.75">
      <c r="A15" s="3">
        <v>700</v>
      </c>
      <c r="B15" s="3">
        <v>2</v>
      </c>
      <c r="C15" s="3">
        <v>0.148</v>
      </c>
      <c r="D15" s="3">
        <v>8.4</v>
      </c>
      <c r="E15" s="3">
        <v>9.8</v>
      </c>
      <c r="F15" s="4">
        <f t="shared" si="0"/>
        <v>-47.53501419204199</v>
      </c>
      <c r="G15" s="4">
        <f t="shared" si="1"/>
        <v>-46.19607839942972</v>
      </c>
      <c r="H15" s="4">
        <f t="shared" si="2"/>
        <v>24.919648586661513</v>
      </c>
      <c r="I15" s="4">
        <f t="shared" si="3"/>
        <v>23.11611597967975</v>
      </c>
      <c r="J15" s="5">
        <f t="shared" si="4"/>
        <v>23.39188166939242</v>
      </c>
      <c r="K15" s="4">
        <f t="shared" si="5"/>
        <v>-22.615365605380475</v>
      </c>
      <c r="L15" s="4">
        <f t="shared" si="6"/>
        <v>-8.698217540530951</v>
      </c>
      <c r="M15" s="3">
        <f>(7.2+7.2)/2</f>
        <v>7.2</v>
      </c>
      <c r="N15" s="3">
        <f>(8.75+8.65)/2</f>
        <v>8.7</v>
      </c>
      <c r="O15" s="4">
        <f t="shared" si="7"/>
        <v>-48.87394998465425</v>
      </c>
      <c r="P15" s="4">
        <f t="shared" si="8"/>
        <v>-47.23021486090725</v>
      </c>
    </row>
    <row r="16" spans="1:16" ht="12.75">
      <c r="A16" s="3">
        <v>1000</v>
      </c>
      <c r="B16" s="3">
        <v>2</v>
      </c>
      <c r="C16" s="3">
        <v>0.08</v>
      </c>
      <c r="D16" s="3">
        <v>12.2</v>
      </c>
      <c r="E16" s="3">
        <v>6.56</v>
      </c>
      <c r="F16" s="4">
        <f t="shared" si="0"/>
        <v>-44.29340329978466</v>
      </c>
      <c r="G16" s="4">
        <f t="shared" si="1"/>
        <v>-49.682523125766416</v>
      </c>
      <c r="H16" s="4">
        <f t="shared" si="2"/>
        <v>16.33460312634391</v>
      </c>
      <c r="I16" s="4">
        <f t="shared" si="3"/>
        <v>14.531070519362148</v>
      </c>
      <c r="J16" s="5">
        <f t="shared" si="4"/>
        <v>14.806836209074817</v>
      </c>
      <c r="K16" s="4">
        <f t="shared" si="5"/>
        <v>-27.95880017344075</v>
      </c>
      <c r="L16" s="4">
        <f t="shared" si="6"/>
        <v>-10.753384682092596</v>
      </c>
      <c r="M16" s="3">
        <f>(14.6+14.6)/2</f>
        <v>14.6</v>
      </c>
      <c r="N16" s="3">
        <f>(7.8+7.9)/2</f>
        <v>7.85</v>
      </c>
      <c r="O16" s="4">
        <f t="shared" si="7"/>
        <v>-42.733542797590886</v>
      </c>
      <c r="P16" s="4">
        <f t="shared" si="8"/>
        <v>-48.123206778374566</v>
      </c>
    </row>
    <row r="17" spans="1:16" ht="12.75">
      <c r="A17" s="3">
        <v>2000</v>
      </c>
      <c r="B17" s="3">
        <v>2</v>
      </c>
      <c r="C17" s="3">
        <v>0.02</v>
      </c>
      <c r="D17" s="3">
        <v>46</v>
      </c>
      <c r="E17" s="3">
        <v>3.7</v>
      </c>
      <c r="F17" s="4">
        <f t="shared" si="0"/>
        <v>-32.765443279648146</v>
      </c>
      <c r="G17" s="4">
        <f t="shared" si="1"/>
        <v>-54.656565431939725</v>
      </c>
      <c r="H17" s="4">
        <f t="shared" si="2"/>
        <v>-7.234556720351857</v>
      </c>
      <c r="I17" s="4">
        <f t="shared" si="3"/>
        <v>-9.038089327333617</v>
      </c>
      <c r="J17" s="5">
        <f t="shared" si="4"/>
        <v>-8.762323637620952</v>
      </c>
      <c r="K17" s="4">
        <f t="shared" si="5"/>
        <v>-40</v>
      </c>
      <c r="L17" s="4">
        <f t="shared" si="6"/>
        <v>-15.384615384615383</v>
      </c>
      <c r="M17" s="3">
        <f>(45.7+45.6)/2</f>
        <v>45.650000000000006</v>
      </c>
      <c r="N17" s="3">
        <f>(1+1)/2</f>
        <v>1</v>
      </c>
      <c r="O17" s="4">
        <f t="shared" si="7"/>
        <v>-32.83178427587327</v>
      </c>
      <c r="P17" s="4">
        <f t="shared" si="8"/>
        <v>-66.02059991327963</v>
      </c>
    </row>
    <row r="18" spans="13:14" ht="12.75">
      <c r="M18" s="1">
        <f>(54.4+53.8)/2</f>
        <v>54.099999999999994</v>
      </c>
      <c r="N18" s="1">
        <v>0.8</v>
      </c>
    </row>
    <row r="19" ht="12.75">
      <c r="A19" s="1" t="s">
        <v>45</v>
      </c>
    </row>
    <row r="21" ht="12.75" customHeight="1">
      <c r="A21" s="1" t="s">
        <v>46</v>
      </c>
    </row>
    <row r="22" ht="12.75">
      <c r="A22" t="s">
        <v>47</v>
      </c>
    </row>
  </sheetData>
  <printOptions/>
  <pageMargins left="0.7875" right="0.7875" top="0.7875" bottom="0.7875" header="0.5" footer="0.5"/>
  <pageSetup cellComments="asDisplayed" horizontalDpi="300" verticalDpi="300" orientation="landscape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Przybylski</dc:creator>
  <cp:keywords/>
  <dc:description/>
  <cp:lastModifiedBy>Gerald Przybylski</cp:lastModifiedBy>
  <cp:lastPrinted>2003-04-15T19:11:05Z</cp:lastPrinted>
  <dcterms:created xsi:type="dcterms:W3CDTF">2003-04-09T05:51:17Z</dcterms:created>
  <dcterms:modified xsi:type="dcterms:W3CDTF">2003-06-05T08:30:12Z</dcterms:modified>
  <cp:category/>
  <cp:version/>
  <cp:contentType/>
  <cp:contentStatus/>
  <cp:revision>4</cp:revision>
</cp:coreProperties>
</file>