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40" windowHeight="6870" activeTab="0"/>
  </bookViews>
  <sheets>
    <sheet name="Trigger_rates" sheetId="1" r:id="rId1"/>
    <sheet name="Data formats." sheetId="2" r:id="rId2"/>
  </sheets>
  <definedNames>
    <definedName name="Bunch_clock">'Trigger_rates'!$B$100</definedName>
    <definedName name="Bunch_clockKhz">'Trigger_rates'!$B$101</definedName>
    <definedName name="Bunch_clockMhz">'Trigger_rates'!$B$102</definedName>
    <definedName name="Byets_per_result_message">'Trigger_rates'!$B$5</definedName>
    <definedName name="Byets_per_result_message.">'Trigger_rates'!$B$5</definedName>
    <definedName name="Bytes_per_hit">'Trigger_rates'!$B$4</definedName>
    <definedName name="Bytes_per_result_message">'Trigger_rates'!$B$5</definedName>
    <definedName name="Half_Planes">'Trigger_rates'!$B$3</definedName>
    <definedName name="HighwayClk">'Trigger_rates'!$B$103</definedName>
    <definedName name="HighwayClkKHz">'Trigger_rates'!$B$104</definedName>
    <definedName name="HighwayClkMHz">'Trigger_rates'!$B$105</definedName>
    <definedName name="HighwayPeriodUs">'Trigger_rates'!$B$106</definedName>
    <definedName name="LayerClk">'Trigger_rates'!$B$103</definedName>
    <definedName name="LayerClkKHz">'Trigger_rates'!$B$104</definedName>
    <definedName name="LayerClkMHz">'Trigger_rates'!$B$105</definedName>
    <definedName name="LayerPeriodUs">'Trigger_rates'!$B$106</definedName>
    <definedName name="_xlnm.Print_Area" localSheetId="0">'Trigger_rates'!$A$1:$E$108</definedName>
  </definedNames>
  <calcPr fullCalcOnLoad="1"/>
</workbook>
</file>

<file path=xl/sharedStrings.xml><?xml version="1.0" encoding="utf-8"?>
<sst xmlns="http://schemas.openxmlformats.org/spreadsheetml/2006/main" count="215" uniqueCount="164">
  <si>
    <t>No of BCOs simulated</t>
  </si>
  <si>
    <t>Total No of tracks</t>
  </si>
  <si>
    <t>Avg. No of Tracks per BCO in one Half Plane</t>
  </si>
  <si>
    <t>Avg. No of Hits per BCO in one Half Plane</t>
  </si>
  <si>
    <t>Total No of BCOs which produced hits</t>
  </si>
  <si>
    <t>Avg. No of Tracks per BCO w/hits (Half Plane)</t>
  </si>
  <si>
    <t>Interactions/BCO</t>
  </si>
  <si>
    <t>Percent of BCOs with hits</t>
  </si>
  <si>
    <t>Avg. No of Hits per Track in one Half Plane</t>
  </si>
  <si>
    <t>Half Plane numbers</t>
  </si>
  <si>
    <t>Notes</t>
  </si>
  <si>
    <t>Accelerator clock</t>
  </si>
  <si>
    <t>Bunch clock</t>
  </si>
  <si>
    <t>Segment Processors</t>
  </si>
  <si>
    <t>Units</t>
  </si>
  <si>
    <t>usec</t>
  </si>
  <si>
    <t>MByt/sec</t>
  </si>
  <si>
    <t>Have Eric guess here.</t>
  </si>
  <si>
    <t>Bunch clockMHz</t>
  </si>
  <si>
    <t>Bunch clockKHz</t>
  </si>
  <si>
    <t>Int/BCO</t>
  </si>
  <si>
    <t>Pixel Trigger Rates</t>
  </si>
  <si>
    <t>Bunch rate at output ports.</t>
  </si>
  <si>
    <t>Rates and location</t>
  </si>
  <si>
    <t>Time available to process data</t>
  </si>
  <si>
    <t>Time to process those bytes</t>
  </si>
  <si>
    <t>Output rate per sec</t>
  </si>
  <si>
    <t>Output rate per bunch crossing</t>
  </si>
  <si>
    <t>Half stations</t>
  </si>
  <si>
    <t>All segment processors to one DSP</t>
  </si>
  <si>
    <t>Distribute BCOs one to each port</t>
  </si>
  <si>
    <t>Port input rate per sec</t>
  </si>
  <si>
    <t>Input from one segment processor</t>
  </si>
  <si>
    <t>Whole Detector numbers</t>
  </si>
  <si>
    <t>BCO</t>
  </si>
  <si>
    <t>Tracks</t>
  </si>
  <si>
    <t>%</t>
  </si>
  <si>
    <t>hits/BCO</t>
  </si>
  <si>
    <t>Bytes/BCO</t>
  </si>
  <si>
    <t>Bytes per hit in pixel stream</t>
  </si>
  <si>
    <t>Event size:  (Entire Detector), bytes</t>
  </si>
  <si>
    <t>GByt/sec</t>
  </si>
  <si>
    <t>Constants</t>
  </si>
  <si>
    <t>Hz</t>
  </si>
  <si>
    <t>HZ</t>
  </si>
  <si>
    <t>KHz</t>
  </si>
  <si>
    <t>MHz</t>
  </si>
  <si>
    <t>bytes</t>
  </si>
  <si>
    <t>Half Station numbers</t>
  </si>
  <si>
    <t>Event size: hits</t>
  </si>
  <si>
    <t>Event size: bytes</t>
  </si>
  <si>
    <t>Total number of DSPs</t>
  </si>
  <si>
    <t>Data reduction in segment processors, est.</t>
  </si>
  <si>
    <t>Event size: (Half Plane) Bytes</t>
  </si>
  <si>
    <t>Event size: (Half Plane) Hits</t>
  </si>
  <si>
    <t>Average Data volume:  per BCO</t>
  </si>
  <si>
    <t>Average Data volume: per second</t>
  </si>
  <si>
    <t>Average Data volume per BCO</t>
  </si>
  <si>
    <t>Average Data volume per second</t>
  </si>
  <si>
    <t>Event size: (Entire Detector),  hits</t>
  </si>
  <si>
    <t>Kbytes/BCO</t>
  </si>
  <si>
    <t>Average Data volume per proc per BCO</t>
  </si>
  <si>
    <t>Average Data volume per proc per second</t>
  </si>
  <si>
    <t>Processing rate for all data</t>
  </si>
  <si>
    <t>All three plane channels</t>
  </si>
  <si>
    <t>Check this number</t>
  </si>
  <si>
    <t>Average Data volume out of switch port</t>
  </si>
  <si>
    <t>Average Data volume into one switch port</t>
  </si>
  <si>
    <t>Average Data volume out of SP per second</t>
  </si>
  <si>
    <t>Inputs/outputs on the switch</t>
  </si>
  <si>
    <t>Average Data volume out one switch port per BCO</t>
  </si>
  <si>
    <t>Average Data volume out of SP per BCO</t>
  </si>
  <si>
    <t>Half Stations per detector</t>
  </si>
  <si>
    <t xml:space="preserve">X/Y data </t>
  </si>
  <si>
    <t>X</t>
  </si>
  <si>
    <t>Y</t>
  </si>
  <si>
    <t>Tag</t>
  </si>
  <si>
    <t>needed</t>
  </si>
  <si>
    <t>sum</t>
  </si>
  <si>
    <t>remainder</t>
  </si>
  <si>
    <t>Raw Data</t>
  </si>
  <si>
    <t xml:space="preserve">Col </t>
  </si>
  <si>
    <t>Row</t>
  </si>
  <si>
    <t>?</t>
  </si>
  <si>
    <t>Amplitude</t>
  </si>
  <si>
    <t>Msg/sec</t>
  </si>
  <si>
    <t>---&gt;</t>
  </si>
  <si>
    <t>Trk/BCO/half_plane</t>
  </si>
  <si>
    <t>Averaged over BCOs with hits</t>
  </si>
  <si>
    <t>Averaged over all BCOs</t>
  </si>
  <si>
    <t>Averaged over all BCOs  labeled *2 below</t>
  </si>
  <si>
    <t>.</t>
  </si>
  <si>
    <t>Whole detector data flow, averaged over all BCOs</t>
  </si>
  <si>
    <t>Maximum average time for processing</t>
  </si>
  <si>
    <t>Processors</t>
  </si>
  <si>
    <t>Number of parallel roads</t>
  </si>
  <si>
    <t xml:space="preserve">Split trigger into roads </t>
  </si>
  <si>
    <t>Pixel Processors</t>
  </si>
  <si>
    <t>Data reduction in pixel processors, est.</t>
  </si>
  <si>
    <t>Average Data volume out of PP per BCO</t>
  </si>
  <si>
    <t>Average Data volume into PP per BCO</t>
  </si>
  <si>
    <t>Need to change data format  (red = &gt; 800 mbits/sec)</t>
  </si>
  <si>
    <t>Port output rate per sec avg   (red = &gt; 800 mbits/sec)</t>
  </si>
  <si>
    <t>KByt/sec</t>
  </si>
  <si>
    <t>GL1Processor</t>
  </si>
  <si>
    <t>Msgs/sec</t>
  </si>
  <si>
    <t>Back to 1/132 ns.</t>
  </si>
  <si>
    <t>Number of roads from above</t>
  </si>
  <si>
    <t>Based on cluster compression.</t>
  </si>
  <si>
    <t>Total number of cards @ 4 DSP /card</t>
  </si>
  <si>
    <t>Total number of subracks @ 20 DSP cards per</t>
  </si>
  <si>
    <t>Bunch rate in each Highway</t>
  </si>
  <si>
    <t>Average pipeline processing time per Highway</t>
  </si>
  <si>
    <t>Highway BCO</t>
  </si>
  <si>
    <t>Bytes per BCO times Highway rate</t>
  </si>
  <si>
    <t>HighwayClk</t>
  </si>
  <si>
    <t>HighwayClkKHz</t>
  </si>
  <si>
    <t>HighwayClkMHz</t>
  </si>
  <si>
    <t>HighwayPeriodUs</t>
  </si>
  <si>
    <t>Average Data volume per Highway per second</t>
  </si>
  <si>
    <t>Highway, rate of BCOs</t>
  </si>
  <si>
    <t xml:space="preserve">Pink cells are based on simulations. Yellow cells are changeable values. Don't edit other cells. Brown cells are copies of yellow. </t>
  </si>
  <si>
    <t>Starting numbers from simulations</t>
  </si>
  <si>
    <t>If GL1 highwayed, Average Message rate into GL1</t>
  </si>
  <si>
    <t>If GL1 is highwayed, Average Message volume</t>
  </si>
  <si>
    <r>
      <t xml:space="preserve">Bytes per second. </t>
    </r>
    <r>
      <rPr>
        <sz val="10"/>
        <color indexed="10"/>
        <rFont val="Arial"/>
        <family val="2"/>
      </rPr>
      <t>Red is rate &gt; 100 Mby/sec</t>
    </r>
  </si>
  <si>
    <t>Average Message volume into full GL1</t>
  </si>
  <si>
    <t xml:space="preserve"> B5 bytes/message</t>
  </si>
  <si>
    <t>MBytes/sec</t>
  </si>
  <si>
    <t>Add some noise hits to this</t>
  </si>
  <si>
    <t>L2/L3 Processor</t>
  </si>
  <si>
    <t>GL1 Processor</t>
  </si>
  <si>
    <t>Trigger reduction into L2/L3</t>
  </si>
  <si>
    <t>Average Message rate into GL2/L3</t>
  </si>
  <si>
    <t>Bytes per L2/L3 result message.</t>
  </si>
  <si>
    <t>Average Message volume into full GL2/3</t>
  </si>
  <si>
    <t>Average Message rate into full GL2/3</t>
  </si>
  <si>
    <t>Average Message rate into full GL1</t>
  </si>
  <si>
    <t>Available average time per DSP</t>
  </si>
  <si>
    <t>Event Procesing time in a DSP</t>
  </si>
  <si>
    <t>If GL1 highwayed, Avg Message rate into one GL1</t>
  </si>
  <si>
    <t>If GL1 highwayed, Avg Message volume into one</t>
  </si>
  <si>
    <t>Bytes per GL1 result message.</t>
  </si>
  <si>
    <t>Number of DSPs in farmlet</t>
  </si>
  <si>
    <t>DSP Processor farmlets</t>
  </si>
  <si>
    <t>Average Data volume into DSP farmlet</t>
  </si>
  <si>
    <t>Result message rate to GL1 in messages per farmlet</t>
  </si>
  <si>
    <t>Result message rate to GL1 bytes per farmlet</t>
  </si>
  <si>
    <t>Total number of farmlets</t>
  </si>
  <si>
    <t>Goal was 2500</t>
  </si>
  <si>
    <t>Byt/HBC</t>
  </si>
  <si>
    <t>Byt/HBCO</t>
  </si>
  <si>
    <t>Byte per Highway BCO</t>
  </si>
  <si>
    <t>Average data volume per DSP per HBC</t>
  </si>
  <si>
    <t>Average data volume per DSP per sec</t>
  </si>
  <si>
    <t>Segment/DSP Switch - one Highway</t>
  </si>
  <si>
    <t>Number of farmlets per highway</t>
  </si>
  <si>
    <t>Number of DSP per highway</t>
  </si>
  <si>
    <t>Average event rate per DSP</t>
  </si>
  <si>
    <t>Evnt/sec</t>
  </si>
  <si>
    <t>Balance switch ins and outs.  This is a minimum.</t>
  </si>
  <si>
    <t>DSP/farml</t>
  </si>
  <si>
    <t>Hiways</t>
  </si>
  <si>
    <t>Somewhere in here we go wrong with more interactions!!!!!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</si>
</sst>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 quotePrefix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2" xfId="0" applyNumberForma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6" borderId="7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8"/>
  <sheetViews>
    <sheetView tabSelected="1" zoomScaleSheetLayoutView="100" workbookViewId="0" topLeftCell="A1">
      <pane ySplit="9" topLeftCell="BM64" activePane="bottomLeft" state="frozen"/>
      <selection pane="topLeft" activeCell="A1" sqref="A1"/>
      <selection pane="bottomLeft" activeCell="E75" sqref="E75"/>
    </sheetView>
  </sheetViews>
  <sheetFormatPr defaultColWidth="9.140625" defaultRowHeight="12.75"/>
  <cols>
    <col min="1" max="1" width="43.28125" style="0" customWidth="1"/>
    <col min="2" max="3" width="12.140625" style="1" customWidth="1"/>
    <col min="4" max="4" width="12.28125" style="0" customWidth="1"/>
    <col min="5" max="5" width="49.8515625" style="0" customWidth="1"/>
  </cols>
  <sheetData>
    <row r="1" spans="1:5" ht="25.5" customHeight="1" thickBot="1">
      <c r="A1" s="46" t="s">
        <v>21</v>
      </c>
      <c r="B1" s="41"/>
      <c r="C1" s="41"/>
      <c r="D1" s="41"/>
      <c r="E1" s="12" t="s">
        <v>121</v>
      </c>
    </row>
    <row r="2" spans="1:5" ht="12.75">
      <c r="A2" s="4" t="s">
        <v>95</v>
      </c>
      <c r="B2" s="14">
        <v>10</v>
      </c>
      <c r="C2" s="19"/>
      <c r="D2" s="13">
        <v>2</v>
      </c>
      <c r="E2" s="4" t="s">
        <v>98</v>
      </c>
    </row>
    <row r="3" spans="1:5" ht="12.75">
      <c r="A3" s="4" t="s">
        <v>72</v>
      </c>
      <c r="B3" s="13">
        <v>58</v>
      </c>
      <c r="C3" s="19"/>
      <c r="D3" s="13">
        <v>2</v>
      </c>
      <c r="E3" s="4" t="s">
        <v>52</v>
      </c>
    </row>
    <row r="4" spans="1:5" ht="12.75">
      <c r="A4" s="4" t="s">
        <v>39</v>
      </c>
      <c r="B4" s="13">
        <v>6</v>
      </c>
      <c r="C4" s="19" t="s">
        <v>47</v>
      </c>
      <c r="D4" s="13">
        <v>100</v>
      </c>
      <c r="E4" s="11" t="s">
        <v>132</v>
      </c>
    </row>
    <row r="5" spans="1:5" ht="12.75">
      <c r="A5" s="4" t="s">
        <v>142</v>
      </c>
      <c r="B5" s="13">
        <v>50</v>
      </c>
      <c r="C5" s="19" t="s">
        <v>47</v>
      </c>
      <c r="D5" s="13">
        <v>50</v>
      </c>
      <c r="E5" s="4" t="s">
        <v>134</v>
      </c>
    </row>
    <row r="6" spans="1:8" ht="13.5" thickBot="1">
      <c r="A6" s="4" t="s">
        <v>143</v>
      </c>
      <c r="B6" s="13">
        <v>8</v>
      </c>
      <c r="C6" s="19" t="s">
        <v>94</v>
      </c>
      <c r="D6" s="13">
        <v>300</v>
      </c>
      <c r="E6" s="11" t="s">
        <v>139</v>
      </c>
      <c r="G6" s="1" t="s">
        <v>162</v>
      </c>
      <c r="H6" s="1" t="s">
        <v>161</v>
      </c>
    </row>
    <row r="7" spans="1:5" ht="4.5" customHeight="1" thickBot="1">
      <c r="A7" s="34"/>
      <c r="B7" s="35"/>
      <c r="C7" s="35"/>
      <c r="D7" s="35"/>
      <c r="E7" s="36"/>
    </row>
    <row r="8" spans="1:5" ht="13.5" thickBot="1">
      <c r="A8" s="40" t="s">
        <v>23</v>
      </c>
      <c r="B8" s="41"/>
      <c r="C8" s="42"/>
      <c r="D8" s="3" t="s">
        <v>14</v>
      </c>
      <c r="E8" s="3" t="s">
        <v>10</v>
      </c>
    </row>
    <row r="9" spans="1:5" ht="4.5" customHeight="1" thickBot="1">
      <c r="A9" s="26"/>
      <c r="B9" s="26"/>
      <c r="C9" s="26"/>
      <c r="D9" s="26"/>
      <c r="E9" s="26"/>
    </row>
    <row r="10" spans="1:5" ht="12.75">
      <c r="A10" s="43" t="s">
        <v>122</v>
      </c>
      <c r="B10" s="44"/>
      <c r="C10" s="44"/>
      <c r="D10" s="45"/>
      <c r="E10" s="10"/>
    </row>
    <row r="11" spans="1:5" ht="12.75">
      <c r="A11" s="4" t="s">
        <v>6</v>
      </c>
      <c r="B11" s="5">
        <v>2</v>
      </c>
      <c r="C11" s="5">
        <v>4</v>
      </c>
      <c r="D11" s="4" t="s">
        <v>20</v>
      </c>
      <c r="E11" s="4"/>
    </row>
    <row r="12" spans="1:5" ht="12.75">
      <c r="A12" s="4" t="s">
        <v>0</v>
      </c>
      <c r="B12" s="5">
        <v>4985</v>
      </c>
      <c r="C12" s="5">
        <v>2545</v>
      </c>
      <c r="D12" s="4" t="s">
        <v>34</v>
      </c>
      <c r="E12" s="4"/>
    </row>
    <row r="13" spans="1:5" ht="12.75">
      <c r="A13" s="4" t="s">
        <v>1</v>
      </c>
      <c r="B13" s="5">
        <v>33691</v>
      </c>
      <c r="C13" s="5">
        <v>36693</v>
      </c>
      <c r="D13" s="4" t="s">
        <v>35</v>
      </c>
      <c r="E13" s="4"/>
    </row>
    <row r="14" spans="1:6" ht="12.75">
      <c r="A14" s="4" t="s">
        <v>2</v>
      </c>
      <c r="B14" s="5">
        <v>6.76</v>
      </c>
      <c r="C14" s="5">
        <v>14.4</v>
      </c>
      <c r="D14" s="18" t="s">
        <v>86</v>
      </c>
      <c r="E14" s="4" t="s">
        <v>87</v>
      </c>
      <c r="F14" s="4"/>
    </row>
    <row r="15" spans="1:5" ht="12.75">
      <c r="A15" s="4" t="s">
        <v>3</v>
      </c>
      <c r="B15" s="5">
        <v>14.06</v>
      </c>
      <c r="C15" s="5">
        <v>27.5</v>
      </c>
      <c r="D15" s="4"/>
      <c r="E15" s="4" t="s">
        <v>129</v>
      </c>
    </row>
    <row r="16" spans="1:5" ht="12.75">
      <c r="A16" s="4" t="s">
        <v>8</v>
      </c>
      <c r="B16" s="5">
        <v>2.08</v>
      </c>
      <c r="C16" s="5">
        <v>1.91</v>
      </c>
      <c r="D16" s="4"/>
      <c r="E16" s="4"/>
    </row>
    <row r="17" spans="1:5" ht="12.75">
      <c r="A17" s="4" t="s">
        <v>4</v>
      </c>
      <c r="B17" s="5">
        <v>3538</v>
      </c>
      <c r="C17" s="5">
        <v>2291</v>
      </c>
      <c r="D17" s="4"/>
      <c r="E17" s="4"/>
    </row>
    <row r="18" spans="1:5" ht="12.75">
      <c r="A18" s="19" t="s">
        <v>7</v>
      </c>
      <c r="B18" s="6">
        <f>(B17/B12)*100</f>
        <v>70.97291875626881</v>
      </c>
      <c r="C18" s="7">
        <f>(C17/C12)*100</f>
        <v>90.0196463654224</v>
      </c>
      <c r="D18" s="4" t="s">
        <v>36</v>
      </c>
      <c r="E18" s="4"/>
    </row>
    <row r="19" spans="1:5" ht="4.5" customHeight="1">
      <c r="A19" s="26"/>
      <c r="B19" s="26"/>
      <c r="C19" s="26"/>
      <c r="D19" s="26"/>
      <c r="E19" s="26"/>
    </row>
    <row r="20" spans="1:5" ht="12.75">
      <c r="A20" s="38" t="s">
        <v>9</v>
      </c>
      <c r="B20" s="39"/>
      <c r="C20" s="39"/>
      <c r="D20" s="39"/>
      <c r="E20" s="11"/>
    </row>
    <row r="21" spans="1:5" ht="12.75">
      <c r="A21" s="4" t="s">
        <v>5</v>
      </c>
      <c r="B21" s="8">
        <f>B14/(B18/100)</f>
        <v>9.524759751271905</v>
      </c>
      <c r="C21" s="8">
        <f>C14/(C18/100)</f>
        <v>15.996508075076386</v>
      </c>
      <c r="D21" s="4"/>
      <c r="E21" s="4" t="s">
        <v>65</v>
      </c>
    </row>
    <row r="22" spans="1:5" ht="12.75">
      <c r="A22" s="4" t="s">
        <v>54</v>
      </c>
      <c r="B22" s="8">
        <f>B21*B16</f>
        <v>19.81150028264556</v>
      </c>
      <c r="C22" s="8">
        <f>C21*C16</f>
        <v>30.553330423395895</v>
      </c>
      <c r="D22" s="4" t="s">
        <v>37</v>
      </c>
      <c r="E22" s="4" t="s">
        <v>88</v>
      </c>
    </row>
    <row r="23" spans="1:5" ht="12.75">
      <c r="A23" s="4" t="s">
        <v>53</v>
      </c>
      <c r="B23" s="8">
        <f>B22*Bytes_per_hit</f>
        <v>118.86900169587337</v>
      </c>
      <c r="C23" s="8">
        <f>C22*Bytes_per_hit</f>
        <v>183.31998254037538</v>
      </c>
      <c r="D23" s="4" t="s">
        <v>38</v>
      </c>
      <c r="E23" s="4" t="s">
        <v>88</v>
      </c>
    </row>
    <row r="24" spans="1:5" ht="12.75">
      <c r="A24" s="4" t="s">
        <v>55</v>
      </c>
      <c r="B24" s="9">
        <f>B23*(B18/100)</f>
        <v>84.3648</v>
      </c>
      <c r="C24" s="9">
        <f>C23*(C18/100)</f>
        <v>165.024</v>
      </c>
      <c r="D24" s="4" t="s">
        <v>38</v>
      </c>
      <c r="E24" s="4" t="s">
        <v>90</v>
      </c>
    </row>
    <row r="25" spans="1:5" ht="12.75">
      <c r="A25" s="4" t="s">
        <v>56</v>
      </c>
      <c r="B25" s="8">
        <f>B24*Bunch_clockMhz</f>
        <v>640.0154770285715</v>
      </c>
      <c r="C25" s="8">
        <f>C24*Bunch_clockMhz</f>
        <v>1251.9192137142857</v>
      </c>
      <c r="D25" s="4" t="s">
        <v>16</v>
      </c>
      <c r="E25" s="4" t="s">
        <v>89</v>
      </c>
    </row>
    <row r="26" spans="1:5" ht="4.5" customHeight="1">
      <c r="A26" s="26"/>
      <c r="B26" s="26"/>
      <c r="C26" s="26"/>
      <c r="D26" s="26"/>
      <c r="E26" s="26"/>
    </row>
    <row r="27" spans="1:5" ht="12.75">
      <c r="A27" s="38" t="s">
        <v>48</v>
      </c>
      <c r="B27" s="39"/>
      <c r="C27" s="39"/>
      <c r="D27" s="39"/>
      <c r="E27" s="11"/>
    </row>
    <row r="28" spans="1:5" ht="12.75">
      <c r="A28" s="4" t="s">
        <v>49</v>
      </c>
      <c r="B28" s="8">
        <f>B22*2</f>
        <v>39.62300056529112</v>
      </c>
      <c r="C28" s="8">
        <f>C22*2</f>
        <v>61.10666084679179</v>
      </c>
      <c r="D28" s="4" t="s">
        <v>37</v>
      </c>
      <c r="E28" s="4"/>
    </row>
    <row r="29" spans="1:5" ht="12.75">
      <c r="A29" s="4" t="s">
        <v>50</v>
      </c>
      <c r="B29" s="8">
        <f>B28*Bytes_per_hit</f>
        <v>237.73800339174673</v>
      </c>
      <c r="C29" s="8">
        <f>C28*Bytes_per_hit</f>
        <v>366.63996508075076</v>
      </c>
      <c r="D29" s="4" t="s">
        <v>38</v>
      </c>
      <c r="E29" s="4"/>
    </row>
    <row r="30" spans="1:5" ht="12.75">
      <c r="A30" s="4" t="s">
        <v>57</v>
      </c>
      <c r="B30" s="9">
        <f>B29*(B18/100)</f>
        <v>168.7296</v>
      </c>
      <c r="C30" s="9">
        <f>C29*(C18/100)</f>
        <v>330.048</v>
      </c>
      <c r="D30" s="4" t="s">
        <v>38</v>
      </c>
      <c r="E30" s="4"/>
    </row>
    <row r="31" spans="1:5" ht="12.75">
      <c r="A31" s="4" t="s">
        <v>58</v>
      </c>
      <c r="B31" s="8">
        <f>B30*Bunch_clockMhz</f>
        <v>1280.030954057143</v>
      </c>
      <c r="C31" s="8">
        <f>C30*Bunch_clockMhz</f>
        <v>2503.8384274285713</v>
      </c>
      <c r="D31" s="4" t="s">
        <v>16</v>
      </c>
      <c r="E31" s="4"/>
    </row>
    <row r="32" spans="1:5" ht="4.5" customHeight="1">
      <c r="A32" s="26"/>
      <c r="B32" s="26"/>
      <c r="C32" s="26"/>
      <c r="D32" s="26"/>
      <c r="E32" s="26"/>
    </row>
    <row r="33" spans="1:5" ht="12.75">
      <c r="A33" s="38" t="s">
        <v>33</v>
      </c>
      <c r="B33" s="39"/>
      <c r="C33" s="39"/>
      <c r="D33" s="39"/>
      <c r="E33" s="11"/>
    </row>
    <row r="34" spans="1:5" ht="12.75">
      <c r="A34" s="4" t="s">
        <v>59</v>
      </c>
      <c r="B34" s="8">
        <f>B28*Half_Planes</f>
        <v>2298.134032786885</v>
      </c>
      <c r="C34" s="8">
        <f>C28*Half_Planes</f>
        <v>3544.186329113924</v>
      </c>
      <c r="D34" s="4" t="s">
        <v>37</v>
      </c>
      <c r="E34" s="4" t="s">
        <v>88</v>
      </c>
    </row>
    <row r="35" spans="1:5" ht="12.75">
      <c r="A35" s="4" t="s">
        <v>40</v>
      </c>
      <c r="B35" s="8">
        <f>(B34*Bytes_per_hit)/1000</f>
        <v>13.78880419672131</v>
      </c>
      <c r="C35" s="8">
        <f>(C34*Bytes_per_hit)/1000</f>
        <v>21.265117974683545</v>
      </c>
      <c r="D35" s="4" t="s">
        <v>60</v>
      </c>
      <c r="E35" s="4" t="s">
        <v>88</v>
      </c>
    </row>
    <row r="36" spans="1:5" ht="12.75">
      <c r="A36" s="4" t="s">
        <v>57</v>
      </c>
      <c r="B36" s="8">
        <f>B35*(B18/100)</f>
        <v>9.7863168</v>
      </c>
      <c r="C36" s="8">
        <f>C35*(C18/100)</f>
        <v>19.142784000000002</v>
      </c>
      <c r="D36" s="4" t="s">
        <v>60</v>
      </c>
      <c r="E36" s="4" t="s">
        <v>89</v>
      </c>
    </row>
    <row r="37" spans="1:6" ht="12.75">
      <c r="A37" s="4" t="s">
        <v>58</v>
      </c>
      <c r="B37" s="8">
        <f>B36*Bunch_clockMhz</f>
        <v>74.24179533531428</v>
      </c>
      <c r="C37" s="8">
        <f>C36*Bunch_clockMhz</f>
        <v>145.22262879085716</v>
      </c>
      <c r="D37" s="4" t="s">
        <v>41</v>
      </c>
      <c r="E37" s="4" t="s">
        <v>92</v>
      </c>
      <c r="F37" s="4" t="s">
        <v>91</v>
      </c>
    </row>
    <row r="38" spans="1:5" ht="4.5" customHeight="1">
      <c r="A38" s="26"/>
      <c r="B38" s="27"/>
      <c r="C38" s="27"/>
      <c r="D38" s="26"/>
      <c r="E38" s="26"/>
    </row>
    <row r="39" spans="1:5" ht="12.75">
      <c r="A39" s="38" t="s">
        <v>96</v>
      </c>
      <c r="B39" s="39"/>
      <c r="C39" s="39"/>
      <c r="D39" s="50"/>
      <c r="E39" s="11"/>
    </row>
    <row r="40" spans="1:5" ht="12.75">
      <c r="A40" s="4" t="s">
        <v>107</v>
      </c>
      <c r="B40" s="24">
        <f>B2</f>
        <v>10</v>
      </c>
      <c r="C40" s="24">
        <f>B2</f>
        <v>10</v>
      </c>
      <c r="D40" s="4"/>
      <c r="E40" s="11"/>
    </row>
    <row r="41" spans="1:5" ht="12.75">
      <c r="A41" s="4" t="s">
        <v>119</v>
      </c>
      <c r="B41" s="8">
        <f>B37/B2</f>
        <v>7.424179533531428</v>
      </c>
      <c r="C41" s="8">
        <f>C37/B2</f>
        <v>14.522262879085716</v>
      </c>
      <c r="D41" s="4" t="s">
        <v>41</v>
      </c>
      <c r="E41" s="4"/>
    </row>
    <row r="42" spans="1:5" ht="12.75">
      <c r="A42" s="4" t="s">
        <v>120</v>
      </c>
      <c r="B42" s="8">
        <f>Bunch_clockKhz/Trigger_rates!B2</f>
        <v>758.6285714285715</v>
      </c>
      <c r="C42" s="8">
        <f>Bunch_clockKhz/Trigger_rates!B2</f>
        <v>758.6285714285715</v>
      </c>
      <c r="D42" s="4" t="s">
        <v>45</v>
      </c>
      <c r="E42" s="4" t="s">
        <v>111</v>
      </c>
    </row>
    <row r="43" spans="1:5" ht="12.75">
      <c r="A43" s="4" t="s">
        <v>112</v>
      </c>
      <c r="B43" s="8">
        <f>HighwayPeriodUs</f>
        <v>1.3181681229285929</v>
      </c>
      <c r="C43" s="8">
        <f>HighwayPeriodUs</f>
        <v>1.3181681229285929</v>
      </c>
      <c r="D43" s="4" t="s">
        <v>15</v>
      </c>
      <c r="E43" s="4" t="s">
        <v>93</v>
      </c>
    </row>
    <row r="44" spans="1:5" ht="4.5" customHeight="1">
      <c r="A44" s="26"/>
      <c r="B44" s="26"/>
      <c r="C44" s="26"/>
      <c r="D44" s="26"/>
      <c r="E44" s="26"/>
    </row>
    <row r="45" spans="1:5" ht="12.75">
      <c r="A45" s="38" t="s">
        <v>97</v>
      </c>
      <c r="B45" s="39"/>
      <c r="C45" s="39"/>
      <c r="D45" s="39"/>
      <c r="E45" s="11"/>
    </row>
    <row r="46" spans="1:5" ht="12.75">
      <c r="A46" s="4" t="s">
        <v>100</v>
      </c>
      <c r="B46" s="8">
        <f>B30</f>
        <v>168.7296</v>
      </c>
      <c r="C46" s="8">
        <f>C30</f>
        <v>330.048</v>
      </c>
      <c r="D46" s="4" t="s">
        <v>151</v>
      </c>
      <c r="E46" s="4" t="s">
        <v>152</v>
      </c>
    </row>
    <row r="47" spans="1:5" ht="12.75">
      <c r="A47" s="4" t="s">
        <v>98</v>
      </c>
      <c r="B47" s="24">
        <f>D2</f>
        <v>2</v>
      </c>
      <c r="C47" s="24">
        <f>D2</f>
        <v>2</v>
      </c>
      <c r="D47" s="4"/>
      <c r="E47" s="4" t="s">
        <v>108</v>
      </c>
    </row>
    <row r="48" spans="1:5" ht="12.75">
      <c r="A48" s="4" t="s">
        <v>99</v>
      </c>
      <c r="B48" s="8">
        <f>B46/B47</f>
        <v>84.3648</v>
      </c>
      <c r="C48" s="8">
        <f>C46/C47</f>
        <v>165.024</v>
      </c>
      <c r="D48" s="4" t="s">
        <v>150</v>
      </c>
      <c r="E48" s="4" t="s">
        <v>27</v>
      </c>
    </row>
    <row r="49" spans="1:5" ht="4.5" customHeight="1">
      <c r="A49" s="26"/>
      <c r="B49" s="26"/>
      <c r="C49" s="26"/>
      <c r="D49" s="26"/>
      <c r="E49" s="26"/>
    </row>
    <row r="50" spans="1:5" ht="12.75">
      <c r="A50" s="38" t="s">
        <v>13</v>
      </c>
      <c r="B50" s="39"/>
      <c r="C50" s="39"/>
      <c r="D50" s="39"/>
      <c r="E50" s="11"/>
    </row>
    <row r="51" spans="1:5" ht="12.75">
      <c r="A51" s="4" t="s">
        <v>61</v>
      </c>
      <c r="B51" s="8">
        <f>B48</f>
        <v>84.3648</v>
      </c>
      <c r="C51" s="8">
        <f>C48</f>
        <v>165.024</v>
      </c>
      <c r="D51" s="4" t="s">
        <v>151</v>
      </c>
      <c r="E51" s="4" t="s">
        <v>113</v>
      </c>
    </row>
    <row r="52" spans="1:5" ht="12.75">
      <c r="A52" s="4" t="s">
        <v>24</v>
      </c>
      <c r="B52" s="8">
        <f>HighwayPeriodUs</f>
        <v>1.3181681229285929</v>
      </c>
      <c r="C52" s="8">
        <f>C43</f>
        <v>1.3181681229285929</v>
      </c>
      <c r="D52" s="4" t="s">
        <v>15</v>
      </c>
      <c r="E52" s="4" t="s">
        <v>25</v>
      </c>
    </row>
    <row r="53" spans="1:5" ht="12.75">
      <c r="A53" s="4" t="s">
        <v>62</v>
      </c>
      <c r="B53" s="8">
        <f>B51*HighwayClkMHz</f>
        <v>64.00154770285714</v>
      </c>
      <c r="C53" s="8">
        <f>C51*HighwayClkMHz</f>
        <v>125.19192137142858</v>
      </c>
      <c r="D53" s="4" t="s">
        <v>16</v>
      </c>
      <c r="E53" s="4" t="s">
        <v>114</v>
      </c>
    </row>
    <row r="54" spans="1:5" ht="12.75">
      <c r="A54" s="4" t="s">
        <v>63</v>
      </c>
      <c r="B54" s="8">
        <f>B53*3</f>
        <v>192.00464310857143</v>
      </c>
      <c r="C54" s="8">
        <f>C53*3</f>
        <v>375.57576411428573</v>
      </c>
      <c r="D54" s="4" t="s">
        <v>16</v>
      </c>
      <c r="E54" s="4" t="s">
        <v>64</v>
      </c>
    </row>
    <row r="55" spans="1:5" ht="12.75">
      <c r="A55" s="4" t="s">
        <v>52</v>
      </c>
      <c r="B55" s="24">
        <f>D3</f>
        <v>2</v>
      </c>
      <c r="C55" s="24">
        <f>D3</f>
        <v>2</v>
      </c>
      <c r="D55" s="4"/>
      <c r="E55" s="4" t="s">
        <v>17</v>
      </c>
    </row>
    <row r="56" spans="1:5" ht="12.75">
      <c r="A56" s="4" t="s">
        <v>68</v>
      </c>
      <c r="B56" s="8">
        <f>B53/B55</f>
        <v>32.00077385142857</v>
      </c>
      <c r="C56" s="8">
        <f>C53/C55</f>
        <v>62.59596068571429</v>
      </c>
      <c r="D56" s="4" t="s">
        <v>16</v>
      </c>
      <c r="E56" s="4" t="s">
        <v>26</v>
      </c>
    </row>
    <row r="57" spans="1:5" ht="12.75">
      <c r="A57" s="4" t="s">
        <v>71</v>
      </c>
      <c r="B57" s="8">
        <f>B51/B55</f>
        <v>42.1824</v>
      </c>
      <c r="C57" s="8">
        <f>C51/C55</f>
        <v>82.512</v>
      </c>
      <c r="D57" s="4" t="s">
        <v>150</v>
      </c>
      <c r="E57" s="4" t="s">
        <v>27</v>
      </c>
    </row>
    <row r="58" spans="1:5" ht="4.5" customHeight="1">
      <c r="A58" s="26"/>
      <c r="B58" s="26"/>
      <c r="C58" s="26"/>
      <c r="D58" s="26"/>
      <c r="E58" s="26"/>
    </row>
    <row r="59" spans="1:5" ht="12.75">
      <c r="A59" s="38" t="s">
        <v>155</v>
      </c>
      <c r="B59" s="39"/>
      <c r="C59" s="39"/>
      <c r="D59" s="39"/>
      <c r="E59" s="11"/>
    </row>
    <row r="60" spans="1:5" ht="12.75">
      <c r="A60" s="4" t="s">
        <v>69</v>
      </c>
      <c r="B60" s="22">
        <f>Half_Planes</f>
        <v>58</v>
      </c>
      <c r="C60" s="22">
        <f>B60</f>
        <v>58</v>
      </c>
      <c r="D60" s="4"/>
      <c r="E60" s="4" t="s">
        <v>28</v>
      </c>
    </row>
    <row r="61" spans="1:5" ht="12.75">
      <c r="A61" s="4" t="s">
        <v>67</v>
      </c>
      <c r="B61" s="8">
        <f>B57</f>
        <v>42.1824</v>
      </c>
      <c r="C61" s="8">
        <f>C57</f>
        <v>82.512</v>
      </c>
      <c r="D61" s="4" t="s">
        <v>150</v>
      </c>
      <c r="E61" s="4" t="s">
        <v>32</v>
      </c>
    </row>
    <row r="62" spans="1:5" ht="12.75">
      <c r="A62" s="4" t="s">
        <v>68</v>
      </c>
      <c r="B62" s="8">
        <f>B56</f>
        <v>32.00077385142857</v>
      </c>
      <c r="C62" s="8">
        <f>C56</f>
        <v>62.59596068571429</v>
      </c>
      <c r="D62" s="4" t="s">
        <v>16</v>
      </c>
      <c r="E62" s="4" t="s">
        <v>31</v>
      </c>
    </row>
    <row r="63" spans="1:5" ht="12.75">
      <c r="A63" s="4" t="s">
        <v>70</v>
      </c>
      <c r="B63" s="8">
        <f>B61*B60</f>
        <v>2446.5792</v>
      </c>
      <c r="C63" s="8">
        <f>C61*C60</f>
        <v>4785.696</v>
      </c>
      <c r="D63" s="4" t="s">
        <v>150</v>
      </c>
      <c r="E63" s="4" t="s">
        <v>29</v>
      </c>
    </row>
    <row r="64" spans="1:5" ht="12.75">
      <c r="A64" s="4" t="s">
        <v>66</v>
      </c>
      <c r="B64" s="8">
        <f>B63/B65</f>
        <v>32.000773851428576</v>
      </c>
      <c r="C64" s="8">
        <f>C63/C65</f>
        <v>62.59596068571429</v>
      </c>
      <c r="D64" s="4" t="s">
        <v>16</v>
      </c>
      <c r="E64" s="4" t="s">
        <v>102</v>
      </c>
    </row>
    <row r="65" spans="1:5" ht="12.75">
      <c r="A65" s="4" t="s">
        <v>22</v>
      </c>
      <c r="B65" s="9">
        <f>B43*B60</f>
        <v>76.45375112985839</v>
      </c>
      <c r="C65" s="8">
        <f>B65</f>
        <v>76.45375112985839</v>
      </c>
      <c r="D65" s="4" t="s">
        <v>15</v>
      </c>
      <c r="E65" s="4" t="s">
        <v>30</v>
      </c>
    </row>
    <row r="66" spans="1:5" ht="4.5" customHeight="1">
      <c r="A66" s="26"/>
      <c r="B66" s="26"/>
      <c r="C66" s="26"/>
      <c r="D66" s="26"/>
      <c r="E66" s="26"/>
    </row>
    <row r="67" spans="1:5" ht="12.75">
      <c r="A67" s="38" t="s">
        <v>144</v>
      </c>
      <c r="B67" s="39"/>
      <c r="C67" s="39"/>
      <c r="D67" s="39"/>
      <c r="E67" s="11"/>
    </row>
    <row r="68" spans="1:5" ht="12.75">
      <c r="A68" s="4" t="s">
        <v>156</v>
      </c>
      <c r="B68" s="22">
        <f>Half_Planes</f>
        <v>58</v>
      </c>
      <c r="C68" s="22">
        <f>B68</f>
        <v>58</v>
      </c>
      <c r="D68" s="4"/>
      <c r="E68" s="4" t="s">
        <v>160</v>
      </c>
    </row>
    <row r="69" spans="1:5" ht="12.75">
      <c r="A69" s="4" t="s">
        <v>145</v>
      </c>
      <c r="B69" s="8">
        <f>B64</f>
        <v>32.000773851428576</v>
      </c>
      <c r="C69" s="8">
        <f>C64</f>
        <v>62.59596068571429</v>
      </c>
      <c r="D69" s="4" t="s">
        <v>16</v>
      </c>
      <c r="E69" s="4" t="s">
        <v>101</v>
      </c>
    </row>
    <row r="70" spans="1:5" ht="12.75">
      <c r="A70" s="4" t="s">
        <v>143</v>
      </c>
      <c r="B70" s="23">
        <f>B6</f>
        <v>8</v>
      </c>
      <c r="C70" s="24">
        <f>B70</f>
        <v>8</v>
      </c>
      <c r="D70" s="4"/>
      <c r="E70" s="4"/>
    </row>
    <row r="71" spans="1:5" ht="12.75">
      <c r="A71" s="4" t="s">
        <v>157</v>
      </c>
      <c r="B71" s="33">
        <f>B70*B68</f>
        <v>464</v>
      </c>
      <c r="C71" s="33">
        <f>C70*C68</f>
        <v>464</v>
      </c>
      <c r="D71" s="4"/>
      <c r="E71" s="4"/>
    </row>
    <row r="72" spans="1:5" ht="12.75">
      <c r="A72" s="4" t="s">
        <v>154</v>
      </c>
      <c r="B72" s="8">
        <f>(B69/B70)</f>
        <v>4.000096731428572</v>
      </c>
      <c r="C72" s="8">
        <f>(C69/C70)</f>
        <v>7.824495085714286</v>
      </c>
      <c r="D72" s="4" t="s">
        <v>16</v>
      </c>
      <c r="E72" s="4"/>
    </row>
    <row r="73" spans="1:5" ht="12.75">
      <c r="A73" s="4" t="s">
        <v>153</v>
      </c>
      <c r="B73" s="8">
        <f>B63</f>
        <v>2446.5792</v>
      </c>
      <c r="C73" s="8">
        <f>C63</f>
        <v>4785.696</v>
      </c>
      <c r="D73" s="4" t="s">
        <v>150</v>
      </c>
      <c r="E73" s="4"/>
    </row>
    <row r="74" spans="1:5" ht="12.75">
      <c r="A74" s="4" t="s">
        <v>138</v>
      </c>
      <c r="B74" s="8">
        <f>B65*B70</f>
        <v>611.6300090388671</v>
      </c>
      <c r="C74" s="8">
        <f>C65*C70</f>
        <v>611.6300090388671</v>
      </c>
      <c r="D74" s="4" t="s">
        <v>15</v>
      </c>
      <c r="E74" s="4"/>
    </row>
    <row r="75" spans="1:5" ht="12.75">
      <c r="A75" s="4" t="s">
        <v>158</v>
      </c>
      <c r="B75" s="8">
        <f>(1/B74)*1000000</f>
        <v>1634.975369458128</v>
      </c>
      <c r="C75" s="8">
        <f>(1/C74)*1000000</f>
        <v>1634.975369458128</v>
      </c>
      <c r="D75" s="4" t="s">
        <v>159</v>
      </c>
      <c r="E75" s="4" t="s">
        <v>163</v>
      </c>
    </row>
    <row r="76" spans="1:5" ht="12.75">
      <c r="A76" s="4" t="s">
        <v>146</v>
      </c>
      <c r="B76" s="21">
        <f>(1/B65)*1000000</f>
        <v>13079.802955665024</v>
      </c>
      <c r="C76" s="21">
        <f>(1/C65)*1000000</f>
        <v>13079.802955665024</v>
      </c>
      <c r="D76" s="4" t="s">
        <v>85</v>
      </c>
      <c r="E76" s="4"/>
    </row>
    <row r="77" spans="1:5" ht="12.75">
      <c r="A77" s="4" t="s">
        <v>147</v>
      </c>
      <c r="B77" s="17">
        <f>(B76*Byets_per_result_message)/1000</f>
        <v>653.9901477832511</v>
      </c>
      <c r="C77" s="17">
        <f>(C76*Byets_per_result_message)/1000</f>
        <v>653.9901477832511</v>
      </c>
      <c r="D77" s="4" t="s">
        <v>103</v>
      </c>
      <c r="E77" s="4"/>
    </row>
    <row r="78" spans="1:5" ht="12.75">
      <c r="A78" s="4" t="s">
        <v>148</v>
      </c>
      <c r="B78" s="17">
        <f>B60*B40</f>
        <v>580</v>
      </c>
      <c r="C78" s="17">
        <f>C60*C40</f>
        <v>580</v>
      </c>
      <c r="D78" s="4"/>
      <c r="E78" s="4"/>
    </row>
    <row r="79" spans="1:5" ht="12.75">
      <c r="A79" s="4" t="s">
        <v>51</v>
      </c>
      <c r="B79" s="7">
        <f>B2*Half_Planes*B70</f>
        <v>4640</v>
      </c>
      <c r="C79" s="7">
        <f>B2*Half_Planes*B70</f>
        <v>4640</v>
      </c>
      <c r="D79" s="4"/>
      <c r="E79" s="4" t="s">
        <v>149</v>
      </c>
    </row>
    <row r="80" spans="1:5" ht="12.75">
      <c r="A80" s="4" t="s">
        <v>109</v>
      </c>
      <c r="B80" s="17">
        <f>B79/4</f>
        <v>1160</v>
      </c>
      <c r="C80" s="17">
        <f>C79/4</f>
        <v>1160</v>
      </c>
      <c r="D80" s="4"/>
      <c r="E80" s="4"/>
    </row>
    <row r="81" spans="1:5" ht="12.75">
      <c r="A81" s="4" t="s">
        <v>110</v>
      </c>
      <c r="B81" s="17">
        <f>B80/20</f>
        <v>58</v>
      </c>
      <c r="C81" s="17">
        <f>C80/20</f>
        <v>58</v>
      </c>
      <c r="D81" s="4"/>
      <c r="E81" s="4"/>
    </row>
    <row r="82" spans="1:5" ht="4.5" customHeight="1">
      <c r="A82" s="26"/>
      <c r="B82" s="26"/>
      <c r="C82" s="26"/>
      <c r="D82" s="26"/>
      <c r="E82" s="26"/>
    </row>
    <row r="83" spans="1:5" ht="12.75">
      <c r="A83" s="38" t="s">
        <v>131</v>
      </c>
      <c r="B83" s="48"/>
      <c r="C83" s="48"/>
      <c r="D83" s="48"/>
      <c r="E83" s="11"/>
    </row>
    <row r="84" spans="1:5" ht="12.75">
      <c r="A84" s="4" t="s">
        <v>137</v>
      </c>
      <c r="B84" s="21">
        <f>B78*B76</f>
        <v>7586285.714285714</v>
      </c>
      <c r="C84" s="21">
        <f>B78*B76</f>
        <v>7586285.714285714</v>
      </c>
      <c r="D84" s="4" t="s">
        <v>105</v>
      </c>
      <c r="E84" s="4" t="s">
        <v>106</v>
      </c>
    </row>
    <row r="85" spans="1:5" ht="12.75">
      <c r="A85" s="4" t="s">
        <v>126</v>
      </c>
      <c r="B85" s="8">
        <f>B78*(B77)/1000</f>
        <v>379.3142857142857</v>
      </c>
      <c r="C85" s="8">
        <f>C78*(C77)/1000</f>
        <v>379.3142857142857</v>
      </c>
      <c r="D85" s="4" t="s">
        <v>16</v>
      </c>
      <c r="E85" s="4" t="s">
        <v>125</v>
      </c>
    </row>
    <row r="86" spans="1:5" ht="12.75">
      <c r="A86" s="4" t="s">
        <v>123</v>
      </c>
      <c r="B86" s="21">
        <f>Bunch_clock/B2</f>
        <v>758628.5714285715</v>
      </c>
      <c r="C86" s="21">
        <f>Bunch_clock/B2</f>
        <v>758628.5714285715</v>
      </c>
      <c r="D86" s="4" t="s">
        <v>105</v>
      </c>
      <c r="E86" s="4"/>
    </row>
    <row r="87" spans="1:5" ht="12.75">
      <c r="A87" s="4" t="s">
        <v>124</v>
      </c>
      <c r="B87" s="17">
        <f>B85/B2</f>
        <v>37.93142857142857</v>
      </c>
      <c r="C87" s="17">
        <f>C85/B2</f>
        <v>37.93142857142857</v>
      </c>
      <c r="D87" s="4" t="s">
        <v>128</v>
      </c>
      <c r="E87" s="4" t="s">
        <v>127</v>
      </c>
    </row>
    <row r="88" spans="1:5" ht="12.75">
      <c r="A88" s="4"/>
      <c r="B88" s="17"/>
      <c r="C88" s="17"/>
      <c r="D88" s="4"/>
      <c r="E88" s="4"/>
    </row>
    <row r="89" spans="1:5" ht="4.5" customHeight="1">
      <c r="A89" s="26"/>
      <c r="B89" s="26"/>
      <c r="C89" s="26"/>
      <c r="D89" s="26"/>
      <c r="E89" s="26"/>
    </row>
    <row r="90" spans="1:5" ht="12.75">
      <c r="A90" s="38" t="s">
        <v>130</v>
      </c>
      <c r="B90" s="48"/>
      <c r="C90" s="48"/>
      <c r="D90" s="49"/>
      <c r="E90" s="4" t="s">
        <v>104</v>
      </c>
    </row>
    <row r="91" spans="1:5" ht="12.75">
      <c r="A91" s="4" t="s">
        <v>136</v>
      </c>
      <c r="B91" s="21">
        <f>B84/D4</f>
        <v>75862.85714285713</v>
      </c>
      <c r="C91" s="21">
        <f>C84/D4</f>
        <v>75862.85714285713</v>
      </c>
      <c r="D91" s="4" t="s">
        <v>105</v>
      </c>
      <c r="E91" s="4" t="s">
        <v>133</v>
      </c>
    </row>
    <row r="92" spans="1:5" ht="12.75">
      <c r="A92" s="4" t="s">
        <v>135</v>
      </c>
      <c r="B92" s="21">
        <f>B86*(B85)/1000</f>
        <v>287758.65469387756</v>
      </c>
      <c r="C92" s="21">
        <f>B86*(B85)/1000</f>
        <v>287758.65469387756</v>
      </c>
      <c r="D92" s="4" t="s">
        <v>16</v>
      </c>
      <c r="E92" s="4" t="s">
        <v>126</v>
      </c>
    </row>
    <row r="93" spans="1:5" ht="12.75">
      <c r="A93" s="4" t="s">
        <v>140</v>
      </c>
      <c r="B93" s="21">
        <f>Bunch_clock/B2</f>
        <v>758628.5714285715</v>
      </c>
      <c r="C93" s="21">
        <f>Bunch_clock/B2</f>
        <v>758628.5714285715</v>
      </c>
      <c r="D93" s="4" t="s">
        <v>105</v>
      </c>
      <c r="E93" s="4"/>
    </row>
    <row r="94" spans="1:5" ht="12.75">
      <c r="A94" s="4" t="s">
        <v>141</v>
      </c>
      <c r="B94" s="21">
        <f>B92/B2</f>
        <v>28775.865469387754</v>
      </c>
      <c r="C94" s="21">
        <f>C92/B2</f>
        <v>28775.865469387754</v>
      </c>
      <c r="D94" s="4" t="s">
        <v>128</v>
      </c>
      <c r="E94" s="4"/>
    </row>
    <row r="95" spans="1:5" s="30" customFormat="1" ht="12.75">
      <c r="A95" s="4"/>
      <c r="B95" s="21"/>
      <c r="C95" s="21"/>
      <c r="D95" s="4"/>
      <c r="E95" s="4"/>
    </row>
    <row r="96" spans="1:256" s="30" customFormat="1" ht="4.5" customHeight="1">
      <c r="A96" s="26"/>
      <c r="B96" s="26"/>
      <c r="C96" s="26"/>
      <c r="D96" s="26"/>
      <c r="E96" s="26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  <c r="IU96" s="31"/>
      <c r="IV96" s="31"/>
    </row>
    <row r="97" spans="1:5" s="30" customFormat="1" ht="4.5" customHeight="1">
      <c r="A97" s="26"/>
      <c r="B97" s="26"/>
      <c r="C97" s="26"/>
      <c r="D97" s="26"/>
      <c r="E97" s="26"/>
    </row>
    <row r="98" spans="1:6" s="30" customFormat="1" ht="12.75">
      <c r="A98" s="38" t="s">
        <v>42</v>
      </c>
      <c r="B98" s="47"/>
      <c r="C98" s="47"/>
      <c r="D98" s="37"/>
      <c r="E98" s="28"/>
      <c r="F98" s="32"/>
    </row>
    <row r="99" spans="1:5" ht="12.75">
      <c r="A99" s="4" t="s">
        <v>11</v>
      </c>
      <c r="B99" s="8">
        <v>53104000</v>
      </c>
      <c r="C99" s="19" t="s">
        <v>43</v>
      </c>
      <c r="D99" s="29"/>
      <c r="E99" s="25"/>
    </row>
    <row r="100" spans="1:5" ht="12.75">
      <c r="A100" s="4" t="s">
        <v>12</v>
      </c>
      <c r="B100" s="8">
        <f>B99/7</f>
        <v>7586285.714285715</v>
      </c>
      <c r="C100" s="19" t="s">
        <v>44</v>
      </c>
      <c r="D100" s="29"/>
      <c r="E100" s="25"/>
    </row>
    <row r="101" spans="1:5" ht="12.75">
      <c r="A101" s="4" t="s">
        <v>19</v>
      </c>
      <c r="B101" s="8">
        <f>Bunch_clock/1000</f>
        <v>7586.285714285715</v>
      </c>
      <c r="C101" s="19" t="s">
        <v>45</v>
      </c>
      <c r="D101" s="29"/>
      <c r="E101" s="25"/>
    </row>
    <row r="102" spans="1:5" ht="12.75">
      <c r="A102" s="4" t="s">
        <v>18</v>
      </c>
      <c r="B102" s="8">
        <f>Bunch_clock/1000000</f>
        <v>7.586285714285714</v>
      </c>
      <c r="C102" s="19" t="s">
        <v>46</v>
      </c>
      <c r="D102" s="29"/>
      <c r="E102" s="25"/>
    </row>
    <row r="103" spans="1:5" ht="12.75">
      <c r="A103" s="4" t="s">
        <v>115</v>
      </c>
      <c r="B103" s="8">
        <f>Bunch_clock/Trigger_rates!B2</f>
        <v>758628.5714285715</v>
      </c>
      <c r="C103" s="19" t="s">
        <v>43</v>
      </c>
      <c r="D103" s="29"/>
      <c r="E103" s="25"/>
    </row>
    <row r="104" spans="1:5" ht="12.75">
      <c r="A104" s="4" t="s">
        <v>116</v>
      </c>
      <c r="B104" s="8">
        <f>B103/1000</f>
        <v>758.6285714285715</v>
      </c>
      <c r="C104" s="19" t="s">
        <v>45</v>
      </c>
      <c r="D104" s="29"/>
      <c r="E104" s="25"/>
    </row>
    <row r="105" spans="1:5" ht="12.75">
      <c r="A105" s="4" t="s">
        <v>117</v>
      </c>
      <c r="B105" s="8">
        <f>B103/1000000</f>
        <v>0.7586285714285714</v>
      </c>
      <c r="C105" s="19" t="s">
        <v>46</v>
      </c>
      <c r="D105" s="29"/>
      <c r="E105" s="25"/>
    </row>
    <row r="106" spans="1:5" ht="12.75">
      <c r="A106" s="4" t="s">
        <v>118</v>
      </c>
      <c r="B106" s="8">
        <f>(1/HighwayClk)*1000000</f>
        <v>1.3181681229285929</v>
      </c>
      <c r="C106" s="19" t="s">
        <v>15</v>
      </c>
      <c r="D106" s="29"/>
      <c r="E106" s="25"/>
    </row>
    <row r="107" spans="1:5" ht="12.75">
      <c r="A107" s="4"/>
      <c r="B107" s="8"/>
      <c r="C107" s="20"/>
      <c r="D107" s="29"/>
      <c r="E107" s="25"/>
    </row>
    <row r="108" spans="1:5" ht="12.75">
      <c r="A108" s="4"/>
      <c r="B108" s="8"/>
      <c r="C108" s="8"/>
      <c r="D108" s="29"/>
      <c r="E108" s="25"/>
    </row>
  </sheetData>
  <mergeCells count="14">
    <mergeCell ref="A27:D27"/>
    <mergeCell ref="A50:D50"/>
    <mergeCell ref="A45:D45"/>
    <mergeCell ref="A39:D39"/>
    <mergeCell ref="A33:D33"/>
    <mergeCell ref="A98:C98"/>
    <mergeCell ref="A83:D83"/>
    <mergeCell ref="A67:D67"/>
    <mergeCell ref="A59:D59"/>
    <mergeCell ref="A90:D90"/>
    <mergeCell ref="A20:D20"/>
    <mergeCell ref="A8:C8"/>
    <mergeCell ref="A10:D10"/>
    <mergeCell ref="A1:D1"/>
  </mergeCells>
  <conditionalFormatting sqref="B64:C64 B69:C69 B85:C85">
    <cfRule type="cellIs" priority="1" dxfId="0" operator="greaterThan" stopIfTrue="1">
      <formula>100</formula>
    </cfRule>
  </conditionalFormatting>
  <printOptions/>
  <pageMargins left="0.75" right="0.75" top="1" bottom="1" header="0.5" footer="0.5"/>
  <pageSetup horizontalDpi="600" verticalDpi="600" orientation="landscape" scale="90" r:id="rId2"/>
  <rowBreaks count="2" manualBreakCount="2">
    <brk id="44" max="4" man="1"/>
    <brk id="89" max="4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6"/>
  <sheetViews>
    <sheetView workbookViewId="0" topLeftCell="A1">
      <selection activeCell="E3" sqref="E3"/>
    </sheetView>
  </sheetViews>
  <sheetFormatPr defaultColWidth="9.140625" defaultRowHeight="12.75"/>
  <cols>
    <col min="1" max="1" width="21.140625" style="0" customWidth="1"/>
    <col min="2" max="2" width="17.8515625" style="2" customWidth="1"/>
  </cols>
  <sheetData>
    <row r="2" spans="1:5" ht="12.75">
      <c r="A2" t="s">
        <v>80</v>
      </c>
      <c r="B2" s="2" t="s">
        <v>34</v>
      </c>
      <c r="C2" t="s">
        <v>81</v>
      </c>
      <c r="D2" t="s">
        <v>82</v>
      </c>
      <c r="E2" t="s">
        <v>84</v>
      </c>
    </row>
    <row r="3" spans="2:5" ht="12.75">
      <c r="B3" s="2">
        <v>8</v>
      </c>
      <c r="C3" t="s">
        <v>83</v>
      </c>
      <c r="D3" t="s">
        <v>83</v>
      </c>
      <c r="E3">
        <v>3</v>
      </c>
    </row>
    <row r="5" spans="1:9" ht="12.75">
      <c r="A5" t="s">
        <v>73</v>
      </c>
      <c r="B5" s="16" t="s">
        <v>34</v>
      </c>
      <c r="C5" s="1" t="s">
        <v>74</v>
      </c>
      <c r="D5" s="1" t="s">
        <v>75</v>
      </c>
      <c r="E5" s="1" t="s">
        <v>76</v>
      </c>
      <c r="G5" s="1" t="s">
        <v>78</v>
      </c>
      <c r="H5" s="1" t="s">
        <v>47</v>
      </c>
      <c r="I5" s="1" t="s">
        <v>79</v>
      </c>
    </row>
    <row r="6" spans="1:9" ht="12.75">
      <c r="A6" s="15" t="s">
        <v>77</v>
      </c>
      <c r="B6" s="16">
        <v>20</v>
      </c>
      <c r="C6" s="1">
        <v>14</v>
      </c>
      <c r="D6" s="1">
        <v>14</v>
      </c>
      <c r="E6" s="1">
        <v>8</v>
      </c>
      <c r="G6" s="2">
        <f>SUM(B6:E6)</f>
        <v>56</v>
      </c>
      <c r="H6">
        <f>INT(G6/8)</f>
        <v>7</v>
      </c>
      <c r="I6">
        <f>(G6/8-INT(G6/8))*8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pavlicek</dc:creator>
  <cp:keywords/>
  <dc:description/>
  <cp:lastModifiedBy> Vince Pavlicek</cp:lastModifiedBy>
  <cp:lastPrinted>2001-12-21T20:32:29Z</cp:lastPrinted>
  <dcterms:created xsi:type="dcterms:W3CDTF">2001-03-22T00:03:32Z</dcterms:created>
  <dcterms:modified xsi:type="dcterms:W3CDTF">2003-08-26T14:50:57Z</dcterms:modified>
  <cp:category/>
  <cp:version/>
  <cp:contentType/>
  <cp:contentStatus/>
</cp:coreProperties>
</file>