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4545" activeTab="1"/>
  </bookViews>
  <sheets>
    <sheet name="Instructions" sheetId="1" r:id="rId1"/>
    <sheet name="DataEntry" sheetId="2" r:id="rId2"/>
    <sheet name="YoudenGraph" sheetId="3" r:id="rId3"/>
    <sheet name="LineGraphs" sheetId="4" r:id="rId4"/>
    <sheet name="LineGraphData" sheetId="5" r:id="rId5"/>
    <sheet name="YoudenCalculations" sheetId="6" r:id="rId6"/>
  </sheets>
  <definedNames>
    <definedName name="DataEntry">'DataEntry'!$B$10:$H$39</definedName>
    <definedName name="DataSheet">'LineGraphData'!$A$1</definedName>
    <definedName name="LineGraphs">'LineGraphs'!$A$1</definedName>
    <definedName name="_xlnm.Print_Area" localSheetId="4">'LineGraphData'!$A$1:$M$46</definedName>
    <definedName name="_xlnm.Print_Area" localSheetId="3">'LineGraphs'!$A$1:$V$62</definedName>
    <definedName name="_xlnm.Print_Area" localSheetId="2">'YoudenGraph'!$A$1:$O$65</definedName>
    <definedName name="Title">'DataEntry'!$B$3</definedName>
    <definedName name="Youden">'YoudenGraph'!$A$1</definedName>
  </definedNames>
  <calcPr fullCalcOnLoad="1"/>
</workbook>
</file>

<file path=xl/comments2.xml><?xml version="1.0" encoding="utf-8"?>
<comments xmlns="http://schemas.openxmlformats.org/spreadsheetml/2006/main">
  <authors>
    <author>MeasureNet User</author>
  </authors>
  <commentList>
    <comment ref="B7" authorId="0">
      <text>
        <r>
          <rPr>
            <b/>
            <sz val="8"/>
            <rFont val="Tahoma"/>
            <family val="0"/>
          </rPr>
          <t>Median
or
Mean
or
NIST</t>
        </r>
      </text>
    </comment>
    <comment ref="K1" authorId="0">
      <text>
        <r>
          <rPr>
            <b/>
            <sz val="8"/>
            <rFont val="Tahoma"/>
            <family val="0"/>
          </rPr>
          <t>yes
or
no</t>
        </r>
      </text>
    </comment>
  </commentList>
</comments>
</file>

<file path=xl/sharedStrings.xml><?xml version="1.0" encoding="utf-8"?>
<sst xmlns="http://schemas.openxmlformats.org/spreadsheetml/2006/main" count="91" uniqueCount="70">
  <si>
    <t>Metrologist</t>
  </si>
  <si>
    <t>Median=</t>
  </si>
  <si>
    <t>Unc</t>
  </si>
  <si>
    <t>Median</t>
  </si>
  <si>
    <t>s=</t>
  </si>
  <si>
    <t>Y</t>
  </si>
  <si>
    <t>S*2.45=</t>
  </si>
  <si>
    <t>"95% confidence"</t>
  </si>
  <si>
    <t>radius</t>
  </si>
  <si>
    <t>Uncertainty Analysis</t>
  </si>
  <si>
    <t>OUT R&amp;S</t>
  </si>
  <si>
    <t>Both the random and systematic error exceed the uncertainty</t>
  </si>
  <si>
    <t>OUT Sys</t>
  </si>
  <si>
    <t>Only the systematic error exceeds the uncertainty</t>
  </si>
  <si>
    <t>OUT Ran</t>
  </si>
  <si>
    <t>Only the random portion of the error exceeds the uncertainty</t>
  </si>
  <si>
    <t>Warning</t>
  </si>
  <si>
    <t>Only the summation of the random and systematic errors exceed the uncertainty</t>
  </si>
  <si>
    <t>IN</t>
  </si>
  <si>
    <t>The measurement process appears to be within control</t>
  </si>
  <si>
    <t>Systematic</t>
  </si>
  <si>
    <t>X1</t>
  </si>
  <si>
    <t>X2</t>
  </si>
  <si>
    <t>Y1</t>
  </si>
  <si>
    <t>Y2</t>
  </si>
  <si>
    <t>Unc Test</t>
  </si>
  <si>
    <t>Mean</t>
  </si>
  <si>
    <t>Youden sd =</t>
  </si>
  <si>
    <t>Circle Radius =</t>
  </si>
  <si>
    <t>Circle Center =</t>
  </si>
  <si>
    <t>Data Entry Form for Youden Analysis</t>
  </si>
  <si>
    <t>Artifact #1:</t>
  </si>
  <si>
    <t>Artifact #2:</t>
  </si>
  <si>
    <t>Units:</t>
  </si>
  <si>
    <t>Are NIST Values Available?</t>
  </si>
  <si>
    <t>Data Analyzed Using:</t>
  </si>
  <si>
    <t>Mean=</t>
  </si>
  <si>
    <t>Ave Unc</t>
  </si>
  <si>
    <t>2sd =</t>
  </si>
  <si>
    <t>Tolerance:</t>
  </si>
  <si>
    <t>Out 2sd</t>
  </si>
  <si>
    <t>Old 2sd =</t>
  </si>
  <si>
    <t>New 2sd=</t>
  </si>
  <si>
    <t>Date</t>
  </si>
  <si>
    <t>New Value =</t>
  </si>
  <si>
    <t>EnLimit</t>
  </si>
  <si>
    <t>PrLimit</t>
  </si>
  <si>
    <t>DEVELOP INSTRUCTIONS FOR SPREADSHEET USE AND LIMITATIONS</t>
  </si>
  <si>
    <t>&lt;1</t>
  </si>
  <si>
    <t>&gt;3</t>
  </si>
  <si>
    <t>ERROR</t>
  </si>
  <si>
    <t>sys</t>
  </si>
  <si>
    <t>ran</t>
  </si>
  <si>
    <t>SYS</t>
  </si>
  <si>
    <t>milligrams</t>
  </si>
  <si>
    <t>10 kg #1</t>
  </si>
  <si>
    <t>10 kg #2</t>
  </si>
  <si>
    <t>A</t>
  </si>
  <si>
    <t>B</t>
  </si>
  <si>
    <t>C</t>
  </si>
  <si>
    <t>D</t>
  </si>
  <si>
    <t>E</t>
  </si>
  <si>
    <t>F</t>
  </si>
  <si>
    <t>G</t>
  </si>
  <si>
    <t>H</t>
  </si>
  <si>
    <t>RMAP</t>
  </si>
  <si>
    <t>RMAP Group:</t>
  </si>
  <si>
    <t>no</t>
  </si>
  <si>
    <t>RAN</t>
  </si>
  <si>
    <t>RAN^2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</si>
</sst>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  <numFmt numFmtId="166" formatCode="0.0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00000"/>
    <numFmt numFmtId="172" formatCode="0.000000000000"/>
    <numFmt numFmtId="173" formatCode="0.00000000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mmm\-yyyy"/>
  </numFmts>
  <fonts count="46">
    <font>
      <sz val="10"/>
      <name val="Arial"/>
      <family val="0"/>
    </font>
    <font>
      <b/>
      <sz val="6"/>
      <name val="Baskerville MT"/>
      <family val="0"/>
    </font>
    <font>
      <sz val="6"/>
      <name val="Times New Roman"/>
      <family val="0"/>
    </font>
    <font>
      <sz val="8"/>
      <name val="Arial"/>
      <family val="2"/>
    </font>
    <font>
      <sz val="15"/>
      <name val="Arial"/>
      <family val="0"/>
    </font>
    <font>
      <b/>
      <sz val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color indexed="14"/>
      <name val="Times New Roman"/>
      <family val="1"/>
    </font>
    <font>
      <sz val="8"/>
      <color indexed="14"/>
      <name val="Arial"/>
      <family val="0"/>
    </font>
    <font>
      <sz val="8"/>
      <color indexed="15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5"/>
      <name val="Times New Roman"/>
      <family val="1"/>
    </font>
    <font>
      <b/>
      <sz val="10"/>
      <color indexed="14"/>
      <name val="Times New Roman"/>
      <family val="1"/>
    </font>
    <font>
      <sz val="10"/>
      <color indexed="8"/>
      <name val="Arial"/>
      <family val="0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b/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5"/>
      <name val="Arial"/>
      <family val="2"/>
    </font>
    <font>
      <b/>
      <sz val="10"/>
      <color indexed="14"/>
      <name val="Arial"/>
      <family val="2"/>
    </font>
    <font>
      <sz val="10.5"/>
      <name val="Arial"/>
      <family val="0"/>
    </font>
    <font>
      <sz val="8.5"/>
      <name val="Arial"/>
      <family val="0"/>
    </font>
    <font>
      <sz val="8.25"/>
      <name val="Arial"/>
      <family val="0"/>
    </font>
    <font>
      <b/>
      <sz val="9"/>
      <name val="Arial"/>
      <family val="2"/>
    </font>
    <font>
      <sz val="6"/>
      <name val="Arial"/>
      <family val="2"/>
    </font>
    <font>
      <b/>
      <sz val="10"/>
      <color indexed="17"/>
      <name val="Times New Roman"/>
      <family val="1"/>
    </font>
    <font>
      <b/>
      <sz val="10"/>
      <color indexed="12"/>
      <name val="Times New Roman"/>
      <family val="1"/>
    </font>
    <font>
      <sz val="8"/>
      <color indexed="17"/>
      <name val="Times New Roman"/>
      <family val="1"/>
    </font>
    <font>
      <sz val="8"/>
      <color indexed="12"/>
      <name val="Times New Roman"/>
      <family val="1"/>
    </font>
    <font>
      <sz val="8"/>
      <color indexed="17"/>
      <name val="Arial"/>
      <family val="0"/>
    </font>
    <font>
      <sz val="8"/>
      <color indexed="12"/>
      <name val="Arial"/>
      <family val="0"/>
    </font>
    <font>
      <sz val="10"/>
      <color indexed="17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7"/>
      <name val="Arial"/>
      <family val="0"/>
    </font>
    <font>
      <b/>
      <sz val="10"/>
      <color indexed="17"/>
      <name val="Arial"/>
      <family val="2"/>
    </font>
    <font>
      <sz val="2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 quotePrefix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left"/>
    </xf>
    <xf numFmtId="14" fontId="0" fillId="0" borderId="0" xfId="0" applyNumberFormat="1" applyAlignment="1" quotePrefix="1">
      <alignment horizontal="left"/>
    </xf>
    <xf numFmtId="0" fontId="0" fillId="2" borderId="0" xfId="0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 quotePrefix="1">
      <alignment horizontal="left"/>
    </xf>
    <xf numFmtId="14" fontId="0" fillId="2" borderId="0" xfId="0" applyNumberFormat="1" applyFill="1" applyAlignment="1" quotePrefix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167" fontId="8" fillId="0" borderId="0" xfId="0" applyNumberFormat="1" applyFont="1" applyAlignment="1">
      <alignment/>
    </xf>
    <xf numFmtId="167" fontId="13" fillId="0" borderId="0" xfId="0" applyNumberFormat="1" applyFont="1" applyAlignment="1">
      <alignment/>
    </xf>
    <xf numFmtId="167" fontId="13" fillId="0" borderId="0" xfId="0" applyNumberFormat="1" applyFont="1" applyAlignment="1">
      <alignment horizontal="right"/>
    </xf>
    <xf numFmtId="0" fontId="16" fillId="0" borderId="0" xfId="0" applyFont="1" applyAlignment="1">
      <alignment horizontal="center"/>
    </xf>
    <xf numFmtId="167" fontId="16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7" fontId="6" fillId="0" borderId="0" xfId="0" applyNumberFormat="1" applyFont="1" applyAlignment="1">
      <alignment horizontal="center"/>
    </xf>
    <xf numFmtId="167" fontId="13" fillId="0" borderId="0" xfId="0" applyNumberFormat="1" applyFont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Fill="1" applyAlignment="1" quotePrefix="1">
      <alignment horizontal="left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3" borderId="0" xfId="0" applyFill="1" applyAlignment="1" quotePrefix="1">
      <alignment horizontal="left"/>
    </xf>
    <xf numFmtId="164" fontId="0" fillId="3" borderId="0" xfId="0" applyNumberFormat="1" applyFill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2" fontId="12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2" fontId="26" fillId="0" borderId="0" xfId="0" applyNumberFormat="1" applyFont="1" applyAlignment="1">
      <alignment horizontal="left"/>
    </xf>
    <xf numFmtId="2" fontId="27" fillId="0" borderId="0" xfId="0" applyNumberFormat="1" applyFont="1" applyAlignment="1">
      <alignment horizontal="left"/>
    </xf>
    <xf numFmtId="2" fontId="27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right"/>
    </xf>
    <xf numFmtId="1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13" fillId="0" borderId="0" xfId="0" applyFont="1" applyAlignment="1">
      <alignment horizontal="center"/>
    </xf>
    <xf numFmtId="167" fontId="35" fillId="0" borderId="0" xfId="0" applyNumberFormat="1" applyFont="1" applyAlignment="1">
      <alignment horizontal="center"/>
    </xf>
    <xf numFmtId="167" fontId="36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5" fillId="0" borderId="0" xfId="0" applyFont="1" applyAlignment="1">
      <alignment horizontal="center"/>
    </xf>
    <xf numFmtId="2" fontId="35" fillId="0" borderId="0" xfId="0" applyNumberFormat="1" applyFont="1" applyAlignment="1">
      <alignment horizontal="center"/>
    </xf>
    <xf numFmtId="0" fontId="40" fillId="0" borderId="0" xfId="0" applyFont="1" applyAlignment="1">
      <alignment/>
    </xf>
    <xf numFmtId="0" fontId="36" fillId="0" borderId="0" xfId="0" applyFont="1" applyAlignment="1">
      <alignment horizontal="center"/>
    </xf>
    <xf numFmtId="2" fontId="36" fillId="0" borderId="0" xfId="0" applyNumberFormat="1" applyFont="1" applyAlignment="1">
      <alignment horizontal="center"/>
    </xf>
    <xf numFmtId="0" fontId="34" fillId="0" borderId="0" xfId="0" applyFont="1" applyAlignment="1">
      <alignment horizontal="right"/>
    </xf>
    <xf numFmtId="2" fontId="34" fillId="0" borderId="0" xfId="0" applyNumberFormat="1" applyFont="1" applyAlignment="1">
      <alignment horizontal="left"/>
    </xf>
    <xf numFmtId="0" fontId="41" fillId="0" borderId="0" xfId="0" applyFont="1" applyAlignment="1">
      <alignment/>
    </xf>
    <xf numFmtId="2" fontId="42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left"/>
    </xf>
    <xf numFmtId="0" fontId="33" fillId="0" borderId="0" xfId="0" applyFont="1" applyAlignment="1">
      <alignment horizontal="right"/>
    </xf>
    <xf numFmtId="2" fontId="33" fillId="0" borderId="0" xfId="0" applyNumberFormat="1" applyFont="1" applyAlignment="1">
      <alignment horizontal="left"/>
    </xf>
    <xf numFmtId="0" fontId="43" fillId="0" borderId="0" xfId="0" applyFont="1" applyAlignment="1">
      <alignment/>
    </xf>
    <xf numFmtId="2" fontId="44" fillId="0" borderId="0" xfId="0" applyNumberFormat="1" applyFont="1" applyAlignment="1">
      <alignment horizontal="right"/>
    </xf>
    <xf numFmtId="2" fontId="44" fillId="0" borderId="0" xfId="0" applyNumberFormat="1" applyFont="1" applyAlignment="1">
      <alignment horizontal="left"/>
    </xf>
    <xf numFmtId="0" fontId="17" fillId="4" borderId="1" xfId="0" applyFont="1" applyFill="1" applyBorder="1" applyAlignment="1">
      <alignment horizontal="right" wrapText="1"/>
    </xf>
    <xf numFmtId="0" fontId="17" fillId="5" borderId="1" xfId="0" applyFont="1" applyFill="1" applyBorder="1" applyAlignment="1">
      <alignment horizontal="right" wrapText="1"/>
    </xf>
    <xf numFmtId="0" fontId="0" fillId="0" borderId="0" xfId="0" applyAlignment="1" quotePrefix="1">
      <alignment horizontal="center"/>
    </xf>
    <xf numFmtId="15" fontId="0" fillId="6" borderId="1" xfId="0" applyNumberFormat="1" applyFill="1" applyBorder="1" applyAlignment="1">
      <alignment horizontal="right"/>
    </xf>
    <xf numFmtId="15" fontId="0" fillId="7" borderId="1" xfId="0" applyNumberFormat="1" applyFill="1" applyBorder="1" applyAlignment="1">
      <alignment horizontal="right"/>
    </xf>
    <xf numFmtId="167" fontId="0" fillId="2" borderId="0" xfId="0" applyNumberFormat="1" applyFill="1" applyAlignment="1" quotePrefix="1">
      <alignment/>
    </xf>
    <xf numFmtId="167" fontId="0" fillId="2" borderId="0" xfId="0" applyNumberFormat="1" applyFill="1" applyAlignment="1">
      <alignment/>
    </xf>
    <xf numFmtId="174" fontId="0" fillId="0" borderId="0" xfId="0" applyNumberFormat="1" applyAlignment="1">
      <alignment/>
    </xf>
    <xf numFmtId="0" fontId="45" fillId="0" borderId="0" xfId="0" applyFont="1" applyAlignment="1">
      <alignment/>
    </xf>
    <xf numFmtId="165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5" fontId="34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165" fontId="33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33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ont>
        <b val="0"/>
        <i val="0"/>
        <color rgb="FF000000"/>
      </font>
      <fill>
        <patternFill>
          <bgColor rgb="FFFFFF00"/>
        </patternFill>
      </fill>
      <border/>
    </dxf>
    <dxf>
      <font>
        <b val="0"/>
        <i val="0"/>
        <color rgb="FF000000"/>
      </font>
      <border/>
    </dxf>
    <dxf>
      <font>
        <b val="0"/>
        <i val="0"/>
        <color rgb="FF00000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YoudenCalculations!$AB$1</c:f>
              <c:strCache>
                <c:ptCount val="1"/>
                <c:pt idx="0">
                  <c:v>10 kg #1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strRef>
                  <c:f>YoudenCalculations!$AA$111</c:f>
                  <c:strCache>
                    <c:ptCount val="1"/>
                    <c:pt idx="0">
                      <c:v>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YoudenCalculations!$AA$112</c:f>
                  <c:strCache>
                    <c:ptCount val="1"/>
                    <c:pt idx="0">
                      <c:v>B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YoudenCalculations!$AA$113</c:f>
                  <c:strCache>
                    <c:ptCount val="1"/>
                    <c:pt idx="0">
                      <c:v>C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YoudenCalculations!$AA$114</c:f>
                  <c:strCache>
                    <c:ptCount val="1"/>
                    <c:pt idx="0">
                      <c:v>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YoudenCalculations!$AA$115</c:f>
                  <c:strCache>
                    <c:ptCount val="1"/>
                    <c:pt idx="0">
                      <c:v>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YoudenCalculations!$AA$116</c:f>
                  <c:strCache>
                    <c:ptCount val="1"/>
                    <c:pt idx="0">
                      <c:v>F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YoudenCalculations!$AA$117</c:f>
                  <c:strCache>
                    <c:ptCount val="1"/>
                    <c:pt idx="0">
                      <c:v>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YoudenCalculations!$AA$118</c:f>
                  <c:strCache>
                    <c:ptCount val="1"/>
                    <c:pt idx="0">
                      <c:v>H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YoudenCalculations!$AA$119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YoudenCalculations!$AA$120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YoudenCalculations!$AA$121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YoudenCalculations!$AA$122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YoudenCalculations!$AA$123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YoudenCalculations!$AA$124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YoudenCalculations!$AA$125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YoudenCalculations!$AA$126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YoudenCalculations!$AA$127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YoudenCalculations!$AA$128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YoudenCalculations!$AA$129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YoudenCalculations!$AA$130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YoudenCalculations!$AA$131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YoudenCalculations!$AA$132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YoudenCalculations!$AA$133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YoudenCalculations!$AA$134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YoudenCalculations!$AA$135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strRef>
                  <c:f>YoudenCalculations!$AA$136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strRef>
                  <c:f>YoudenCalculations!$AA$137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strRef>
                  <c:f>YoudenCalculations!$AA$138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strRef>
                  <c:f>YoudenCalculations!$AA$139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strRef>
                  <c:f>YoudenCalculations!$AA$140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strRef>
                  <c:f>YoudenCalculations!$AA$141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strRef>
                  <c:f>YoudenCalculations!$AA$142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strRef>
                  <c:f>YoudenCalculations!$AA$143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strRef>
                  <c:f>YoudenCalculations!$AA$144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strRef>
                  <c:f>YoudenCalculations!$AA$145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strRef>
                  <c:f>YoudenCalculations!$AA$146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strRef>
                  <c:f>YoudenCalculations!$AA$147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strRef>
                  <c:f>YoudenCalculations!$AA$148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tx>
                <c:strRef>
                  <c:f>YoudenCalculations!$AA$149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strRef>
                  <c:f>YoudenCalculations!$AA$150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strRef>
                  <c:f>YoudenCalculations!$AA$151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tx>
                <c:strRef>
                  <c:f>YoudenCalculations!$AA$152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strRef>
                  <c:f>YoudenCalculations!$AA$153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tx>
                <c:strRef>
                  <c:f>YoudenCalculations!$AA$154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strRef>
                  <c:f>YoudenCalculations!$AA$155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tx>
                <c:strRef>
                  <c:f>YoudenCalculations!$AA$156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tx>
                <c:strRef>
                  <c:f>YoudenCalculations!$AA$157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7"/>
              <c:tx>
                <c:strRef>
                  <c:f>YoudenCalculations!$AA$158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tx>
                <c:strRef>
                  <c:f>YoudenCalculations!$AA$159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9"/>
              <c:tx>
                <c:strRef>
                  <c:f>YoudenCalculations!$AA$160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YoudenCalculations!$AB$111:$AB$200</c:f>
              <c:numCache>
                <c:ptCount val="90"/>
                <c:pt idx="0">
                  <c:v>-2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numCache>
            </c:numRef>
          </c:xVal>
          <c:yVal>
            <c:numRef>
              <c:f>YoudenCalculations!$AD$111:$AD$200</c:f>
              <c:numCache>
                <c:ptCount val="90"/>
                <c:pt idx="0">
                  <c:v>-7</c:v>
                </c:pt>
                <c:pt idx="1">
                  <c:v>-3</c:v>
                </c:pt>
                <c:pt idx="2">
                  <c:v>-8</c:v>
                </c:pt>
                <c:pt idx="3">
                  <c:v>9</c:v>
                </c:pt>
                <c:pt idx="4">
                  <c:v>-4</c:v>
                </c:pt>
                <c:pt idx="5">
                  <c:v>2</c:v>
                </c:pt>
                <c:pt idx="6">
                  <c:v>-1</c:v>
                </c:pt>
                <c:pt idx="7">
                  <c:v>-3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YoudenCalculations!$AC$1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YoudenCalculations!$AB$2:$AB$107</c:f>
              <c:numCache>
                <c:ptCount val="106"/>
                <c:pt idx="0">
                  <c:v>-5.653894931805506</c:v>
                </c:pt>
                <c:pt idx="1">
                  <c:v>-5.367739134533285</c:v>
                </c:pt>
                <c:pt idx="2">
                  <c:v>-5.081583337261065</c:v>
                </c:pt>
                <c:pt idx="3">
                  <c:v>-4.795427539988844</c:v>
                </c:pt>
                <c:pt idx="4">
                  <c:v>-4.509271742716623</c:v>
                </c:pt>
                <c:pt idx="5">
                  <c:v>-4.223115945444403</c:v>
                </c:pt>
                <c:pt idx="6">
                  <c:v>-3.9369601481721825</c:v>
                </c:pt>
                <c:pt idx="7">
                  <c:v>-3.6508043508999624</c:v>
                </c:pt>
                <c:pt idx="8">
                  <c:v>-3.364648553627742</c:v>
                </c:pt>
                <c:pt idx="9">
                  <c:v>-3.078492756355522</c:v>
                </c:pt>
                <c:pt idx="10">
                  <c:v>-2.792336959083302</c:v>
                </c:pt>
                <c:pt idx="11">
                  <c:v>-2.5061811618110816</c:v>
                </c:pt>
                <c:pt idx="12">
                  <c:v>-2.2200253645388615</c:v>
                </c:pt>
                <c:pt idx="13">
                  <c:v>-1.9338695672666413</c:v>
                </c:pt>
                <c:pt idx="14">
                  <c:v>-1.647713769994421</c:v>
                </c:pt>
                <c:pt idx="15">
                  <c:v>-1.361557972722201</c:v>
                </c:pt>
                <c:pt idx="16">
                  <c:v>-1.0754021754499807</c:v>
                </c:pt>
                <c:pt idx="17">
                  <c:v>-0.7892463781777606</c:v>
                </c:pt>
                <c:pt idx="18">
                  <c:v>-0.5030905809055404</c:v>
                </c:pt>
                <c:pt idx="19">
                  <c:v>-0.21693478363332014</c:v>
                </c:pt>
                <c:pt idx="20">
                  <c:v>0.0692210136389001</c:v>
                </c:pt>
                <c:pt idx="21">
                  <c:v>0.35537681091112033</c:v>
                </c:pt>
                <c:pt idx="22">
                  <c:v>0.6415326081833406</c:v>
                </c:pt>
                <c:pt idx="23">
                  <c:v>0.9276884054555607</c:v>
                </c:pt>
                <c:pt idx="24">
                  <c:v>1.213844202727781</c:v>
                </c:pt>
                <c:pt idx="25">
                  <c:v>1.500000000000001</c:v>
                </c:pt>
                <c:pt idx="26">
                  <c:v>1.7861557972722213</c:v>
                </c:pt>
                <c:pt idx="27">
                  <c:v>2.0723115945444417</c:v>
                </c:pt>
                <c:pt idx="28">
                  <c:v>2.358467391816662</c:v>
                </c:pt>
                <c:pt idx="29">
                  <c:v>2.644623189088882</c:v>
                </c:pt>
                <c:pt idx="30">
                  <c:v>2.9307789863611022</c:v>
                </c:pt>
                <c:pt idx="31">
                  <c:v>3.2169347836333224</c:v>
                </c:pt>
                <c:pt idx="32">
                  <c:v>3.5030905809055426</c:v>
                </c:pt>
                <c:pt idx="33">
                  <c:v>3.7892463781777628</c:v>
                </c:pt>
                <c:pt idx="34">
                  <c:v>4.075402175449983</c:v>
                </c:pt>
                <c:pt idx="35">
                  <c:v>4.361557972722204</c:v>
                </c:pt>
                <c:pt idx="36">
                  <c:v>4.647713769994424</c:v>
                </c:pt>
                <c:pt idx="37">
                  <c:v>4.933869567266645</c:v>
                </c:pt>
                <c:pt idx="38">
                  <c:v>5.2200253645388655</c:v>
                </c:pt>
                <c:pt idx="39">
                  <c:v>5.506181161811086</c:v>
                </c:pt>
                <c:pt idx="40">
                  <c:v>5.792336959083307</c:v>
                </c:pt>
                <c:pt idx="41">
                  <c:v>6.078492756355527</c:v>
                </c:pt>
                <c:pt idx="42">
                  <c:v>6.364648553627748</c:v>
                </c:pt>
                <c:pt idx="43">
                  <c:v>6.650804350899969</c:v>
                </c:pt>
                <c:pt idx="44">
                  <c:v>6.936960148172189</c:v>
                </c:pt>
                <c:pt idx="45">
                  <c:v>7.22311594544441</c:v>
                </c:pt>
                <c:pt idx="46">
                  <c:v>7.5092717427166304</c:v>
                </c:pt>
                <c:pt idx="47">
                  <c:v>7.795427539988851</c:v>
                </c:pt>
                <c:pt idx="48">
                  <c:v>8.08158333726107</c:v>
                </c:pt>
                <c:pt idx="49">
                  <c:v>8.367739134533291</c:v>
                </c:pt>
                <c:pt idx="50">
                  <c:v>8.653894931805512</c:v>
                </c:pt>
                <c:pt idx="51">
                  <c:v>8.367739134533291</c:v>
                </c:pt>
                <c:pt idx="52">
                  <c:v>8.08158333726107</c:v>
                </c:pt>
                <c:pt idx="53">
                  <c:v>7.79542753998885</c:v>
                </c:pt>
                <c:pt idx="54">
                  <c:v>7.50927174271663</c:v>
                </c:pt>
                <c:pt idx="55">
                  <c:v>7.223115945444409</c:v>
                </c:pt>
                <c:pt idx="56">
                  <c:v>6.936960148172188</c:v>
                </c:pt>
                <c:pt idx="57">
                  <c:v>6.650804350899968</c:v>
                </c:pt>
                <c:pt idx="58">
                  <c:v>6.364648553627747</c:v>
                </c:pt>
                <c:pt idx="59">
                  <c:v>6.078492756355526</c:v>
                </c:pt>
                <c:pt idx="60">
                  <c:v>5.792336959083306</c:v>
                </c:pt>
                <c:pt idx="61">
                  <c:v>5.506181161811085</c:v>
                </c:pt>
                <c:pt idx="62">
                  <c:v>5.220025364538865</c:v>
                </c:pt>
                <c:pt idx="63">
                  <c:v>4.933869567266644</c:v>
                </c:pt>
                <c:pt idx="64">
                  <c:v>4.647713769994423</c:v>
                </c:pt>
                <c:pt idx="65">
                  <c:v>4.361557972722203</c:v>
                </c:pt>
                <c:pt idx="66">
                  <c:v>4.075402175449982</c:v>
                </c:pt>
                <c:pt idx="67">
                  <c:v>3.789246378177762</c:v>
                </c:pt>
                <c:pt idx="68">
                  <c:v>3.5030905809055417</c:v>
                </c:pt>
                <c:pt idx="69">
                  <c:v>3.2169347836333215</c:v>
                </c:pt>
                <c:pt idx="70">
                  <c:v>2.9307789863611013</c:v>
                </c:pt>
                <c:pt idx="71">
                  <c:v>2.644623189088881</c:v>
                </c:pt>
                <c:pt idx="72">
                  <c:v>2.358467391816661</c:v>
                </c:pt>
                <c:pt idx="73">
                  <c:v>2.072311594544441</c:v>
                </c:pt>
                <c:pt idx="74">
                  <c:v>1.7861557972722206</c:v>
                </c:pt>
                <c:pt idx="75">
                  <c:v>1.5000000000000004</c:v>
                </c:pt>
                <c:pt idx="76">
                  <c:v>1.2138442027277803</c:v>
                </c:pt>
                <c:pt idx="77">
                  <c:v>0.9276884054555601</c:v>
                </c:pt>
                <c:pt idx="78">
                  <c:v>0.6415326081833399</c:v>
                </c:pt>
                <c:pt idx="79">
                  <c:v>0.35537681091111967</c:v>
                </c:pt>
                <c:pt idx="80">
                  <c:v>0.06922101363889943</c:v>
                </c:pt>
                <c:pt idx="81">
                  <c:v>-0.2169347836333208</c:v>
                </c:pt>
                <c:pt idx="82">
                  <c:v>-0.503090580905541</c:v>
                </c:pt>
                <c:pt idx="83">
                  <c:v>-0.7892463781777612</c:v>
                </c:pt>
                <c:pt idx="84">
                  <c:v>-1.0754021754499814</c:v>
                </c:pt>
                <c:pt idx="85">
                  <c:v>-1.3615579727222016</c:v>
                </c:pt>
                <c:pt idx="86">
                  <c:v>-1.6477137699944218</c:v>
                </c:pt>
                <c:pt idx="87">
                  <c:v>-1.933869567266642</c:v>
                </c:pt>
                <c:pt idx="88">
                  <c:v>-2.2200253645388623</c:v>
                </c:pt>
                <c:pt idx="89">
                  <c:v>-2.5061811618110825</c:v>
                </c:pt>
                <c:pt idx="90">
                  <c:v>-2.7923369590833027</c:v>
                </c:pt>
                <c:pt idx="91">
                  <c:v>-3.078492756355523</c:v>
                </c:pt>
                <c:pt idx="92">
                  <c:v>-3.364648553627743</c:v>
                </c:pt>
                <c:pt idx="93">
                  <c:v>-3.6508043508999632</c:v>
                </c:pt>
                <c:pt idx="94">
                  <c:v>-3.9369601481721834</c:v>
                </c:pt>
                <c:pt idx="95">
                  <c:v>-4.223115945444404</c:v>
                </c:pt>
                <c:pt idx="96">
                  <c:v>-4.509271742716624</c:v>
                </c:pt>
                <c:pt idx="97">
                  <c:v>-4.795427539988845</c:v>
                </c:pt>
                <c:pt idx="98">
                  <c:v>-5.0815833372610655</c:v>
                </c:pt>
                <c:pt idx="99">
                  <c:v>-5.367739134533286</c:v>
                </c:pt>
                <c:pt idx="100">
                  <c:v>-5.653894931805507</c:v>
                </c:pt>
                <c:pt idx="101">
                  <c:v>-5.653894931805506</c:v>
                </c:pt>
                <c:pt idx="102">
                  <c:v>8.653894931805507</c:v>
                </c:pt>
                <c:pt idx="104">
                  <c:v>1.5</c:v>
                </c:pt>
                <c:pt idx="105">
                  <c:v>1.5</c:v>
                </c:pt>
              </c:numCache>
            </c:numRef>
          </c:xVal>
          <c:yVal>
            <c:numRef>
              <c:f>YoudenCalculations!$AC$2:$AC$107</c:f>
              <c:numCache>
                <c:ptCount val="106"/>
                <c:pt idx="0">
                  <c:v>-3</c:v>
                </c:pt>
                <c:pt idx="1">
                  <c:v>-0.9969094190944574</c:v>
                </c:pt>
                <c:pt idx="2">
                  <c:v>-0.19625723897501413</c:v>
                </c:pt>
                <c:pt idx="3">
                  <c:v>0.3979118269994175</c:v>
                </c:pt>
                <c:pt idx="4">
                  <c:v>0.8816060873689922</c:v>
                </c:pt>
                <c:pt idx="5">
                  <c:v>1.2923369590833067</c:v>
                </c:pt>
                <c:pt idx="6">
                  <c:v>1.6494813734974807</c:v>
                </c:pt>
                <c:pt idx="7">
                  <c:v>1.9646175314985257</c:v>
                </c:pt>
                <c:pt idx="8">
                  <c:v>2.2453224062015504</c:v>
                </c:pt>
                <c:pt idx="9">
                  <c:v>2.4968733635870235</c:v>
                </c:pt>
                <c:pt idx="10">
                  <c:v>2.7231159454444054</c:v>
                </c:pt>
                <c:pt idx="11">
                  <c:v>2.9269490628874575</c:v>
                </c:pt>
                <c:pt idx="12">
                  <c:v>3.110615679495808</c:v>
                </c:pt>
                <c:pt idx="13">
                  <c:v>3.27588658998173</c:v>
                </c:pt>
                <c:pt idx="14">
                  <c:v>3.424181715790737</c:v>
                </c:pt>
                <c:pt idx="15">
                  <c:v>3.556653007751936</c:v>
                </c:pt>
                <c:pt idx="16">
                  <c:v>3.674242753301682</c:v>
                </c:pt>
                <c:pt idx="17">
                  <c:v>3.777725556210764</c:v>
                </c:pt>
                <c:pt idx="18">
                  <c:v>3.867739134533286</c:v>
                </c:pt>
                <c:pt idx="19">
                  <c:v>3.944807243117875</c:v>
                </c:pt>
                <c:pt idx="20">
                  <c:v>4.009356902562461</c:v>
                </c:pt>
                <c:pt idx="21">
                  <c:v>4.061731405987664</c:v>
                </c:pt>
                <c:pt idx="22">
                  <c:v>4.102200112113147</c:v>
                </c:pt>
                <c:pt idx="23">
                  <c:v>4.1309657224013145</c:v>
                </c:pt>
                <c:pt idx="24">
                  <c:v>4.148169524780452</c:v>
                </c:pt>
                <c:pt idx="25">
                  <c:v>4.153894931805506</c:v>
                </c:pt>
                <c:pt idx="26">
                  <c:v>4.148169524780452</c:v>
                </c:pt>
                <c:pt idx="27">
                  <c:v>4.1309657224013145</c:v>
                </c:pt>
                <c:pt idx="28">
                  <c:v>4.102200112113147</c:v>
                </c:pt>
                <c:pt idx="29">
                  <c:v>4.061731405987663</c:v>
                </c:pt>
                <c:pt idx="30">
                  <c:v>4.00935690256246</c:v>
                </c:pt>
                <c:pt idx="31">
                  <c:v>3.944807243117875</c:v>
                </c:pt>
                <c:pt idx="32">
                  <c:v>3.867739134533285</c:v>
                </c:pt>
                <c:pt idx="33">
                  <c:v>3.777725556210763</c:v>
                </c:pt>
                <c:pt idx="34">
                  <c:v>3.674242753301681</c:v>
                </c:pt>
                <c:pt idx="35">
                  <c:v>3.556653007751935</c:v>
                </c:pt>
                <c:pt idx="36">
                  <c:v>3.424181715790735</c:v>
                </c:pt>
                <c:pt idx="37">
                  <c:v>3.275886589981728</c:v>
                </c:pt>
                <c:pt idx="38">
                  <c:v>3.1106156794958055</c:v>
                </c:pt>
                <c:pt idx="39">
                  <c:v>2.926949062887455</c:v>
                </c:pt>
                <c:pt idx="40">
                  <c:v>2.7231159454444027</c:v>
                </c:pt>
                <c:pt idx="41">
                  <c:v>2.496873363587019</c:v>
                </c:pt>
                <c:pt idx="42">
                  <c:v>2.245322406201545</c:v>
                </c:pt>
                <c:pt idx="43">
                  <c:v>1.9646175314985195</c:v>
                </c:pt>
                <c:pt idx="44">
                  <c:v>1.6494813734974727</c:v>
                </c:pt>
                <c:pt idx="45">
                  <c:v>1.292336959083296</c:v>
                </c:pt>
                <c:pt idx="46">
                  <c:v>0.881606087368981</c:v>
                </c:pt>
                <c:pt idx="47">
                  <c:v>0.39791182699940375</c:v>
                </c:pt>
                <c:pt idx="48">
                  <c:v>-0.19625723897502922</c:v>
                </c:pt>
                <c:pt idx="49">
                  <c:v>-0.9969094190944787</c:v>
                </c:pt>
                <c:pt idx="50">
                  <c:v>-2.9999996960747533</c:v>
                </c:pt>
                <c:pt idx="51">
                  <c:v>-5.003090580905521</c:v>
                </c:pt>
                <c:pt idx="52">
                  <c:v>-5.803742761024971</c:v>
                </c:pt>
                <c:pt idx="53">
                  <c:v>-6.397911826999406</c:v>
                </c:pt>
                <c:pt idx="54">
                  <c:v>-6.881606087368983</c:v>
                </c:pt>
                <c:pt idx="55">
                  <c:v>-7.292336959083298</c:v>
                </c:pt>
                <c:pt idx="56">
                  <c:v>-7.6494813734974745</c:v>
                </c:pt>
                <c:pt idx="57">
                  <c:v>-7.96461753149852</c:v>
                </c:pt>
                <c:pt idx="58">
                  <c:v>-8.245322406201545</c:v>
                </c:pt>
                <c:pt idx="59">
                  <c:v>-8.49687336358702</c:v>
                </c:pt>
                <c:pt idx="60">
                  <c:v>-8.723115945444402</c:v>
                </c:pt>
                <c:pt idx="61">
                  <c:v>-8.926949062887456</c:v>
                </c:pt>
                <c:pt idx="62">
                  <c:v>-9.110615679495805</c:v>
                </c:pt>
                <c:pt idx="63">
                  <c:v>-9.275886589981729</c:v>
                </c:pt>
                <c:pt idx="64">
                  <c:v>-9.424181715790734</c:v>
                </c:pt>
                <c:pt idx="65">
                  <c:v>-9.556653007751937</c:v>
                </c:pt>
                <c:pt idx="66">
                  <c:v>-9.67424275330168</c:v>
                </c:pt>
                <c:pt idx="67">
                  <c:v>-9.777725556210763</c:v>
                </c:pt>
                <c:pt idx="68">
                  <c:v>-9.867739134533284</c:v>
                </c:pt>
                <c:pt idx="69">
                  <c:v>-9.944807243117875</c:v>
                </c:pt>
                <c:pt idx="70">
                  <c:v>-10.009356902562459</c:v>
                </c:pt>
                <c:pt idx="71">
                  <c:v>-10.061731405987663</c:v>
                </c:pt>
                <c:pt idx="72">
                  <c:v>-10.102200112113147</c:v>
                </c:pt>
                <c:pt idx="73">
                  <c:v>-10.130965722401314</c:v>
                </c:pt>
                <c:pt idx="74">
                  <c:v>-10.148169524780453</c:v>
                </c:pt>
                <c:pt idx="75">
                  <c:v>-10.153894931805507</c:v>
                </c:pt>
                <c:pt idx="76">
                  <c:v>-10.148169524780453</c:v>
                </c:pt>
                <c:pt idx="77">
                  <c:v>-10.130965722401314</c:v>
                </c:pt>
                <c:pt idx="78">
                  <c:v>-10.102200112113147</c:v>
                </c:pt>
                <c:pt idx="79">
                  <c:v>-10.061731405987663</c:v>
                </c:pt>
                <c:pt idx="80">
                  <c:v>-10.00935690256246</c:v>
                </c:pt>
                <c:pt idx="81">
                  <c:v>-9.944807243117875</c:v>
                </c:pt>
                <c:pt idx="82">
                  <c:v>-9.867739134533286</c:v>
                </c:pt>
                <c:pt idx="83">
                  <c:v>-9.777725556210765</c:v>
                </c:pt>
                <c:pt idx="84">
                  <c:v>-9.67424275330168</c:v>
                </c:pt>
                <c:pt idx="85">
                  <c:v>-9.556653007751937</c:v>
                </c:pt>
                <c:pt idx="86">
                  <c:v>-9.424181715790738</c:v>
                </c:pt>
                <c:pt idx="87">
                  <c:v>-9.27588658998173</c:v>
                </c:pt>
                <c:pt idx="88">
                  <c:v>-9.110615679495808</c:v>
                </c:pt>
                <c:pt idx="89">
                  <c:v>-8.926949062887457</c:v>
                </c:pt>
                <c:pt idx="90">
                  <c:v>-8.723115945444405</c:v>
                </c:pt>
                <c:pt idx="91">
                  <c:v>-8.496873363587023</c:v>
                </c:pt>
                <c:pt idx="92">
                  <c:v>-8.245322406201549</c:v>
                </c:pt>
                <c:pt idx="93">
                  <c:v>-7.964617531498526</c:v>
                </c:pt>
                <c:pt idx="94">
                  <c:v>-7.649481373497481</c:v>
                </c:pt>
                <c:pt idx="95">
                  <c:v>-7.292336959083305</c:v>
                </c:pt>
                <c:pt idx="96">
                  <c:v>-6.881606087368992</c:v>
                </c:pt>
                <c:pt idx="97">
                  <c:v>-6.397911826999415</c:v>
                </c:pt>
                <c:pt idx="98">
                  <c:v>-5.803742761024983</c:v>
                </c:pt>
                <c:pt idx="99">
                  <c:v>-5.003090580905541</c:v>
                </c:pt>
                <c:pt idx="100">
                  <c:v>-3.0000001192092896</c:v>
                </c:pt>
                <c:pt idx="101">
                  <c:v>-3</c:v>
                </c:pt>
                <c:pt idx="102">
                  <c:v>-3</c:v>
                </c:pt>
                <c:pt idx="104">
                  <c:v>4.153894931805506</c:v>
                </c:pt>
                <c:pt idx="105">
                  <c:v>-10.153894931805507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YoudenCalculations!$AE$1</c:f>
              <c:strCache>
                <c:ptCount val="1"/>
                <c:pt idx="0">
                  <c:v>Systematic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YoudenCalculations!$AB$108:$AB$110</c:f>
              <c:numCache>
                <c:ptCount val="3"/>
                <c:pt idx="0">
                  <c:v>-15.5</c:v>
                </c:pt>
                <c:pt idx="1">
                  <c:v>1.5</c:v>
                </c:pt>
                <c:pt idx="2">
                  <c:v>18.5</c:v>
                </c:pt>
              </c:numCache>
            </c:numRef>
          </c:xVal>
          <c:yVal>
            <c:numRef>
              <c:f>YoudenCalculations!$AE$108:$AE$110</c:f>
              <c:numCache>
                <c:ptCount val="3"/>
                <c:pt idx="0">
                  <c:v>-20</c:v>
                </c:pt>
                <c:pt idx="1">
                  <c:v>-3</c:v>
                </c:pt>
                <c:pt idx="2">
                  <c:v>14</c:v>
                </c:pt>
              </c:numCache>
            </c:numRef>
          </c:yVal>
          <c:smooth val="0"/>
        </c:ser>
        <c:axId val="39102365"/>
        <c:axId val="16376966"/>
      </c:scatterChart>
      <c:valAx>
        <c:axId val="39102365"/>
        <c:scaling>
          <c:orientation val="minMax"/>
          <c:max val="15"/>
          <c:min val="-15"/>
        </c:scaling>
        <c:axPos val="b"/>
        <c:title>
          <c:tx>
            <c:strRef>
              <c:f>YoudenGraph!$B$2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900" b="1" i="0" u="none" baseline="0">
                  <a:solidFill>
                    <a:srgbClr val="008000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  <c:crossAx val="16376966"/>
        <c:crosses val="max"/>
        <c:crossBetween val="midCat"/>
        <c:dispUnits/>
        <c:majorUnit val="5"/>
      </c:valAx>
      <c:valAx>
        <c:axId val="16376966"/>
        <c:scaling>
          <c:orientation val="minMax"/>
          <c:max val="15"/>
          <c:min val="-15"/>
        </c:scaling>
        <c:axPos val="l"/>
        <c:title>
          <c:tx>
            <c:strRef>
              <c:f>YoudenGraph!$D$2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900" b="1" i="0" u="none" baseline="0">
                  <a:solidFill>
                    <a:srgbClr val="0000FF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9102365"/>
        <c:crosses val="max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99CC"/>
        </a:gs>
        <a:gs pos="50000">
          <a:srgbClr val="FFFFFF"/>
        </a:gs>
        <a:gs pos="100000">
          <a:srgbClr val="FF99CC"/>
        </a:gs>
      </a:gsLst>
      <a:lin ang="2700000" scaled="1"/>
    </a:gradFill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LineGraphData!$AF$1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LineGraphData!$AG$16</c:f>
              <c:strCache>
                <c:ptCount val="1"/>
                <c:pt idx="0">
                  <c:v>10 kg #2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LineGraphData!$AE$17</c:f>
                  <c:strCache>
                    <c:ptCount val="1"/>
                    <c:pt idx="0">
                      <c:v>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LineGraphData!$AE$18</c:f>
                  <c:strCache>
                    <c:ptCount val="1"/>
                    <c:pt idx="0">
                      <c:v>B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LineGraphData!$AE$19</c:f>
                  <c:strCache>
                    <c:ptCount val="1"/>
                    <c:pt idx="0">
                      <c:v>C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LineGraphData!$AE$20</c:f>
                  <c:strCache>
                    <c:ptCount val="1"/>
                    <c:pt idx="0">
                      <c:v>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LineGraphData!$AE$21</c:f>
                  <c:strCache>
                    <c:ptCount val="1"/>
                    <c:pt idx="0">
                      <c:v>E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LineGraphData!$AE$22</c:f>
                  <c:strCache>
                    <c:ptCount val="1"/>
                    <c:pt idx="0">
                      <c:v>F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strRef>
                  <c:f>LineGraphData!$AE$23</c:f>
                  <c:strCache>
                    <c:ptCount val="1"/>
                    <c:pt idx="0">
                      <c:v>G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strRef>
                  <c:f>LineGraphData!$AE$24</c:f>
                  <c:strCache>
                    <c:ptCount val="1"/>
                    <c:pt idx="0">
                      <c:v>H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strRef>
                  <c:f>LineGraphData!$AE$25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strRef>
                  <c:f>LineGraphData!$AE$26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strRef>
                  <c:f>LineGraphData!$AE$27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strRef>
                  <c:f>LineGraphData!$AE$28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strRef>
                  <c:f>LineGraphData!$AE$29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strRef>
                  <c:f>LineGraphData!$AE$30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strRef>
                  <c:f>LineGraphData!$AE$31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strRef>
                  <c:f>LineGraphData!$AE$32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strRef>
                  <c:f>LineGraphData!$AE$33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>
                <c:strRef>
                  <c:f>LineGraphData!$AE$34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strRef>
                  <c:f>LineGraphData!$AE$35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strRef>
                  <c:f>LineGraphData!$AE$36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strRef>
                  <c:f>LineGraphData!$AE$37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strRef>
                  <c:f>LineGraphData!$AE$38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>
                <c:strRef>
                  <c:f>LineGraphData!$AE$39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>
                <c:strRef>
                  <c:f>LineGraphData!$AE$40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>
                <c:strRef>
                  <c:f>LineGraphData!$AE$41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>
                <c:strRef>
                  <c:f>LineGraphData!$AE$42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>
                <c:strRef>
                  <c:f>LineGraphData!$AE$43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>
                <c:strRef>
                  <c:f>LineGraphData!$AE$44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>
                <c:strRef>
                  <c:f>LineGraphData!$AE$45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>
                <c:strRef>
                  <c:f>LineGraphData!$AE$46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6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LineGraphData!$AH$17:$AH$46</c:f>
                <c:numCache>
                  <c:ptCount val="30"/>
                  <c:pt idx="0">
                    <c:v>5</c:v>
                  </c:pt>
                  <c:pt idx="1">
                    <c:v>8</c:v>
                  </c:pt>
                  <c:pt idx="2">
                    <c:v>6</c:v>
                  </c:pt>
                  <c:pt idx="3">
                    <c:v>4</c:v>
                  </c:pt>
                  <c:pt idx="4">
                    <c:v>2</c:v>
                  </c:pt>
                  <c:pt idx="5">
                    <c:v>7</c:v>
                  </c:pt>
                  <c:pt idx="6">
                    <c:v>5</c:v>
                  </c:pt>
                  <c:pt idx="7">
                    <c:v>9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</c:numCache>
              </c:numRef>
            </c:plus>
            <c:minus>
              <c:numRef>
                <c:f>LineGraphData!$AH$17:$AH$46</c:f>
                <c:numCache>
                  <c:ptCount val="30"/>
                  <c:pt idx="0">
                    <c:v>5</c:v>
                  </c:pt>
                  <c:pt idx="1">
                    <c:v>8</c:v>
                  </c:pt>
                  <c:pt idx="2">
                    <c:v>6</c:v>
                  </c:pt>
                  <c:pt idx="3">
                    <c:v>4</c:v>
                  </c:pt>
                  <c:pt idx="4">
                    <c:v>2</c:v>
                  </c:pt>
                  <c:pt idx="5">
                    <c:v>7</c:v>
                  </c:pt>
                  <c:pt idx="6">
                    <c:v>5</c:v>
                  </c:pt>
                  <c:pt idx="7">
                    <c:v>9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</c:numCache>
              </c:numRef>
            </c:minus>
            <c:noEndCap val="0"/>
          </c:errBars>
          <c:xVal>
            <c:strRef>
              <c:f>LineGraphData!$AF$17:$AF$46</c:f>
              <c:strCache>
                <c:ptCount val="30"/>
                <c:pt idx="0">
                  <c:v>36797</c:v>
                </c:pt>
                <c:pt idx="1">
                  <c:v>36753</c:v>
                </c:pt>
                <c:pt idx="2">
                  <c:v>36712</c:v>
                </c:pt>
                <c:pt idx="3">
                  <c:v>36661</c:v>
                </c:pt>
                <c:pt idx="4">
                  <c:v>36631</c:v>
                </c:pt>
                <c:pt idx="5">
                  <c:v>36586</c:v>
                </c:pt>
                <c:pt idx="6">
                  <c:v>36557</c:v>
                </c:pt>
                <c:pt idx="7">
                  <c:v>36540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strCache>
            </c:strRef>
          </c:xVal>
          <c:yVal>
            <c:numRef>
              <c:f>LineGraphData!$AG$17:$AG$46</c:f>
              <c:numCache>
                <c:ptCount val="30"/>
                <c:pt idx="0">
                  <c:v>-7</c:v>
                </c:pt>
                <c:pt idx="1">
                  <c:v>-3</c:v>
                </c:pt>
                <c:pt idx="2">
                  <c:v>-8</c:v>
                </c:pt>
                <c:pt idx="3">
                  <c:v>9</c:v>
                </c:pt>
                <c:pt idx="4">
                  <c:v>-4</c:v>
                </c:pt>
                <c:pt idx="5">
                  <c:v>2</c:v>
                </c:pt>
                <c:pt idx="6">
                  <c:v>-1</c:v>
                </c:pt>
                <c:pt idx="7">
                  <c:v>-3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LineGraphData!$AI$16</c:f>
              <c:strCache>
                <c:ptCount val="1"/>
                <c:pt idx="0">
                  <c:v>Median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LineGraphData!$AF$17:$AF$46</c:f>
              <c:strCache>
                <c:ptCount val="30"/>
                <c:pt idx="0">
                  <c:v>36797</c:v>
                </c:pt>
                <c:pt idx="1">
                  <c:v>36753</c:v>
                </c:pt>
                <c:pt idx="2">
                  <c:v>36712</c:v>
                </c:pt>
                <c:pt idx="3">
                  <c:v>36661</c:v>
                </c:pt>
                <c:pt idx="4">
                  <c:v>36631</c:v>
                </c:pt>
                <c:pt idx="5">
                  <c:v>36586</c:v>
                </c:pt>
                <c:pt idx="6">
                  <c:v>36557</c:v>
                </c:pt>
                <c:pt idx="7">
                  <c:v>36540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strCache>
            </c:strRef>
          </c:xVal>
          <c:yVal>
            <c:numRef>
              <c:f>LineGraphData!$AI$17:$AI$46</c:f>
              <c:numCache>
                <c:ptCount val="30"/>
                <c:pt idx="0">
                  <c:v>-3</c:v>
                </c:pt>
                <c:pt idx="1">
                  <c:v>-3</c:v>
                </c:pt>
                <c:pt idx="2">
                  <c:v>-3</c:v>
                </c:pt>
                <c:pt idx="3">
                  <c:v>-3</c:v>
                </c:pt>
                <c:pt idx="4">
                  <c:v>-3</c:v>
                </c:pt>
                <c:pt idx="5">
                  <c:v>-3</c:v>
                </c:pt>
                <c:pt idx="6">
                  <c:v>-3</c:v>
                </c:pt>
                <c:pt idx="7">
                  <c:v>-3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LineGraphData!$AJ$16</c:f>
              <c:strCache>
                <c:ptCount val="1"/>
                <c:pt idx="0">
                  <c:v>Median Unc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LineGraphData!$AF$17:$AF$46</c:f>
              <c:strCache>
                <c:ptCount val="30"/>
                <c:pt idx="0">
                  <c:v>36797</c:v>
                </c:pt>
                <c:pt idx="1">
                  <c:v>36753</c:v>
                </c:pt>
                <c:pt idx="2">
                  <c:v>36712</c:v>
                </c:pt>
                <c:pt idx="3">
                  <c:v>36661</c:v>
                </c:pt>
                <c:pt idx="4">
                  <c:v>36631</c:v>
                </c:pt>
                <c:pt idx="5">
                  <c:v>36586</c:v>
                </c:pt>
                <c:pt idx="6">
                  <c:v>36557</c:v>
                </c:pt>
                <c:pt idx="7">
                  <c:v>36540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strCache>
            </c:strRef>
          </c:xVal>
          <c:yVal>
            <c:numRef>
              <c:f>LineGraphData!$AJ$17:$AJ$46</c:f>
              <c:numCache>
                <c:ptCount val="30"/>
                <c:pt idx="0">
                  <c:v>3.817344825970773</c:v>
                </c:pt>
                <c:pt idx="1">
                  <c:v>3.817344825970773</c:v>
                </c:pt>
                <c:pt idx="2">
                  <c:v>3.817344825970773</c:v>
                </c:pt>
                <c:pt idx="3">
                  <c:v>3.817344825970773</c:v>
                </c:pt>
                <c:pt idx="4">
                  <c:v>3.817344825970773</c:v>
                </c:pt>
                <c:pt idx="5">
                  <c:v>3.817344825970773</c:v>
                </c:pt>
                <c:pt idx="6">
                  <c:v>3.817344825970773</c:v>
                </c:pt>
                <c:pt idx="7">
                  <c:v>3.817344825970773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LineGraphData!$AK$16</c:f>
              <c:strCache>
                <c:ptCount val="1"/>
                <c:pt idx="0">
                  <c:v>Median Unc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LineGraphData!$AF$17:$AF$46</c:f>
              <c:strCache>
                <c:ptCount val="30"/>
                <c:pt idx="0">
                  <c:v>36797</c:v>
                </c:pt>
                <c:pt idx="1">
                  <c:v>36753</c:v>
                </c:pt>
                <c:pt idx="2">
                  <c:v>36712</c:v>
                </c:pt>
                <c:pt idx="3">
                  <c:v>36661</c:v>
                </c:pt>
                <c:pt idx="4">
                  <c:v>36631</c:v>
                </c:pt>
                <c:pt idx="5">
                  <c:v>36586</c:v>
                </c:pt>
                <c:pt idx="6">
                  <c:v>36557</c:v>
                </c:pt>
                <c:pt idx="7">
                  <c:v>36540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strCache>
            </c:strRef>
          </c:xVal>
          <c:yVal>
            <c:numRef>
              <c:f>LineGraphData!$AK$17:$AK$46</c:f>
              <c:numCache>
                <c:ptCount val="30"/>
                <c:pt idx="0">
                  <c:v>-9.817344825970773</c:v>
                </c:pt>
                <c:pt idx="1">
                  <c:v>-9.817344825970773</c:v>
                </c:pt>
                <c:pt idx="2">
                  <c:v>-9.817344825970773</c:v>
                </c:pt>
                <c:pt idx="3">
                  <c:v>-9.817344825970773</c:v>
                </c:pt>
                <c:pt idx="4">
                  <c:v>-9.817344825970773</c:v>
                </c:pt>
                <c:pt idx="5">
                  <c:v>-9.817344825970773</c:v>
                </c:pt>
                <c:pt idx="6">
                  <c:v>-9.817344825970773</c:v>
                </c:pt>
                <c:pt idx="7">
                  <c:v>-9.817344825970773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numCache>
            </c:numRef>
          </c:yVal>
          <c:smooth val="0"/>
        </c:ser>
        <c:axId val="13174967"/>
        <c:axId val="51465840"/>
      </c:scatterChart>
      <c:valAx>
        <c:axId val="1317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/>
            </a:pPr>
          </a:p>
        </c:txPr>
        <c:crossAx val="51465840"/>
        <c:crossesAt val="-100000"/>
        <c:crossBetween val="midCat"/>
        <c:dispUnits/>
        <c:majorUnit val="14"/>
      </c:valAx>
      <c:valAx>
        <c:axId val="51465840"/>
        <c:scaling>
          <c:orientation val="minMax"/>
        </c:scaling>
        <c:axPos val="l"/>
        <c:title>
          <c:tx>
            <c:strRef>
              <c:f>DataEntry!$B$8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174967"/>
        <c:crosses val="autoZero"/>
        <c:crossBetween val="midCat"/>
        <c:dispUnits/>
      </c:valAx>
      <c:spPr>
        <a:gradFill rotWithShape="1">
          <a:gsLst>
            <a:gs pos="0">
              <a:srgbClr val="CCFFCC"/>
            </a:gs>
            <a:gs pos="50000">
              <a:srgbClr val="FFFFFF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LineGraphData!$W$1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LineGraphData!$X$16</c:f>
              <c:strCache>
                <c:ptCount val="1"/>
                <c:pt idx="0">
                  <c:v>10 kg #1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LineGraphData!$V$17</c:f>
                  <c:strCache>
                    <c:ptCount val="1"/>
                    <c:pt idx="0">
                      <c:v>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LineGraphData!$V$18</c:f>
                  <c:strCache>
                    <c:ptCount val="1"/>
                    <c:pt idx="0">
                      <c:v>B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LineGraphData!$V$19</c:f>
                  <c:strCache>
                    <c:ptCount val="1"/>
                    <c:pt idx="0">
                      <c:v>C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LineGraphData!$V$20</c:f>
                  <c:strCache>
                    <c:ptCount val="1"/>
                    <c:pt idx="0">
                      <c:v>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LineGraphData!$V$21</c:f>
                  <c:strCache>
                    <c:ptCount val="1"/>
                    <c:pt idx="0">
                      <c:v>E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LineGraphData!$V$22</c:f>
                  <c:strCache>
                    <c:ptCount val="1"/>
                    <c:pt idx="0">
                      <c:v>F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LineGraphData!$V$23</c:f>
                  <c:strCache>
                    <c:ptCount val="1"/>
                    <c:pt idx="0">
                      <c:v>G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LineGraphData!$V$24</c:f>
                  <c:strCache>
                    <c:ptCount val="1"/>
                    <c:pt idx="0">
                      <c:v>H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LineGraphData!$V$25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LineGraphData!$V$26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LineGraphData!$V$27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LineGraphData!$V$28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LineGraphData!$V$29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LineGraphData!$V$30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LineGraphData!$V$31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LineGraphData!$V$32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LineGraphData!$V$33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LineGraphData!$V$34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LineGraphData!$V$35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LineGraphData!$V$36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LineGraphData!$V$37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LineGraphData!$V$38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LineGraphData!$V$39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LineGraphData!$V$40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LineGraphData!$V$41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strRef>
                  <c:f>LineGraphData!$V$42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strRef>
                  <c:f>LineGraphData!$V$43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strRef>
                  <c:f>LineGraphData!$V$44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strRef>
                  <c:f>LineGraphData!$V$45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strRef>
                  <c:f>LineGraphData!$V$46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6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LineGraphData!$Y$17:$Y$46</c:f>
                <c:numCache>
                  <c:ptCount val="30"/>
                  <c:pt idx="0">
                    <c:v>5</c:v>
                  </c:pt>
                  <c:pt idx="1">
                    <c:v>8</c:v>
                  </c:pt>
                  <c:pt idx="2">
                    <c:v>6</c:v>
                  </c:pt>
                  <c:pt idx="3">
                    <c:v>4</c:v>
                  </c:pt>
                  <c:pt idx="4">
                    <c:v>2</c:v>
                  </c:pt>
                  <c:pt idx="5">
                    <c:v>7</c:v>
                  </c:pt>
                  <c:pt idx="6">
                    <c:v>5</c:v>
                  </c:pt>
                  <c:pt idx="7">
                    <c:v>9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</c:numCache>
              </c:numRef>
            </c:plus>
            <c:minus>
              <c:numRef>
                <c:f>LineGraphData!$Y$17:$Y$46</c:f>
                <c:numCache>
                  <c:ptCount val="30"/>
                  <c:pt idx="0">
                    <c:v>5</c:v>
                  </c:pt>
                  <c:pt idx="1">
                    <c:v>8</c:v>
                  </c:pt>
                  <c:pt idx="2">
                    <c:v>6</c:v>
                  </c:pt>
                  <c:pt idx="3">
                    <c:v>4</c:v>
                  </c:pt>
                  <c:pt idx="4">
                    <c:v>2</c:v>
                  </c:pt>
                  <c:pt idx="5">
                    <c:v>7</c:v>
                  </c:pt>
                  <c:pt idx="6">
                    <c:v>5</c:v>
                  </c:pt>
                  <c:pt idx="7">
                    <c:v>9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</c:numCache>
              </c:numRef>
            </c:minus>
            <c:noEndCap val="0"/>
          </c:errBars>
          <c:xVal>
            <c:strRef>
              <c:f>LineGraphData!$W$17:$W$46</c:f>
              <c:strCache>
                <c:ptCount val="30"/>
                <c:pt idx="0">
                  <c:v>36526</c:v>
                </c:pt>
                <c:pt idx="1">
                  <c:v>36540</c:v>
                </c:pt>
                <c:pt idx="2">
                  <c:v>36646</c:v>
                </c:pt>
                <c:pt idx="3">
                  <c:v>36651</c:v>
                </c:pt>
                <c:pt idx="4">
                  <c:v>36714</c:v>
                </c:pt>
                <c:pt idx="5">
                  <c:v>36739</c:v>
                </c:pt>
                <c:pt idx="6">
                  <c:v>36748</c:v>
                </c:pt>
                <c:pt idx="7">
                  <c:v>36800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strCache>
            </c:strRef>
          </c:xVal>
          <c:yVal>
            <c:numRef>
              <c:f>LineGraphData!$X$17:$X$46</c:f>
              <c:numCache>
                <c:ptCount val="30"/>
                <c:pt idx="0">
                  <c:v>-2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LineGraphData!$Z$16</c:f>
              <c:strCache>
                <c:ptCount val="1"/>
                <c:pt idx="0">
                  <c:v>Median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LineGraphData!$W$17:$W$46</c:f>
              <c:strCache>
                <c:ptCount val="30"/>
                <c:pt idx="0">
                  <c:v>36526</c:v>
                </c:pt>
                <c:pt idx="1">
                  <c:v>36540</c:v>
                </c:pt>
                <c:pt idx="2">
                  <c:v>36646</c:v>
                </c:pt>
                <c:pt idx="3">
                  <c:v>36651</c:v>
                </c:pt>
                <c:pt idx="4">
                  <c:v>36714</c:v>
                </c:pt>
                <c:pt idx="5">
                  <c:v>36739</c:v>
                </c:pt>
                <c:pt idx="6">
                  <c:v>36748</c:v>
                </c:pt>
                <c:pt idx="7">
                  <c:v>36800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strCache>
            </c:strRef>
          </c:xVal>
          <c:yVal>
            <c:numRef>
              <c:f>LineGraphData!$Z$17:$Z$46</c:f>
              <c:numCache>
                <c:ptCount val="30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LineGraphData!$AA$16</c:f>
              <c:strCache>
                <c:ptCount val="1"/>
                <c:pt idx="0">
                  <c:v>Median Unc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LineGraphData!$W$17:$W$46</c:f>
              <c:strCache>
                <c:ptCount val="30"/>
                <c:pt idx="0">
                  <c:v>36526</c:v>
                </c:pt>
                <c:pt idx="1">
                  <c:v>36540</c:v>
                </c:pt>
                <c:pt idx="2">
                  <c:v>36646</c:v>
                </c:pt>
                <c:pt idx="3">
                  <c:v>36651</c:v>
                </c:pt>
                <c:pt idx="4">
                  <c:v>36714</c:v>
                </c:pt>
                <c:pt idx="5">
                  <c:v>36739</c:v>
                </c:pt>
                <c:pt idx="6">
                  <c:v>36748</c:v>
                </c:pt>
                <c:pt idx="7">
                  <c:v>36800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strCache>
            </c:strRef>
          </c:xVal>
          <c:yVal>
            <c:numRef>
              <c:f>LineGraphData!$AA$17:$AA$46</c:f>
              <c:numCache>
                <c:ptCount val="30"/>
                <c:pt idx="0">
                  <c:v>5.193623849670827</c:v>
                </c:pt>
                <c:pt idx="1">
                  <c:v>5.193623849670827</c:v>
                </c:pt>
                <c:pt idx="2">
                  <c:v>5.193623849670827</c:v>
                </c:pt>
                <c:pt idx="3">
                  <c:v>5.193623849670827</c:v>
                </c:pt>
                <c:pt idx="4">
                  <c:v>5.193623849670827</c:v>
                </c:pt>
                <c:pt idx="5">
                  <c:v>5.193623849670827</c:v>
                </c:pt>
                <c:pt idx="6">
                  <c:v>5.193623849670827</c:v>
                </c:pt>
                <c:pt idx="7">
                  <c:v>5.193623849670827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LineGraphData!$AB$16</c:f>
              <c:strCache>
                <c:ptCount val="1"/>
                <c:pt idx="0">
                  <c:v>Median Unc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LineGraphData!$W$17:$W$46</c:f>
              <c:strCache>
                <c:ptCount val="30"/>
                <c:pt idx="0">
                  <c:v>36526</c:v>
                </c:pt>
                <c:pt idx="1">
                  <c:v>36540</c:v>
                </c:pt>
                <c:pt idx="2">
                  <c:v>36646</c:v>
                </c:pt>
                <c:pt idx="3">
                  <c:v>36651</c:v>
                </c:pt>
                <c:pt idx="4">
                  <c:v>36714</c:v>
                </c:pt>
                <c:pt idx="5">
                  <c:v>36739</c:v>
                </c:pt>
                <c:pt idx="6">
                  <c:v>36748</c:v>
                </c:pt>
                <c:pt idx="7">
                  <c:v>36800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strCache>
            </c:strRef>
          </c:xVal>
          <c:yVal>
            <c:numRef>
              <c:f>LineGraphData!$AB$17:$AB$46</c:f>
              <c:numCache>
                <c:ptCount val="30"/>
                <c:pt idx="0">
                  <c:v>-2.193623849670827</c:v>
                </c:pt>
                <c:pt idx="1">
                  <c:v>-2.193623849670827</c:v>
                </c:pt>
                <c:pt idx="2">
                  <c:v>-2.193623849670827</c:v>
                </c:pt>
                <c:pt idx="3">
                  <c:v>-2.193623849670827</c:v>
                </c:pt>
                <c:pt idx="4">
                  <c:v>-2.193623849670827</c:v>
                </c:pt>
                <c:pt idx="5">
                  <c:v>-2.193623849670827</c:v>
                </c:pt>
                <c:pt idx="6">
                  <c:v>-2.193623849670827</c:v>
                </c:pt>
                <c:pt idx="7">
                  <c:v>-2.193623849670827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numCache>
            </c:numRef>
          </c:yVal>
          <c:smooth val="0"/>
        </c:ser>
        <c:axId val="60539377"/>
        <c:axId val="7983482"/>
      </c:scatterChart>
      <c:valAx>
        <c:axId val="60539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/>
            </a:pPr>
          </a:p>
        </c:txPr>
        <c:crossAx val="7983482"/>
        <c:crossesAt val="-1000000"/>
        <c:crossBetween val="midCat"/>
        <c:dispUnits/>
        <c:majorUnit val="14"/>
        <c:minorUnit val="1"/>
      </c:valAx>
      <c:valAx>
        <c:axId val="7983482"/>
        <c:scaling>
          <c:orientation val="minMax"/>
        </c:scaling>
        <c:axPos val="l"/>
        <c:title>
          <c:tx>
            <c:strRef>
              <c:f>DataEntry!$B$8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539377"/>
        <c:crosses val="autoZero"/>
        <c:crossBetween val="midCat"/>
        <c:dispUnits/>
      </c:valAx>
      <c:spPr>
        <a:gradFill rotWithShape="1">
          <a:gsLst>
            <a:gs pos="0">
              <a:srgbClr val="CCFFCC"/>
            </a:gs>
            <a:gs pos="50000">
              <a:srgbClr val="FFFFFF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LineGraphData!$AN$1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LineGraphData!$AO$16</c:f>
              <c:strCache>
                <c:ptCount val="1"/>
                <c:pt idx="0">
                  <c:v>En 10 kg #1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LineGraphData!$AN$17:$AN$46</c:f>
              <c:strCache>
                <c:ptCount val="3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</c:strCache>
            </c:strRef>
          </c:cat>
          <c:val>
            <c:numRef>
              <c:f>LineGraphData!$AO$17:$AO$46</c:f>
              <c:numCache>
                <c:ptCount val="30"/>
                <c:pt idx="0">
                  <c:v>0.5630324549140187</c:v>
                </c:pt>
                <c:pt idx="1">
                  <c:v>0.0567439089696136</c:v>
                </c:pt>
                <c:pt idx="2">
                  <c:v>0.3548228862059768</c:v>
                </c:pt>
                <c:pt idx="3">
                  <c:v>0.2755061060264025</c:v>
                </c:pt>
                <c:pt idx="4">
                  <c:v>0.11903797917400127</c:v>
                </c:pt>
                <c:pt idx="5">
                  <c:v>0.18952018873572932</c:v>
                </c:pt>
                <c:pt idx="6">
                  <c:v>0.08043320784485981</c:v>
                </c:pt>
                <c:pt idx="7">
                  <c:v>0.051395616875004664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numCache>
            </c:numRef>
          </c:val>
        </c:ser>
        <c:ser>
          <c:idx val="0"/>
          <c:order val="1"/>
          <c:tx>
            <c:strRef>
              <c:f>LineGraphData!$AP$16</c:f>
              <c:strCache>
                <c:ptCount val="1"/>
                <c:pt idx="0">
                  <c:v>En 10 kg #2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LineGraphData!$AN$17:$AN$46</c:f>
              <c:strCache>
                <c:ptCount val="3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</c:strCache>
            </c:strRef>
          </c:cat>
          <c:val>
            <c:numRef>
              <c:f>LineGraphData!$AP$17:$AP$46</c:f>
              <c:numCache>
                <c:ptCount val="30"/>
                <c:pt idx="0">
                  <c:v>0.47312869935768653</c:v>
                </c:pt>
                <c:pt idx="1">
                  <c:v>0</c:v>
                </c:pt>
                <c:pt idx="2">
                  <c:v>0.5505613343760446</c:v>
                </c:pt>
                <c:pt idx="3">
                  <c:v>1.5181824820424217</c:v>
                </c:pt>
                <c:pt idx="4">
                  <c:v>0.14075269359666615</c:v>
                </c:pt>
                <c:pt idx="5">
                  <c:v>0.5117083021934136</c:v>
                </c:pt>
                <c:pt idx="6">
                  <c:v>0.23656434967884327</c:v>
                </c:pt>
                <c:pt idx="7">
                  <c:v>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numCache>
            </c:numRef>
          </c:val>
        </c:ser>
        <c:axId val="4742475"/>
        <c:axId val="42682276"/>
      </c:barChart>
      <c:lineChart>
        <c:grouping val="standard"/>
        <c:varyColors val="0"/>
        <c:ser>
          <c:idx val="1"/>
          <c:order val="2"/>
          <c:tx>
            <c:strRef>
              <c:f>LineGraphData!$AQ$16</c:f>
              <c:strCache>
                <c:ptCount val="1"/>
                <c:pt idx="0">
                  <c:v>EnLimit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LineGraphData!$AQ$17:$AQ$46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numCache>
            </c:numRef>
          </c:val>
          <c:smooth val="0"/>
        </c:ser>
        <c:axId val="4742475"/>
        <c:axId val="42682276"/>
      </c:lineChart>
      <c:catAx>
        <c:axId val="474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2682276"/>
        <c:crosses val="autoZero"/>
        <c:auto val="1"/>
        <c:lblOffset val="100"/>
        <c:noMultiLvlLbl val="0"/>
      </c:catAx>
      <c:valAx>
        <c:axId val="42682276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42475"/>
        <c:crossesAt val="1"/>
        <c:crossBetween val="between"/>
        <c:dispUnits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LineGraphData!$AS$3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LineGraphData!$AT$16</c:f>
              <c:strCache>
                <c:ptCount val="1"/>
                <c:pt idx="0">
                  <c:v>Pr 10 kg #1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LineGraphData!$AS$17:$AS$46</c:f>
              <c:strCache>
                <c:ptCount val="3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</c:strCache>
            </c:strRef>
          </c:cat>
          <c:val>
            <c:numRef>
              <c:f>LineGraphData!$AT$17:$AT$46</c:f>
              <c:numCache>
                <c:ptCount val="30"/>
                <c:pt idx="0">
                  <c:v>4.6</c:v>
                </c:pt>
                <c:pt idx="1">
                  <c:v>2.875</c:v>
                </c:pt>
                <c:pt idx="2">
                  <c:v>3.8333333333333335</c:v>
                </c:pt>
                <c:pt idx="3">
                  <c:v>5.75</c:v>
                </c:pt>
                <c:pt idx="4">
                  <c:v>11.5</c:v>
                </c:pt>
                <c:pt idx="5">
                  <c:v>3.2857142857142856</c:v>
                </c:pt>
                <c:pt idx="6">
                  <c:v>4.6</c:v>
                </c:pt>
                <c:pt idx="7">
                  <c:v>2.5555555555555554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LineGraphData!$AU$16</c:f>
              <c:strCache>
                <c:ptCount val="1"/>
                <c:pt idx="0">
                  <c:v>Pr 10 kg #2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LineGraphData!$AS$17:$AS$46</c:f>
              <c:strCache>
                <c:ptCount val="3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</c:strCache>
            </c:strRef>
          </c:cat>
          <c:val>
            <c:numRef>
              <c:f>LineGraphData!$AU$17:$AU$46</c:f>
              <c:numCache>
                <c:ptCount val="30"/>
                <c:pt idx="0">
                  <c:v>4.6</c:v>
                </c:pt>
                <c:pt idx="1">
                  <c:v>2.875</c:v>
                </c:pt>
                <c:pt idx="2">
                  <c:v>3.8333333333333335</c:v>
                </c:pt>
                <c:pt idx="3">
                  <c:v>5.75</c:v>
                </c:pt>
                <c:pt idx="4">
                  <c:v>11.5</c:v>
                </c:pt>
                <c:pt idx="5">
                  <c:v>3.2857142857142856</c:v>
                </c:pt>
                <c:pt idx="6">
                  <c:v>4.6</c:v>
                </c:pt>
                <c:pt idx="7">
                  <c:v>2.5555555555555554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numCache>
            </c:numRef>
          </c:val>
        </c:ser>
        <c:axId val="48596165"/>
        <c:axId val="34712302"/>
      </c:barChart>
      <c:lineChart>
        <c:grouping val="standard"/>
        <c:varyColors val="0"/>
        <c:ser>
          <c:idx val="2"/>
          <c:order val="2"/>
          <c:tx>
            <c:strRef>
              <c:f>LineGraphData!$AV$16</c:f>
              <c:strCache>
                <c:ptCount val="1"/>
                <c:pt idx="0">
                  <c:v>PrLimit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LineGraphData!$AS$17:$AS$46</c:f>
              <c:strCache>
                <c:ptCount val="3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</c:strCache>
            </c:strRef>
          </c:cat>
          <c:val>
            <c:numRef>
              <c:f>LineGraphData!$AV$17:$AV$46</c:f>
              <c:numCache>
                <c:ptCount val="3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numCache>
            </c:numRef>
          </c:val>
          <c:smooth val="0"/>
        </c:ser>
        <c:axId val="48596165"/>
        <c:axId val="34712302"/>
      </c:lineChart>
      <c:catAx>
        <c:axId val="4859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4712302"/>
        <c:crosses val="autoZero"/>
        <c:auto val="1"/>
        <c:lblOffset val="100"/>
        <c:noMultiLvlLbl val="0"/>
      </c:catAx>
      <c:valAx>
        <c:axId val="34712302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59616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22</xdr:row>
      <xdr:rowOff>38100</xdr:rowOff>
    </xdr:from>
    <xdr:to>
      <xdr:col>14</xdr:col>
      <xdr:colOff>495300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8100" y="3067050"/>
        <a:ext cx="6819900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9525</xdr:rowOff>
    </xdr:from>
    <xdr:to>
      <xdr:col>10</xdr:col>
      <xdr:colOff>590550</xdr:colOff>
      <xdr:row>61</xdr:row>
      <xdr:rowOff>142875</xdr:rowOff>
    </xdr:to>
    <xdr:graphicFrame>
      <xdr:nvGraphicFramePr>
        <xdr:cNvPr id="1" name="Chart 1"/>
        <xdr:cNvGraphicFramePr/>
      </xdr:nvGraphicFramePr>
      <xdr:xfrm>
        <a:off x="19050" y="5029200"/>
        <a:ext cx="66675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0</xdr:row>
      <xdr:rowOff>19050</xdr:rowOff>
    </xdr:from>
    <xdr:to>
      <xdr:col>10</xdr:col>
      <xdr:colOff>590550</xdr:colOff>
      <xdr:row>31</xdr:row>
      <xdr:rowOff>9525</xdr:rowOff>
    </xdr:to>
    <xdr:graphicFrame>
      <xdr:nvGraphicFramePr>
        <xdr:cNvPr id="2" name="Chart 2"/>
        <xdr:cNvGraphicFramePr/>
      </xdr:nvGraphicFramePr>
      <xdr:xfrm>
        <a:off x="19050" y="19050"/>
        <a:ext cx="6667500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19050</xdr:colOff>
      <xdr:row>0</xdr:row>
      <xdr:rowOff>9525</xdr:rowOff>
    </xdr:from>
    <xdr:to>
      <xdr:col>21</xdr:col>
      <xdr:colOff>590550</xdr:colOff>
      <xdr:row>30</xdr:row>
      <xdr:rowOff>152400</xdr:rowOff>
    </xdr:to>
    <xdr:graphicFrame>
      <xdr:nvGraphicFramePr>
        <xdr:cNvPr id="3" name="Chart 3"/>
        <xdr:cNvGraphicFramePr/>
      </xdr:nvGraphicFramePr>
      <xdr:xfrm>
        <a:off x="6724650" y="9525"/>
        <a:ext cx="6667500" cy="5000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28575</xdr:colOff>
      <xdr:row>30</xdr:row>
      <xdr:rowOff>152400</xdr:rowOff>
    </xdr:from>
    <xdr:to>
      <xdr:col>21</xdr:col>
      <xdr:colOff>590550</xdr:colOff>
      <xdr:row>61</xdr:row>
      <xdr:rowOff>142875</xdr:rowOff>
    </xdr:to>
    <xdr:graphicFrame>
      <xdr:nvGraphicFramePr>
        <xdr:cNvPr id="4" name="Chart 4"/>
        <xdr:cNvGraphicFramePr/>
      </xdr:nvGraphicFramePr>
      <xdr:xfrm>
        <a:off x="6734175" y="5010150"/>
        <a:ext cx="6657975" cy="5010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5" sqref="G5"/>
    </sheetView>
  </sheetViews>
  <sheetFormatPr defaultColWidth="9.140625" defaultRowHeight="12.75"/>
  <sheetData>
    <row r="1" ht="25.5">
      <c r="A1" s="88" t="s">
        <v>47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39"/>
  <sheetViews>
    <sheetView tabSelected="1" zoomScale="90" zoomScaleNormal="90" workbookViewId="0" topLeftCell="A1">
      <selection activeCell="B3" sqref="B3"/>
    </sheetView>
  </sheetViews>
  <sheetFormatPr defaultColWidth="9.140625" defaultRowHeight="12.75"/>
  <cols>
    <col min="1" max="1" width="19.8515625" style="0" customWidth="1"/>
    <col min="2" max="2" width="12.00390625" style="0" customWidth="1"/>
    <col min="3" max="3" width="15.8515625" style="0" bestFit="1" customWidth="1"/>
    <col min="4" max="4" width="11.8515625" style="0" customWidth="1"/>
    <col min="5" max="5" width="15.421875" style="0" customWidth="1"/>
    <col min="6" max="6" width="13.7109375" style="0" customWidth="1"/>
    <col min="7" max="7" width="10.7109375" style="0" customWidth="1"/>
    <col min="8" max="8" width="13.00390625" style="0" customWidth="1"/>
    <col min="9" max="9" width="10.421875" style="0" bestFit="1" customWidth="1"/>
    <col min="10" max="10" width="10.421875" style="0" customWidth="1"/>
    <col min="17" max="17" width="9.57421875" style="0" customWidth="1"/>
    <col min="19" max="19" width="9.7109375" style="0" bestFit="1" customWidth="1"/>
  </cols>
  <sheetData>
    <row r="1" spans="1:17" ht="12.75">
      <c r="A1" t="s">
        <v>30</v>
      </c>
      <c r="J1" s="4" t="s">
        <v>34</v>
      </c>
      <c r="K1" s="14" t="s">
        <v>67</v>
      </c>
      <c r="Q1" t="str">
        <f>Title&amp;" ("&amp;TEXT(R2,"mmm d, yy")&amp;" thru "&amp;TEXT(Q2,"mmm d, yy")&amp;")"</f>
        <v>RMAP (Jan 1, 00 thru Oct 1, 00)</v>
      </c>
    </row>
    <row r="2" spans="17:18" ht="12.75">
      <c r="Q2" s="56">
        <f>MAX(C10:C39,F10:F39)</f>
        <v>36800</v>
      </c>
      <c r="R2" s="56">
        <f>MIN(C10:C39,F10:F39)</f>
        <v>36526</v>
      </c>
    </row>
    <row r="3" spans="1:11" ht="12.75">
      <c r="A3" s="4" t="s">
        <v>66</v>
      </c>
      <c r="B3" s="35" t="s">
        <v>65</v>
      </c>
      <c r="C3" s="58"/>
      <c r="D3" s="58"/>
      <c r="E3" s="58"/>
      <c r="F3" s="58"/>
      <c r="G3" s="58"/>
      <c r="H3" s="58"/>
      <c r="J3" s="4">
        <f>IF(K1="yes","NIST "&amp;B4&amp;" Value =","")</f>
      </c>
      <c r="K3" s="50">
        <v>0</v>
      </c>
    </row>
    <row r="4" spans="1:11" ht="12.75">
      <c r="A4" s="4" t="s">
        <v>31</v>
      </c>
      <c r="B4" s="35" t="s">
        <v>55</v>
      </c>
      <c r="C4" s="38"/>
      <c r="J4" s="4">
        <f>IF(K1="yes","NIST "&amp;B4&amp;" Unc =","")</f>
      </c>
      <c r="K4" s="50">
        <v>2.1</v>
      </c>
    </row>
    <row r="5" spans="1:3" ht="12.75">
      <c r="A5" s="4" t="s">
        <v>32</v>
      </c>
      <c r="B5" s="14" t="s">
        <v>56</v>
      </c>
      <c r="C5" s="38"/>
    </row>
    <row r="6" spans="1:11" ht="12.75">
      <c r="A6" s="4" t="s">
        <v>39</v>
      </c>
      <c r="B6" s="35">
        <v>23</v>
      </c>
      <c r="C6" s="38"/>
      <c r="J6" s="4">
        <f>IF(K1="yes","NIST "&amp;B5&amp;" Value =","")</f>
      </c>
      <c r="K6" s="50">
        <v>0</v>
      </c>
    </row>
    <row r="7" spans="1:11" ht="12.75">
      <c r="A7" s="4" t="s">
        <v>35</v>
      </c>
      <c r="B7" s="14" t="s">
        <v>3</v>
      </c>
      <c r="C7" s="38"/>
      <c r="J7" s="4">
        <f>IF(K1="yes","NIST "&amp;B5&amp;" Unc =","")</f>
      </c>
      <c r="K7" s="50">
        <v>2.1</v>
      </c>
    </row>
    <row r="8" spans="1:8" ht="12.75">
      <c r="A8" s="4" t="s">
        <v>33</v>
      </c>
      <c r="B8" s="14" t="s">
        <v>54</v>
      </c>
      <c r="C8" s="3"/>
      <c r="D8" s="3"/>
      <c r="E8" s="3"/>
      <c r="F8" s="3"/>
      <c r="G8" s="3"/>
      <c r="H8" s="3"/>
    </row>
    <row r="9" spans="2:10" ht="12.75">
      <c r="B9" t="s">
        <v>0</v>
      </c>
      <c r="C9" s="3" t="str">
        <f>"Date "&amp;B4</f>
        <v>Date 10 kg #1</v>
      </c>
      <c r="D9" s="3" t="str">
        <f>B4</f>
        <v>10 kg #1</v>
      </c>
      <c r="E9" s="3" t="str">
        <f>"Unc "&amp;B4</f>
        <v>Unc 10 kg #1</v>
      </c>
      <c r="F9" s="3" t="str">
        <f>"Date "&amp;B5</f>
        <v>Date 10 kg #2</v>
      </c>
      <c r="G9" s="3" t="str">
        <f>B5</f>
        <v>10 kg #2</v>
      </c>
      <c r="H9" s="82" t="str">
        <f>"Unc "&amp;B5</f>
        <v>Unc 10 kg #2</v>
      </c>
      <c r="J9" t="s">
        <v>37</v>
      </c>
    </row>
    <row r="10" spans="1:10" ht="12.75">
      <c r="A10" s="3">
        <v>1</v>
      </c>
      <c r="B10" s="47" t="s">
        <v>57</v>
      </c>
      <c r="C10" s="83">
        <v>36526</v>
      </c>
      <c r="D10" s="80">
        <v>-2</v>
      </c>
      <c r="E10" s="80">
        <v>5</v>
      </c>
      <c r="F10" s="84">
        <v>36797</v>
      </c>
      <c r="G10" s="81">
        <v>-7</v>
      </c>
      <c r="H10" s="81">
        <v>5</v>
      </c>
      <c r="J10" s="57">
        <f>IF(AND(E10&gt;0,H10&gt;0),AVERAGE(E10,H10),"")</f>
        <v>5</v>
      </c>
    </row>
    <row r="11" spans="1:10" ht="12.75">
      <c r="A11" s="3">
        <v>2</v>
      </c>
      <c r="B11" s="47" t="s">
        <v>58</v>
      </c>
      <c r="C11" s="83">
        <v>36540</v>
      </c>
      <c r="D11" s="80">
        <v>1</v>
      </c>
      <c r="E11" s="80">
        <v>8</v>
      </c>
      <c r="F11" s="84">
        <v>36753</v>
      </c>
      <c r="G11" s="81">
        <v>-3</v>
      </c>
      <c r="H11" s="81">
        <v>8</v>
      </c>
      <c r="J11" s="57">
        <f aca="true" t="shared" si="0" ref="J11:J39">IF(AND(E11&gt;0,H11&gt;0),AVERAGE(E11,H11),"")</f>
        <v>8</v>
      </c>
    </row>
    <row r="12" spans="1:10" ht="12.75">
      <c r="A12" s="3">
        <v>3</v>
      </c>
      <c r="B12" s="47" t="s">
        <v>59</v>
      </c>
      <c r="C12" s="83">
        <v>36646</v>
      </c>
      <c r="D12" s="80">
        <v>4</v>
      </c>
      <c r="E12" s="80">
        <v>6</v>
      </c>
      <c r="F12" s="84">
        <v>36712</v>
      </c>
      <c r="G12" s="81">
        <v>-8</v>
      </c>
      <c r="H12" s="81">
        <v>6</v>
      </c>
      <c r="J12" s="57">
        <f t="shared" si="0"/>
        <v>6</v>
      </c>
    </row>
    <row r="13" spans="1:10" ht="12.75">
      <c r="A13" s="3">
        <v>4</v>
      </c>
      <c r="B13" s="47" t="s">
        <v>60</v>
      </c>
      <c r="C13" s="83">
        <v>36651</v>
      </c>
      <c r="D13" s="80">
        <v>3</v>
      </c>
      <c r="E13" s="80">
        <v>4</v>
      </c>
      <c r="F13" s="84">
        <v>36661</v>
      </c>
      <c r="G13" s="81">
        <v>9</v>
      </c>
      <c r="H13" s="81">
        <v>4</v>
      </c>
      <c r="J13" s="57">
        <f t="shared" si="0"/>
        <v>4</v>
      </c>
    </row>
    <row r="14" spans="1:10" ht="12.75">
      <c r="A14" s="3">
        <v>5</v>
      </c>
      <c r="B14" s="47" t="s">
        <v>61</v>
      </c>
      <c r="C14" s="83">
        <v>36714</v>
      </c>
      <c r="D14" s="80">
        <v>2</v>
      </c>
      <c r="E14" s="80">
        <v>2</v>
      </c>
      <c r="F14" s="84">
        <v>36631</v>
      </c>
      <c r="G14" s="81">
        <v>-4</v>
      </c>
      <c r="H14" s="81">
        <v>2</v>
      </c>
      <c r="J14" s="57">
        <f t="shared" si="0"/>
        <v>2</v>
      </c>
    </row>
    <row r="15" spans="1:10" ht="12.75">
      <c r="A15" s="3">
        <v>6</v>
      </c>
      <c r="B15" s="47" t="s">
        <v>62</v>
      </c>
      <c r="C15" s="83">
        <v>36739</v>
      </c>
      <c r="D15" s="80">
        <v>0</v>
      </c>
      <c r="E15" s="80">
        <v>7</v>
      </c>
      <c r="F15" s="84">
        <v>36586</v>
      </c>
      <c r="G15" s="81">
        <v>2</v>
      </c>
      <c r="H15" s="81">
        <v>7</v>
      </c>
      <c r="J15" s="57">
        <f t="shared" si="0"/>
        <v>7</v>
      </c>
    </row>
    <row r="16" spans="1:10" ht="12.75">
      <c r="A16" s="3">
        <v>7</v>
      </c>
      <c r="B16" s="47" t="s">
        <v>63</v>
      </c>
      <c r="C16" s="83">
        <v>36748</v>
      </c>
      <c r="D16" s="80">
        <v>1</v>
      </c>
      <c r="E16" s="80">
        <v>5</v>
      </c>
      <c r="F16" s="84">
        <v>36557</v>
      </c>
      <c r="G16" s="81">
        <v>-1</v>
      </c>
      <c r="H16" s="81">
        <v>5</v>
      </c>
      <c r="J16" s="57">
        <f t="shared" si="0"/>
        <v>5</v>
      </c>
    </row>
    <row r="17" spans="1:10" ht="12.75">
      <c r="A17" s="3">
        <v>8</v>
      </c>
      <c r="B17" s="47" t="s">
        <v>64</v>
      </c>
      <c r="C17" s="83">
        <v>36800</v>
      </c>
      <c r="D17" s="80">
        <v>2</v>
      </c>
      <c r="E17" s="80">
        <v>9</v>
      </c>
      <c r="F17" s="84">
        <v>36540</v>
      </c>
      <c r="G17" s="81">
        <v>-3</v>
      </c>
      <c r="H17" s="81">
        <v>9</v>
      </c>
      <c r="J17" s="57">
        <f t="shared" si="0"/>
        <v>9</v>
      </c>
    </row>
    <row r="18" spans="1:10" ht="12.75">
      <c r="A18" s="3">
        <v>9</v>
      </c>
      <c r="B18" s="47"/>
      <c r="C18" s="83"/>
      <c r="D18" s="80"/>
      <c r="E18" s="80"/>
      <c r="F18" s="84"/>
      <c r="G18" s="81"/>
      <c r="H18" s="81"/>
      <c r="J18" s="57">
        <f t="shared" si="0"/>
      </c>
    </row>
    <row r="19" spans="1:10" ht="12.75">
      <c r="A19" s="3">
        <v>10</v>
      </c>
      <c r="B19" s="47"/>
      <c r="C19" s="83"/>
      <c r="D19" s="80"/>
      <c r="E19" s="80"/>
      <c r="F19" s="84"/>
      <c r="G19" s="81"/>
      <c r="H19" s="81"/>
      <c r="J19" s="57">
        <f t="shared" si="0"/>
      </c>
    </row>
    <row r="20" spans="1:10" ht="12.75">
      <c r="A20" s="3">
        <v>11</v>
      </c>
      <c r="B20" s="47"/>
      <c r="C20" s="83"/>
      <c r="D20" s="80"/>
      <c r="E20" s="80"/>
      <c r="F20" s="84"/>
      <c r="G20" s="81"/>
      <c r="H20" s="81"/>
      <c r="J20" s="57">
        <f t="shared" si="0"/>
      </c>
    </row>
    <row r="21" spans="1:10" ht="12.75">
      <c r="A21" s="3">
        <v>12</v>
      </c>
      <c r="B21" s="47"/>
      <c r="C21" s="83"/>
      <c r="D21" s="80"/>
      <c r="E21" s="80"/>
      <c r="F21" s="84"/>
      <c r="G21" s="81"/>
      <c r="H21" s="81"/>
      <c r="J21" s="57">
        <f t="shared" si="0"/>
      </c>
    </row>
    <row r="22" spans="1:10" ht="12.75">
      <c r="A22" s="3">
        <v>13</v>
      </c>
      <c r="B22" s="47"/>
      <c r="C22" s="83"/>
      <c r="D22" s="80"/>
      <c r="E22" s="80"/>
      <c r="F22" s="84"/>
      <c r="G22" s="81"/>
      <c r="H22" s="81"/>
      <c r="J22" s="57">
        <f t="shared" si="0"/>
      </c>
    </row>
    <row r="23" spans="1:10" ht="12.75">
      <c r="A23" s="3">
        <v>14</v>
      </c>
      <c r="B23" s="47"/>
      <c r="C23" s="83"/>
      <c r="D23" s="80"/>
      <c r="E23" s="80"/>
      <c r="F23" s="84"/>
      <c r="G23" s="81"/>
      <c r="H23" s="81"/>
      <c r="J23" s="57">
        <f t="shared" si="0"/>
      </c>
    </row>
    <row r="24" spans="1:10" ht="12.75">
      <c r="A24" s="3">
        <v>15</v>
      </c>
      <c r="B24" s="47"/>
      <c r="C24" s="83"/>
      <c r="D24" s="80"/>
      <c r="E24" s="80"/>
      <c r="F24" s="84"/>
      <c r="G24" s="81"/>
      <c r="H24" s="81"/>
      <c r="J24" s="57">
        <f t="shared" si="0"/>
      </c>
    </row>
    <row r="25" spans="1:10" ht="12.75">
      <c r="A25" s="3">
        <v>16</v>
      </c>
      <c r="B25" s="47"/>
      <c r="C25" s="83"/>
      <c r="D25" s="80"/>
      <c r="E25" s="80"/>
      <c r="F25" s="84"/>
      <c r="G25" s="81"/>
      <c r="H25" s="81"/>
      <c r="J25" s="57">
        <f t="shared" si="0"/>
      </c>
    </row>
    <row r="26" spans="1:10" ht="12.75">
      <c r="A26" s="3">
        <v>17</v>
      </c>
      <c r="B26" s="47"/>
      <c r="C26" s="83"/>
      <c r="D26" s="80"/>
      <c r="E26" s="80"/>
      <c r="F26" s="84"/>
      <c r="G26" s="81"/>
      <c r="H26" s="81"/>
      <c r="J26" s="57">
        <f t="shared" si="0"/>
      </c>
    </row>
    <row r="27" spans="1:10" ht="12.75">
      <c r="A27" s="3">
        <v>18</v>
      </c>
      <c r="B27" s="47"/>
      <c r="C27" s="83"/>
      <c r="D27" s="80"/>
      <c r="E27" s="80"/>
      <c r="F27" s="84"/>
      <c r="G27" s="81"/>
      <c r="H27" s="81"/>
      <c r="J27" s="57">
        <f t="shared" si="0"/>
      </c>
    </row>
    <row r="28" spans="1:10" ht="12.75">
      <c r="A28" s="3">
        <v>19</v>
      </c>
      <c r="B28" s="47"/>
      <c r="C28" s="83"/>
      <c r="D28" s="80"/>
      <c r="E28" s="80"/>
      <c r="F28" s="84"/>
      <c r="G28" s="81"/>
      <c r="H28" s="81"/>
      <c r="J28" s="57">
        <f t="shared" si="0"/>
      </c>
    </row>
    <row r="29" spans="1:10" ht="12.75">
      <c r="A29" s="3">
        <v>20</v>
      </c>
      <c r="B29" s="47"/>
      <c r="C29" s="83"/>
      <c r="D29" s="80"/>
      <c r="E29" s="80"/>
      <c r="F29" s="84"/>
      <c r="G29" s="81"/>
      <c r="H29" s="81"/>
      <c r="J29" s="57">
        <f t="shared" si="0"/>
      </c>
    </row>
    <row r="30" spans="1:10" ht="12.75">
      <c r="A30" s="3">
        <v>21</v>
      </c>
      <c r="B30" s="47"/>
      <c r="C30" s="83"/>
      <c r="D30" s="80"/>
      <c r="E30" s="80"/>
      <c r="F30" s="84"/>
      <c r="G30" s="81"/>
      <c r="H30" s="81"/>
      <c r="J30" s="57">
        <f t="shared" si="0"/>
      </c>
    </row>
    <row r="31" spans="1:10" ht="12.75">
      <c r="A31" s="3">
        <v>22</v>
      </c>
      <c r="B31" s="47"/>
      <c r="C31" s="83"/>
      <c r="D31" s="80"/>
      <c r="E31" s="80"/>
      <c r="F31" s="84"/>
      <c r="G31" s="81"/>
      <c r="H31" s="81"/>
      <c r="J31" s="57">
        <f t="shared" si="0"/>
      </c>
    </row>
    <row r="32" spans="1:10" ht="12.75">
      <c r="A32" s="3">
        <v>23</v>
      </c>
      <c r="B32" s="47"/>
      <c r="C32" s="83"/>
      <c r="D32" s="80"/>
      <c r="E32" s="80"/>
      <c r="F32" s="84"/>
      <c r="G32" s="81"/>
      <c r="H32" s="81"/>
      <c r="J32" s="57">
        <f t="shared" si="0"/>
      </c>
    </row>
    <row r="33" spans="1:10" ht="12.75">
      <c r="A33" s="3">
        <v>24</v>
      </c>
      <c r="B33" s="47"/>
      <c r="C33" s="83"/>
      <c r="D33" s="80"/>
      <c r="E33" s="80"/>
      <c r="F33" s="84"/>
      <c r="G33" s="81"/>
      <c r="H33" s="81"/>
      <c r="J33" s="57">
        <f t="shared" si="0"/>
      </c>
    </row>
    <row r="34" spans="1:10" ht="12.75">
      <c r="A34" s="3">
        <v>25</v>
      </c>
      <c r="B34" s="47"/>
      <c r="C34" s="83"/>
      <c r="D34" s="80"/>
      <c r="E34" s="80"/>
      <c r="F34" s="84"/>
      <c r="G34" s="81"/>
      <c r="H34" s="81"/>
      <c r="J34" s="57">
        <f t="shared" si="0"/>
      </c>
    </row>
    <row r="35" spans="1:10" ht="12.75">
      <c r="A35" s="3">
        <v>26</v>
      </c>
      <c r="B35" s="47"/>
      <c r="C35" s="83"/>
      <c r="D35" s="80"/>
      <c r="E35" s="80"/>
      <c r="F35" s="84"/>
      <c r="G35" s="81"/>
      <c r="H35" s="81"/>
      <c r="J35" s="57">
        <f t="shared" si="0"/>
      </c>
    </row>
    <row r="36" spans="1:10" ht="12.75">
      <c r="A36" s="3">
        <v>27</v>
      </c>
      <c r="B36" s="47"/>
      <c r="C36" s="83"/>
      <c r="D36" s="80"/>
      <c r="E36" s="80"/>
      <c r="F36" s="84"/>
      <c r="G36" s="81"/>
      <c r="H36" s="81"/>
      <c r="J36" s="57">
        <f t="shared" si="0"/>
      </c>
    </row>
    <row r="37" spans="1:10" ht="12.75">
      <c r="A37" s="3">
        <v>28</v>
      </c>
      <c r="B37" s="47"/>
      <c r="C37" s="83"/>
      <c r="D37" s="80"/>
      <c r="E37" s="80"/>
      <c r="F37" s="84"/>
      <c r="G37" s="81"/>
      <c r="H37" s="81"/>
      <c r="J37" s="57">
        <f t="shared" si="0"/>
      </c>
    </row>
    <row r="38" spans="1:10" ht="12.75">
      <c r="A38" s="3">
        <v>29</v>
      </c>
      <c r="B38" s="47"/>
      <c r="C38" s="83"/>
      <c r="D38" s="80"/>
      <c r="E38" s="80"/>
      <c r="F38" s="84"/>
      <c r="G38" s="81"/>
      <c r="H38" s="81"/>
      <c r="J38" s="57">
        <f t="shared" si="0"/>
      </c>
    </row>
    <row r="39" spans="1:10" ht="12.75">
      <c r="A39" s="3">
        <v>30</v>
      </c>
      <c r="B39" s="47"/>
      <c r="C39" s="83"/>
      <c r="D39" s="80"/>
      <c r="E39" s="80"/>
      <c r="F39" s="84"/>
      <c r="G39" s="81"/>
      <c r="H39" s="81"/>
      <c r="J39" s="57">
        <f t="shared" si="0"/>
      </c>
    </row>
  </sheetData>
  <conditionalFormatting sqref="K3:K4 K6:K7">
    <cfRule type="expression" priority="1" dxfId="0" stopIfTrue="1">
      <formula>$K$1="yes"</formula>
    </cfRule>
  </conditionalFormatting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47"/>
  <sheetViews>
    <sheetView zoomScale="75" zoomScaleNormal="75" workbookViewId="0" topLeftCell="A29">
      <selection activeCell="N16" sqref="N16"/>
    </sheetView>
  </sheetViews>
  <sheetFormatPr defaultColWidth="9.140625" defaultRowHeight="12.75"/>
  <cols>
    <col min="1" max="1" width="10.140625" style="0" customWidth="1"/>
    <col min="2" max="6" width="6.7109375" style="0" customWidth="1"/>
    <col min="7" max="7" width="7.8515625" style="0" customWidth="1"/>
    <col min="8" max="8" width="0.13671875" style="0" customWidth="1"/>
    <col min="9" max="9" width="10.140625" style="0" customWidth="1"/>
    <col min="10" max="14" width="6.7109375" style="0" customWidth="1"/>
    <col min="15" max="15" width="7.8515625" style="0" customWidth="1"/>
  </cols>
  <sheetData>
    <row r="1" ht="18.75">
      <c r="H1" s="21" t="str">
        <f>DataEntry!Q1</f>
        <v>RMAP (Jan 1, 00 thru Oct 1, 00)</v>
      </c>
    </row>
    <row r="2" spans="1:15" ht="12.75">
      <c r="A2" s="26"/>
      <c r="B2" s="94" t="str">
        <f>YoudenCalculations!J10</f>
        <v>10 kg #1</v>
      </c>
      <c r="C2" s="94"/>
      <c r="D2" s="91" t="str">
        <f>YoudenCalculations!K10</f>
        <v>10 kg #2</v>
      </c>
      <c r="E2" s="91"/>
      <c r="F2" s="91"/>
      <c r="G2" s="22"/>
      <c r="H2" s="22"/>
      <c r="I2" s="22"/>
      <c r="J2" s="22"/>
      <c r="K2" s="59" t="str">
        <f>"(All values are in "&amp;DataEntry!B8&amp;")"</f>
        <v>(All values are in milligrams)</v>
      </c>
      <c r="L2" s="22"/>
      <c r="M2" s="22"/>
      <c r="N2" s="22"/>
      <c r="O2" s="22"/>
    </row>
    <row r="3" spans="1:15" ht="12.75">
      <c r="A3" s="26" t="s">
        <v>3</v>
      </c>
      <c r="B3" s="95">
        <f>YoudenCalculations!J5</f>
        <v>1.5</v>
      </c>
      <c r="C3" s="95"/>
      <c r="D3" s="92">
        <f>YoudenCalculations!K5</f>
        <v>-3</v>
      </c>
      <c r="E3" s="92"/>
      <c r="F3" s="92"/>
      <c r="G3" s="27"/>
      <c r="H3" s="27"/>
      <c r="I3" s="27"/>
      <c r="J3" s="28"/>
      <c r="K3" s="29" t="s">
        <v>27</v>
      </c>
      <c r="L3" s="89">
        <f>YoudenCalculations!Q1</f>
        <v>2.919957115022655</v>
      </c>
      <c r="M3" s="89"/>
      <c r="N3" s="22"/>
      <c r="O3" s="22"/>
    </row>
    <row r="4" spans="1:15" ht="12.75">
      <c r="A4" s="26" t="s">
        <v>26</v>
      </c>
      <c r="B4" s="95">
        <f>YoudenCalculations!J6</f>
        <v>1.375</v>
      </c>
      <c r="C4" s="95"/>
      <c r="D4" s="92">
        <f>YoudenCalculations!K6</f>
        <v>-1.875</v>
      </c>
      <c r="E4" s="92"/>
      <c r="F4" s="92"/>
      <c r="G4" s="27"/>
      <c r="H4" s="27"/>
      <c r="I4" s="27"/>
      <c r="J4" s="28"/>
      <c r="K4" s="29" t="s">
        <v>28</v>
      </c>
      <c r="L4" s="89">
        <f>YoudenCalculations!Q2</f>
        <v>7.153894931805506</v>
      </c>
      <c r="M4" s="89"/>
      <c r="N4" s="22"/>
      <c r="O4" s="22"/>
    </row>
    <row r="5" spans="1:15" ht="12.75">
      <c r="A5" s="26">
        <f>YoudenCalculations!I7</f>
      </c>
      <c r="B5" s="96">
        <f>YoudenCalculations!J7</f>
      </c>
      <c r="C5" s="97"/>
      <c r="D5" s="93">
        <f>YoudenCalculations!K7</f>
      </c>
      <c r="E5" s="93"/>
      <c r="F5" s="93"/>
      <c r="G5" s="22"/>
      <c r="H5" s="22"/>
      <c r="I5" s="22"/>
      <c r="J5" s="24"/>
      <c r="K5" s="25" t="s">
        <v>29</v>
      </c>
      <c r="L5" s="90" t="str">
        <f>DataEntry!B7</f>
        <v>Median</v>
      </c>
      <c r="M5" s="90"/>
      <c r="N5" s="22"/>
      <c r="O5" s="22"/>
    </row>
    <row r="6" spans="1:15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9.75" customHeight="1">
      <c r="A7" s="18" t="str">
        <f>YoudenCalculations!I10</f>
        <v>Metrologist</v>
      </c>
      <c r="B7" s="60" t="str">
        <f>YoudenCalculations!J10</f>
        <v>10 kg #1</v>
      </c>
      <c r="C7" s="61" t="str">
        <f>YoudenCalculations!K10</f>
        <v>10 kg #2</v>
      </c>
      <c r="D7" s="33" t="str">
        <f>YoudenCalculations!S10</f>
        <v>Unc</v>
      </c>
      <c r="E7" s="18" t="str">
        <f>YoudenCalculations!N10</f>
        <v>SYS</v>
      </c>
      <c r="F7" s="18" t="str">
        <f>YoudenCalculations!O10</f>
        <v>RAN</v>
      </c>
      <c r="G7" s="18" t="str">
        <f>YoudenCalculations!T10</f>
        <v>Unc Test</v>
      </c>
      <c r="H7" s="19"/>
      <c r="I7" s="20">
        <f>IF(LineGraphData!S5&gt;15,A7,"")</f>
      </c>
      <c r="J7" s="62">
        <f>IF(LineGraphData!S5&gt;15,B7,"")</f>
      </c>
      <c r="K7" s="63">
        <f>IF(LineGraphData!S5&gt;15,C7,"")</f>
      </c>
      <c r="L7" s="20">
        <f>IF(LineGraphData!S5&gt;15,D7,"")</f>
      </c>
      <c r="M7" s="20">
        <f>IF(LineGraphData!S5&gt;15,E7,"")</f>
      </c>
      <c r="N7" s="20">
        <f>IF(LineGraphData!S5&gt;15,F7,"")</f>
      </c>
      <c r="O7" s="20">
        <f>IF(LineGraphData!S5&gt;15,G7,"")</f>
      </c>
    </row>
    <row r="8" spans="1:18" ht="9.75" customHeight="1">
      <c r="A8" s="18" t="str">
        <f>YoudenCalculations!I11</f>
        <v>A</v>
      </c>
      <c r="B8" s="60">
        <f>YoudenCalculations!J11</f>
        <v>-2</v>
      </c>
      <c r="C8" s="61">
        <f>YoudenCalculations!K11</f>
        <v>-7</v>
      </c>
      <c r="D8" s="33">
        <f>YoudenCalculations!S11</f>
        <v>5</v>
      </c>
      <c r="E8" s="33">
        <f>YoudenCalculations!N11</f>
        <v>-4.9828808497193675</v>
      </c>
      <c r="F8" s="33">
        <f>YoudenCalculations!O11</f>
        <v>0.33219205664795787</v>
      </c>
      <c r="G8" s="48" t="str">
        <f>YoudenCalculations!T11</f>
        <v>Warning</v>
      </c>
      <c r="H8" s="19"/>
      <c r="I8" s="18">
        <f>YoudenCalculations!I26</f>
      </c>
      <c r="J8" s="60">
        <f>YoudenCalculations!J26</f>
      </c>
      <c r="K8" s="61">
        <f>YoudenCalculations!K26</f>
      </c>
      <c r="L8" s="33">
        <f>YoudenCalculations!S26</f>
      </c>
      <c r="M8" s="33">
        <f>YoudenCalculations!N26</f>
      </c>
      <c r="N8" s="33">
        <f>YoudenCalculations!O26</f>
      </c>
      <c r="O8" s="48">
        <f>YoudenCalculations!T26</f>
      </c>
      <c r="Q8" s="9" t="s">
        <v>10</v>
      </c>
      <c r="R8" s="10" t="s">
        <v>11</v>
      </c>
    </row>
    <row r="9" spans="1:18" ht="9.75" customHeight="1">
      <c r="A9" s="18" t="str">
        <f>YoudenCalculations!I12</f>
        <v>B</v>
      </c>
      <c r="B9" s="60">
        <f>YoudenCalculations!J12</f>
        <v>1</v>
      </c>
      <c r="C9" s="61">
        <f>YoudenCalculations!K12</f>
        <v>-3</v>
      </c>
      <c r="D9" s="33">
        <f>YoudenCalculations!S12</f>
        <v>8</v>
      </c>
      <c r="E9" s="33">
        <f>YoudenCalculations!N12</f>
        <v>-0.25</v>
      </c>
      <c r="F9" s="33">
        <f>YoudenCalculations!O12</f>
        <v>0.25000000000000006</v>
      </c>
      <c r="G9" s="48" t="str">
        <f>YoudenCalculations!T12</f>
        <v>IN</v>
      </c>
      <c r="H9" s="19"/>
      <c r="I9" s="18">
        <f>YoudenCalculations!I27</f>
      </c>
      <c r="J9" s="60">
        <f>YoudenCalculations!J27</f>
      </c>
      <c r="K9" s="61">
        <f>YoudenCalculations!K27</f>
      </c>
      <c r="L9" s="33">
        <f>YoudenCalculations!S27</f>
      </c>
      <c r="M9" s="33">
        <f>YoudenCalculations!N27</f>
      </c>
      <c r="N9" s="33">
        <f>YoudenCalculations!O27</f>
      </c>
      <c r="O9" s="48">
        <f>YoudenCalculations!T27</f>
      </c>
      <c r="Q9" s="11" t="s">
        <v>12</v>
      </c>
      <c r="R9" s="12" t="s">
        <v>13</v>
      </c>
    </row>
    <row r="10" spans="1:18" ht="9.75" customHeight="1">
      <c r="A10" s="18" t="str">
        <f>YoudenCalculations!I13</f>
        <v>C</v>
      </c>
      <c r="B10" s="60">
        <f>YoudenCalculations!J13</f>
        <v>4</v>
      </c>
      <c r="C10" s="61">
        <f>YoudenCalculations!K13</f>
        <v>-8</v>
      </c>
      <c r="D10" s="33">
        <f>YoudenCalculations!S13</f>
        <v>6</v>
      </c>
      <c r="E10" s="33">
        <f>YoudenCalculations!N13</f>
        <v>-1.3975424859373684</v>
      </c>
      <c r="F10" s="33">
        <f>YoudenCalculations!O13</f>
        <v>4.192627457812106</v>
      </c>
      <c r="G10" s="48" t="str">
        <f>YoudenCalculations!T13</f>
        <v>IN</v>
      </c>
      <c r="H10" s="19"/>
      <c r="I10" s="18">
        <f>YoudenCalculations!I28</f>
      </c>
      <c r="J10" s="60">
        <f>YoudenCalculations!J28</f>
      </c>
      <c r="K10" s="61">
        <f>YoudenCalculations!K28</f>
      </c>
      <c r="L10" s="33">
        <f>YoudenCalculations!S28</f>
      </c>
      <c r="M10" s="33">
        <f>YoudenCalculations!N28</f>
      </c>
      <c r="N10" s="33">
        <f>YoudenCalculations!O28</f>
      </c>
      <c r="O10" s="48">
        <f>YoudenCalculations!T28</f>
      </c>
      <c r="Q10" s="11" t="s">
        <v>14</v>
      </c>
      <c r="R10" s="10" t="s">
        <v>15</v>
      </c>
    </row>
    <row r="11" spans="1:18" ht="9.75" customHeight="1">
      <c r="A11" s="18" t="str">
        <f>YoudenCalculations!I14</f>
        <v>D</v>
      </c>
      <c r="B11" s="60">
        <f>YoudenCalculations!J14</f>
        <v>3</v>
      </c>
      <c r="C11" s="61">
        <f>YoudenCalculations!K14</f>
        <v>9</v>
      </c>
      <c r="D11" s="33">
        <f>YoudenCalculations!S14</f>
        <v>4</v>
      </c>
      <c r="E11" s="33">
        <f>YoudenCalculations!N14</f>
        <v>6.802529975126899</v>
      </c>
      <c r="F11" s="33">
        <f>YoudenCalculations!O14</f>
        <v>5.290856647320923</v>
      </c>
      <c r="G11" s="48" t="str">
        <f>YoudenCalculations!T14</f>
        <v>OUT R&amp;S</v>
      </c>
      <c r="H11" s="19"/>
      <c r="I11" s="18">
        <f>YoudenCalculations!I29</f>
      </c>
      <c r="J11" s="60">
        <f>YoudenCalculations!J29</f>
      </c>
      <c r="K11" s="61">
        <f>YoudenCalculations!K29</f>
      </c>
      <c r="L11" s="33">
        <f>YoudenCalculations!S29</f>
      </c>
      <c r="M11" s="33">
        <f>YoudenCalculations!N29</f>
      </c>
      <c r="N11" s="33">
        <f>YoudenCalculations!O29</f>
      </c>
      <c r="O11" s="48">
        <f>YoudenCalculations!T29</f>
      </c>
      <c r="Q11" s="11" t="s">
        <v>16</v>
      </c>
      <c r="R11" s="10" t="s">
        <v>17</v>
      </c>
    </row>
    <row r="12" spans="1:18" ht="9.75" customHeight="1">
      <c r="A12" s="18" t="str">
        <f>YoudenCalculations!I15</f>
        <v>E</v>
      </c>
      <c r="B12" s="60">
        <f>YoudenCalculations!J15</f>
        <v>2</v>
      </c>
      <c r="C12" s="61">
        <f>YoudenCalculations!K15</f>
        <v>-4</v>
      </c>
      <c r="D12" s="33">
        <f>YoudenCalculations!S15</f>
        <v>2</v>
      </c>
      <c r="E12" s="33">
        <f>YoudenCalculations!N15</f>
        <v>-0.2795084971874737</v>
      </c>
      <c r="F12" s="33">
        <f>YoudenCalculations!O15</f>
        <v>0.8385254915624212</v>
      </c>
      <c r="G12" s="48" t="str">
        <f>YoudenCalculations!T15</f>
        <v>IN</v>
      </c>
      <c r="H12" s="19"/>
      <c r="I12" s="18">
        <f>YoudenCalculations!I30</f>
      </c>
      <c r="J12" s="60">
        <f>YoudenCalculations!J30</f>
      </c>
      <c r="K12" s="61">
        <f>YoudenCalculations!K30</f>
      </c>
      <c r="L12" s="33">
        <f>YoudenCalculations!S30</f>
      </c>
      <c r="M12" s="33">
        <f>YoudenCalculations!N30</f>
      </c>
      <c r="N12" s="33">
        <f>YoudenCalculations!O30</f>
      </c>
      <c r="O12" s="48">
        <f>YoudenCalculations!T30</f>
      </c>
      <c r="Q12" s="11" t="s">
        <v>18</v>
      </c>
      <c r="R12" s="10" t="s">
        <v>19</v>
      </c>
    </row>
    <row r="13" spans="1:15" ht="9.75" customHeight="1">
      <c r="A13" s="18" t="str">
        <f>YoudenCalculations!I16</f>
        <v>F</v>
      </c>
      <c r="B13" s="60">
        <f>YoudenCalculations!J16</f>
        <v>0</v>
      </c>
      <c r="C13" s="61">
        <f>YoudenCalculations!K16</f>
        <v>2</v>
      </c>
      <c r="D13" s="33">
        <f>YoudenCalculations!S16</f>
        <v>7</v>
      </c>
      <c r="E13" s="33">
        <f>YoudenCalculations!N16</f>
        <v>1.8270536390593461</v>
      </c>
      <c r="F13" s="33">
        <f>YoudenCalculations!O16</f>
        <v>3.3930996153959283</v>
      </c>
      <c r="G13" s="48" t="str">
        <f>YoudenCalculations!T16</f>
        <v>IN</v>
      </c>
      <c r="H13" s="19"/>
      <c r="I13" s="18">
        <f>YoudenCalculations!I31</f>
      </c>
      <c r="J13" s="60">
        <f>YoudenCalculations!J31</f>
      </c>
      <c r="K13" s="61">
        <f>YoudenCalculations!K31</f>
      </c>
      <c r="L13" s="33">
        <f>YoudenCalculations!S31</f>
      </c>
      <c r="M13" s="33">
        <f>YoudenCalculations!N31</f>
      </c>
      <c r="N13" s="33">
        <f>YoudenCalculations!O31</f>
      </c>
      <c r="O13" s="48">
        <f>YoudenCalculations!T31</f>
      </c>
    </row>
    <row r="14" spans="1:15" ht="9.75" customHeight="1">
      <c r="A14" s="18" t="str">
        <f>YoudenCalculations!I17</f>
        <v>G</v>
      </c>
      <c r="B14" s="60">
        <f>YoudenCalculations!J17</f>
        <v>1</v>
      </c>
      <c r="C14" s="61">
        <f>YoudenCalculations!K17</f>
        <v>-1</v>
      </c>
      <c r="D14" s="33">
        <f>YoudenCalculations!S17</f>
        <v>5</v>
      </c>
      <c r="E14" s="33">
        <f>YoudenCalculations!N17</f>
        <v>0.7730823048033113</v>
      </c>
      <c r="F14" s="33">
        <f>YoudenCalculations!O17</f>
        <v>1.2884705080055192</v>
      </c>
      <c r="G14" s="48" t="str">
        <f>YoudenCalculations!T17</f>
        <v>IN</v>
      </c>
      <c r="H14" s="19"/>
      <c r="I14" s="18">
        <f>YoudenCalculations!I32</f>
      </c>
      <c r="J14" s="60">
        <f>YoudenCalculations!J32</f>
      </c>
      <c r="K14" s="61">
        <f>YoudenCalculations!K32</f>
      </c>
      <c r="L14" s="33">
        <f>YoudenCalculations!S32</f>
      </c>
      <c r="M14" s="33">
        <f>YoudenCalculations!N32</f>
      </c>
      <c r="N14" s="33">
        <f>YoudenCalculations!O32</f>
      </c>
      <c r="O14" s="48">
        <f>YoudenCalculations!T32</f>
      </c>
    </row>
    <row r="15" spans="1:15" ht="9.75" customHeight="1">
      <c r="A15" s="18" t="str">
        <f>YoudenCalculations!I18</f>
        <v>H</v>
      </c>
      <c r="B15" s="60">
        <f>YoudenCalculations!J18</f>
        <v>2</v>
      </c>
      <c r="C15" s="61">
        <f>YoudenCalculations!K18</f>
        <v>-3</v>
      </c>
      <c r="D15" s="33">
        <f>YoudenCalculations!S18</f>
        <v>9</v>
      </c>
      <c r="E15" s="33">
        <f>YoudenCalculations!N18</f>
        <v>0.25</v>
      </c>
      <c r="F15" s="33">
        <f>YoudenCalculations!O18</f>
        <v>0.25000000000000006</v>
      </c>
      <c r="G15" s="48" t="str">
        <f>YoudenCalculations!T18</f>
        <v>IN</v>
      </c>
      <c r="H15" s="19"/>
      <c r="I15" s="18">
        <f>YoudenCalculations!I33</f>
      </c>
      <c r="J15" s="60">
        <f>YoudenCalculations!J33</f>
      </c>
      <c r="K15" s="61">
        <f>YoudenCalculations!K33</f>
      </c>
      <c r="L15" s="33">
        <f>YoudenCalculations!S33</f>
      </c>
      <c r="M15" s="33">
        <f>YoudenCalculations!N33</f>
      </c>
      <c r="N15" s="33">
        <f>YoudenCalculations!O33</f>
      </c>
      <c r="O15" s="48">
        <f>YoudenCalculations!T33</f>
      </c>
    </row>
    <row r="16" spans="1:15" ht="9.75" customHeight="1">
      <c r="A16" s="18">
        <f>YoudenCalculations!I19</f>
      </c>
      <c r="B16" s="60">
        <f>YoudenCalculations!J19</f>
      </c>
      <c r="C16" s="61">
        <f>YoudenCalculations!K19</f>
      </c>
      <c r="D16" s="33">
        <f>YoudenCalculations!S19</f>
      </c>
      <c r="E16" s="33">
        <f>YoudenCalculations!N19</f>
      </c>
      <c r="F16" s="33">
        <f>YoudenCalculations!O19</f>
      </c>
      <c r="G16" s="48">
        <f>YoudenCalculations!T19</f>
      </c>
      <c r="H16" s="19"/>
      <c r="I16" s="18">
        <f>YoudenCalculations!I34</f>
      </c>
      <c r="J16" s="60">
        <f>YoudenCalculations!J34</f>
      </c>
      <c r="K16" s="61">
        <f>YoudenCalculations!K34</f>
      </c>
      <c r="L16" s="33">
        <f>YoudenCalculations!S34</f>
      </c>
      <c r="M16" s="33">
        <f>YoudenCalculations!N34</f>
      </c>
      <c r="N16" s="33">
        <f>YoudenCalculations!O34</f>
      </c>
      <c r="O16" s="48">
        <f>YoudenCalculations!T34</f>
      </c>
    </row>
    <row r="17" spans="1:15" ht="9.75" customHeight="1">
      <c r="A17" s="18">
        <f>YoudenCalculations!I20</f>
      </c>
      <c r="B17" s="60">
        <f>YoudenCalculations!J20</f>
      </c>
      <c r="C17" s="61">
        <f>YoudenCalculations!K20</f>
      </c>
      <c r="D17" s="33">
        <f>YoudenCalculations!S20</f>
      </c>
      <c r="E17" s="33">
        <f>YoudenCalculations!N20</f>
      </c>
      <c r="F17" s="33">
        <f>YoudenCalculations!O20</f>
      </c>
      <c r="G17" s="48">
        <f>YoudenCalculations!T20</f>
      </c>
      <c r="H17" s="19"/>
      <c r="I17" s="18">
        <f>YoudenCalculations!I35</f>
      </c>
      <c r="J17" s="60">
        <f>YoudenCalculations!J35</f>
      </c>
      <c r="K17" s="61">
        <f>YoudenCalculations!K35</f>
      </c>
      <c r="L17" s="33">
        <f>YoudenCalculations!S35</f>
      </c>
      <c r="M17" s="33">
        <f>YoudenCalculations!N35</f>
      </c>
      <c r="N17" s="33">
        <f>YoudenCalculations!O35</f>
      </c>
      <c r="O17" s="48">
        <f>YoudenCalculations!T35</f>
      </c>
    </row>
    <row r="18" spans="1:15" ht="9.75" customHeight="1">
      <c r="A18" s="18">
        <f>YoudenCalculations!I21</f>
      </c>
      <c r="B18" s="60">
        <f>YoudenCalculations!J21</f>
      </c>
      <c r="C18" s="61">
        <f>YoudenCalculations!K21</f>
      </c>
      <c r="D18" s="33">
        <f>YoudenCalculations!S21</f>
      </c>
      <c r="E18" s="33">
        <f>YoudenCalculations!N21</f>
      </c>
      <c r="F18" s="33">
        <f>YoudenCalculations!O21</f>
      </c>
      <c r="G18" s="48">
        <f>YoudenCalculations!T21</f>
      </c>
      <c r="H18" s="19"/>
      <c r="I18" s="18">
        <f>YoudenCalculations!I36</f>
      </c>
      <c r="J18" s="60">
        <f>YoudenCalculations!J36</f>
      </c>
      <c r="K18" s="61">
        <f>YoudenCalculations!K36</f>
      </c>
      <c r="L18" s="33">
        <f>YoudenCalculations!S36</f>
      </c>
      <c r="M18" s="33">
        <f>YoudenCalculations!N36</f>
      </c>
      <c r="N18" s="33">
        <f>YoudenCalculations!O36</f>
      </c>
      <c r="O18" s="48">
        <f>YoudenCalculations!T36</f>
      </c>
    </row>
    <row r="19" spans="1:15" ht="9.75" customHeight="1">
      <c r="A19" s="18">
        <f>YoudenCalculations!I22</f>
      </c>
      <c r="B19" s="60">
        <f>YoudenCalculations!J22</f>
      </c>
      <c r="C19" s="61">
        <f>YoudenCalculations!K22</f>
      </c>
      <c r="D19" s="33">
        <f>YoudenCalculations!S22</f>
      </c>
      <c r="E19" s="33">
        <f>YoudenCalculations!N22</f>
      </c>
      <c r="F19" s="33">
        <f>YoudenCalculations!O22</f>
      </c>
      <c r="G19" s="48">
        <f>YoudenCalculations!T22</f>
      </c>
      <c r="H19" s="19"/>
      <c r="I19" s="18">
        <f>YoudenCalculations!I37</f>
      </c>
      <c r="J19" s="60">
        <f>YoudenCalculations!J37</f>
      </c>
      <c r="K19" s="61">
        <f>YoudenCalculations!K37</f>
      </c>
      <c r="L19" s="33">
        <f>YoudenCalculations!S37</f>
      </c>
      <c r="M19" s="33">
        <f>YoudenCalculations!N37</f>
      </c>
      <c r="N19" s="33">
        <f>YoudenCalculations!O37</f>
      </c>
      <c r="O19" s="48">
        <f>YoudenCalculations!T37</f>
      </c>
    </row>
    <row r="20" spans="1:15" ht="9.75" customHeight="1">
      <c r="A20" s="18">
        <f>YoudenCalculations!I23</f>
      </c>
      <c r="B20" s="60">
        <f>YoudenCalculations!J23</f>
      </c>
      <c r="C20" s="61">
        <f>YoudenCalculations!K23</f>
      </c>
      <c r="D20" s="33">
        <f>YoudenCalculations!S23</f>
      </c>
      <c r="E20" s="33">
        <f>YoudenCalculations!N23</f>
      </c>
      <c r="F20" s="33">
        <f>YoudenCalculations!O23</f>
      </c>
      <c r="G20" s="48">
        <f>YoudenCalculations!T23</f>
      </c>
      <c r="H20" s="19"/>
      <c r="I20" s="18">
        <f>YoudenCalculations!I38</f>
      </c>
      <c r="J20" s="60">
        <f>YoudenCalculations!J38</f>
      </c>
      <c r="K20" s="61">
        <f>YoudenCalculations!K38</f>
      </c>
      <c r="L20" s="33">
        <f>YoudenCalculations!S38</f>
      </c>
      <c r="M20" s="33">
        <f>YoudenCalculations!N38</f>
      </c>
      <c r="N20" s="33">
        <f>YoudenCalculations!O38</f>
      </c>
      <c r="O20" s="48">
        <f>YoudenCalculations!T38</f>
      </c>
    </row>
    <row r="21" spans="1:15" ht="9.75" customHeight="1">
      <c r="A21" s="18">
        <f>YoudenCalculations!I24</f>
      </c>
      <c r="B21" s="60">
        <f>YoudenCalculations!J24</f>
      </c>
      <c r="C21" s="61">
        <f>YoudenCalculations!K24</f>
      </c>
      <c r="D21" s="33">
        <f>YoudenCalculations!S24</f>
      </c>
      <c r="E21" s="33">
        <f>YoudenCalculations!N24</f>
      </c>
      <c r="F21" s="33">
        <f>YoudenCalculations!O24</f>
      </c>
      <c r="G21" s="48">
        <f>YoudenCalculations!T24</f>
      </c>
      <c r="H21" s="19"/>
      <c r="I21" s="18">
        <f>YoudenCalculations!I39</f>
      </c>
      <c r="J21" s="60">
        <f>YoudenCalculations!J39</f>
      </c>
      <c r="K21" s="61">
        <f>YoudenCalculations!K39</f>
      </c>
      <c r="L21" s="33">
        <f>YoudenCalculations!S39</f>
      </c>
      <c r="M21" s="33">
        <f>YoudenCalculations!N39</f>
      </c>
      <c r="N21" s="33">
        <f>YoudenCalculations!O39</f>
      </c>
      <c r="O21" s="48">
        <f>YoudenCalculations!T39</f>
      </c>
    </row>
    <row r="22" spans="1:15" ht="9.75" customHeight="1">
      <c r="A22" s="18">
        <f>YoudenCalculations!I25</f>
      </c>
      <c r="B22" s="60">
        <f>YoudenCalculations!J25</f>
      </c>
      <c r="C22" s="61">
        <f>YoudenCalculations!K25</f>
      </c>
      <c r="D22" s="33">
        <f>YoudenCalculations!S25</f>
      </c>
      <c r="E22" s="33">
        <f>YoudenCalculations!N25</f>
      </c>
      <c r="F22" s="33">
        <f>YoudenCalculations!O25</f>
      </c>
      <c r="G22" s="48">
        <f>YoudenCalculations!T25</f>
      </c>
      <c r="H22" s="19"/>
      <c r="I22" s="18">
        <f>YoudenCalculations!I40</f>
      </c>
      <c r="J22" s="60">
        <f>YoudenCalculations!J40</f>
      </c>
      <c r="K22" s="61">
        <f>YoudenCalculations!K40</f>
      </c>
      <c r="L22" s="33">
        <f>YoudenCalculations!S40</f>
      </c>
      <c r="M22" s="33">
        <f>YoudenCalculations!N40</f>
      </c>
      <c r="N22" s="33">
        <f>YoudenCalculations!O40</f>
      </c>
      <c r="O22" s="48">
        <f>YoudenCalculations!T40</f>
      </c>
    </row>
    <row r="23" spans="1:15" ht="9.7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ht="9.7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9.7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ht="9.7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ht="9.7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ht="9.7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7" ht="12.75">
      <c r="A29" s="18"/>
      <c r="B29" s="18"/>
      <c r="C29" s="18"/>
      <c r="D29" s="18"/>
      <c r="E29" s="18"/>
      <c r="F29" s="18"/>
      <c r="G29" s="18"/>
    </row>
    <row r="30" spans="1:7" ht="12.75">
      <c r="A30" s="18"/>
      <c r="B30" s="18"/>
      <c r="C30" s="18"/>
      <c r="D30" s="18"/>
      <c r="E30" s="18"/>
      <c r="F30" s="18"/>
      <c r="G30" s="18"/>
    </row>
    <row r="31" spans="1:7" ht="12.75">
      <c r="A31" s="18"/>
      <c r="B31" s="18"/>
      <c r="C31" s="18"/>
      <c r="D31" s="18"/>
      <c r="E31" s="18"/>
      <c r="F31" s="18"/>
      <c r="G31" s="18"/>
    </row>
    <row r="32" spans="1:7" ht="12.75">
      <c r="A32" s="18"/>
      <c r="B32" s="18"/>
      <c r="C32" s="18"/>
      <c r="D32" s="18"/>
      <c r="E32" s="18"/>
      <c r="F32" s="18"/>
      <c r="G32" s="18"/>
    </row>
    <row r="33" spans="1:7" ht="12.75">
      <c r="A33" s="18"/>
      <c r="B33" s="18"/>
      <c r="C33" s="18"/>
      <c r="D33" s="18"/>
      <c r="E33" s="18"/>
      <c r="F33" s="18"/>
      <c r="G33" s="18"/>
    </row>
    <row r="34" spans="1:7" ht="12.75">
      <c r="A34" s="18"/>
      <c r="B34" s="18"/>
      <c r="C34" s="18"/>
      <c r="D34" s="18"/>
      <c r="E34" s="18"/>
      <c r="F34" s="18"/>
      <c r="G34" s="18"/>
    </row>
    <row r="35" spans="1:7" ht="12.75">
      <c r="A35" s="18"/>
      <c r="B35" s="18"/>
      <c r="C35" s="18"/>
      <c r="D35" s="18"/>
      <c r="E35" s="18"/>
      <c r="F35" s="18"/>
      <c r="G35" s="18"/>
    </row>
    <row r="36" spans="1:7" ht="12.75">
      <c r="A36" s="18"/>
      <c r="B36" s="18"/>
      <c r="C36" s="18"/>
      <c r="D36" s="18"/>
      <c r="E36" s="18"/>
      <c r="F36" s="18"/>
      <c r="G36" s="18"/>
    </row>
    <row r="37" spans="1:7" ht="12.75">
      <c r="A37" s="18"/>
      <c r="B37" s="18"/>
      <c r="C37" s="18"/>
      <c r="D37" s="18"/>
      <c r="E37" s="18"/>
      <c r="F37" s="18"/>
      <c r="G37" s="18"/>
    </row>
    <row r="38" spans="1:7" ht="12.75">
      <c r="A38" s="18"/>
      <c r="B38" s="18"/>
      <c r="C38" s="18"/>
      <c r="D38" s="18"/>
      <c r="E38" s="18"/>
      <c r="F38" s="18"/>
      <c r="G38" s="18"/>
    </row>
    <row r="39" spans="1:7" ht="12.75">
      <c r="A39" s="18"/>
      <c r="B39" s="18"/>
      <c r="C39" s="18"/>
      <c r="D39" s="18"/>
      <c r="E39" s="18"/>
      <c r="F39" s="18"/>
      <c r="G39" s="18"/>
    </row>
    <row r="40" spans="1:7" ht="12.75">
      <c r="A40" s="18"/>
      <c r="B40" s="18"/>
      <c r="C40" s="18"/>
      <c r="D40" s="18"/>
      <c r="E40" s="18"/>
      <c r="F40" s="18"/>
      <c r="G40" s="18"/>
    </row>
    <row r="41" spans="1:7" ht="12.75">
      <c r="A41" s="18"/>
      <c r="B41" s="18"/>
      <c r="C41" s="18"/>
      <c r="D41" s="18"/>
      <c r="E41" s="18"/>
      <c r="F41" s="18"/>
      <c r="G41" s="18"/>
    </row>
    <row r="42" spans="1:7" ht="12.75">
      <c r="A42" s="18"/>
      <c r="B42" s="18"/>
      <c r="C42" s="18"/>
      <c r="D42" s="18"/>
      <c r="E42" s="18"/>
      <c r="F42" s="18"/>
      <c r="G42" s="18"/>
    </row>
    <row r="43" spans="1:7" ht="12.75">
      <c r="A43" s="18"/>
      <c r="B43" s="18"/>
      <c r="C43" s="18"/>
      <c r="D43" s="18"/>
      <c r="E43" s="18"/>
      <c r="F43" s="18"/>
      <c r="G43" s="18"/>
    </row>
    <row r="44" spans="1:7" ht="12.75">
      <c r="A44" s="18"/>
      <c r="B44" s="18"/>
      <c r="C44" s="18"/>
      <c r="D44" s="18"/>
      <c r="E44" s="18"/>
      <c r="F44" s="18"/>
      <c r="G44" s="18"/>
    </row>
    <row r="45" spans="1:7" ht="12.75">
      <c r="A45" s="18"/>
      <c r="B45" s="18"/>
      <c r="C45" s="18"/>
      <c r="D45" s="18"/>
      <c r="E45" s="18"/>
      <c r="F45" s="18"/>
      <c r="G45" s="18"/>
    </row>
    <row r="46" spans="1:7" ht="12.75">
      <c r="A46" s="18"/>
      <c r="B46" s="18"/>
      <c r="C46" s="18"/>
      <c r="D46" s="18"/>
      <c r="E46" s="18"/>
      <c r="F46" s="18"/>
      <c r="G46" s="18"/>
    </row>
    <row r="47" spans="1:7" ht="12.75">
      <c r="A47" s="18"/>
      <c r="B47" s="18"/>
      <c r="C47" s="18"/>
      <c r="D47" s="18"/>
      <c r="E47" s="18"/>
      <c r="F47" s="18"/>
      <c r="G47" s="18"/>
    </row>
  </sheetData>
  <mergeCells count="11">
    <mergeCell ref="B2:C2"/>
    <mergeCell ref="B3:C3"/>
    <mergeCell ref="B4:C4"/>
    <mergeCell ref="B5:C5"/>
    <mergeCell ref="L3:M3"/>
    <mergeCell ref="L4:M4"/>
    <mergeCell ref="L5:M5"/>
    <mergeCell ref="D2:F2"/>
    <mergeCell ref="D3:F3"/>
    <mergeCell ref="D4:F4"/>
    <mergeCell ref="D5:F5"/>
  </mergeCells>
  <conditionalFormatting sqref="O8:O22">
    <cfRule type="expression" priority="1" dxfId="1" stopIfTrue="1">
      <formula>O8="IN"</formula>
    </cfRule>
  </conditionalFormatting>
  <conditionalFormatting sqref="G8:G22">
    <cfRule type="expression" priority="2" dxfId="2" stopIfTrue="1">
      <formula>G8="IN"</formula>
    </cfRule>
  </conditionalFormatting>
  <printOptions horizontalCentered="1" verticalCentered="1"/>
  <pageMargins left="0.25" right="0" top="0" bottom="0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1"/>
  <sheetViews>
    <sheetView zoomScale="60" zoomScaleNormal="60" workbookViewId="0" topLeftCell="A3">
      <selection activeCell="X1" sqref="X1"/>
    </sheetView>
  </sheetViews>
  <sheetFormatPr defaultColWidth="9.140625" defaultRowHeight="12.75"/>
  <sheetData/>
  <printOptions horizontalCentered="1" verticalCentered="1"/>
  <pageMargins left="0" right="0" top="0" bottom="0" header="0" footer="0"/>
  <pageSetup fitToWidth="2" fitToHeight="1" horizontalDpi="600" verticalDpi="600" orientation="portrait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V47"/>
  <sheetViews>
    <sheetView zoomScale="75" zoomScaleNormal="75" workbookViewId="0" topLeftCell="A1">
      <selection activeCell="F18" sqref="F18"/>
    </sheetView>
  </sheetViews>
  <sheetFormatPr defaultColWidth="9.140625" defaultRowHeight="12.75"/>
  <cols>
    <col min="1" max="1" width="12.00390625" style="0" bestFit="1" customWidth="1"/>
    <col min="2" max="2" width="9.7109375" style="0" bestFit="1" customWidth="1"/>
    <col min="3" max="6" width="10.7109375" style="0" customWidth="1"/>
    <col min="8" max="8" width="9.7109375" style="0" bestFit="1" customWidth="1"/>
    <col min="9" max="12" width="10.7109375" style="0" customWidth="1"/>
    <col min="23" max="23" width="9.7109375" style="0" bestFit="1" customWidth="1"/>
    <col min="25" max="25" width="12.00390625" style="0" bestFit="1" customWidth="1"/>
    <col min="27" max="27" width="11.00390625" style="0" customWidth="1"/>
    <col min="32" max="32" width="9.7109375" style="0" bestFit="1" customWidth="1"/>
  </cols>
  <sheetData>
    <row r="1" spans="6:40" ht="18.75">
      <c r="F1" s="21" t="str">
        <f>DataEntry!Q1</f>
        <v>RMAP (Jan 1, 00 thru Oct 1, 00)</v>
      </c>
      <c r="S1" t="str">
        <f>DataEntry!B7</f>
        <v>Median</v>
      </c>
      <c r="T1" t="str">
        <f>DataEntry!B7</f>
        <v>Median</v>
      </c>
      <c r="W1" t="str">
        <f>DataEntry!Q1&amp;" "&amp;C16&amp;" (analyzed versus "&amp;S1&amp;")"</f>
        <v>RMAP (Jan 1, 00 thru Oct 1, 00) 10 kg #1 (analyzed versus Median)</v>
      </c>
      <c r="AF1" t="str">
        <f>DataEntry!Q1&amp;" "&amp;I16&amp;" (analyzed versus "&amp;T1&amp;")"</f>
        <v>RMAP (Jan 1, 00 thru Oct 1, 00) 10 kg #2 (analyzed versus Median)</v>
      </c>
      <c r="AN1" t="str">
        <f>DataEntry!Q1&amp;" Enormal Test (must be &lt;1)"</f>
        <v>RMAP (Jan 1, 00 thru Oct 1, 00) Enormal Test (must be &lt;1)</v>
      </c>
    </row>
    <row r="2" spans="1:24" ht="12.75">
      <c r="A2" s="26"/>
      <c r="B2" s="94" t="str">
        <f>DataEntry!B4</f>
        <v>10 kg #1</v>
      </c>
      <c r="C2" s="94"/>
      <c r="D2" s="91" t="str">
        <f>DataEntry!B5</f>
        <v>10 kg #2</v>
      </c>
      <c r="E2" s="91"/>
      <c r="F2" s="30"/>
      <c r="G2" s="22"/>
      <c r="K2" s="59" t="str">
        <f>"(All values are in "&amp;DataEntry!B8&amp;")"</f>
        <v>(All values are in milligrams)</v>
      </c>
      <c r="L2" s="22"/>
      <c r="M2" s="22"/>
      <c r="N2" s="22"/>
      <c r="O2" s="22"/>
      <c r="R2" t="s">
        <v>41</v>
      </c>
      <c r="S2">
        <f>STDEV(C17:C46)*2</f>
        <v>3.693623849670827</v>
      </c>
      <c r="T2">
        <f>STDEV(I17:I46)*2</f>
        <v>10.819955109492302</v>
      </c>
      <c r="X2" t="str">
        <f>C16&amp;" Enormal"</f>
        <v>10 kg #1 Enormal</v>
      </c>
    </row>
    <row r="3" spans="1:45" ht="12.75">
      <c r="A3" s="26" t="s">
        <v>3</v>
      </c>
      <c r="B3" s="98">
        <f>YoudenCalculations!J5</f>
        <v>1.5</v>
      </c>
      <c r="C3" s="98"/>
      <c r="D3" s="99">
        <f>YoudenCalculations!K5</f>
        <v>-3</v>
      </c>
      <c r="E3" s="99"/>
      <c r="F3" s="31"/>
      <c r="G3" s="27"/>
      <c r="I3" s="75" t="str">
        <f>DataEntry!B7&amp;" Value "&amp;B2&amp;" ="</f>
        <v>Median Value 10 kg #1 =</v>
      </c>
      <c r="J3" s="76">
        <f>YoudenCalculations!J1</f>
        <v>1.5</v>
      </c>
      <c r="K3" s="77" t="str">
        <f>"n="&amp;S5</f>
        <v>n=8</v>
      </c>
      <c r="M3" s="34"/>
      <c r="N3" s="22"/>
      <c r="O3" s="22"/>
      <c r="R3" t="s">
        <v>42</v>
      </c>
      <c r="S3">
        <f>STDEV(S17:S46)*2</f>
        <v>3.693623849670827</v>
      </c>
      <c r="T3">
        <f>STDEV(T17:T46)*2</f>
        <v>6.817344825970773</v>
      </c>
      <c r="AS3" t="str">
        <f>DataEntry!Q1&amp;" Precision Ratio (must be &gt;3)"</f>
        <v>RMAP (Jan 1, 00 thru Oct 1, 00) Precision Ratio (must be &gt;3)</v>
      </c>
    </row>
    <row r="4" spans="1:20" ht="12.75">
      <c r="A4" s="26" t="s">
        <v>26</v>
      </c>
      <c r="B4" s="98">
        <f>YoudenCalculations!J6</f>
        <v>1.375</v>
      </c>
      <c r="C4" s="98"/>
      <c r="D4" s="99">
        <f>YoudenCalculations!K6</f>
        <v>-1.875</v>
      </c>
      <c r="E4" s="99"/>
      <c r="F4" s="31"/>
      <c r="G4" s="27"/>
      <c r="I4" s="75" t="str">
        <f>DataEntry!B7&amp;" Unc "&amp;B2&amp;" ="</f>
        <v>Median Unc 10 kg #1 =</v>
      </c>
      <c r="J4" s="76">
        <f>YoudenCalculations!J2</f>
        <v>3.693623849670827</v>
      </c>
      <c r="K4" s="77" t="str">
        <f>"n="&amp;S5</f>
        <v>n=8</v>
      </c>
      <c r="M4" s="34"/>
      <c r="N4" s="22"/>
      <c r="O4" s="22"/>
      <c r="R4" t="s">
        <v>44</v>
      </c>
      <c r="S4" s="6">
        <f>IF(S1="NIST",B5,IF(S1="Median",MEDIAN(S17:S46),IF(S1="Mean",AVERAGE(S17:S46),"INPUT ERROR")))</f>
        <v>1.5</v>
      </c>
      <c r="T4" s="6">
        <f>IF(T1="NIST",D5,IF(T1="Median",MEDIAN(T17:T46),IF(T1="Mean",AVERAGE(T17:T46),"INPUT ERROR")))</f>
        <v>-3</v>
      </c>
    </row>
    <row r="5" spans="1:20" ht="12.75">
      <c r="A5" s="26">
        <f>YoudenCalculations!I7</f>
      </c>
      <c r="B5" s="96">
        <f>YoudenCalculations!J7</f>
      </c>
      <c r="C5" s="96"/>
      <c r="D5" s="93">
        <f>YoudenCalculations!K7</f>
      </c>
      <c r="E5" s="93"/>
      <c r="F5" s="22"/>
      <c r="G5" s="22"/>
      <c r="H5" s="22"/>
      <c r="I5" s="78" t="str">
        <f>"New "&amp;DataEntry!B7&amp;" Value "&amp;B2&amp;" ="</f>
        <v>New Median Value 10 kg #1 =</v>
      </c>
      <c r="J5" s="79">
        <f>IF($S$1="NIST",B5,S4)</f>
        <v>1.5</v>
      </c>
      <c r="K5" s="77" t="str">
        <f>"n="&amp;S6</f>
        <v>n=8</v>
      </c>
      <c r="O5" s="22"/>
      <c r="S5">
        <f>COUNT(DataEntry!D10:D39)</f>
        <v>8</v>
      </c>
      <c r="T5">
        <f>COUNT(DataEntry!E10:E39)</f>
        <v>8</v>
      </c>
    </row>
    <row r="6" spans="9:20" ht="12.75">
      <c r="I6" s="78" t="str">
        <f>"New "&amp;DataEntry!B7&amp;" Unc "&amp;B2&amp;" ="</f>
        <v>New Median Unc 10 kg #1 =</v>
      </c>
      <c r="J6" s="79">
        <f>IF($S$1="NIST",J4,S3)</f>
        <v>3.693623849670827</v>
      </c>
      <c r="K6" s="77" t="str">
        <f>"n="&amp;S6</f>
        <v>n=8</v>
      </c>
      <c r="L6" s="22"/>
      <c r="M6" s="22"/>
      <c r="N6" s="22"/>
      <c r="O6" s="22"/>
      <c r="S6">
        <f>COUNT(S17:S46)</f>
        <v>8</v>
      </c>
      <c r="T6">
        <f>COUNT(T17:T46)</f>
        <v>7</v>
      </c>
    </row>
    <row r="7" spans="9:15" ht="12.75">
      <c r="I7" s="55"/>
      <c r="J7" s="52"/>
      <c r="L7" s="22"/>
      <c r="M7" s="22"/>
      <c r="N7" s="22"/>
      <c r="O7" s="22"/>
    </row>
    <row r="8" spans="1:15" ht="12.75">
      <c r="A8" s="26"/>
      <c r="B8" s="49"/>
      <c r="C8" s="22"/>
      <c r="D8" s="22"/>
      <c r="E8" s="22"/>
      <c r="F8" s="51"/>
      <c r="G8" s="22"/>
      <c r="H8" s="22"/>
      <c r="I8" s="70" t="str">
        <f>DataEntry!B7&amp;" Value "&amp;D2&amp;" ="</f>
        <v>Median Value 10 kg #2 =</v>
      </c>
      <c r="J8" s="71">
        <f>YoudenCalculations!K1</f>
        <v>-3</v>
      </c>
      <c r="K8" s="72" t="str">
        <f>"n="&amp;T5</f>
        <v>n=8</v>
      </c>
      <c r="L8" s="22"/>
      <c r="M8" s="22"/>
      <c r="N8" s="22"/>
      <c r="O8" s="22"/>
    </row>
    <row r="9" spans="1:15" ht="12.75">
      <c r="A9" s="26"/>
      <c r="B9" s="49"/>
      <c r="C9" s="22"/>
      <c r="D9" s="22"/>
      <c r="E9" s="22"/>
      <c r="F9" s="51"/>
      <c r="G9" s="22"/>
      <c r="H9" s="22"/>
      <c r="I9" s="70" t="str">
        <f>DataEntry!B7&amp;" Unc "&amp;D2&amp;" ="</f>
        <v>Median Unc 10 kg #2 =</v>
      </c>
      <c r="J9" s="71">
        <f>YoudenCalculations!K2</f>
        <v>10.819955109492302</v>
      </c>
      <c r="K9" s="72" t="str">
        <f>"n="&amp;T5</f>
        <v>n=8</v>
      </c>
      <c r="L9" s="22"/>
      <c r="M9" s="22"/>
      <c r="N9" s="22"/>
      <c r="O9" s="22"/>
    </row>
    <row r="10" spans="1:15" ht="12.75">
      <c r="A10" s="26"/>
      <c r="B10" s="49"/>
      <c r="C10" s="22"/>
      <c r="D10" s="22"/>
      <c r="E10" s="22"/>
      <c r="F10" s="51"/>
      <c r="G10" s="22"/>
      <c r="H10" s="22"/>
      <c r="I10" s="73" t="str">
        <f>"New "&amp;DataEntry!B7&amp;" Value "&amp;D2&amp;" ="</f>
        <v>New Median Value 10 kg #2 =</v>
      </c>
      <c r="J10" s="74">
        <f>IF($S$1="NIST",D5,T4)</f>
        <v>-3</v>
      </c>
      <c r="K10" s="72" t="str">
        <f>"n="&amp;T6</f>
        <v>n=7</v>
      </c>
      <c r="L10" s="22"/>
      <c r="M10" s="22"/>
      <c r="N10" s="22"/>
      <c r="O10" s="22"/>
    </row>
    <row r="11" spans="1:15" ht="12.75">
      <c r="A11" s="26"/>
      <c r="B11" s="49"/>
      <c r="C11" s="22"/>
      <c r="D11" s="22"/>
      <c r="E11" s="22"/>
      <c r="F11" s="51"/>
      <c r="G11" s="22"/>
      <c r="H11" s="22"/>
      <c r="I11" s="73" t="str">
        <f>"New "&amp;DataEntry!B7&amp;" Unc "&amp;D2&amp;" ="</f>
        <v>New Median Unc 10 kg #2 =</v>
      </c>
      <c r="J11" s="74">
        <f>IF($S$1="NIST",J9,T3)</f>
        <v>6.817344825970773</v>
      </c>
      <c r="K11" s="72" t="str">
        <f>"n="&amp;T6</f>
        <v>n=7</v>
      </c>
      <c r="L11" s="22"/>
      <c r="M11" s="22"/>
      <c r="N11" s="22"/>
      <c r="O11" s="22"/>
    </row>
    <row r="12" spans="1:15" ht="12.75">
      <c r="A12" s="26"/>
      <c r="B12" s="49"/>
      <c r="C12" s="22"/>
      <c r="D12" s="22"/>
      <c r="E12" s="22"/>
      <c r="F12" s="51"/>
      <c r="G12" s="22"/>
      <c r="H12" s="22"/>
      <c r="I12" s="54"/>
      <c r="J12" s="53"/>
      <c r="L12" s="22"/>
      <c r="M12" s="22"/>
      <c r="N12" s="22"/>
      <c r="O12" s="22"/>
    </row>
    <row r="13" spans="1:15" ht="12.75">
      <c r="A13" s="26"/>
      <c r="B13" s="49"/>
      <c r="C13" s="22"/>
      <c r="D13" s="22"/>
      <c r="E13" s="22"/>
      <c r="F13" s="51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2.75">
      <c r="A14" s="26" t="str">
        <f>DataEntry!A6</f>
        <v>Tolerance:</v>
      </c>
      <c r="B14" s="49">
        <f>DataEntry!B6</f>
        <v>23</v>
      </c>
      <c r="C14" s="22"/>
      <c r="D14" s="22"/>
      <c r="E14" s="22"/>
      <c r="F14" s="51" t="str">
        <f>"Data Analyzed versus the "&amp;DataEntry!B7&amp;" values"</f>
        <v>Data Analyzed versus the Median values</v>
      </c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.75">
      <c r="A15" s="26"/>
      <c r="B15" s="49"/>
      <c r="C15" s="64"/>
      <c r="D15" s="64"/>
      <c r="E15" s="65" t="s">
        <v>48</v>
      </c>
      <c r="F15" s="65" t="s">
        <v>49</v>
      </c>
      <c r="G15" s="22"/>
      <c r="H15" s="22"/>
      <c r="I15" s="67"/>
      <c r="J15" s="67"/>
      <c r="K15" s="68" t="s">
        <v>48</v>
      </c>
      <c r="L15" s="68" t="s">
        <v>49</v>
      </c>
      <c r="M15" s="22"/>
      <c r="N15" s="22"/>
      <c r="O15" s="22"/>
    </row>
    <row r="16" spans="1:48" ht="12.75">
      <c r="A16" s="18" t="str">
        <f>YoudenCalculations!I10</f>
        <v>Metrologist</v>
      </c>
      <c r="B16" t="s">
        <v>43</v>
      </c>
      <c r="C16" s="65" t="str">
        <f>YoudenCalculations!J10</f>
        <v>10 kg #1</v>
      </c>
      <c r="D16" s="65" t="str">
        <f>DataEntry!E9</f>
        <v>Unc 10 kg #1</v>
      </c>
      <c r="E16" s="65" t="str">
        <f>"En "&amp;C16</f>
        <v>En 10 kg #1</v>
      </c>
      <c r="F16" s="65" t="str">
        <f>"Pr "&amp;C16</f>
        <v>Pr 10 kg #1</v>
      </c>
      <c r="G16" t="s">
        <v>40</v>
      </c>
      <c r="H16" t="s">
        <v>43</v>
      </c>
      <c r="I16" s="68" t="str">
        <f>YoudenCalculations!K10</f>
        <v>10 kg #2</v>
      </c>
      <c r="J16" s="68" t="str">
        <f>DataEntry!H9</f>
        <v>Unc 10 kg #2</v>
      </c>
      <c r="K16" s="68" t="str">
        <f>"En "&amp;I16</f>
        <v>En 10 kg #2</v>
      </c>
      <c r="L16" s="68" t="str">
        <f>"Pr "&amp;I16</f>
        <v>Pr 10 kg #2</v>
      </c>
      <c r="M16" t="s">
        <v>40</v>
      </c>
      <c r="N16" s="23"/>
      <c r="O16" s="20"/>
      <c r="S16" t="str">
        <f>C16</f>
        <v>10 kg #1</v>
      </c>
      <c r="T16" t="str">
        <f>I16</f>
        <v>10 kg #2</v>
      </c>
      <c r="V16" t="str">
        <f>A16</f>
        <v>Metrologist</v>
      </c>
      <c r="W16" t="s">
        <v>43</v>
      </c>
      <c r="X16" t="str">
        <f>C16</f>
        <v>10 kg #1</v>
      </c>
      <c r="Y16" t="str">
        <f>D16</f>
        <v>Unc 10 kg #1</v>
      </c>
      <c r="Z16" t="str">
        <f>S1</f>
        <v>Median</v>
      </c>
      <c r="AA16" t="str">
        <f>Z16&amp;" Unc"</f>
        <v>Median Unc</v>
      </c>
      <c r="AB16" t="str">
        <f>AA16</f>
        <v>Median Unc</v>
      </c>
      <c r="AE16" t="str">
        <f>A16</f>
        <v>Metrologist</v>
      </c>
      <c r="AF16" t="s">
        <v>43</v>
      </c>
      <c r="AG16" t="str">
        <f>I16</f>
        <v>10 kg #2</v>
      </c>
      <c r="AH16" t="str">
        <f>J16</f>
        <v>Unc 10 kg #2</v>
      </c>
      <c r="AI16" t="str">
        <f>T1</f>
        <v>Median</v>
      </c>
      <c r="AJ16" t="str">
        <f>AI16&amp;" Unc"</f>
        <v>Median Unc</v>
      </c>
      <c r="AK16" t="str">
        <f>AI16&amp;" Unc"</f>
        <v>Median Unc</v>
      </c>
      <c r="AN16" t="str">
        <f>A16</f>
        <v>Metrologist</v>
      </c>
      <c r="AO16" t="str">
        <f>E16</f>
        <v>En 10 kg #1</v>
      </c>
      <c r="AP16" t="str">
        <f>K16</f>
        <v>En 10 kg #2</v>
      </c>
      <c r="AQ16" t="s">
        <v>45</v>
      </c>
      <c r="AS16" t="str">
        <f>A16</f>
        <v>Metrologist</v>
      </c>
      <c r="AT16" t="str">
        <f>F16</f>
        <v>Pr 10 kg #1</v>
      </c>
      <c r="AU16" t="str">
        <f>L16</f>
        <v>Pr 10 kg #2</v>
      </c>
      <c r="AV16" t="s">
        <v>46</v>
      </c>
    </row>
    <row r="17" spans="1:48" ht="12.75">
      <c r="A17" s="18" t="str">
        <f>YoudenCalculations!I11</f>
        <v>A</v>
      </c>
      <c r="B17" s="56">
        <f>IF(DataEntry!E10&gt;0,DataEntry!C10,"")</f>
        <v>36526</v>
      </c>
      <c r="C17" s="66">
        <f>YoudenCalculations!J11</f>
        <v>-2</v>
      </c>
      <c r="D17" s="66">
        <f>IF(DataEntry!E10&gt;0,DataEntry!E10,"")</f>
        <v>5</v>
      </c>
      <c r="E17" s="66">
        <f>IF(DataEntry!E10&gt;0,ABS(C17-YoudenCalculations!$J$1)/SQRT(D17^2+$J$6^2),"")</f>
        <v>0.5630324549140187</v>
      </c>
      <c r="F17" s="66">
        <f>IF(DataEntry!E10&gt;0,$B$14/D17,"")</f>
        <v>4.6</v>
      </c>
      <c r="G17">
        <f>IF(DataEntry!E10&gt;0,IF(ABS(C17-YoudenCalculations!$J$1)&gt;$S$2,"yes",""),"")</f>
      </c>
      <c r="H17" s="56">
        <f>IF(DataEntry!H10&gt;0,DataEntry!F10,"")</f>
        <v>36797</v>
      </c>
      <c r="I17" s="69">
        <f>YoudenCalculations!K11</f>
        <v>-7</v>
      </c>
      <c r="J17" s="69">
        <f>IF(DataEntry!H10&gt;0,DataEntry!H10,"")</f>
        <v>5</v>
      </c>
      <c r="K17" s="69">
        <f>IF(DataEntry!H10&gt;0,ABS(I17-YoudenCalculations!$K$1)/SQRT(J17^2+$J$11^2),"")</f>
        <v>0.47312869935768653</v>
      </c>
      <c r="L17" s="69">
        <f>IF(DataEntry!H10&gt;0,$B$14/J17,"")</f>
        <v>4.6</v>
      </c>
      <c r="M17">
        <f>IF(DataEntry!H10&gt;0,IF(ABS(I17-YoudenCalculations!$K$1)&gt;$T$2,"yes",""),"")</f>
      </c>
      <c r="N17" s="45"/>
      <c r="O17" s="46"/>
      <c r="S17">
        <f>IF(DataEntry!E10&gt;0,IF(G17="yes","",C17),"")</f>
        <v>-2</v>
      </c>
      <c r="T17">
        <f>IF(DataEntry!E10&gt;0,IF(M17="yes","",I17),"")</f>
        <v>-7</v>
      </c>
      <c r="U17">
        <v>1</v>
      </c>
      <c r="V17" t="str">
        <f>IF(DataEntry!E10&gt;0,DataEntry!B10,#N/A)</f>
        <v>A</v>
      </c>
      <c r="W17" s="56">
        <f>IF(DataEntry!E10&gt;0,DataEntry!C10,#N/A)</f>
        <v>36526</v>
      </c>
      <c r="X17" s="32">
        <f>IF(DataEntry!E10&gt;0,DataEntry!D10,#N/A)</f>
        <v>-2</v>
      </c>
      <c r="Y17" s="32">
        <f>IF(DataEntry!E10&gt;0,DataEntry!E10,#N/A)</f>
        <v>5</v>
      </c>
      <c r="Z17" s="32">
        <f>IF(DataEntry!E10&gt;0,$J$5,#N/A)</f>
        <v>1.5</v>
      </c>
      <c r="AA17" s="6">
        <f>Z17+$J$6</f>
        <v>5.193623849670827</v>
      </c>
      <c r="AB17" s="6">
        <f>Z17-$J$6</f>
        <v>-2.193623849670827</v>
      </c>
      <c r="AE17" t="str">
        <f>IF(DataEntry!H10&gt;0,DataEntry!B10,#N/A)</f>
        <v>A</v>
      </c>
      <c r="AF17" s="56">
        <f>IF(DataEntry!H10&gt;0,DataEntry!F10,#N/A)</f>
        <v>36797</v>
      </c>
      <c r="AG17">
        <f>IF(DataEntry!H10&gt;0,DataEntry!G10,#N/A)</f>
        <v>-7</v>
      </c>
      <c r="AH17">
        <f>IF(DataEntry!H10&gt;0,DataEntry!H10,#N/A)</f>
        <v>5</v>
      </c>
      <c r="AI17" s="6">
        <f>IF(DataEntry!H10&gt;0,$J$10,#N/A)</f>
        <v>-3</v>
      </c>
      <c r="AJ17" s="6">
        <f>AI17+$J$11</f>
        <v>3.817344825970773</v>
      </c>
      <c r="AK17" s="6">
        <f>AI17-$J$11</f>
        <v>-9.817344825970773</v>
      </c>
      <c r="AN17" t="str">
        <f>IF(DataEntry!E10&gt;0,A17,"")</f>
        <v>A</v>
      </c>
      <c r="AO17" s="6">
        <f>IF(DataEntry!E10&gt;0,E17,#N/A)</f>
        <v>0.5630324549140187</v>
      </c>
      <c r="AP17" s="6">
        <f>IF(DataEntry!H10&gt;0,K17,#N/A)</f>
        <v>0.47312869935768653</v>
      </c>
      <c r="AQ17">
        <f>IF(DataEntry!H10&gt;0,1,#N/A)</f>
        <v>1</v>
      </c>
      <c r="AS17" t="str">
        <f>IF(DataEntry!E10&gt;0,A17,"")</f>
        <v>A</v>
      </c>
      <c r="AT17" s="6">
        <f>IF(DataEntry!E10&gt;0,F17,#N/A)</f>
        <v>4.6</v>
      </c>
      <c r="AU17" s="6">
        <f>IF(DataEntry!H10&gt;0,L17,#N/A)</f>
        <v>4.6</v>
      </c>
      <c r="AV17">
        <f>IF(DataEntry!H10&gt;0,3,#N/A)</f>
        <v>3</v>
      </c>
    </row>
    <row r="18" spans="1:48" ht="12.75">
      <c r="A18" s="18" t="str">
        <f>YoudenCalculations!I12</f>
        <v>B</v>
      </c>
      <c r="B18" s="56">
        <f>IF(DataEntry!E11&gt;0,DataEntry!C11,"")</f>
        <v>36540</v>
      </c>
      <c r="C18" s="66">
        <f>YoudenCalculations!J12</f>
        <v>1</v>
      </c>
      <c r="D18" s="66">
        <f>IF(DataEntry!E11&gt;0,DataEntry!E11,"")</f>
        <v>8</v>
      </c>
      <c r="E18" s="66">
        <f>IF(DataEntry!E11&gt;0,ABS(C18-YoudenCalculations!$J$1)/SQRT(D18^2+$J$6^2),"")</f>
        <v>0.0567439089696136</v>
      </c>
      <c r="F18" s="66">
        <f>IF(DataEntry!E11&gt;0,$B$14/D18,"")</f>
        <v>2.875</v>
      </c>
      <c r="G18">
        <f>IF(DataEntry!E11&gt;0,IF(ABS(C18-YoudenCalculations!$J$1)&gt;$S$2,"yes",""),"")</f>
      </c>
      <c r="H18" s="56">
        <f>IF(DataEntry!H11&gt;0,DataEntry!F11,"")</f>
        <v>36753</v>
      </c>
      <c r="I18" s="69">
        <f>YoudenCalculations!K12</f>
        <v>-3</v>
      </c>
      <c r="J18" s="69">
        <f>IF(DataEntry!H11&gt;0,DataEntry!H11,"")</f>
        <v>8</v>
      </c>
      <c r="K18" s="69">
        <f>IF(DataEntry!H11&gt;0,ABS(I18-YoudenCalculations!$K$1)/SQRT(J18^2+$J$11^2),"")</f>
        <v>0</v>
      </c>
      <c r="L18" s="69">
        <f>IF(DataEntry!H11&gt;0,$B$14/J18,"")</f>
        <v>2.875</v>
      </c>
      <c r="M18">
        <f>IF(DataEntry!H11&gt;0,IF(ABS(I18-YoudenCalculations!$K$1)&gt;$T$2,"yes",""),"")</f>
      </c>
      <c r="N18" s="45"/>
      <c r="O18" s="46"/>
      <c r="S18">
        <f>IF(DataEntry!E11&gt;0,IF(G18="yes","",C18),"")</f>
        <v>1</v>
      </c>
      <c r="T18">
        <f>IF(DataEntry!E11&gt;0,IF(M18="yes","",I18),"")</f>
        <v>-3</v>
      </c>
      <c r="U18">
        <v>2</v>
      </c>
      <c r="V18" t="str">
        <f>IF(DataEntry!E11&gt;0,DataEntry!B11,#N/A)</f>
        <v>B</v>
      </c>
      <c r="W18" s="56">
        <f>IF(DataEntry!E11&gt;0,DataEntry!C11,#N/A)</f>
        <v>36540</v>
      </c>
      <c r="X18" s="32">
        <f>IF(DataEntry!E11&gt;0,DataEntry!D11,#N/A)</f>
        <v>1</v>
      </c>
      <c r="Y18" s="32">
        <f>IF(DataEntry!E11&gt;0,DataEntry!E11,#N/A)</f>
        <v>8</v>
      </c>
      <c r="Z18" s="32">
        <f>IF(DataEntry!E11&gt;0,$J$5,#N/A)</f>
        <v>1.5</v>
      </c>
      <c r="AA18" s="6">
        <f aca="true" t="shared" si="0" ref="AA18:AA46">Z18+$J$6</f>
        <v>5.193623849670827</v>
      </c>
      <c r="AB18" s="6">
        <f aca="true" t="shared" si="1" ref="AB18:AB46">Z18-$J$6</f>
        <v>-2.193623849670827</v>
      </c>
      <c r="AE18" t="str">
        <f>IF(DataEntry!H11&gt;0,DataEntry!B11,#N/A)</f>
        <v>B</v>
      </c>
      <c r="AF18" s="56">
        <f>IF(DataEntry!H11&gt;0,DataEntry!F11,#N/A)</f>
        <v>36753</v>
      </c>
      <c r="AG18">
        <f>IF(DataEntry!H11&gt;0,DataEntry!G11,#N/A)</f>
        <v>-3</v>
      </c>
      <c r="AH18">
        <f>IF(DataEntry!H11&gt;0,DataEntry!H11,#N/A)</f>
        <v>8</v>
      </c>
      <c r="AI18" s="6">
        <f>IF(DataEntry!H11&gt;0,$J$10,#N/A)</f>
        <v>-3</v>
      </c>
      <c r="AJ18" s="6">
        <f aca="true" t="shared" si="2" ref="AJ18:AJ46">AI18+$J$11</f>
        <v>3.817344825970773</v>
      </c>
      <c r="AK18" s="6">
        <f aca="true" t="shared" si="3" ref="AK18:AK46">AI18-$J$11</f>
        <v>-9.817344825970773</v>
      </c>
      <c r="AN18" t="str">
        <f>IF(DataEntry!E11&gt;0,A18,"")</f>
        <v>B</v>
      </c>
      <c r="AO18" s="6">
        <f>IF(DataEntry!E11&gt;0,E18,#N/A)</f>
        <v>0.0567439089696136</v>
      </c>
      <c r="AP18" s="6">
        <f>IF(DataEntry!H11&gt;0,K18,#N/A)</f>
        <v>0</v>
      </c>
      <c r="AQ18">
        <f>IF(DataEntry!H11&gt;0,1,#N/A)</f>
        <v>1</v>
      </c>
      <c r="AS18" t="str">
        <f>IF(DataEntry!E11&gt;0,A18,"")</f>
        <v>B</v>
      </c>
      <c r="AT18" s="6">
        <f>IF(DataEntry!E11&gt;0,F18,#N/A)</f>
        <v>2.875</v>
      </c>
      <c r="AU18" s="6">
        <f>IF(DataEntry!H11&gt;0,L18,#N/A)</f>
        <v>2.875</v>
      </c>
      <c r="AV18">
        <f>IF(DataEntry!H11&gt;0,3,#N/A)</f>
        <v>3</v>
      </c>
    </row>
    <row r="19" spans="1:48" ht="12.75">
      <c r="A19" s="18" t="str">
        <f>YoudenCalculations!I13</f>
        <v>C</v>
      </c>
      <c r="B19" s="56">
        <f>IF(DataEntry!E12&gt;0,DataEntry!C12,"")</f>
        <v>36646</v>
      </c>
      <c r="C19" s="66">
        <f>YoudenCalculations!J13</f>
        <v>4</v>
      </c>
      <c r="D19" s="66">
        <f>IF(DataEntry!E12&gt;0,DataEntry!E12,"")</f>
        <v>6</v>
      </c>
      <c r="E19" s="66">
        <f>IF(DataEntry!E12&gt;0,ABS(C19-YoudenCalculations!$J$1)/SQRT(D19^2+$J$6^2),"")</f>
        <v>0.3548228862059768</v>
      </c>
      <c r="F19" s="66">
        <f>IF(DataEntry!E12&gt;0,$B$14/D19,"")</f>
        <v>3.8333333333333335</v>
      </c>
      <c r="G19">
        <f>IF(DataEntry!E12&gt;0,IF(ABS(C19-YoudenCalculations!$J$1)&gt;$S$2,"yes",""),"")</f>
      </c>
      <c r="H19" s="56">
        <f>IF(DataEntry!H12&gt;0,DataEntry!F12,"")</f>
        <v>36712</v>
      </c>
      <c r="I19" s="69">
        <f>YoudenCalculations!K13</f>
        <v>-8</v>
      </c>
      <c r="J19" s="69">
        <f>IF(DataEntry!H12&gt;0,DataEntry!H12,"")</f>
        <v>6</v>
      </c>
      <c r="K19" s="69">
        <f>IF(DataEntry!H12&gt;0,ABS(I19-YoudenCalculations!$K$1)/SQRT(J19^2+$J$11^2),"")</f>
        <v>0.5505613343760446</v>
      </c>
      <c r="L19" s="69">
        <f>IF(DataEntry!H12&gt;0,$B$14/J19,"")</f>
        <v>3.8333333333333335</v>
      </c>
      <c r="M19">
        <f>IF(DataEntry!H12&gt;0,IF(ABS(I19-YoudenCalculations!$K$1)&gt;$T$2,"yes",""),"")</f>
      </c>
      <c r="N19" s="45"/>
      <c r="O19" s="46"/>
      <c r="S19">
        <f>IF(DataEntry!E12&gt;0,IF(G19="yes","",C19),"")</f>
        <v>4</v>
      </c>
      <c r="T19">
        <f>IF(DataEntry!E12&gt;0,IF(M19="yes","",I19),"")</f>
        <v>-8</v>
      </c>
      <c r="U19">
        <v>3</v>
      </c>
      <c r="V19" t="str">
        <f>IF(DataEntry!E12&gt;0,DataEntry!B12,#N/A)</f>
        <v>C</v>
      </c>
      <c r="W19" s="56">
        <f>IF(DataEntry!E12&gt;0,DataEntry!C12,#N/A)</f>
        <v>36646</v>
      </c>
      <c r="X19" s="32">
        <f>IF(DataEntry!E12&gt;0,DataEntry!D12,#N/A)</f>
        <v>4</v>
      </c>
      <c r="Y19" s="32">
        <f>IF(DataEntry!E12&gt;0,DataEntry!E12,#N/A)</f>
        <v>6</v>
      </c>
      <c r="Z19" s="32">
        <f>IF(DataEntry!E12&gt;0,$J$5,#N/A)</f>
        <v>1.5</v>
      </c>
      <c r="AA19" s="6">
        <f t="shared" si="0"/>
        <v>5.193623849670827</v>
      </c>
      <c r="AB19" s="6">
        <f t="shared" si="1"/>
        <v>-2.193623849670827</v>
      </c>
      <c r="AE19" t="str">
        <f>IF(DataEntry!H12&gt;0,DataEntry!B12,#N/A)</f>
        <v>C</v>
      </c>
      <c r="AF19" s="56">
        <f>IF(DataEntry!H12&gt;0,DataEntry!F12,#N/A)</f>
        <v>36712</v>
      </c>
      <c r="AG19">
        <f>IF(DataEntry!H12&gt;0,DataEntry!G12,#N/A)</f>
        <v>-8</v>
      </c>
      <c r="AH19">
        <f>IF(DataEntry!H12&gt;0,DataEntry!H12,#N/A)</f>
        <v>6</v>
      </c>
      <c r="AI19" s="6">
        <f>IF(DataEntry!H12&gt;0,$J$10,#N/A)</f>
        <v>-3</v>
      </c>
      <c r="AJ19" s="6">
        <f t="shared" si="2"/>
        <v>3.817344825970773</v>
      </c>
      <c r="AK19" s="6">
        <f t="shared" si="3"/>
        <v>-9.817344825970773</v>
      </c>
      <c r="AN19" t="str">
        <f>IF(DataEntry!E12&gt;0,A19,"")</f>
        <v>C</v>
      </c>
      <c r="AO19" s="6">
        <f>IF(DataEntry!E12&gt;0,E19,#N/A)</f>
        <v>0.3548228862059768</v>
      </c>
      <c r="AP19" s="6">
        <f>IF(DataEntry!H12&gt;0,K19,#N/A)</f>
        <v>0.5505613343760446</v>
      </c>
      <c r="AQ19">
        <f>IF(DataEntry!H12&gt;0,1,#N/A)</f>
        <v>1</v>
      </c>
      <c r="AS19" t="str">
        <f>IF(DataEntry!E12&gt;0,A19,"")</f>
        <v>C</v>
      </c>
      <c r="AT19" s="6">
        <f>IF(DataEntry!E12&gt;0,F19,#N/A)</f>
        <v>3.8333333333333335</v>
      </c>
      <c r="AU19" s="6">
        <f>IF(DataEntry!H12&gt;0,L19,#N/A)</f>
        <v>3.8333333333333335</v>
      </c>
      <c r="AV19">
        <f>IF(DataEntry!H12&gt;0,3,#N/A)</f>
        <v>3</v>
      </c>
    </row>
    <row r="20" spans="1:48" ht="12.75">
      <c r="A20" s="18" t="str">
        <f>YoudenCalculations!I14</f>
        <v>D</v>
      </c>
      <c r="B20" s="56">
        <f>IF(DataEntry!E13&gt;0,DataEntry!C13,"")</f>
        <v>36651</v>
      </c>
      <c r="C20" s="66">
        <f>YoudenCalculations!J14</f>
        <v>3</v>
      </c>
      <c r="D20" s="66">
        <f>IF(DataEntry!E13&gt;0,DataEntry!E13,"")</f>
        <v>4</v>
      </c>
      <c r="E20" s="66">
        <f>IF(DataEntry!E13&gt;0,ABS(C20-YoudenCalculations!$J$1)/SQRT(D20^2+$J$6^2),"")</f>
        <v>0.2755061060264025</v>
      </c>
      <c r="F20" s="66">
        <f>IF(DataEntry!E13&gt;0,$B$14/D20,"")</f>
        <v>5.75</v>
      </c>
      <c r="G20">
        <f>IF(DataEntry!E13&gt;0,IF(ABS(C20-YoudenCalculations!$J$1)&gt;$S$2,"yes",""),"")</f>
      </c>
      <c r="H20" s="56">
        <f>IF(DataEntry!H13&gt;0,DataEntry!F13,"")</f>
        <v>36661</v>
      </c>
      <c r="I20" s="69">
        <f>YoudenCalculations!K14</f>
        <v>9</v>
      </c>
      <c r="J20" s="69">
        <f>IF(DataEntry!H13&gt;0,DataEntry!H13,"")</f>
        <v>4</v>
      </c>
      <c r="K20" s="69">
        <f>IF(DataEntry!H13&gt;0,ABS(I20-YoudenCalculations!$K$1)/SQRT(J20^2+$J$11^2),"")</f>
        <v>1.5181824820424217</v>
      </c>
      <c r="L20" s="69">
        <f>IF(DataEntry!H13&gt;0,$B$14/J20,"")</f>
        <v>5.75</v>
      </c>
      <c r="M20" t="str">
        <f>IF(DataEntry!H13&gt;0,IF(ABS(I20-YoudenCalculations!$K$1)&gt;$T$2,"yes",""),"")</f>
        <v>yes</v>
      </c>
      <c r="N20" s="45"/>
      <c r="O20" s="46"/>
      <c r="S20">
        <f>IF(DataEntry!E13&gt;0,IF(G20="yes","",C20),"")</f>
        <v>3</v>
      </c>
      <c r="T20">
        <f>IF(DataEntry!E13&gt;0,IF(M20="yes","",I20),"")</f>
      </c>
      <c r="U20">
        <v>4</v>
      </c>
      <c r="V20" t="str">
        <f>IF(DataEntry!E13&gt;0,DataEntry!B13,#N/A)</f>
        <v>D</v>
      </c>
      <c r="W20" s="56">
        <f>IF(DataEntry!E13&gt;0,DataEntry!C13,#N/A)</f>
        <v>36651</v>
      </c>
      <c r="X20" s="32">
        <f>IF(DataEntry!E13&gt;0,DataEntry!D13,#N/A)</f>
        <v>3</v>
      </c>
      <c r="Y20" s="32">
        <f>IF(DataEntry!E13&gt;0,DataEntry!E13,#N/A)</f>
        <v>4</v>
      </c>
      <c r="Z20" s="32">
        <f>IF(DataEntry!E13&gt;0,$J$5,#N/A)</f>
        <v>1.5</v>
      </c>
      <c r="AA20" s="6">
        <f t="shared" si="0"/>
        <v>5.193623849670827</v>
      </c>
      <c r="AB20" s="6">
        <f t="shared" si="1"/>
        <v>-2.193623849670827</v>
      </c>
      <c r="AE20" t="str">
        <f>IF(DataEntry!H13&gt;0,DataEntry!B13,#N/A)</f>
        <v>D</v>
      </c>
      <c r="AF20" s="56">
        <f>IF(DataEntry!H13&gt;0,DataEntry!F13,#N/A)</f>
        <v>36661</v>
      </c>
      <c r="AG20">
        <f>IF(DataEntry!H13&gt;0,DataEntry!G13,#N/A)</f>
        <v>9</v>
      </c>
      <c r="AH20">
        <f>IF(DataEntry!H13&gt;0,DataEntry!H13,#N/A)</f>
        <v>4</v>
      </c>
      <c r="AI20" s="6">
        <f>IF(DataEntry!H13&gt;0,$J$10,#N/A)</f>
        <v>-3</v>
      </c>
      <c r="AJ20" s="6">
        <f t="shared" si="2"/>
        <v>3.817344825970773</v>
      </c>
      <c r="AK20" s="6">
        <f t="shared" si="3"/>
        <v>-9.817344825970773</v>
      </c>
      <c r="AN20" t="str">
        <f>IF(DataEntry!E13&gt;0,A20,"")</f>
        <v>D</v>
      </c>
      <c r="AO20" s="6">
        <f>IF(DataEntry!E13&gt;0,E20,#N/A)</f>
        <v>0.2755061060264025</v>
      </c>
      <c r="AP20" s="6">
        <f>IF(DataEntry!H13&gt;0,K20,#N/A)</f>
        <v>1.5181824820424217</v>
      </c>
      <c r="AQ20">
        <f>IF(DataEntry!H13&gt;0,1,#N/A)</f>
        <v>1</v>
      </c>
      <c r="AS20" t="str">
        <f>IF(DataEntry!E13&gt;0,A20,"")</f>
        <v>D</v>
      </c>
      <c r="AT20" s="6">
        <f>IF(DataEntry!E13&gt;0,F20,#N/A)</f>
        <v>5.75</v>
      </c>
      <c r="AU20" s="6">
        <f>IF(DataEntry!H13&gt;0,L20,#N/A)</f>
        <v>5.75</v>
      </c>
      <c r="AV20">
        <f>IF(DataEntry!H13&gt;0,3,#N/A)</f>
        <v>3</v>
      </c>
    </row>
    <row r="21" spans="1:48" ht="12.75">
      <c r="A21" s="18" t="str">
        <f>YoudenCalculations!I15</f>
        <v>E</v>
      </c>
      <c r="B21" s="56">
        <f>IF(DataEntry!E14&gt;0,DataEntry!C14,"")</f>
        <v>36714</v>
      </c>
      <c r="C21" s="66">
        <f>YoudenCalculations!J15</f>
        <v>2</v>
      </c>
      <c r="D21" s="66">
        <f>IF(DataEntry!E14&gt;0,DataEntry!E14,"")</f>
        <v>2</v>
      </c>
      <c r="E21" s="66">
        <f>IF(DataEntry!E14&gt;0,ABS(C21-YoudenCalculations!$J$1)/SQRT(D21^2+$J$6^2),"")</f>
        <v>0.11903797917400127</v>
      </c>
      <c r="F21" s="66">
        <f>IF(DataEntry!E14&gt;0,$B$14/D21,"")</f>
        <v>11.5</v>
      </c>
      <c r="G21">
        <f>IF(DataEntry!E14&gt;0,IF(ABS(C21-YoudenCalculations!$J$1)&gt;$S$2,"yes",""),"")</f>
      </c>
      <c r="H21" s="56">
        <f>IF(DataEntry!H14&gt;0,DataEntry!F14,"")</f>
        <v>36631</v>
      </c>
      <c r="I21" s="69">
        <f>YoudenCalculations!K15</f>
        <v>-4</v>
      </c>
      <c r="J21" s="69">
        <f>IF(DataEntry!H14&gt;0,DataEntry!H14,"")</f>
        <v>2</v>
      </c>
      <c r="K21" s="69">
        <f>IF(DataEntry!H14&gt;0,ABS(I21-YoudenCalculations!$K$1)/SQRT(J21^2+$J$11^2),"")</f>
        <v>0.14075269359666615</v>
      </c>
      <c r="L21" s="69">
        <f>IF(DataEntry!H14&gt;0,$B$14/J21,"")</f>
        <v>11.5</v>
      </c>
      <c r="M21">
        <f>IF(DataEntry!H14&gt;0,IF(ABS(I21-YoudenCalculations!$K$1)&gt;$T$2,"yes",""),"")</f>
      </c>
      <c r="N21" s="45"/>
      <c r="O21" s="46"/>
      <c r="S21">
        <f>IF(DataEntry!E14&gt;0,IF(G21="yes","",C21),"")</f>
        <v>2</v>
      </c>
      <c r="T21">
        <f>IF(DataEntry!E14&gt;0,IF(M21="yes","",I21),"")</f>
        <v>-4</v>
      </c>
      <c r="U21">
        <v>5</v>
      </c>
      <c r="V21" t="str">
        <f>IF(DataEntry!E14&gt;0,DataEntry!B14,#N/A)</f>
        <v>E</v>
      </c>
      <c r="W21" s="56">
        <f>IF(DataEntry!E14&gt;0,DataEntry!C14,#N/A)</f>
        <v>36714</v>
      </c>
      <c r="X21" s="32">
        <f>IF(DataEntry!E14&gt;0,DataEntry!D14,#N/A)</f>
        <v>2</v>
      </c>
      <c r="Y21" s="32">
        <f>IF(DataEntry!E14&gt;0,DataEntry!E14,#N/A)</f>
        <v>2</v>
      </c>
      <c r="Z21" s="32">
        <f>IF(DataEntry!E14&gt;0,$J$5,#N/A)</f>
        <v>1.5</v>
      </c>
      <c r="AA21" s="6">
        <f t="shared" si="0"/>
        <v>5.193623849670827</v>
      </c>
      <c r="AB21" s="6">
        <f t="shared" si="1"/>
        <v>-2.193623849670827</v>
      </c>
      <c r="AE21" t="str">
        <f>IF(DataEntry!H14&gt;0,DataEntry!B14,#N/A)</f>
        <v>E</v>
      </c>
      <c r="AF21" s="56">
        <f>IF(DataEntry!H14&gt;0,DataEntry!F14,#N/A)</f>
        <v>36631</v>
      </c>
      <c r="AG21">
        <f>IF(DataEntry!H14&gt;0,DataEntry!G14,#N/A)</f>
        <v>-4</v>
      </c>
      <c r="AH21">
        <f>IF(DataEntry!H14&gt;0,DataEntry!H14,#N/A)</f>
        <v>2</v>
      </c>
      <c r="AI21" s="6">
        <f>IF(DataEntry!H14&gt;0,$J$10,#N/A)</f>
        <v>-3</v>
      </c>
      <c r="AJ21" s="6">
        <f t="shared" si="2"/>
        <v>3.817344825970773</v>
      </c>
      <c r="AK21" s="6">
        <f t="shared" si="3"/>
        <v>-9.817344825970773</v>
      </c>
      <c r="AN21" t="str">
        <f>IF(DataEntry!E14&gt;0,A21,"")</f>
        <v>E</v>
      </c>
      <c r="AO21" s="6">
        <f>IF(DataEntry!E14&gt;0,E21,#N/A)</f>
        <v>0.11903797917400127</v>
      </c>
      <c r="AP21" s="6">
        <f>IF(DataEntry!H14&gt;0,K21,#N/A)</f>
        <v>0.14075269359666615</v>
      </c>
      <c r="AQ21">
        <f>IF(DataEntry!H14&gt;0,1,#N/A)</f>
        <v>1</v>
      </c>
      <c r="AS21" t="str">
        <f>IF(DataEntry!E14&gt;0,A21,"")</f>
        <v>E</v>
      </c>
      <c r="AT21" s="6">
        <f>IF(DataEntry!E14&gt;0,F21,#N/A)</f>
        <v>11.5</v>
      </c>
      <c r="AU21" s="6">
        <f>IF(DataEntry!H14&gt;0,L21,#N/A)</f>
        <v>11.5</v>
      </c>
      <c r="AV21">
        <f>IF(DataEntry!H14&gt;0,3,#N/A)</f>
        <v>3</v>
      </c>
    </row>
    <row r="22" spans="1:48" ht="12.75">
      <c r="A22" s="18" t="str">
        <f>YoudenCalculations!I16</f>
        <v>F</v>
      </c>
      <c r="B22" s="56">
        <f>IF(DataEntry!E15&gt;0,DataEntry!C15,"")</f>
        <v>36739</v>
      </c>
      <c r="C22" s="66">
        <f>YoudenCalculations!J16</f>
        <v>0</v>
      </c>
      <c r="D22" s="66">
        <f>IF(DataEntry!E15&gt;0,DataEntry!E15,"")</f>
        <v>7</v>
      </c>
      <c r="E22" s="66">
        <f>IF(DataEntry!E15&gt;0,ABS(C22-YoudenCalculations!$J$1)/SQRT(D22^2+$J$6^2),"")</f>
        <v>0.18952018873572932</v>
      </c>
      <c r="F22" s="66">
        <f>IF(DataEntry!E15&gt;0,$B$14/D22,"")</f>
        <v>3.2857142857142856</v>
      </c>
      <c r="G22">
        <f>IF(DataEntry!E15&gt;0,IF(ABS(C22-YoudenCalculations!$J$1)&gt;$S$2,"yes",""),"")</f>
      </c>
      <c r="H22" s="56">
        <f>IF(DataEntry!H15&gt;0,DataEntry!F15,"")</f>
        <v>36586</v>
      </c>
      <c r="I22" s="69">
        <f>YoudenCalculations!K16</f>
        <v>2</v>
      </c>
      <c r="J22" s="69">
        <f>IF(DataEntry!H15&gt;0,DataEntry!H15,"")</f>
        <v>7</v>
      </c>
      <c r="K22" s="69">
        <f>IF(DataEntry!H15&gt;0,ABS(I22-YoudenCalculations!$K$1)/SQRT(J22^2+$J$11^2),"")</f>
        <v>0.5117083021934136</v>
      </c>
      <c r="L22" s="69">
        <f>IF(DataEntry!H15&gt;0,$B$14/J22,"")</f>
        <v>3.2857142857142856</v>
      </c>
      <c r="M22">
        <f>IF(DataEntry!H15&gt;0,IF(ABS(I22-YoudenCalculations!$K$1)&gt;$T$2,"yes",""),"")</f>
      </c>
      <c r="N22" s="45"/>
      <c r="O22" s="46"/>
      <c r="S22">
        <f>IF(DataEntry!E15&gt;0,IF(G22="yes","",C22),"")</f>
        <v>0</v>
      </c>
      <c r="T22">
        <f>IF(DataEntry!E15&gt;0,IF(M22="yes","",I22),"")</f>
        <v>2</v>
      </c>
      <c r="U22">
        <v>6</v>
      </c>
      <c r="V22" t="str">
        <f>IF(DataEntry!E15&gt;0,DataEntry!B15,#N/A)</f>
        <v>F</v>
      </c>
      <c r="W22" s="56">
        <f>IF(DataEntry!E15&gt;0,DataEntry!C15,#N/A)</f>
        <v>36739</v>
      </c>
      <c r="X22" s="32">
        <f>IF(DataEntry!E15&gt;0,DataEntry!D15,#N/A)</f>
        <v>0</v>
      </c>
      <c r="Y22" s="32">
        <f>IF(DataEntry!E15&gt;0,DataEntry!E15,#N/A)</f>
        <v>7</v>
      </c>
      <c r="Z22" s="32">
        <f>IF(DataEntry!E15&gt;0,$J$5,#N/A)</f>
        <v>1.5</v>
      </c>
      <c r="AA22" s="6">
        <f t="shared" si="0"/>
        <v>5.193623849670827</v>
      </c>
      <c r="AB22" s="6">
        <f t="shared" si="1"/>
        <v>-2.193623849670827</v>
      </c>
      <c r="AE22" t="str">
        <f>IF(DataEntry!H15&gt;0,DataEntry!B15,#N/A)</f>
        <v>F</v>
      </c>
      <c r="AF22" s="56">
        <f>IF(DataEntry!H15&gt;0,DataEntry!F15,#N/A)</f>
        <v>36586</v>
      </c>
      <c r="AG22">
        <f>IF(DataEntry!H15&gt;0,DataEntry!G15,#N/A)</f>
        <v>2</v>
      </c>
      <c r="AH22">
        <f>IF(DataEntry!H15&gt;0,DataEntry!H15,#N/A)</f>
        <v>7</v>
      </c>
      <c r="AI22" s="6">
        <f>IF(DataEntry!H15&gt;0,$J$10,#N/A)</f>
        <v>-3</v>
      </c>
      <c r="AJ22" s="6">
        <f t="shared" si="2"/>
        <v>3.817344825970773</v>
      </c>
      <c r="AK22" s="6">
        <f t="shared" si="3"/>
        <v>-9.817344825970773</v>
      </c>
      <c r="AN22" t="str">
        <f>IF(DataEntry!E15&gt;0,A22,"")</f>
        <v>F</v>
      </c>
      <c r="AO22" s="6">
        <f>IF(DataEntry!E15&gt;0,E22,#N/A)</f>
        <v>0.18952018873572932</v>
      </c>
      <c r="AP22" s="6">
        <f>IF(DataEntry!H15&gt;0,K22,#N/A)</f>
        <v>0.5117083021934136</v>
      </c>
      <c r="AQ22">
        <f>IF(DataEntry!H15&gt;0,1,#N/A)</f>
        <v>1</v>
      </c>
      <c r="AS22" t="str">
        <f>IF(DataEntry!E15&gt;0,A22,"")</f>
        <v>F</v>
      </c>
      <c r="AT22" s="6">
        <f>IF(DataEntry!E15&gt;0,F22,#N/A)</f>
        <v>3.2857142857142856</v>
      </c>
      <c r="AU22" s="6">
        <f>IF(DataEntry!H15&gt;0,L22,#N/A)</f>
        <v>3.2857142857142856</v>
      </c>
      <c r="AV22">
        <f>IF(DataEntry!H15&gt;0,3,#N/A)</f>
        <v>3</v>
      </c>
    </row>
    <row r="23" spans="1:48" ht="12.75">
      <c r="A23" s="18" t="str">
        <f>YoudenCalculations!I17</f>
        <v>G</v>
      </c>
      <c r="B23" s="56">
        <f>IF(DataEntry!E16&gt;0,DataEntry!C16,"")</f>
        <v>36748</v>
      </c>
      <c r="C23" s="66">
        <f>YoudenCalculations!J17</f>
        <v>1</v>
      </c>
      <c r="D23" s="66">
        <f>IF(DataEntry!E16&gt;0,DataEntry!E16,"")</f>
        <v>5</v>
      </c>
      <c r="E23" s="66">
        <f>IF(DataEntry!E16&gt;0,ABS(C23-YoudenCalculations!$J$1)/SQRT(D23^2+$J$6^2),"")</f>
        <v>0.08043320784485981</v>
      </c>
      <c r="F23" s="66">
        <f>IF(DataEntry!E16&gt;0,$B$14/D23,"")</f>
        <v>4.6</v>
      </c>
      <c r="G23">
        <f>IF(DataEntry!E16&gt;0,IF(ABS(C23-YoudenCalculations!$J$1)&gt;$S$2,"yes",""),"")</f>
      </c>
      <c r="H23" s="56">
        <f>IF(DataEntry!H16&gt;0,DataEntry!F16,"")</f>
        <v>36557</v>
      </c>
      <c r="I23" s="69">
        <f>YoudenCalculations!K17</f>
        <v>-1</v>
      </c>
      <c r="J23" s="69">
        <f>IF(DataEntry!H16&gt;0,DataEntry!H16,"")</f>
        <v>5</v>
      </c>
      <c r="K23" s="69">
        <f>IF(DataEntry!H16&gt;0,ABS(I23-YoudenCalculations!$K$1)/SQRT(J23^2+$J$11^2),"")</f>
        <v>0.23656434967884327</v>
      </c>
      <c r="L23" s="69">
        <f>IF(DataEntry!H16&gt;0,$B$14/J23,"")</f>
        <v>4.6</v>
      </c>
      <c r="M23">
        <f>IF(DataEntry!H16&gt;0,IF(ABS(I23-YoudenCalculations!$K$1)&gt;$T$2,"yes",""),"")</f>
      </c>
      <c r="N23" s="45"/>
      <c r="O23" s="46"/>
      <c r="S23">
        <f>IF(DataEntry!E16&gt;0,IF(G23="yes","",C23),"")</f>
        <v>1</v>
      </c>
      <c r="T23">
        <f>IF(DataEntry!E16&gt;0,IF(M23="yes","",I23),"")</f>
        <v>-1</v>
      </c>
      <c r="U23">
        <v>7</v>
      </c>
      <c r="V23" t="str">
        <f>IF(DataEntry!E16&gt;0,DataEntry!B16,#N/A)</f>
        <v>G</v>
      </c>
      <c r="W23" s="56">
        <f>IF(DataEntry!E16&gt;0,DataEntry!C16,#N/A)</f>
        <v>36748</v>
      </c>
      <c r="X23" s="32">
        <f>IF(DataEntry!E16&gt;0,DataEntry!D16,#N/A)</f>
        <v>1</v>
      </c>
      <c r="Y23" s="32">
        <f>IF(DataEntry!E16&gt;0,DataEntry!E16,#N/A)</f>
        <v>5</v>
      </c>
      <c r="Z23" s="32">
        <f>IF(DataEntry!E16&gt;0,$J$5,#N/A)</f>
        <v>1.5</v>
      </c>
      <c r="AA23" s="6">
        <f t="shared" si="0"/>
        <v>5.193623849670827</v>
      </c>
      <c r="AB23" s="6">
        <f t="shared" si="1"/>
        <v>-2.193623849670827</v>
      </c>
      <c r="AE23" t="str">
        <f>IF(DataEntry!H16&gt;0,DataEntry!B16,#N/A)</f>
        <v>G</v>
      </c>
      <c r="AF23" s="56">
        <f>IF(DataEntry!H16&gt;0,DataEntry!F16,#N/A)</f>
        <v>36557</v>
      </c>
      <c r="AG23">
        <f>IF(DataEntry!H16&gt;0,DataEntry!G16,#N/A)</f>
        <v>-1</v>
      </c>
      <c r="AH23">
        <f>IF(DataEntry!H16&gt;0,DataEntry!H16,#N/A)</f>
        <v>5</v>
      </c>
      <c r="AI23" s="6">
        <f>IF(DataEntry!H16&gt;0,$J$10,#N/A)</f>
        <v>-3</v>
      </c>
      <c r="AJ23" s="6">
        <f t="shared" si="2"/>
        <v>3.817344825970773</v>
      </c>
      <c r="AK23" s="6">
        <f t="shared" si="3"/>
        <v>-9.817344825970773</v>
      </c>
      <c r="AN23" t="str">
        <f>IF(DataEntry!E16&gt;0,A23,"")</f>
        <v>G</v>
      </c>
      <c r="AO23" s="6">
        <f>IF(DataEntry!E16&gt;0,E23,#N/A)</f>
        <v>0.08043320784485981</v>
      </c>
      <c r="AP23" s="6">
        <f>IF(DataEntry!H16&gt;0,K23,#N/A)</f>
        <v>0.23656434967884327</v>
      </c>
      <c r="AQ23">
        <f>IF(DataEntry!H16&gt;0,1,#N/A)</f>
        <v>1</v>
      </c>
      <c r="AS23" t="str">
        <f>IF(DataEntry!E16&gt;0,A23,"")</f>
        <v>G</v>
      </c>
      <c r="AT23" s="6">
        <f>IF(DataEntry!E16&gt;0,F23,#N/A)</f>
        <v>4.6</v>
      </c>
      <c r="AU23" s="6">
        <f>IF(DataEntry!H16&gt;0,L23,#N/A)</f>
        <v>4.6</v>
      </c>
      <c r="AV23">
        <f>IF(DataEntry!H16&gt;0,3,#N/A)</f>
        <v>3</v>
      </c>
    </row>
    <row r="24" spans="1:48" ht="12.75">
      <c r="A24" s="18" t="str">
        <f>YoudenCalculations!I18</f>
        <v>H</v>
      </c>
      <c r="B24" s="56">
        <f>IF(DataEntry!E17&gt;0,DataEntry!C17,"")</f>
        <v>36800</v>
      </c>
      <c r="C24" s="66">
        <f>YoudenCalculations!J18</f>
        <v>2</v>
      </c>
      <c r="D24" s="66">
        <f>IF(DataEntry!E17&gt;0,DataEntry!E17,"")</f>
        <v>9</v>
      </c>
      <c r="E24" s="66">
        <f>IF(DataEntry!E17&gt;0,ABS(C24-YoudenCalculations!$J$1)/SQRT(D24^2+$J$6^2),"")</f>
        <v>0.051395616875004664</v>
      </c>
      <c r="F24" s="66">
        <f>IF(DataEntry!E17&gt;0,$B$14/D24,"")</f>
        <v>2.5555555555555554</v>
      </c>
      <c r="G24">
        <f>IF(DataEntry!E17&gt;0,IF(ABS(C24-YoudenCalculations!$J$1)&gt;$S$2,"yes",""),"")</f>
      </c>
      <c r="H24" s="56">
        <f>IF(DataEntry!H17&gt;0,DataEntry!F17,"")</f>
        <v>36540</v>
      </c>
      <c r="I24" s="69">
        <f>YoudenCalculations!K18</f>
        <v>-3</v>
      </c>
      <c r="J24" s="69">
        <f>IF(DataEntry!H17&gt;0,DataEntry!H17,"")</f>
        <v>9</v>
      </c>
      <c r="K24" s="69">
        <f>IF(DataEntry!H17&gt;0,ABS(I24-YoudenCalculations!$K$1)/SQRT(J24^2+$J$11^2),"")</f>
        <v>0</v>
      </c>
      <c r="L24" s="69">
        <f>IF(DataEntry!H17&gt;0,$B$14/J24,"")</f>
        <v>2.5555555555555554</v>
      </c>
      <c r="M24">
        <f>IF(DataEntry!H17&gt;0,IF(ABS(I24-YoudenCalculations!$K$1)&gt;$T$2,"yes",""),"")</f>
      </c>
      <c r="N24" s="45"/>
      <c r="O24" s="46"/>
      <c r="S24">
        <f>IF(DataEntry!E17&gt;0,IF(G24="yes","",C24),"")</f>
        <v>2</v>
      </c>
      <c r="T24">
        <f>IF(DataEntry!E17&gt;0,IF(M24="yes","",I24),"")</f>
        <v>-3</v>
      </c>
      <c r="U24">
        <v>8</v>
      </c>
      <c r="V24" t="str">
        <f>IF(DataEntry!E17&gt;0,DataEntry!B17,#N/A)</f>
        <v>H</v>
      </c>
      <c r="W24" s="56">
        <f>IF(DataEntry!E17&gt;0,DataEntry!C17,#N/A)</f>
        <v>36800</v>
      </c>
      <c r="X24" s="32">
        <f>IF(DataEntry!E17&gt;0,DataEntry!D17,#N/A)</f>
        <v>2</v>
      </c>
      <c r="Y24" s="32">
        <f>IF(DataEntry!E17&gt;0,DataEntry!E17,#N/A)</f>
        <v>9</v>
      </c>
      <c r="Z24" s="32">
        <f>IF(DataEntry!E17&gt;0,$J$5,#N/A)</f>
        <v>1.5</v>
      </c>
      <c r="AA24" s="6">
        <f t="shared" si="0"/>
        <v>5.193623849670827</v>
      </c>
      <c r="AB24" s="6">
        <f t="shared" si="1"/>
        <v>-2.193623849670827</v>
      </c>
      <c r="AE24" t="str">
        <f>IF(DataEntry!H17&gt;0,DataEntry!B17,#N/A)</f>
        <v>H</v>
      </c>
      <c r="AF24" s="56">
        <f>IF(DataEntry!H17&gt;0,DataEntry!F17,#N/A)</f>
        <v>36540</v>
      </c>
      <c r="AG24">
        <f>IF(DataEntry!H17&gt;0,DataEntry!G17,#N/A)</f>
        <v>-3</v>
      </c>
      <c r="AH24">
        <f>IF(DataEntry!H17&gt;0,DataEntry!H17,#N/A)</f>
        <v>9</v>
      </c>
      <c r="AI24" s="6">
        <f>IF(DataEntry!H17&gt;0,$J$10,#N/A)</f>
        <v>-3</v>
      </c>
      <c r="AJ24" s="6">
        <f t="shared" si="2"/>
        <v>3.817344825970773</v>
      </c>
      <c r="AK24" s="6">
        <f t="shared" si="3"/>
        <v>-9.817344825970773</v>
      </c>
      <c r="AN24" t="str">
        <f>IF(DataEntry!E17&gt;0,A24,"")</f>
        <v>H</v>
      </c>
      <c r="AO24" s="6">
        <f>IF(DataEntry!E17&gt;0,E24,#N/A)</f>
        <v>0.051395616875004664</v>
      </c>
      <c r="AP24" s="6">
        <f>IF(DataEntry!H17&gt;0,K24,#N/A)</f>
        <v>0</v>
      </c>
      <c r="AQ24">
        <f>IF(DataEntry!H17&gt;0,1,#N/A)</f>
        <v>1</v>
      </c>
      <c r="AS24" t="str">
        <f>IF(DataEntry!E17&gt;0,A24,"")</f>
        <v>H</v>
      </c>
      <c r="AT24" s="6">
        <f>IF(DataEntry!E17&gt;0,F24,#N/A)</f>
        <v>2.5555555555555554</v>
      </c>
      <c r="AU24" s="6">
        <f>IF(DataEntry!H17&gt;0,L24,#N/A)</f>
        <v>2.5555555555555554</v>
      </c>
      <c r="AV24">
        <f>IF(DataEntry!H17&gt;0,3,#N/A)</f>
        <v>3</v>
      </c>
    </row>
    <row r="25" spans="1:48" ht="12.75">
      <c r="A25" s="18">
        <f>YoudenCalculations!I19</f>
      </c>
      <c r="B25" s="56">
        <f>IF(DataEntry!E18&gt;0,DataEntry!C18,"")</f>
      </c>
      <c r="C25" s="66">
        <f>YoudenCalculations!J19</f>
      </c>
      <c r="D25" s="66">
        <f>IF(DataEntry!E18&gt;0,DataEntry!E18,"")</f>
      </c>
      <c r="E25" s="66">
        <f>IF(DataEntry!E18&gt;0,ABS(C25-YoudenCalculations!$J$1)/SQRT(D25^2+$J$6^2),"")</f>
      </c>
      <c r="F25" s="66">
        <f>IF(DataEntry!E18&gt;0,$B$14/D25,"")</f>
      </c>
      <c r="G25">
        <f>IF(DataEntry!E18&gt;0,IF(ABS(C25-YoudenCalculations!$J$1)&gt;$S$2,"yes",""),"")</f>
      </c>
      <c r="H25" s="56">
        <f>IF(DataEntry!H18&gt;0,DataEntry!F18,"")</f>
      </c>
      <c r="I25" s="69">
        <f>YoudenCalculations!K19</f>
      </c>
      <c r="J25" s="69">
        <f>IF(DataEntry!H18&gt;0,DataEntry!H18,"")</f>
      </c>
      <c r="K25" s="69">
        <f>IF(DataEntry!H18&gt;0,ABS(I25-YoudenCalculations!$K$1)/SQRT(J25^2+$J$11^2),"")</f>
      </c>
      <c r="L25" s="69">
        <f>IF(DataEntry!H18&gt;0,$B$14/J25,"")</f>
      </c>
      <c r="M25">
        <f>IF(DataEntry!H18&gt;0,IF(ABS(I25-YoudenCalculations!$K$1)&gt;$T$2,"yes",""),"")</f>
      </c>
      <c r="N25" s="45"/>
      <c r="O25" s="46"/>
      <c r="S25">
        <f>IF(DataEntry!E18&gt;0,IF(G25="yes","",C25),"")</f>
      </c>
      <c r="T25">
        <f>IF(DataEntry!E18&gt;0,IF(M25="yes","",I25),"")</f>
      </c>
      <c r="U25">
        <v>9</v>
      </c>
      <c r="V25" t="e">
        <f>IF(DataEntry!E18&gt;0,DataEntry!B18,#N/A)</f>
        <v>#N/A</v>
      </c>
      <c r="W25" s="56" t="e">
        <f>IF(DataEntry!E18&gt;0,DataEntry!C18,#N/A)</f>
        <v>#N/A</v>
      </c>
      <c r="X25" s="32" t="e">
        <f>IF(DataEntry!E18&gt;0,DataEntry!D18,#N/A)</f>
        <v>#N/A</v>
      </c>
      <c r="Y25" s="32" t="e">
        <f>IF(DataEntry!E18&gt;0,DataEntry!E18,#N/A)</f>
        <v>#N/A</v>
      </c>
      <c r="Z25" s="32" t="e">
        <f>IF(DataEntry!E18&gt;0,$J$5,#N/A)</f>
        <v>#N/A</v>
      </c>
      <c r="AA25" s="6" t="e">
        <f t="shared" si="0"/>
        <v>#N/A</v>
      </c>
      <c r="AB25" s="6" t="e">
        <f t="shared" si="1"/>
        <v>#N/A</v>
      </c>
      <c r="AE25" t="e">
        <f>IF(DataEntry!H18&gt;0,DataEntry!B18,#N/A)</f>
        <v>#N/A</v>
      </c>
      <c r="AF25" s="56" t="e">
        <f>IF(DataEntry!H18&gt;0,DataEntry!F18,#N/A)</f>
        <v>#N/A</v>
      </c>
      <c r="AG25" t="e">
        <f>IF(DataEntry!H18&gt;0,DataEntry!G18,#N/A)</f>
        <v>#N/A</v>
      </c>
      <c r="AH25" t="e">
        <f>IF(DataEntry!H18&gt;0,DataEntry!H18,#N/A)</f>
        <v>#N/A</v>
      </c>
      <c r="AI25" s="6" t="e">
        <f>IF(DataEntry!H18&gt;0,$J$10,#N/A)</f>
        <v>#N/A</v>
      </c>
      <c r="AJ25" s="6" t="e">
        <f t="shared" si="2"/>
        <v>#N/A</v>
      </c>
      <c r="AK25" s="6" t="e">
        <f t="shared" si="3"/>
        <v>#N/A</v>
      </c>
      <c r="AN25">
        <f>IF(DataEntry!E18&gt;0,A25,"")</f>
      </c>
      <c r="AO25" s="6" t="e">
        <f>IF(DataEntry!E18&gt;0,E25,#N/A)</f>
        <v>#N/A</v>
      </c>
      <c r="AP25" s="6" t="e">
        <f>IF(DataEntry!H18&gt;0,K25,#N/A)</f>
        <v>#N/A</v>
      </c>
      <c r="AQ25" t="e">
        <f>IF(DataEntry!H18&gt;0,1,#N/A)</f>
        <v>#N/A</v>
      </c>
      <c r="AS25">
        <f>IF(DataEntry!E18&gt;0,A25,"")</f>
      </c>
      <c r="AT25" s="6" t="e">
        <f>IF(DataEntry!E18&gt;0,F25,#N/A)</f>
        <v>#N/A</v>
      </c>
      <c r="AU25" s="6" t="e">
        <f>IF(DataEntry!H18&gt;0,L25,#N/A)</f>
        <v>#N/A</v>
      </c>
      <c r="AV25" t="e">
        <f>IF(DataEntry!H18&gt;0,3,#N/A)</f>
        <v>#N/A</v>
      </c>
    </row>
    <row r="26" spans="1:48" ht="12.75">
      <c r="A26" s="18">
        <f>YoudenCalculations!I20</f>
      </c>
      <c r="B26" s="56">
        <f>IF(DataEntry!E19&gt;0,DataEntry!C19,"")</f>
      </c>
      <c r="C26" s="66">
        <f>YoudenCalculations!J20</f>
      </c>
      <c r="D26" s="66">
        <f>IF(DataEntry!E19&gt;0,DataEntry!E19,"")</f>
      </c>
      <c r="E26" s="66">
        <f>IF(DataEntry!E19&gt;0,ABS(C26-YoudenCalculations!$J$1)/SQRT(D26^2+$J$6^2),"")</f>
      </c>
      <c r="F26" s="66">
        <f>IF(DataEntry!E19&gt;0,$B$14/D26,"")</f>
      </c>
      <c r="G26">
        <f>IF(DataEntry!E19&gt;0,IF(ABS(C26-YoudenCalculations!$J$1)&gt;$S$2,"yes",""),"")</f>
      </c>
      <c r="H26" s="56">
        <f>IF(DataEntry!H19&gt;0,DataEntry!F19,"")</f>
      </c>
      <c r="I26" s="69">
        <f>YoudenCalculations!K20</f>
      </c>
      <c r="J26" s="69">
        <f>IF(DataEntry!H19&gt;0,DataEntry!H19,"")</f>
      </c>
      <c r="K26" s="69">
        <f>IF(DataEntry!H19&gt;0,ABS(I26-YoudenCalculations!$K$1)/SQRT(J26^2+$J$11^2),"")</f>
      </c>
      <c r="L26" s="69">
        <f>IF(DataEntry!H19&gt;0,$B$14/J26,"")</f>
      </c>
      <c r="M26">
        <f>IF(DataEntry!H19&gt;0,IF(ABS(I26-YoudenCalculations!$K$1)&gt;$T$2,"yes",""),"")</f>
      </c>
      <c r="N26" s="45"/>
      <c r="O26" s="46"/>
      <c r="S26">
        <f>IF(DataEntry!E19&gt;0,IF(G26="yes","",C26),"")</f>
      </c>
      <c r="T26">
        <f>IF(DataEntry!E19&gt;0,IF(M26="yes","",I26),"")</f>
      </c>
      <c r="U26">
        <v>10</v>
      </c>
      <c r="V26" t="e">
        <f>IF(DataEntry!E19&gt;0,DataEntry!B19,#N/A)</f>
        <v>#N/A</v>
      </c>
      <c r="W26" s="56" t="e">
        <f>IF(DataEntry!E19&gt;0,DataEntry!C19,#N/A)</f>
        <v>#N/A</v>
      </c>
      <c r="X26" s="32" t="e">
        <f>IF(DataEntry!E19&gt;0,DataEntry!D19,#N/A)</f>
        <v>#N/A</v>
      </c>
      <c r="Y26" s="32" t="e">
        <f>IF(DataEntry!E19&gt;0,DataEntry!E19,#N/A)</f>
        <v>#N/A</v>
      </c>
      <c r="Z26" s="32" t="e">
        <f>IF(DataEntry!E19&gt;0,$J$5,#N/A)</f>
        <v>#N/A</v>
      </c>
      <c r="AA26" s="6" t="e">
        <f t="shared" si="0"/>
        <v>#N/A</v>
      </c>
      <c r="AB26" s="6" t="e">
        <f t="shared" si="1"/>
        <v>#N/A</v>
      </c>
      <c r="AE26" t="e">
        <f>IF(DataEntry!H19&gt;0,DataEntry!B19,#N/A)</f>
        <v>#N/A</v>
      </c>
      <c r="AF26" s="56" t="e">
        <f>IF(DataEntry!H19&gt;0,DataEntry!F19,#N/A)</f>
        <v>#N/A</v>
      </c>
      <c r="AG26" t="e">
        <f>IF(DataEntry!H19&gt;0,DataEntry!G19,#N/A)</f>
        <v>#N/A</v>
      </c>
      <c r="AH26" t="e">
        <f>IF(DataEntry!H19&gt;0,DataEntry!H19,#N/A)</f>
        <v>#N/A</v>
      </c>
      <c r="AI26" s="6" t="e">
        <f>IF(DataEntry!H19&gt;0,$J$10,#N/A)</f>
        <v>#N/A</v>
      </c>
      <c r="AJ26" s="6" t="e">
        <f t="shared" si="2"/>
        <v>#N/A</v>
      </c>
      <c r="AK26" s="6" t="e">
        <f t="shared" si="3"/>
        <v>#N/A</v>
      </c>
      <c r="AN26">
        <f>IF(DataEntry!E19&gt;0,A26,"")</f>
      </c>
      <c r="AO26" s="6" t="e">
        <f>IF(DataEntry!E19&gt;0,E26,#N/A)</f>
        <v>#N/A</v>
      </c>
      <c r="AP26" s="6" t="e">
        <f>IF(DataEntry!H19&gt;0,K26,#N/A)</f>
        <v>#N/A</v>
      </c>
      <c r="AQ26" t="e">
        <f>IF(DataEntry!H19&gt;0,1,#N/A)</f>
        <v>#N/A</v>
      </c>
      <c r="AS26">
        <f>IF(DataEntry!E19&gt;0,A26,"")</f>
      </c>
      <c r="AT26" s="6" t="e">
        <f>IF(DataEntry!E19&gt;0,F26,#N/A)</f>
        <v>#N/A</v>
      </c>
      <c r="AU26" s="6" t="e">
        <f>IF(DataEntry!H19&gt;0,L26,#N/A)</f>
        <v>#N/A</v>
      </c>
      <c r="AV26" t="e">
        <f>IF(DataEntry!H19&gt;0,3,#N/A)</f>
        <v>#N/A</v>
      </c>
    </row>
    <row r="27" spans="1:48" ht="12.75">
      <c r="A27" s="18">
        <f>YoudenCalculations!I21</f>
      </c>
      <c r="B27" s="56">
        <f>IF(DataEntry!E20&gt;0,DataEntry!C20,"")</f>
      </c>
      <c r="C27" s="66">
        <f>YoudenCalculations!J21</f>
      </c>
      <c r="D27" s="66">
        <f>IF(DataEntry!E20&gt;0,DataEntry!E20,"")</f>
      </c>
      <c r="E27" s="66">
        <f>IF(DataEntry!E20&gt;0,ABS(C27-YoudenCalculations!$J$1)/SQRT(D27^2+$J$6^2),"")</f>
      </c>
      <c r="F27" s="66">
        <f>IF(DataEntry!E20&gt;0,$B$14/D27,"")</f>
      </c>
      <c r="G27">
        <f>IF(DataEntry!E20&gt;0,IF(ABS(C27-YoudenCalculations!$J$1)&gt;$S$2,"yes",""),"")</f>
      </c>
      <c r="H27" s="56">
        <f>IF(DataEntry!H20&gt;0,DataEntry!F20,"")</f>
      </c>
      <c r="I27" s="69">
        <f>YoudenCalculations!K21</f>
      </c>
      <c r="J27" s="69">
        <f>IF(DataEntry!H20&gt;0,DataEntry!H20,"")</f>
      </c>
      <c r="K27" s="69">
        <f>IF(DataEntry!H20&gt;0,ABS(I27-YoudenCalculations!$K$1)/SQRT(J27^2+$J$11^2),"")</f>
      </c>
      <c r="L27" s="69">
        <f>IF(DataEntry!H20&gt;0,$B$14/J27,"")</f>
      </c>
      <c r="M27">
        <f>IF(DataEntry!H20&gt;0,IF(ABS(I27-YoudenCalculations!$K$1)&gt;$T$2,"yes",""),"")</f>
      </c>
      <c r="N27" s="45"/>
      <c r="O27" s="46"/>
      <c r="S27">
        <f>IF(DataEntry!E20&gt;0,IF(G27="yes","",C27),"")</f>
      </c>
      <c r="T27">
        <f>IF(DataEntry!E20&gt;0,IF(M27="yes","",I27),"")</f>
      </c>
      <c r="U27">
        <v>11</v>
      </c>
      <c r="V27" t="e">
        <f>IF(DataEntry!E20&gt;0,DataEntry!B20,#N/A)</f>
        <v>#N/A</v>
      </c>
      <c r="W27" s="56" t="e">
        <f>IF(DataEntry!E20&gt;0,DataEntry!C20,#N/A)</f>
        <v>#N/A</v>
      </c>
      <c r="X27" s="32" t="e">
        <f>IF(DataEntry!E20&gt;0,DataEntry!D20,#N/A)</f>
        <v>#N/A</v>
      </c>
      <c r="Y27" s="32" t="e">
        <f>IF(DataEntry!E20&gt;0,DataEntry!E20,#N/A)</f>
        <v>#N/A</v>
      </c>
      <c r="Z27" s="32" t="e">
        <f>IF(DataEntry!E20&gt;0,$J$5,#N/A)</f>
        <v>#N/A</v>
      </c>
      <c r="AA27" s="6" t="e">
        <f t="shared" si="0"/>
        <v>#N/A</v>
      </c>
      <c r="AB27" s="6" t="e">
        <f t="shared" si="1"/>
        <v>#N/A</v>
      </c>
      <c r="AE27" t="e">
        <f>IF(DataEntry!H20&gt;0,DataEntry!B20,#N/A)</f>
        <v>#N/A</v>
      </c>
      <c r="AF27" s="56" t="e">
        <f>IF(DataEntry!H20&gt;0,DataEntry!F20,#N/A)</f>
        <v>#N/A</v>
      </c>
      <c r="AG27" t="e">
        <f>IF(DataEntry!H20&gt;0,DataEntry!G20,#N/A)</f>
        <v>#N/A</v>
      </c>
      <c r="AH27" t="e">
        <f>IF(DataEntry!H20&gt;0,DataEntry!H20,#N/A)</f>
        <v>#N/A</v>
      </c>
      <c r="AI27" s="6" t="e">
        <f>IF(DataEntry!H20&gt;0,$J$10,#N/A)</f>
        <v>#N/A</v>
      </c>
      <c r="AJ27" s="6" t="e">
        <f t="shared" si="2"/>
        <v>#N/A</v>
      </c>
      <c r="AK27" s="6" t="e">
        <f t="shared" si="3"/>
        <v>#N/A</v>
      </c>
      <c r="AN27">
        <f>IF(DataEntry!E20&gt;0,A27,"")</f>
      </c>
      <c r="AO27" s="6" t="e">
        <f>IF(DataEntry!E20&gt;0,E27,#N/A)</f>
        <v>#N/A</v>
      </c>
      <c r="AP27" s="6" t="e">
        <f>IF(DataEntry!H20&gt;0,K27,#N/A)</f>
        <v>#N/A</v>
      </c>
      <c r="AQ27" t="e">
        <f>IF(DataEntry!H20&gt;0,1,#N/A)</f>
        <v>#N/A</v>
      </c>
      <c r="AS27">
        <f>IF(DataEntry!E20&gt;0,A27,"")</f>
      </c>
      <c r="AT27" s="6" t="e">
        <f>IF(DataEntry!E20&gt;0,F27,#N/A)</f>
        <v>#N/A</v>
      </c>
      <c r="AU27" s="6" t="e">
        <f>IF(DataEntry!H20&gt;0,L27,#N/A)</f>
        <v>#N/A</v>
      </c>
      <c r="AV27" t="e">
        <f>IF(DataEntry!H20&gt;0,3,#N/A)</f>
        <v>#N/A</v>
      </c>
    </row>
    <row r="28" spans="1:48" ht="12.75">
      <c r="A28" s="18">
        <f>YoudenCalculations!I22</f>
      </c>
      <c r="B28" s="56">
        <f>IF(DataEntry!E21&gt;0,DataEntry!C21,"")</f>
      </c>
      <c r="C28" s="66">
        <f>YoudenCalculations!J22</f>
      </c>
      <c r="D28" s="66">
        <f>IF(DataEntry!E21&gt;0,DataEntry!E21,"")</f>
      </c>
      <c r="E28" s="66">
        <f>IF(DataEntry!E21&gt;0,ABS(C28-YoudenCalculations!$J$1)/SQRT(D28^2+$J$6^2),"")</f>
      </c>
      <c r="F28" s="66">
        <f>IF(DataEntry!E21&gt;0,$B$14/D28,"")</f>
      </c>
      <c r="G28">
        <f>IF(DataEntry!E21&gt;0,IF(ABS(C28-YoudenCalculations!$J$1)&gt;$S$2,"yes",""),"")</f>
      </c>
      <c r="H28" s="56">
        <f>IF(DataEntry!H21&gt;0,DataEntry!F21,"")</f>
      </c>
      <c r="I28" s="69">
        <f>YoudenCalculations!K22</f>
      </c>
      <c r="J28" s="69">
        <f>IF(DataEntry!H21&gt;0,DataEntry!H21,"")</f>
      </c>
      <c r="K28" s="69">
        <f>IF(DataEntry!H21&gt;0,ABS(I28-YoudenCalculations!$K$1)/SQRT(J28^2+$J$11^2),"")</f>
      </c>
      <c r="L28" s="69">
        <f>IF(DataEntry!H21&gt;0,$B$14/J28,"")</f>
      </c>
      <c r="M28">
        <f>IF(DataEntry!H21&gt;0,IF(ABS(I28-YoudenCalculations!$K$1)&gt;$T$2,"yes",""),"")</f>
      </c>
      <c r="N28" s="45"/>
      <c r="O28" s="46"/>
      <c r="S28">
        <f>IF(DataEntry!E21&gt;0,IF(G28="yes","",C28),"")</f>
      </c>
      <c r="T28">
        <f>IF(DataEntry!E21&gt;0,IF(M28="yes","",I28),"")</f>
      </c>
      <c r="U28">
        <v>12</v>
      </c>
      <c r="V28" t="e">
        <f>IF(DataEntry!E21&gt;0,DataEntry!B21,#N/A)</f>
        <v>#N/A</v>
      </c>
      <c r="W28" s="56" t="e">
        <f>IF(DataEntry!E21&gt;0,DataEntry!C21,#N/A)</f>
        <v>#N/A</v>
      </c>
      <c r="X28" s="32" t="e">
        <f>IF(DataEntry!E21&gt;0,DataEntry!D21,#N/A)</f>
        <v>#N/A</v>
      </c>
      <c r="Y28" s="32" t="e">
        <f>IF(DataEntry!E21&gt;0,DataEntry!E21,#N/A)</f>
        <v>#N/A</v>
      </c>
      <c r="Z28" s="32" t="e">
        <f>IF(DataEntry!E21&gt;0,$J$5,#N/A)</f>
        <v>#N/A</v>
      </c>
      <c r="AA28" s="6" t="e">
        <f t="shared" si="0"/>
        <v>#N/A</v>
      </c>
      <c r="AB28" s="6" t="e">
        <f t="shared" si="1"/>
        <v>#N/A</v>
      </c>
      <c r="AE28" t="e">
        <f>IF(DataEntry!H21&gt;0,DataEntry!B21,#N/A)</f>
        <v>#N/A</v>
      </c>
      <c r="AF28" s="56" t="e">
        <f>IF(DataEntry!H21&gt;0,DataEntry!F21,#N/A)</f>
        <v>#N/A</v>
      </c>
      <c r="AG28" t="e">
        <f>IF(DataEntry!H21&gt;0,DataEntry!G21,#N/A)</f>
        <v>#N/A</v>
      </c>
      <c r="AH28" t="e">
        <f>IF(DataEntry!H21&gt;0,DataEntry!H21,#N/A)</f>
        <v>#N/A</v>
      </c>
      <c r="AI28" s="6" t="e">
        <f>IF(DataEntry!H21&gt;0,$J$10,#N/A)</f>
        <v>#N/A</v>
      </c>
      <c r="AJ28" s="6" t="e">
        <f t="shared" si="2"/>
        <v>#N/A</v>
      </c>
      <c r="AK28" s="6" t="e">
        <f t="shared" si="3"/>
        <v>#N/A</v>
      </c>
      <c r="AN28">
        <f>IF(DataEntry!E21&gt;0,A28,"")</f>
      </c>
      <c r="AO28" s="6" t="e">
        <f>IF(DataEntry!E21&gt;0,E28,#N/A)</f>
        <v>#N/A</v>
      </c>
      <c r="AP28" s="6" t="e">
        <f>IF(DataEntry!H21&gt;0,K28,#N/A)</f>
        <v>#N/A</v>
      </c>
      <c r="AQ28" t="e">
        <f>IF(DataEntry!H21&gt;0,1,#N/A)</f>
        <v>#N/A</v>
      </c>
      <c r="AS28">
        <f>IF(DataEntry!E21&gt;0,A28,"")</f>
      </c>
      <c r="AT28" s="6" t="e">
        <f>IF(DataEntry!E21&gt;0,F28,#N/A)</f>
        <v>#N/A</v>
      </c>
      <c r="AU28" s="6" t="e">
        <f>IF(DataEntry!H21&gt;0,L28,#N/A)</f>
        <v>#N/A</v>
      </c>
      <c r="AV28" t="e">
        <f>IF(DataEntry!H21&gt;0,3,#N/A)</f>
        <v>#N/A</v>
      </c>
    </row>
    <row r="29" spans="1:48" ht="12.75">
      <c r="A29" s="18">
        <f>YoudenCalculations!I23</f>
      </c>
      <c r="B29" s="56">
        <f>IF(DataEntry!E22&gt;0,DataEntry!C22,"")</f>
      </c>
      <c r="C29" s="66">
        <f>YoudenCalculations!J23</f>
      </c>
      <c r="D29" s="66">
        <f>IF(DataEntry!E22&gt;0,DataEntry!E22,"")</f>
      </c>
      <c r="E29" s="66">
        <f>IF(DataEntry!E22&gt;0,ABS(C29-YoudenCalculations!$J$1)/SQRT(D29^2+$J$6^2),"")</f>
      </c>
      <c r="F29" s="66">
        <f>IF(DataEntry!E22&gt;0,$B$14/D29,"")</f>
      </c>
      <c r="G29">
        <f>IF(DataEntry!E22&gt;0,IF(ABS(C29-YoudenCalculations!$J$1)&gt;$S$2,"yes",""),"")</f>
      </c>
      <c r="H29" s="56">
        <f>IF(DataEntry!H22&gt;0,DataEntry!F22,"")</f>
      </c>
      <c r="I29" s="69">
        <f>YoudenCalculations!K23</f>
      </c>
      <c r="J29" s="69">
        <f>IF(DataEntry!H22&gt;0,DataEntry!H22,"")</f>
      </c>
      <c r="K29" s="69">
        <f>IF(DataEntry!H22&gt;0,ABS(I29-YoudenCalculations!$K$1)/SQRT(J29^2+$J$11^2),"")</f>
      </c>
      <c r="L29" s="69">
        <f>IF(DataEntry!H22&gt;0,$B$14/J29,"")</f>
      </c>
      <c r="M29">
        <f>IF(DataEntry!H22&gt;0,IF(ABS(I29-YoudenCalculations!$K$1)&gt;$T$2,"yes",""),"")</f>
      </c>
      <c r="N29" s="45"/>
      <c r="O29" s="46"/>
      <c r="S29">
        <f>IF(DataEntry!E22&gt;0,IF(G29="yes","",C29),"")</f>
      </c>
      <c r="T29">
        <f>IF(DataEntry!E22&gt;0,IF(M29="yes","",I29),"")</f>
      </c>
      <c r="U29">
        <v>13</v>
      </c>
      <c r="V29" t="e">
        <f>IF(DataEntry!E22&gt;0,DataEntry!B22,#N/A)</f>
        <v>#N/A</v>
      </c>
      <c r="W29" s="56" t="e">
        <f>IF(DataEntry!E22&gt;0,DataEntry!C22,#N/A)</f>
        <v>#N/A</v>
      </c>
      <c r="X29" s="32" t="e">
        <f>IF(DataEntry!E22&gt;0,DataEntry!D22,#N/A)</f>
        <v>#N/A</v>
      </c>
      <c r="Y29" s="32" t="e">
        <f>IF(DataEntry!E22&gt;0,DataEntry!E22,#N/A)</f>
        <v>#N/A</v>
      </c>
      <c r="Z29" s="32" t="e">
        <f>IF(DataEntry!E22&gt;0,$J$5,#N/A)</f>
        <v>#N/A</v>
      </c>
      <c r="AA29" s="6" t="e">
        <f t="shared" si="0"/>
        <v>#N/A</v>
      </c>
      <c r="AB29" s="6" t="e">
        <f t="shared" si="1"/>
        <v>#N/A</v>
      </c>
      <c r="AE29" t="e">
        <f>IF(DataEntry!H22&gt;0,DataEntry!B22,#N/A)</f>
        <v>#N/A</v>
      </c>
      <c r="AF29" s="56" t="e">
        <f>IF(DataEntry!H22&gt;0,DataEntry!F22,#N/A)</f>
        <v>#N/A</v>
      </c>
      <c r="AG29" t="e">
        <f>IF(DataEntry!H22&gt;0,DataEntry!G22,#N/A)</f>
        <v>#N/A</v>
      </c>
      <c r="AH29" t="e">
        <f>IF(DataEntry!H22&gt;0,DataEntry!H22,#N/A)</f>
        <v>#N/A</v>
      </c>
      <c r="AI29" s="6" t="e">
        <f>IF(DataEntry!H22&gt;0,$J$10,#N/A)</f>
        <v>#N/A</v>
      </c>
      <c r="AJ29" s="6" t="e">
        <f t="shared" si="2"/>
        <v>#N/A</v>
      </c>
      <c r="AK29" s="6" t="e">
        <f t="shared" si="3"/>
        <v>#N/A</v>
      </c>
      <c r="AN29">
        <f>IF(DataEntry!E22&gt;0,A29,"")</f>
      </c>
      <c r="AO29" s="6" t="e">
        <f>IF(DataEntry!E22&gt;0,E29,#N/A)</f>
        <v>#N/A</v>
      </c>
      <c r="AP29" s="6" t="e">
        <f>IF(DataEntry!H22&gt;0,K29,#N/A)</f>
        <v>#N/A</v>
      </c>
      <c r="AQ29" t="e">
        <f>IF(DataEntry!H22&gt;0,1,#N/A)</f>
        <v>#N/A</v>
      </c>
      <c r="AS29">
        <f>IF(DataEntry!E22&gt;0,A29,"")</f>
      </c>
      <c r="AT29" s="6" t="e">
        <f>IF(DataEntry!E22&gt;0,F29,#N/A)</f>
        <v>#N/A</v>
      </c>
      <c r="AU29" s="6" t="e">
        <f>IF(DataEntry!H22&gt;0,L29,#N/A)</f>
        <v>#N/A</v>
      </c>
      <c r="AV29" t="e">
        <f>IF(DataEntry!H22&gt;0,3,#N/A)</f>
        <v>#N/A</v>
      </c>
    </row>
    <row r="30" spans="1:48" ht="12.75">
      <c r="A30" s="18">
        <f>YoudenCalculations!I24</f>
      </c>
      <c r="B30" s="56">
        <f>IF(DataEntry!E23&gt;0,DataEntry!C23,"")</f>
      </c>
      <c r="C30" s="66">
        <f>YoudenCalculations!J24</f>
      </c>
      <c r="D30" s="66">
        <f>IF(DataEntry!E23&gt;0,DataEntry!E23,"")</f>
      </c>
      <c r="E30" s="66">
        <f>IF(DataEntry!E23&gt;0,ABS(C30-YoudenCalculations!$J$1)/SQRT(D30^2+$J$6^2),"")</f>
      </c>
      <c r="F30" s="66">
        <f>IF(DataEntry!E23&gt;0,$B$14/D30,"")</f>
      </c>
      <c r="G30">
        <f>IF(DataEntry!E23&gt;0,IF(ABS(C30-YoudenCalculations!$J$1)&gt;$S$2,"yes",""),"")</f>
      </c>
      <c r="H30" s="56">
        <f>IF(DataEntry!H23&gt;0,DataEntry!F23,"")</f>
      </c>
      <c r="I30" s="69">
        <f>YoudenCalculations!K24</f>
      </c>
      <c r="J30" s="69">
        <f>IF(DataEntry!H23&gt;0,DataEntry!H23,"")</f>
      </c>
      <c r="K30" s="69">
        <f>IF(DataEntry!H23&gt;0,ABS(I30-YoudenCalculations!$K$1)/SQRT(J30^2+$J$11^2),"")</f>
      </c>
      <c r="L30" s="69">
        <f>IF(DataEntry!H23&gt;0,$B$14/J30,"")</f>
      </c>
      <c r="M30">
        <f>IF(DataEntry!H23&gt;0,IF(ABS(I30-YoudenCalculations!$K$1)&gt;$T$2,"yes",""),"")</f>
      </c>
      <c r="N30" s="45"/>
      <c r="O30" s="46"/>
      <c r="S30">
        <f>IF(DataEntry!E23&gt;0,IF(G30="yes","",C30),"")</f>
      </c>
      <c r="T30">
        <f>IF(DataEntry!E23&gt;0,IF(M30="yes","",I30),"")</f>
      </c>
      <c r="U30">
        <v>14</v>
      </c>
      <c r="V30" t="e">
        <f>IF(DataEntry!E23&gt;0,DataEntry!B23,#N/A)</f>
        <v>#N/A</v>
      </c>
      <c r="W30" s="56" t="e">
        <f>IF(DataEntry!E23&gt;0,DataEntry!C23,#N/A)</f>
        <v>#N/A</v>
      </c>
      <c r="X30" s="32" t="e">
        <f>IF(DataEntry!E23&gt;0,DataEntry!D23,#N/A)</f>
        <v>#N/A</v>
      </c>
      <c r="Y30" s="32" t="e">
        <f>IF(DataEntry!E23&gt;0,DataEntry!E23,#N/A)</f>
        <v>#N/A</v>
      </c>
      <c r="Z30" s="32" t="e">
        <f>IF(DataEntry!E23&gt;0,$J$5,#N/A)</f>
        <v>#N/A</v>
      </c>
      <c r="AA30" s="6" t="e">
        <f t="shared" si="0"/>
        <v>#N/A</v>
      </c>
      <c r="AB30" s="6" t="e">
        <f t="shared" si="1"/>
        <v>#N/A</v>
      </c>
      <c r="AE30" t="e">
        <f>IF(DataEntry!H23&gt;0,DataEntry!B23,#N/A)</f>
        <v>#N/A</v>
      </c>
      <c r="AF30" s="56" t="e">
        <f>IF(DataEntry!H23&gt;0,DataEntry!F23,#N/A)</f>
        <v>#N/A</v>
      </c>
      <c r="AG30" t="e">
        <f>IF(DataEntry!H23&gt;0,DataEntry!G23,#N/A)</f>
        <v>#N/A</v>
      </c>
      <c r="AH30" t="e">
        <f>IF(DataEntry!H23&gt;0,DataEntry!H23,#N/A)</f>
        <v>#N/A</v>
      </c>
      <c r="AI30" s="6" t="e">
        <f>IF(DataEntry!H23&gt;0,$J$10,#N/A)</f>
        <v>#N/A</v>
      </c>
      <c r="AJ30" s="6" t="e">
        <f t="shared" si="2"/>
        <v>#N/A</v>
      </c>
      <c r="AK30" s="6" t="e">
        <f t="shared" si="3"/>
        <v>#N/A</v>
      </c>
      <c r="AN30">
        <f>IF(DataEntry!E23&gt;0,A30,"")</f>
      </c>
      <c r="AO30" s="6" t="e">
        <f>IF(DataEntry!E23&gt;0,E30,#N/A)</f>
        <v>#N/A</v>
      </c>
      <c r="AP30" s="6" t="e">
        <f>IF(DataEntry!H23&gt;0,K30,#N/A)</f>
        <v>#N/A</v>
      </c>
      <c r="AQ30" t="e">
        <f>IF(DataEntry!H23&gt;0,1,#N/A)</f>
        <v>#N/A</v>
      </c>
      <c r="AS30">
        <f>IF(DataEntry!E23&gt;0,A30,"")</f>
      </c>
      <c r="AT30" s="6" t="e">
        <f>IF(DataEntry!E23&gt;0,F30,#N/A)</f>
        <v>#N/A</v>
      </c>
      <c r="AU30" s="6" t="e">
        <f>IF(DataEntry!H23&gt;0,L30,#N/A)</f>
        <v>#N/A</v>
      </c>
      <c r="AV30" t="e">
        <f>IF(DataEntry!H23&gt;0,3,#N/A)</f>
        <v>#N/A</v>
      </c>
    </row>
    <row r="31" spans="1:48" ht="12.75">
      <c r="A31" s="18">
        <f>YoudenCalculations!I25</f>
      </c>
      <c r="B31" s="56">
        <f>IF(DataEntry!E24&gt;0,DataEntry!C24,"")</f>
      </c>
      <c r="C31" s="66">
        <f>YoudenCalculations!J25</f>
      </c>
      <c r="D31" s="66">
        <f>IF(DataEntry!E24&gt;0,DataEntry!E24,"")</f>
      </c>
      <c r="E31" s="66">
        <f>IF(DataEntry!E24&gt;0,ABS(C31-YoudenCalculations!$J$1)/SQRT(D31^2+$J$6^2),"")</f>
      </c>
      <c r="F31" s="66">
        <f>IF(DataEntry!E24&gt;0,$B$14/D31,"")</f>
      </c>
      <c r="G31">
        <f>IF(DataEntry!E24&gt;0,IF(ABS(C31-YoudenCalculations!$J$1)&gt;$S$2,"yes",""),"")</f>
      </c>
      <c r="H31" s="56">
        <f>IF(DataEntry!H24&gt;0,DataEntry!F24,"")</f>
      </c>
      <c r="I31" s="69">
        <f>YoudenCalculations!K25</f>
      </c>
      <c r="J31" s="69">
        <f>IF(DataEntry!H24&gt;0,DataEntry!H24,"")</f>
      </c>
      <c r="K31" s="69">
        <f>IF(DataEntry!H24&gt;0,ABS(I31-YoudenCalculations!$K$1)/SQRT(J31^2+$J$11^2),"")</f>
      </c>
      <c r="L31" s="69">
        <f>IF(DataEntry!H24&gt;0,$B$14/J31,"")</f>
      </c>
      <c r="M31">
        <f>IF(DataEntry!H24&gt;0,IF(ABS(I31-YoudenCalculations!$K$1)&gt;$T$2,"yes",""),"")</f>
      </c>
      <c r="N31" s="45"/>
      <c r="O31" s="46"/>
      <c r="S31">
        <f>IF(DataEntry!E24&gt;0,IF(G31="yes","",C31),"")</f>
      </c>
      <c r="T31">
        <f>IF(DataEntry!E24&gt;0,IF(M31="yes","",I31),"")</f>
      </c>
      <c r="U31">
        <v>15</v>
      </c>
      <c r="V31" t="e">
        <f>IF(DataEntry!E24&gt;0,DataEntry!B24,#N/A)</f>
        <v>#N/A</v>
      </c>
      <c r="W31" s="56" t="e">
        <f>IF(DataEntry!E24&gt;0,DataEntry!C24,#N/A)</f>
        <v>#N/A</v>
      </c>
      <c r="X31" s="32" t="e">
        <f>IF(DataEntry!E24&gt;0,DataEntry!D24,#N/A)</f>
        <v>#N/A</v>
      </c>
      <c r="Y31" s="32" t="e">
        <f>IF(DataEntry!E24&gt;0,DataEntry!E24,#N/A)</f>
        <v>#N/A</v>
      </c>
      <c r="Z31" s="32" t="e">
        <f>IF(DataEntry!E24&gt;0,$J$5,#N/A)</f>
        <v>#N/A</v>
      </c>
      <c r="AA31" s="6" t="e">
        <f t="shared" si="0"/>
        <v>#N/A</v>
      </c>
      <c r="AB31" s="6" t="e">
        <f t="shared" si="1"/>
        <v>#N/A</v>
      </c>
      <c r="AE31" t="e">
        <f>IF(DataEntry!H24&gt;0,DataEntry!B24,#N/A)</f>
        <v>#N/A</v>
      </c>
      <c r="AF31" s="56" t="e">
        <f>IF(DataEntry!H24&gt;0,DataEntry!F24,#N/A)</f>
        <v>#N/A</v>
      </c>
      <c r="AG31" t="e">
        <f>IF(DataEntry!H24&gt;0,DataEntry!G24,#N/A)</f>
        <v>#N/A</v>
      </c>
      <c r="AH31" t="e">
        <f>IF(DataEntry!H24&gt;0,DataEntry!H24,#N/A)</f>
        <v>#N/A</v>
      </c>
      <c r="AI31" s="6" t="e">
        <f>IF(DataEntry!H24&gt;0,$J$10,#N/A)</f>
        <v>#N/A</v>
      </c>
      <c r="AJ31" s="6" t="e">
        <f t="shared" si="2"/>
        <v>#N/A</v>
      </c>
      <c r="AK31" s="6" t="e">
        <f t="shared" si="3"/>
        <v>#N/A</v>
      </c>
      <c r="AN31">
        <f>IF(DataEntry!E24&gt;0,A31,"")</f>
      </c>
      <c r="AO31" s="6" t="e">
        <f>IF(DataEntry!E24&gt;0,E31,#N/A)</f>
        <v>#N/A</v>
      </c>
      <c r="AP31" s="6" t="e">
        <f>IF(DataEntry!H24&gt;0,K31,#N/A)</f>
        <v>#N/A</v>
      </c>
      <c r="AQ31" t="e">
        <f>IF(DataEntry!H24&gt;0,1,#N/A)</f>
        <v>#N/A</v>
      </c>
      <c r="AS31">
        <f>IF(DataEntry!E24&gt;0,A31,"")</f>
      </c>
      <c r="AT31" s="6" t="e">
        <f>IF(DataEntry!E24&gt;0,F31,#N/A)</f>
        <v>#N/A</v>
      </c>
      <c r="AU31" s="6" t="e">
        <f>IF(DataEntry!H24&gt;0,L31,#N/A)</f>
        <v>#N/A</v>
      </c>
      <c r="AV31" t="e">
        <f>IF(DataEntry!H24&gt;0,3,#N/A)</f>
        <v>#N/A</v>
      </c>
    </row>
    <row r="32" spans="1:48" ht="12.75">
      <c r="A32" s="18">
        <f>YoudenCalculations!I26</f>
      </c>
      <c r="B32" s="56">
        <f>IF(DataEntry!E25&gt;0,DataEntry!C25,"")</f>
      </c>
      <c r="C32" s="44">
        <f>YoudenCalculations!J26</f>
      </c>
      <c r="D32" s="44">
        <f>IF(DataEntry!E25&gt;0,DataEntry!E25,"")</f>
      </c>
      <c r="E32" s="44">
        <f>IF(DataEntry!E25&gt;0,ABS(C32-YoudenCalculations!$J$1)/SQRT(D32^2+$J$6^2),"")</f>
      </c>
      <c r="F32" s="44">
        <f>IF(DataEntry!E25&gt;0,$B$14/D32,"")</f>
      </c>
      <c r="G32">
        <f>IF(DataEntry!E25&gt;0,IF(ABS(C32-$B$4)&gt;$S$2,"yes",""),"")</f>
      </c>
      <c r="H32" s="56">
        <f>IF(DataEntry!H25&gt;0,DataEntry!F25,"")</f>
      </c>
      <c r="I32" s="45">
        <f>YoudenCalculations!K26</f>
      </c>
      <c r="J32" s="45">
        <f>IF(DataEntry!H25&gt;0,DataEntry!H25,"")</f>
      </c>
      <c r="K32" s="45">
        <f>IF(DataEntry!H25&gt;0,ABS(I32-YoudenCalculations!$K$1)/SQRT(J32^2+$J$11^2),"")</f>
      </c>
      <c r="L32" s="45">
        <f>IF(DataEntry!H25&gt;0,$B$14/J32,"")</f>
      </c>
      <c r="M32">
        <f>IF(DataEntry!H25&gt;0,IF(ABS(I32-$D$4)&gt;$T$2,"yes",""),"")</f>
      </c>
      <c r="S32">
        <f>IF(DataEntry!E25&gt;0,IF(G32="yes","",C32),"")</f>
      </c>
      <c r="T32">
        <f>IF(DataEntry!E25&gt;0,IF(M32="yes","",I32),"")</f>
      </c>
      <c r="U32">
        <v>16</v>
      </c>
      <c r="V32" t="e">
        <f>IF(DataEntry!E25&gt;0,DataEntry!B25,#N/A)</f>
        <v>#N/A</v>
      </c>
      <c r="W32" s="56" t="e">
        <f>IF(DataEntry!E25&gt;0,DataEntry!C25,#N/A)</f>
        <v>#N/A</v>
      </c>
      <c r="X32" s="32" t="e">
        <f>IF(DataEntry!E25&gt;0,DataEntry!D25,#N/A)</f>
        <v>#N/A</v>
      </c>
      <c r="Y32" s="32" t="e">
        <f>IF(DataEntry!E25&gt;0,DataEntry!E25,#N/A)</f>
        <v>#N/A</v>
      </c>
      <c r="Z32" s="32" t="e">
        <f>IF(DataEntry!E25&gt;0,$J$5,#N/A)</f>
        <v>#N/A</v>
      </c>
      <c r="AA32" s="6" t="e">
        <f t="shared" si="0"/>
        <v>#N/A</v>
      </c>
      <c r="AB32" s="6" t="e">
        <f t="shared" si="1"/>
        <v>#N/A</v>
      </c>
      <c r="AE32" t="e">
        <f>IF(DataEntry!H25&gt;0,DataEntry!B25,#N/A)</f>
        <v>#N/A</v>
      </c>
      <c r="AF32" s="56" t="e">
        <f>IF(DataEntry!H25&gt;0,DataEntry!F25,#N/A)</f>
        <v>#N/A</v>
      </c>
      <c r="AG32" t="e">
        <f>IF(DataEntry!H25&gt;0,DataEntry!G25,#N/A)</f>
        <v>#N/A</v>
      </c>
      <c r="AH32" t="e">
        <f>IF(DataEntry!H25&gt;0,DataEntry!H25,#N/A)</f>
        <v>#N/A</v>
      </c>
      <c r="AI32" s="6" t="e">
        <f>IF(DataEntry!H25&gt;0,$J$10,#N/A)</f>
        <v>#N/A</v>
      </c>
      <c r="AJ32" s="6" t="e">
        <f t="shared" si="2"/>
        <v>#N/A</v>
      </c>
      <c r="AK32" s="6" t="e">
        <f t="shared" si="3"/>
        <v>#N/A</v>
      </c>
      <c r="AN32">
        <f>IF(DataEntry!E25&gt;0,A32,"")</f>
      </c>
      <c r="AO32" s="6" t="e">
        <f>IF(DataEntry!E25&gt;0,E32,#N/A)</f>
        <v>#N/A</v>
      </c>
      <c r="AP32" s="6" t="e">
        <f>IF(DataEntry!H25&gt;0,K32,#N/A)</f>
        <v>#N/A</v>
      </c>
      <c r="AQ32" t="e">
        <f>IF(DataEntry!H25&gt;0,1,#N/A)</f>
        <v>#N/A</v>
      </c>
      <c r="AS32">
        <f>IF(DataEntry!E25&gt;0,A32,"")</f>
      </c>
      <c r="AT32" s="6" t="e">
        <f>IF(DataEntry!E25&gt;0,F32,#N/A)</f>
        <v>#N/A</v>
      </c>
      <c r="AU32" s="6" t="e">
        <f>IF(DataEntry!H25&gt;0,L32,#N/A)</f>
        <v>#N/A</v>
      </c>
      <c r="AV32" t="e">
        <f>IF(DataEntry!H25&gt;0,3,#N/A)</f>
        <v>#N/A</v>
      </c>
    </row>
    <row r="33" spans="1:48" ht="12.75">
      <c r="A33" s="18">
        <f>YoudenCalculations!I27</f>
      </c>
      <c r="B33" s="56">
        <f>IF(DataEntry!E26&gt;0,DataEntry!C26,"")</f>
      </c>
      <c r="C33" s="44">
        <f>YoudenCalculations!J27</f>
      </c>
      <c r="D33" s="44">
        <f>IF(DataEntry!E26&gt;0,DataEntry!E26,"")</f>
      </c>
      <c r="E33" s="44">
        <f>IF(DataEntry!E26&gt;0,ABS(C33-YoudenCalculations!$J$1)/SQRT(D33^2+$J$6^2),"")</f>
      </c>
      <c r="F33" s="44">
        <f>IF(DataEntry!E26&gt;0,$B$14/D33,"")</f>
      </c>
      <c r="G33">
        <f>IF(DataEntry!E26&gt;0,IF(ABS(C33-$B$4)&gt;$S$2,"yes",""),"")</f>
      </c>
      <c r="H33" s="56">
        <f>IF(DataEntry!H26&gt;0,DataEntry!F26,"")</f>
      </c>
      <c r="I33" s="45">
        <f>YoudenCalculations!K27</f>
      </c>
      <c r="J33" s="45">
        <f>IF(DataEntry!H26&gt;0,DataEntry!H26,"")</f>
      </c>
      <c r="K33" s="45">
        <f>IF(DataEntry!H26&gt;0,ABS(I33-YoudenCalculations!$K$1)/SQRT(J33^2+$J$11^2),"")</f>
      </c>
      <c r="L33" s="45">
        <f>IF(DataEntry!H26&gt;0,$B$14/J33,"")</f>
      </c>
      <c r="M33">
        <f>IF(DataEntry!H26&gt;0,IF(ABS(I33-$D$4)&gt;$T$2,"yes",""),"")</f>
      </c>
      <c r="S33">
        <f>IF(DataEntry!E26&gt;0,IF(G33="yes","",C33),"")</f>
      </c>
      <c r="T33">
        <f>IF(DataEntry!E26&gt;0,IF(M33="yes","",I33),"")</f>
      </c>
      <c r="U33">
        <v>17</v>
      </c>
      <c r="V33" t="e">
        <f>IF(DataEntry!E26&gt;0,DataEntry!B26,#N/A)</f>
        <v>#N/A</v>
      </c>
      <c r="W33" s="56" t="e">
        <f>IF(DataEntry!E26&gt;0,DataEntry!C26,#N/A)</f>
        <v>#N/A</v>
      </c>
      <c r="X33" s="32" t="e">
        <f>IF(DataEntry!E26&gt;0,DataEntry!D26,#N/A)</f>
        <v>#N/A</v>
      </c>
      <c r="Y33" s="32" t="e">
        <f>IF(DataEntry!E26&gt;0,DataEntry!E26,#N/A)</f>
        <v>#N/A</v>
      </c>
      <c r="Z33" s="32" t="e">
        <f>IF(DataEntry!E26&gt;0,$J$5,#N/A)</f>
        <v>#N/A</v>
      </c>
      <c r="AA33" s="6" t="e">
        <f t="shared" si="0"/>
        <v>#N/A</v>
      </c>
      <c r="AB33" s="6" t="e">
        <f t="shared" si="1"/>
        <v>#N/A</v>
      </c>
      <c r="AE33" t="e">
        <f>IF(DataEntry!H26&gt;0,DataEntry!B26,#N/A)</f>
        <v>#N/A</v>
      </c>
      <c r="AF33" s="56" t="e">
        <f>IF(DataEntry!H26&gt;0,DataEntry!F26,#N/A)</f>
        <v>#N/A</v>
      </c>
      <c r="AG33" t="e">
        <f>IF(DataEntry!H26&gt;0,DataEntry!G26,#N/A)</f>
        <v>#N/A</v>
      </c>
      <c r="AH33" t="e">
        <f>IF(DataEntry!H26&gt;0,DataEntry!H26,#N/A)</f>
        <v>#N/A</v>
      </c>
      <c r="AI33" s="6" t="e">
        <f>IF(DataEntry!H26&gt;0,$J$10,#N/A)</f>
        <v>#N/A</v>
      </c>
      <c r="AJ33" s="6" t="e">
        <f t="shared" si="2"/>
        <v>#N/A</v>
      </c>
      <c r="AK33" s="6" t="e">
        <f t="shared" si="3"/>
        <v>#N/A</v>
      </c>
      <c r="AN33">
        <f>IF(DataEntry!E26&gt;0,A33,"")</f>
      </c>
      <c r="AO33" s="6" t="e">
        <f>IF(DataEntry!E26&gt;0,E33,#N/A)</f>
        <v>#N/A</v>
      </c>
      <c r="AP33" s="6" t="e">
        <f>IF(DataEntry!H26&gt;0,K33,#N/A)</f>
        <v>#N/A</v>
      </c>
      <c r="AQ33" t="e">
        <f>IF(DataEntry!H26&gt;0,1,#N/A)</f>
        <v>#N/A</v>
      </c>
      <c r="AS33">
        <f>IF(DataEntry!E26&gt;0,A33,"")</f>
      </c>
      <c r="AT33" s="6" t="e">
        <f>IF(DataEntry!E26&gt;0,F33,#N/A)</f>
        <v>#N/A</v>
      </c>
      <c r="AU33" s="6" t="e">
        <f>IF(DataEntry!H26&gt;0,L33,#N/A)</f>
        <v>#N/A</v>
      </c>
      <c r="AV33" t="e">
        <f>IF(DataEntry!H26&gt;0,3,#N/A)</f>
        <v>#N/A</v>
      </c>
    </row>
    <row r="34" spans="1:48" ht="12.75">
      <c r="A34" s="18">
        <f>YoudenCalculations!I28</f>
      </c>
      <c r="B34" s="56">
        <f>IF(DataEntry!E27&gt;0,DataEntry!C27,"")</f>
      </c>
      <c r="C34" s="44">
        <f>YoudenCalculations!J28</f>
      </c>
      <c r="D34" s="44">
        <f>IF(DataEntry!E27&gt;0,DataEntry!E27,"")</f>
      </c>
      <c r="E34" s="44">
        <f>IF(DataEntry!E27&gt;0,ABS(C34-YoudenCalculations!$J$1)/SQRT(D34^2+$J$6^2),"")</f>
      </c>
      <c r="F34" s="44">
        <f>IF(DataEntry!E27&gt;0,$B$14/D34,"")</f>
      </c>
      <c r="G34">
        <f>IF(DataEntry!E27&gt;0,IF(ABS(C34-$B$4)&gt;$S$2,"yes",""),"")</f>
      </c>
      <c r="H34" s="56">
        <f>IF(DataEntry!H27&gt;0,DataEntry!F27,"")</f>
      </c>
      <c r="I34" s="45">
        <f>YoudenCalculations!K28</f>
      </c>
      <c r="J34" s="45">
        <f>IF(DataEntry!H27&gt;0,DataEntry!H27,"")</f>
      </c>
      <c r="K34" s="45">
        <f>IF(DataEntry!H27&gt;0,ABS(I34-YoudenCalculations!$K$1)/SQRT(J34^2+$J$11^2),"")</f>
      </c>
      <c r="L34" s="45">
        <f>IF(DataEntry!H27&gt;0,$B$14/J34,"")</f>
      </c>
      <c r="M34">
        <f>IF(DataEntry!H27&gt;0,IF(ABS(I34-$D$4)&gt;$T$2,"yes",""),"")</f>
      </c>
      <c r="S34">
        <f>IF(DataEntry!E27&gt;0,IF(G34="yes","",C34),"")</f>
      </c>
      <c r="T34">
        <f>IF(DataEntry!E27&gt;0,IF(M34="yes","",I34),"")</f>
      </c>
      <c r="U34">
        <v>18</v>
      </c>
      <c r="V34" t="e">
        <f>IF(DataEntry!E27&gt;0,DataEntry!B27,#N/A)</f>
        <v>#N/A</v>
      </c>
      <c r="W34" s="56" t="e">
        <f>IF(DataEntry!E27&gt;0,DataEntry!C27,#N/A)</f>
        <v>#N/A</v>
      </c>
      <c r="X34" s="32" t="e">
        <f>IF(DataEntry!E27&gt;0,DataEntry!D27,#N/A)</f>
        <v>#N/A</v>
      </c>
      <c r="Y34" s="32" t="e">
        <f>IF(DataEntry!E27&gt;0,DataEntry!E27,#N/A)</f>
        <v>#N/A</v>
      </c>
      <c r="Z34" s="32" t="e">
        <f>IF(DataEntry!E27&gt;0,$J$5,#N/A)</f>
        <v>#N/A</v>
      </c>
      <c r="AA34" s="6" t="e">
        <f t="shared" si="0"/>
        <v>#N/A</v>
      </c>
      <c r="AB34" s="6" t="e">
        <f t="shared" si="1"/>
        <v>#N/A</v>
      </c>
      <c r="AE34" t="e">
        <f>IF(DataEntry!H27&gt;0,DataEntry!B27,#N/A)</f>
        <v>#N/A</v>
      </c>
      <c r="AF34" s="56" t="e">
        <f>IF(DataEntry!H27&gt;0,DataEntry!F27,#N/A)</f>
        <v>#N/A</v>
      </c>
      <c r="AG34" t="e">
        <f>IF(DataEntry!H27&gt;0,DataEntry!G27,#N/A)</f>
        <v>#N/A</v>
      </c>
      <c r="AH34" t="e">
        <f>IF(DataEntry!H27&gt;0,DataEntry!H27,#N/A)</f>
        <v>#N/A</v>
      </c>
      <c r="AI34" s="6" t="e">
        <f>IF(DataEntry!H27&gt;0,$J$10,#N/A)</f>
        <v>#N/A</v>
      </c>
      <c r="AJ34" s="6" t="e">
        <f t="shared" si="2"/>
        <v>#N/A</v>
      </c>
      <c r="AK34" s="6" t="e">
        <f t="shared" si="3"/>
        <v>#N/A</v>
      </c>
      <c r="AN34">
        <f>IF(DataEntry!E27&gt;0,A34,"")</f>
      </c>
      <c r="AO34" s="6" t="e">
        <f>IF(DataEntry!E27&gt;0,E34,#N/A)</f>
        <v>#N/A</v>
      </c>
      <c r="AP34" s="6" t="e">
        <f>IF(DataEntry!H27&gt;0,K34,#N/A)</f>
        <v>#N/A</v>
      </c>
      <c r="AQ34" t="e">
        <f>IF(DataEntry!H27&gt;0,1,#N/A)</f>
        <v>#N/A</v>
      </c>
      <c r="AS34">
        <f>IF(DataEntry!E27&gt;0,A34,"")</f>
      </c>
      <c r="AT34" s="6" t="e">
        <f>IF(DataEntry!E27&gt;0,F34,#N/A)</f>
        <v>#N/A</v>
      </c>
      <c r="AU34" s="6" t="e">
        <f>IF(DataEntry!H27&gt;0,L34,#N/A)</f>
        <v>#N/A</v>
      </c>
      <c r="AV34" t="e">
        <f>IF(DataEntry!H27&gt;0,3,#N/A)</f>
        <v>#N/A</v>
      </c>
    </row>
    <row r="35" spans="1:48" ht="12.75">
      <c r="A35" s="18">
        <f>YoudenCalculations!I29</f>
      </c>
      <c r="B35" s="56">
        <f>IF(DataEntry!E28&gt;0,DataEntry!C28,"")</f>
      </c>
      <c r="C35" s="44">
        <f>YoudenCalculations!J29</f>
      </c>
      <c r="D35" s="44">
        <f>IF(DataEntry!E28&gt;0,DataEntry!E28,"")</f>
      </c>
      <c r="E35" s="44">
        <f>IF(DataEntry!E28&gt;0,ABS(C35-YoudenCalculations!$J$1)/SQRT(D35^2+$J$6^2),"")</f>
      </c>
      <c r="F35" s="44">
        <f>IF(DataEntry!E28&gt;0,$B$14/D35,"")</f>
      </c>
      <c r="G35">
        <f>IF(DataEntry!E28&gt;0,IF(ABS(C35-$B$4)&gt;$S$2,"yes",""),"")</f>
      </c>
      <c r="H35" s="56">
        <f>IF(DataEntry!H28&gt;0,DataEntry!F28,"")</f>
      </c>
      <c r="I35" s="45">
        <f>YoudenCalculations!K29</f>
      </c>
      <c r="J35" s="45">
        <f>IF(DataEntry!H28&gt;0,DataEntry!H28,"")</f>
      </c>
      <c r="K35" s="45">
        <f>IF(DataEntry!H28&gt;0,ABS(I35-YoudenCalculations!$K$1)/SQRT(J35^2+$J$11^2),"")</f>
      </c>
      <c r="L35" s="45">
        <f>IF(DataEntry!H28&gt;0,$B$14/J35,"")</f>
      </c>
      <c r="M35">
        <f>IF(DataEntry!H28&gt;0,IF(ABS(I35-$D$4)&gt;$T$2,"yes",""),"")</f>
      </c>
      <c r="S35">
        <f>IF(DataEntry!E28&gt;0,IF(G35="yes","",C35),"")</f>
      </c>
      <c r="T35">
        <f>IF(DataEntry!E28&gt;0,IF(M35="yes","",I35),"")</f>
      </c>
      <c r="U35">
        <v>19</v>
      </c>
      <c r="V35" t="e">
        <f>IF(DataEntry!E28&gt;0,DataEntry!B28,#N/A)</f>
        <v>#N/A</v>
      </c>
      <c r="W35" s="56" t="e">
        <f>IF(DataEntry!E28&gt;0,DataEntry!C28,#N/A)</f>
        <v>#N/A</v>
      </c>
      <c r="X35" s="32" t="e">
        <f>IF(DataEntry!E28&gt;0,DataEntry!D28,#N/A)</f>
        <v>#N/A</v>
      </c>
      <c r="Y35" s="32" t="e">
        <f>IF(DataEntry!E28&gt;0,DataEntry!E28,#N/A)</f>
        <v>#N/A</v>
      </c>
      <c r="Z35" s="32" t="e">
        <f>IF(DataEntry!E28&gt;0,$J$5,#N/A)</f>
        <v>#N/A</v>
      </c>
      <c r="AA35" s="6" t="e">
        <f t="shared" si="0"/>
        <v>#N/A</v>
      </c>
      <c r="AB35" s="6" t="e">
        <f t="shared" si="1"/>
        <v>#N/A</v>
      </c>
      <c r="AE35" t="e">
        <f>IF(DataEntry!H28&gt;0,DataEntry!B28,#N/A)</f>
        <v>#N/A</v>
      </c>
      <c r="AF35" s="56" t="e">
        <f>IF(DataEntry!H28&gt;0,DataEntry!F28,#N/A)</f>
        <v>#N/A</v>
      </c>
      <c r="AG35" t="e">
        <f>IF(DataEntry!H28&gt;0,DataEntry!G28,#N/A)</f>
        <v>#N/A</v>
      </c>
      <c r="AH35" t="e">
        <f>IF(DataEntry!H28&gt;0,DataEntry!H28,#N/A)</f>
        <v>#N/A</v>
      </c>
      <c r="AI35" s="6" t="e">
        <f>IF(DataEntry!H28&gt;0,$J$10,#N/A)</f>
        <v>#N/A</v>
      </c>
      <c r="AJ35" s="6" t="e">
        <f t="shared" si="2"/>
        <v>#N/A</v>
      </c>
      <c r="AK35" s="6" t="e">
        <f t="shared" si="3"/>
        <v>#N/A</v>
      </c>
      <c r="AN35">
        <f>IF(DataEntry!E28&gt;0,A35,"")</f>
      </c>
      <c r="AO35" s="6" t="e">
        <f>IF(DataEntry!E28&gt;0,E35,#N/A)</f>
        <v>#N/A</v>
      </c>
      <c r="AP35" s="6" t="e">
        <f>IF(DataEntry!H28&gt;0,K35,#N/A)</f>
        <v>#N/A</v>
      </c>
      <c r="AQ35" t="e">
        <f>IF(DataEntry!H28&gt;0,1,#N/A)</f>
        <v>#N/A</v>
      </c>
      <c r="AS35">
        <f>IF(DataEntry!E28&gt;0,A35,"")</f>
      </c>
      <c r="AT35" s="6" t="e">
        <f>IF(DataEntry!E28&gt;0,F35,#N/A)</f>
        <v>#N/A</v>
      </c>
      <c r="AU35" s="6" t="e">
        <f>IF(DataEntry!H28&gt;0,L35,#N/A)</f>
        <v>#N/A</v>
      </c>
      <c r="AV35" t="e">
        <f>IF(DataEntry!H28&gt;0,3,#N/A)</f>
        <v>#N/A</v>
      </c>
    </row>
    <row r="36" spans="1:48" ht="12.75">
      <c r="A36" s="18">
        <f>YoudenCalculations!I30</f>
      </c>
      <c r="B36" s="56">
        <f>IF(DataEntry!E29&gt;0,DataEntry!C29,"")</f>
      </c>
      <c r="C36" s="44">
        <f>YoudenCalculations!J30</f>
      </c>
      <c r="D36" s="44">
        <f>IF(DataEntry!E29&gt;0,DataEntry!E29,"")</f>
      </c>
      <c r="E36" s="44">
        <f>IF(DataEntry!E29&gt;0,ABS(C36-YoudenCalculations!$J$1)/SQRT(D36^2+$J$6^2),"")</f>
      </c>
      <c r="F36" s="44">
        <f>IF(DataEntry!E29&gt;0,$B$14/D36,"")</f>
      </c>
      <c r="G36">
        <f>IF(DataEntry!E29&gt;0,IF(ABS(C36-$B$4)&gt;$S$2,"yes",""),"")</f>
      </c>
      <c r="H36" s="56">
        <f>IF(DataEntry!H29&gt;0,DataEntry!F29,"")</f>
      </c>
      <c r="I36" s="45">
        <f>YoudenCalculations!K30</f>
      </c>
      <c r="J36" s="45">
        <f>IF(DataEntry!H29&gt;0,DataEntry!H29,"")</f>
      </c>
      <c r="K36" s="45">
        <f>IF(DataEntry!H29&gt;0,ABS(I36-YoudenCalculations!$K$1)/SQRT(J36^2+$J$11^2),"")</f>
      </c>
      <c r="L36" s="45">
        <f>IF(DataEntry!H29&gt;0,$B$14/J36,"")</f>
      </c>
      <c r="M36">
        <f>IF(DataEntry!H29&gt;0,IF(ABS(I36-$D$4)&gt;$T$2,"yes",""),"")</f>
      </c>
      <c r="S36">
        <f>IF(DataEntry!E29&gt;0,IF(G36="yes","",C36),"")</f>
      </c>
      <c r="T36">
        <f>IF(DataEntry!E29&gt;0,IF(M36="yes","",I36),"")</f>
      </c>
      <c r="U36">
        <v>20</v>
      </c>
      <c r="V36" t="e">
        <f>IF(DataEntry!E29&gt;0,DataEntry!B29,#N/A)</f>
        <v>#N/A</v>
      </c>
      <c r="W36" s="56" t="e">
        <f>IF(DataEntry!E29&gt;0,DataEntry!C29,#N/A)</f>
        <v>#N/A</v>
      </c>
      <c r="X36" s="32" t="e">
        <f>IF(DataEntry!E29&gt;0,DataEntry!D29,#N/A)</f>
        <v>#N/A</v>
      </c>
      <c r="Y36" s="32" t="e">
        <f>IF(DataEntry!E29&gt;0,DataEntry!E29,#N/A)</f>
        <v>#N/A</v>
      </c>
      <c r="Z36" s="32" t="e">
        <f>IF(DataEntry!E29&gt;0,$J$5,#N/A)</f>
        <v>#N/A</v>
      </c>
      <c r="AA36" s="6" t="e">
        <f t="shared" si="0"/>
        <v>#N/A</v>
      </c>
      <c r="AB36" s="6" t="e">
        <f t="shared" si="1"/>
        <v>#N/A</v>
      </c>
      <c r="AE36" t="e">
        <f>IF(DataEntry!H29&gt;0,DataEntry!B29,#N/A)</f>
        <v>#N/A</v>
      </c>
      <c r="AF36" s="56" t="e">
        <f>IF(DataEntry!H29&gt;0,DataEntry!F29,#N/A)</f>
        <v>#N/A</v>
      </c>
      <c r="AG36" t="e">
        <f>IF(DataEntry!H29&gt;0,DataEntry!G29,#N/A)</f>
        <v>#N/A</v>
      </c>
      <c r="AH36" t="e">
        <f>IF(DataEntry!H29&gt;0,DataEntry!H29,#N/A)</f>
        <v>#N/A</v>
      </c>
      <c r="AI36" s="6" t="e">
        <f>IF(DataEntry!H29&gt;0,$J$10,#N/A)</f>
        <v>#N/A</v>
      </c>
      <c r="AJ36" s="6" t="e">
        <f t="shared" si="2"/>
        <v>#N/A</v>
      </c>
      <c r="AK36" s="6" t="e">
        <f t="shared" si="3"/>
        <v>#N/A</v>
      </c>
      <c r="AN36">
        <f>IF(DataEntry!E29&gt;0,A36,"")</f>
      </c>
      <c r="AO36" s="6" t="e">
        <f>IF(DataEntry!E29&gt;0,E36,#N/A)</f>
        <v>#N/A</v>
      </c>
      <c r="AP36" s="6" t="e">
        <f>IF(DataEntry!H29&gt;0,K36,#N/A)</f>
        <v>#N/A</v>
      </c>
      <c r="AQ36" t="e">
        <f>IF(DataEntry!H29&gt;0,1,#N/A)</f>
        <v>#N/A</v>
      </c>
      <c r="AS36">
        <f>IF(DataEntry!E29&gt;0,A36,"")</f>
      </c>
      <c r="AT36" s="6" t="e">
        <f>IF(DataEntry!E29&gt;0,F36,#N/A)</f>
        <v>#N/A</v>
      </c>
      <c r="AU36" s="6" t="e">
        <f>IF(DataEntry!H29&gt;0,L36,#N/A)</f>
        <v>#N/A</v>
      </c>
      <c r="AV36" t="e">
        <f>IF(DataEntry!H29&gt;0,3,#N/A)</f>
        <v>#N/A</v>
      </c>
    </row>
    <row r="37" spans="1:48" ht="12.75">
      <c r="A37" s="18">
        <f>YoudenCalculations!I31</f>
      </c>
      <c r="B37" s="56">
        <f>IF(DataEntry!E30&gt;0,DataEntry!C30,"")</f>
      </c>
      <c r="C37" s="44">
        <f>YoudenCalculations!J31</f>
      </c>
      <c r="D37" s="44">
        <f>IF(DataEntry!E30&gt;0,DataEntry!E30,"")</f>
      </c>
      <c r="E37" s="44">
        <f>IF(DataEntry!E30&gt;0,ABS(C37-YoudenCalculations!$J$1)/SQRT(D37^2+$J$6^2),"")</f>
      </c>
      <c r="F37" s="44">
        <f>IF(DataEntry!E30&gt;0,$B$14/D37,"")</f>
      </c>
      <c r="G37">
        <f>IF(DataEntry!E30&gt;0,IF(ABS(C37-$B$4)&gt;$S$2,"yes",""),"")</f>
      </c>
      <c r="H37" s="56">
        <f>IF(DataEntry!H30&gt;0,DataEntry!F30,"")</f>
      </c>
      <c r="I37" s="45">
        <f>YoudenCalculations!K31</f>
      </c>
      <c r="J37" s="45">
        <f>IF(DataEntry!H30&gt;0,DataEntry!H30,"")</f>
      </c>
      <c r="K37" s="45">
        <f>IF(DataEntry!H30&gt;0,ABS(I37-YoudenCalculations!$K$1)/SQRT(J37^2+$J$11^2),"")</f>
      </c>
      <c r="L37" s="45">
        <f>IF(DataEntry!H30&gt;0,$B$14/J37,"")</f>
      </c>
      <c r="M37">
        <f>IF(DataEntry!H30&gt;0,IF(ABS(I37-$D$4)&gt;$T$2,"yes",""),"")</f>
      </c>
      <c r="S37">
        <f>IF(DataEntry!E30&gt;0,IF(G37="yes","",C37),"")</f>
      </c>
      <c r="T37">
        <f>IF(DataEntry!E30&gt;0,IF(M37="yes","",I37),"")</f>
      </c>
      <c r="U37">
        <v>21</v>
      </c>
      <c r="V37" t="e">
        <f>IF(DataEntry!E30&gt;0,DataEntry!B30,#N/A)</f>
        <v>#N/A</v>
      </c>
      <c r="W37" s="56" t="e">
        <f>IF(DataEntry!E30&gt;0,DataEntry!C30,#N/A)</f>
        <v>#N/A</v>
      </c>
      <c r="X37" s="32" t="e">
        <f>IF(DataEntry!E30&gt;0,DataEntry!D30,#N/A)</f>
        <v>#N/A</v>
      </c>
      <c r="Y37" s="32" t="e">
        <f>IF(DataEntry!E30&gt;0,DataEntry!E30,#N/A)</f>
        <v>#N/A</v>
      </c>
      <c r="Z37" s="32" t="e">
        <f>IF(DataEntry!E30&gt;0,$J$5,#N/A)</f>
        <v>#N/A</v>
      </c>
      <c r="AA37" s="6" t="e">
        <f t="shared" si="0"/>
        <v>#N/A</v>
      </c>
      <c r="AB37" s="6" t="e">
        <f t="shared" si="1"/>
        <v>#N/A</v>
      </c>
      <c r="AE37" t="e">
        <f>IF(DataEntry!H30&gt;0,DataEntry!B30,#N/A)</f>
        <v>#N/A</v>
      </c>
      <c r="AF37" s="56" t="e">
        <f>IF(DataEntry!H30&gt;0,DataEntry!F30,#N/A)</f>
        <v>#N/A</v>
      </c>
      <c r="AG37" t="e">
        <f>IF(DataEntry!H30&gt;0,DataEntry!G30,#N/A)</f>
        <v>#N/A</v>
      </c>
      <c r="AH37" t="e">
        <f>IF(DataEntry!H30&gt;0,DataEntry!H30,#N/A)</f>
        <v>#N/A</v>
      </c>
      <c r="AI37" s="6" t="e">
        <f>IF(DataEntry!H30&gt;0,$J$10,#N/A)</f>
        <v>#N/A</v>
      </c>
      <c r="AJ37" s="6" t="e">
        <f t="shared" si="2"/>
        <v>#N/A</v>
      </c>
      <c r="AK37" s="6" t="e">
        <f t="shared" si="3"/>
        <v>#N/A</v>
      </c>
      <c r="AN37">
        <f>IF(DataEntry!E30&gt;0,A37,"")</f>
      </c>
      <c r="AO37" s="6" t="e">
        <f>IF(DataEntry!E30&gt;0,E37,#N/A)</f>
        <v>#N/A</v>
      </c>
      <c r="AP37" s="6" t="e">
        <f>IF(DataEntry!H30&gt;0,K37,#N/A)</f>
        <v>#N/A</v>
      </c>
      <c r="AQ37" t="e">
        <f>IF(DataEntry!H30&gt;0,1,#N/A)</f>
        <v>#N/A</v>
      </c>
      <c r="AS37">
        <f>IF(DataEntry!E30&gt;0,A37,"")</f>
      </c>
      <c r="AT37" s="6" t="e">
        <f>IF(DataEntry!E30&gt;0,F37,#N/A)</f>
        <v>#N/A</v>
      </c>
      <c r="AU37" s="6" t="e">
        <f>IF(DataEntry!H30&gt;0,L37,#N/A)</f>
        <v>#N/A</v>
      </c>
      <c r="AV37" t="e">
        <f>IF(DataEntry!H30&gt;0,3,#N/A)</f>
        <v>#N/A</v>
      </c>
    </row>
    <row r="38" spans="1:48" ht="12.75">
      <c r="A38" s="18">
        <f>YoudenCalculations!I32</f>
      </c>
      <c r="B38" s="56">
        <f>IF(DataEntry!E31&gt;0,DataEntry!C31,"")</f>
      </c>
      <c r="C38" s="44">
        <f>YoudenCalculations!J32</f>
      </c>
      <c r="D38" s="44">
        <f>IF(DataEntry!E31&gt;0,DataEntry!E31,"")</f>
      </c>
      <c r="E38" s="44">
        <f>IF(DataEntry!E31&gt;0,ABS(C38-YoudenCalculations!$J$1)/SQRT(D38^2+$J$6^2),"")</f>
      </c>
      <c r="F38" s="44">
        <f>IF(DataEntry!E31&gt;0,$B$14/D38,"")</f>
      </c>
      <c r="G38">
        <f>IF(DataEntry!E31&gt;0,IF(ABS(C38-$B$4)&gt;$S$2,"yes",""),"")</f>
      </c>
      <c r="H38" s="56">
        <f>IF(DataEntry!H31&gt;0,DataEntry!F31,"")</f>
      </c>
      <c r="I38" s="45">
        <f>YoudenCalculations!K32</f>
      </c>
      <c r="J38" s="45">
        <f>IF(DataEntry!H31&gt;0,DataEntry!H31,"")</f>
      </c>
      <c r="K38" s="45">
        <f>IF(DataEntry!H31&gt;0,ABS(I38-YoudenCalculations!$K$1)/SQRT(J38^2+$J$11^2),"")</f>
      </c>
      <c r="L38" s="45">
        <f>IF(DataEntry!H31&gt;0,$B$14/J38,"")</f>
      </c>
      <c r="M38">
        <f>IF(DataEntry!H31&gt;0,IF(ABS(I38-$D$4)&gt;$T$2,"yes",""),"")</f>
      </c>
      <c r="S38">
        <f>IF(DataEntry!E31&gt;0,IF(G38="yes","",C38),"")</f>
      </c>
      <c r="T38">
        <f>IF(DataEntry!E31&gt;0,IF(M38="yes","",I38),"")</f>
      </c>
      <c r="U38">
        <v>22</v>
      </c>
      <c r="V38" t="e">
        <f>IF(DataEntry!E31&gt;0,DataEntry!B31,#N/A)</f>
        <v>#N/A</v>
      </c>
      <c r="W38" s="56" t="e">
        <f>IF(DataEntry!E31&gt;0,DataEntry!C31,#N/A)</f>
        <v>#N/A</v>
      </c>
      <c r="X38" s="32" t="e">
        <f>IF(DataEntry!E31&gt;0,DataEntry!D31,#N/A)</f>
        <v>#N/A</v>
      </c>
      <c r="Y38" s="32" t="e">
        <f>IF(DataEntry!E31&gt;0,DataEntry!E31,#N/A)</f>
        <v>#N/A</v>
      </c>
      <c r="Z38" s="32" t="e">
        <f>IF(DataEntry!E31&gt;0,$J$5,#N/A)</f>
        <v>#N/A</v>
      </c>
      <c r="AA38" s="6" t="e">
        <f t="shared" si="0"/>
        <v>#N/A</v>
      </c>
      <c r="AB38" s="6" t="e">
        <f t="shared" si="1"/>
        <v>#N/A</v>
      </c>
      <c r="AE38" t="e">
        <f>IF(DataEntry!H31&gt;0,DataEntry!B31,#N/A)</f>
        <v>#N/A</v>
      </c>
      <c r="AF38" s="56" t="e">
        <f>IF(DataEntry!H31&gt;0,DataEntry!F31,#N/A)</f>
        <v>#N/A</v>
      </c>
      <c r="AG38" t="e">
        <f>IF(DataEntry!H31&gt;0,DataEntry!G31,#N/A)</f>
        <v>#N/A</v>
      </c>
      <c r="AH38" t="e">
        <f>IF(DataEntry!H31&gt;0,DataEntry!H31,#N/A)</f>
        <v>#N/A</v>
      </c>
      <c r="AI38" s="6" t="e">
        <f>IF(DataEntry!H31&gt;0,$J$10,#N/A)</f>
        <v>#N/A</v>
      </c>
      <c r="AJ38" s="6" t="e">
        <f t="shared" si="2"/>
        <v>#N/A</v>
      </c>
      <c r="AK38" s="6" t="e">
        <f t="shared" si="3"/>
        <v>#N/A</v>
      </c>
      <c r="AN38">
        <f>IF(DataEntry!E31&gt;0,A38,"")</f>
      </c>
      <c r="AO38" s="6" t="e">
        <f>IF(DataEntry!E31&gt;0,E38,#N/A)</f>
        <v>#N/A</v>
      </c>
      <c r="AP38" s="6" t="e">
        <f>IF(DataEntry!H31&gt;0,K38,#N/A)</f>
        <v>#N/A</v>
      </c>
      <c r="AQ38" t="e">
        <f>IF(DataEntry!H31&gt;0,1,#N/A)</f>
        <v>#N/A</v>
      </c>
      <c r="AS38">
        <f>IF(DataEntry!E31&gt;0,A38,"")</f>
      </c>
      <c r="AT38" s="6" t="e">
        <f>IF(DataEntry!E31&gt;0,F38,#N/A)</f>
        <v>#N/A</v>
      </c>
      <c r="AU38" s="6" t="e">
        <f>IF(DataEntry!H31&gt;0,L38,#N/A)</f>
        <v>#N/A</v>
      </c>
      <c r="AV38" t="e">
        <f>IF(DataEntry!H31&gt;0,3,#N/A)</f>
        <v>#N/A</v>
      </c>
    </row>
    <row r="39" spans="1:48" ht="12.75">
      <c r="A39" s="18">
        <f>YoudenCalculations!I33</f>
      </c>
      <c r="B39" s="56">
        <f>IF(DataEntry!E32&gt;0,DataEntry!C32,"")</f>
      </c>
      <c r="C39" s="44">
        <f>YoudenCalculations!J33</f>
      </c>
      <c r="D39" s="44">
        <f>IF(DataEntry!E32&gt;0,DataEntry!E32,"")</f>
      </c>
      <c r="E39" s="44">
        <f>IF(DataEntry!E32&gt;0,ABS(C39-YoudenCalculations!$J$1)/SQRT(D39^2+$J$6^2),"")</f>
      </c>
      <c r="F39" s="44">
        <f>IF(DataEntry!E32&gt;0,$B$14/D39,"")</f>
      </c>
      <c r="G39">
        <f>IF(DataEntry!E32&gt;0,IF(ABS(C39-$B$4)&gt;$S$2,"yes",""),"")</f>
      </c>
      <c r="H39" s="56">
        <f>IF(DataEntry!H32&gt;0,DataEntry!F32,"")</f>
      </c>
      <c r="I39" s="45">
        <f>YoudenCalculations!K33</f>
      </c>
      <c r="J39" s="45">
        <f>IF(DataEntry!H32&gt;0,DataEntry!H32,"")</f>
      </c>
      <c r="K39" s="45">
        <f>IF(DataEntry!H32&gt;0,ABS(I39-YoudenCalculations!$K$1)/SQRT(J39^2+$J$11^2),"")</f>
      </c>
      <c r="L39" s="45">
        <f>IF(DataEntry!H32&gt;0,$B$14/J39,"")</f>
      </c>
      <c r="M39">
        <f>IF(DataEntry!H32&gt;0,IF(ABS(I39-$D$4)&gt;$T$2,"yes",""),"")</f>
      </c>
      <c r="S39">
        <f>IF(DataEntry!E32&gt;0,IF(G39="yes","",C39),"")</f>
      </c>
      <c r="T39">
        <f>IF(DataEntry!E32&gt;0,IF(M39="yes","",I39),"")</f>
      </c>
      <c r="U39">
        <v>23</v>
      </c>
      <c r="V39" t="e">
        <f>IF(DataEntry!E32&gt;0,DataEntry!B32,#N/A)</f>
        <v>#N/A</v>
      </c>
      <c r="W39" s="56" t="e">
        <f>IF(DataEntry!E32&gt;0,DataEntry!C32,#N/A)</f>
        <v>#N/A</v>
      </c>
      <c r="X39" s="32" t="e">
        <f>IF(DataEntry!E32&gt;0,DataEntry!D32,#N/A)</f>
        <v>#N/A</v>
      </c>
      <c r="Y39" s="32" t="e">
        <f>IF(DataEntry!E32&gt;0,DataEntry!E32,#N/A)</f>
        <v>#N/A</v>
      </c>
      <c r="Z39" s="32" t="e">
        <f>IF(DataEntry!E32&gt;0,$J$5,#N/A)</f>
        <v>#N/A</v>
      </c>
      <c r="AA39" s="6" t="e">
        <f t="shared" si="0"/>
        <v>#N/A</v>
      </c>
      <c r="AB39" s="6" t="e">
        <f t="shared" si="1"/>
        <v>#N/A</v>
      </c>
      <c r="AE39" t="e">
        <f>IF(DataEntry!H32&gt;0,DataEntry!B32,#N/A)</f>
        <v>#N/A</v>
      </c>
      <c r="AF39" s="56" t="e">
        <f>IF(DataEntry!H32&gt;0,DataEntry!F32,#N/A)</f>
        <v>#N/A</v>
      </c>
      <c r="AG39" t="e">
        <f>IF(DataEntry!H32&gt;0,DataEntry!G32,#N/A)</f>
        <v>#N/A</v>
      </c>
      <c r="AH39" t="e">
        <f>IF(DataEntry!H32&gt;0,DataEntry!H32,#N/A)</f>
        <v>#N/A</v>
      </c>
      <c r="AI39" s="6" t="e">
        <f>IF(DataEntry!H32&gt;0,$J$10,#N/A)</f>
        <v>#N/A</v>
      </c>
      <c r="AJ39" s="6" t="e">
        <f t="shared" si="2"/>
        <v>#N/A</v>
      </c>
      <c r="AK39" s="6" t="e">
        <f t="shared" si="3"/>
        <v>#N/A</v>
      </c>
      <c r="AN39">
        <f>IF(DataEntry!E32&gt;0,A39,"")</f>
      </c>
      <c r="AO39" s="6" t="e">
        <f>IF(DataEntry!E32&gt;0,E39,#N/A)</f>
        <v>#N/A</v>
      </c>
      <c r="AP39" s="6" t="e">
        <f>IF(DataEntry!H32&gt;0,K39,#N/A)</f>
        <v>#N/A</v>
      </c>
      <c r="AQ39" t="e">
        <f>IF(DataEntry!H32&gt;0,1,#N/A)</f>
        <v>#N/A</v>
      </c>
      <c r="AS39">
        <f>IF(DataEntry!E32&gt;0,A39,"")</f>
      </c>
      <c r="AT39" s="6" t="e">
        <f>IF(DataEntry!E32&gt;0,F39,#N/A)</f>
        <v>#N/A</v>
      </c>
      <c r="AU39" s="6" t="e">
        <f>IF(DataEntry!H32&gt;0,L39,#N/A)</f>
        <v>#N/A</v>
      </c>
      <c r="AV39" t="e">
        <f>IF(DataEntry!H32&gt;0,3,#N/A)</f>
        <v>#N/A</v>
      </c>
    </row>
    <row r="40" spans="1:48" ht="12.75">
      <c r="A40" s="18">
        <f>YoudenCalculations!I34</f>
      </c>
      <c r="B40" s="56">
        <f>IF(DataEntry!E33&gt;0,DataEntry!C33,"")</f>
      </c>
      <c r="C40" s="44">
        <f>YoudenCalculations!J34</f>
      </c>
      <c r="D40" s="44">
        <f>IF(DataEntry!E33&gt;0,DataEntry!E33,"")</f>
      </c>
      <c r="E40" s="44">
        <f>IF(DataEntry!E33&gt;0,ABS(C40-YoudenCalculations!$J$1)/SQRT(D40^2+$J$6^2),"")</f>
      </c>
      <c r="F40" s="44">
        <f>IF(DataEntry!E33&gt;0,$B$14/D40,"")</f>
      </c>
      <c r="G40">
        <f>IF(DataEntry!E33&gt;0,IF(ABS(C40-$B$4)&gt;$S$2,"yes",""),"")</f>
      </c>
      <c r="H40" s="56">
        <f>IF(DataEntry!H33&gt;0,DataEntry!F33,"")</f>
      </c>
      <c r="I40" s="45">
        <f>YoudenCalculations!K34</f>
      </c>
      <c r="J40" s="45">
        <f>IF(DataEntry!H33&gt;0,DataEntry!H33,"")</f>
      </c>
      <c r="K40" s="45">
        <f>IF(DataEntry!H33&gt;0,ABS(I40-YoudenCalculations!$K$1)/SQRT(J40^2+$J$11^2),"")</f>
      </c>
      <c r="L40" s="45">
        <f>IF(DataEntry!H33&gt;0,$B$14/J40,"")</f>
      </c>
      <c r="M40">
        <f>IF(DataEntry!H33&gt;0,IF(ABS(I40-$D$4)&gt;$T$2,"yes",""),"")</f>
      </c>
      <c r="S40">
        <f>IF(DataEntry!E33&gt;0,IF(G40="yes","",C40),"")</f>
      </c>
      <c r="T40">
        <f>IF(DataEntry!E33&gt;0,IF(M40="yes","",I40),"")</f>
      </c>
      <c r="U40">
        <v>24</v>
      </c>
      <c r="V40" t="e">
        <f>IF(DataEntry!E33&gt;0,DataEntry!B33,#N/A)</f>
        <v>#N/A</v>
      </c>
      <c r="W40" s="56" t="e">
        <f>IF(DataEntry!E33&gt;0,DataEntry!C33,#N/A)</f>
        <v>#N/A</v>
      </c>
      <c r="X40" s="32" t="e">
        <f>IF(DataEntry!E33&gt;0,DataEntry!D33,#N/A)</f>
        <v>#N/A</v>
      </c>
      <c r="Y40" s="32" t="e">
        <f>IF(DataEntry!E33&gt;0,DataEntry!E33,#N/A)</f>
        <v>#N/A</v>
      </c>
      <c r="Z40" s="32" t="e">
        <f>IF(DataEntry!E33&gt;0,$J$5,#N/A)</f>
        <v>#N/A</v>
      </c>
      <c r="AA40" s="6" t="e">
        <f t="shared" si="0"/>
        <v>#N/A</v>
      </c>
      <c r="AB40" s="6" t="e">
        <f t="shared" si="1"/>
        <v>#N/A</v>
      </c>
      <c r="AE40" t="e">
        <f>IF(DataEntry!H33&gt;0,DataEntry!B33,#N/A)</f>
        <v>#N/A</v>
      </c>
      <c r="AF40" s="56" t="e">
        <f>IF(DataEntry!H33&gt;0,DataEntry!F33,#N/A)</f>
        <v>#N/A</v>
      </c>
      <c r="AG40" t="e">
        <f>IF(DataEntry!H33&gt;0,DataEntry!G33,#N/A)</f>
        <v>#N/A</v>
      </c>
      <c r="AH40" t="e">
        <f>IF(DataEntry!H33&gt;0,DataEntry!H33,#N/A)</f>
        <v>#N/A</v>
      </c>
      <c r="AI40" s="6" t="e">
        <f>IF(DataEntry!H33&gt;0,$J$10,#N/A)</f>
        <v>#N/A</v>
      </c>
      <c r="AJ40" s="6" t="e">
        <f t="shared" si="2"/>
        <v>#N/A</v>
      </c>
      <c r="AK40" s="6" t="e">
        <f t="shared" si="3"/>
        <v>#N/A</v>
      </c>
      <c r="AN40">
        <f>IF(DataEntry!E33&gt;0,A40,"")</f>
      </c>
      <c r="AO40" s="6" t="e">
        <f>IF(DataEntry!E33&gt;0,E40,#N/A)</f>
        <v>#N/A</v>
      </c>
      <c r="AP40" s="6" t="e">
        <f>IF(DataEntry!H33&gt;0,K40,#N/A)</f>
        <v>#N/A</v>
      </c>
      <c r="AQ40" t="e">
        <f>IF(DataEntry!H33&gt;0,1,#N/A)</f>
        <v>#N/A</v>
      </c>
      <c r="AS40">
        <f>IF(DataEntry!E33&gt;0,A40,"")</f>
      </c>
      <c r="AT40" s="6" t="e">
        <f>IF(DataEntry!E33&gt;0,F40,#N/A)</f>
        <v>#N/A</v>
      </c>
      <c r="AU40" s="6" t="e">
        <f>IF(DataEntry!H33&gt;0,L40,#N/A)</f>
        <v>#N/A</v>
      </c>
      <c r="AV40" t="e">
        <f>IF(DataEntry!H33&gt;0,3,#N/A)</f>
        <v>#N/A</v>
      </c>
    </row>
    <row r="41" spans="1:48" ht="12.75">
      <c r="A41" s="18">
        <f>YoudenCalculations!I35</f>
      </c>
      <c r="B41" s="56">
        <f>IF(DataEntry!E34&gt;0,DataEntry!C34,"")</f>
      </c>
      <c r="C41" s="44">
        <f>YoudenCalculations!J35</f>
      </c>
      <c r="D41" s="44">
        <f>IF(DataEntry!E34&gt;0,DataEntry!E34,"")</f>
      </c>
      <c r="E41" s="44">
        <f>IF(DataEntry!E34&gt;0,ABS(C41-YoudenCalculations!$J$1)/SQRT(D41^2+$J$6^2),"")</f>
      </c>
      <c r="F41" s="44">
        <f>IF(DataEntry!E34&gt;0,$B$14/D41,"")</f>
      </c>
      <c r="G41">
        <f>IF(DataEntry!E34&gt;0,IF(ABS(C41-$B$4)&gt;$S$2,"yes",""),"")</f>
      </c>
      <c r="H41" s="56">
        <f>IF(DataEntry!H34&gt;0,DataEntry!F34,"")</f>
      </c>
      <c r="I41" s="45">
        <f>YoudenCalculations!K35</f>
      </c>
      <c r="J41" s="45">
        <f>IF(DataEntry!H34&gt;0,DataEntry!H34,"")</f>
      </c>
      <c r="K41" s="45">
        <f>IF(DataEntry!H34&gt;0,ABS(I41-YoudenCalculations!$K$1)/SQRT(J41^2+$J$11^2),"")</f>
      </c>
      <c r="L41" s="45">
        <f>IF(DataEntry!H34&gt;0,$B$14/J41,"")</f>
      </c>
      <c r="M41">
        <f>IF(DataEntry!H34&gt;0,IF(ABS(I41-$D$4)&gt;$T$2,"yes",""),"")</f>
      </c>
      <c r="S41">
        <f>IF(DataEntry!E34&gt;0,IF(G41="yes","",C41),"")</f>
      </c>
      <c r="T41">
        <f>IF(DataEntry!E34&gt;0,IF(M41="yes","",I41),"")</f>
      </c>
      <c r="U41">
        <v>25</v>
      </c>
      <c r="V41" t="e">
        <f>IF(DataEntry!E34&gt;0,DataEntry!B34,#N/A)</f>
        <v>#N/A</v>
      </c>
      <c r="W41" s="56" t="e">
        <f>IF(DataEntry!E34&gt;0,DataEntry!C34,#N/A)</f>
        <v>#N/A</v>
      </c>
      <c r="X41" s="32" t="e">
        <f>IF(DataEntry!E34&gt;0,DataEntry!D34,#N/A)</f>
        <v>#N/A</v>
      </c>
      <c r="Y41" s="32" t="e">
        <f>IF(DataEntry!E34&gt;0,DataEntry!E34,#N/A)</f>
        <v>#N/A</v>
      </c>
      <c r="Z41" s="32" t="e">
        <f>IF(DataEntry!E34&gt;0,$J$5,#N/A)</f>
        <v>#N/A</v>
      </c>
      <c r="AA41" s="6" t="e">
        <f t="shared" si="0"/>
        <v>#N/A</v>
      </c>
      <c r="AB41" s="6" t="e">
        <f t="shared" si="1"/>
        <v>#N/A</v>
      </c>
      <c r="AE41" t="e">
        <f>IF(DataEntry!H34&gt;0,DataEntry!B34,#N/A)</f>
        <v>#N/A</v>
      </c>
      <c r="AF41" s="56" t="e">
        <f>IF(DataEntry!H34&gt;0,DataEntry!F34,#N/A)</f>
        <v>#N/A</v>
      </c>
      <c r="AG41" t="e">
        <f>IF(DataEntry!H34&gt;0,DataEntry!G34,#N/A)</f>
        <v>#N/A</v>
      </c>
      <c r="AH41" t="e">
        <f>IF(DataEntry!H34&gt;0,DataEntry!H34,#N/A)</f>
        <v>#N/A</v>
      </c>
      <c r="AI41" s="6" t="e">
        <f>IF(DataEntry!H34&gt;0,$J$10,#N/A)</f>
        <v>#N/A</v>
      </c>
      <c r="AJ41" s="6" t="e">
        <f t="shared" si="2"/>
        <v>#N/A</v>
      </c>
      <c r="AK41" s="6" t="e">
        <f t="shared" si="3"/>
        <v>#N/A</v>
      </c>
      <c r="AN41">
        <f>IF(DataEntry!E34&gt;0,A41,"")</f>
      </c>
      <c r="AO41" s="6" t="e">
        <f>IF(DataEntry!E34&gt;0,E41,#N/A)</f>
        <v>#N/A</v>
      </c>
      <c r="AP41" s="6" t="e">
        <f>IF(DataEntry!H34&gt;0,K41,#N/A)</f>
        <v>#N/A</v>
      </c>
      <c r="AQ41" t="e">
        <f>IF(DataEntry!H34&gt;0,1,#N/A)</f>
        <v>#N/A</v>
      </c>
      <c r="AS41">
        <f>IF(DataEntry!E34&gt;0,A41,"")</f>
      </c>
      <c r="AT41" s="6" t="e">
        <f>IF(DataEntry!E34&gt;0,F41,#N/A)</f>
        <v>#N/A</v>
      </c>
      <c r="AU41" s="6" t="e">
        <f>IF(DataEntry!H34&gt;0,L41,#N/A)</f>
        <v>#N/A</v>
      </c>
      <c r="AV41" t="e">
        <f>IF(DataEntry!H34&gt;0,3,#N/A)</f>
        <v>#N/A</v>
      </c>
    </row>
    <row r="42" spans="1:48" ht="12.75">
      <c r="A42" s="18">
        <f>YoudenCalculations!I36</f>
      </c>
      <c r="B42" s="56">
        <f>IF(DataEntry!E35&gt;0,DataEntry!C35,"")</f>
      </c>
      <c r="C42" s="44">
        <f>YoudenCalculations!J36</f>
      </c>
      <c r="D42" s="44">
        <f>IF(DataEntry!E35&gt;0,DataEntry!E35,"")</f>
      </c>
      <c r="E42" s="44">
        <f>IF(DataEntry!E35&gt;0,ABS(C42-YoudenCalculations!$J$1)/SQRT(D42^2+$J$6^2),"")</f>
      </c>
      <c r="F42" s="44">
        <f>IF(DataEntry!E35&gt;0,$B$14/D42,"")</f>
      </c>
      <c r="G42">
        <f>IF(DataEntry!E35&gt;0,IF(ABS(C42-$B$4)&gt;$S$2,"yes",""),"")</f>
      </c>
      <c r="H42" s="56">
        <f>IF(DataEntry!H35&gt;0,DataEntry!F35,"")</f>
      </c>
      <c r="I42" s="45">
        <f>YoudenCalculations!K36</f>
      </c>
      <c r="J42" s="45">
        <f>IF(DataEntry!H35&gt;0,DataEntry!H35,"")</f>
      </c>
      <c r="K42" s="45">
        <f>IF(DataEntry!H35&gt;0,ABS(I42-YoudenCalculations!$K$1)/SQRT(J42^2+$J$11^2),"")</f>
      </c>
      <c r="L42" s="45">
        <f>IF(DataEntry!H35&gt;0,$B$14/J42,"")</f>
      </c>
      <c r="M42">
        <f>IF(DataEntry!H35&gt;0,IF(ABS(I42-$D$4)&gt;$T$2,"yes",""),"")</f>
      </c>
      <c r="S42">
        <f>IF(DataEntry!E35&gt;0,IF(G42="yes","",C42),"")</f>
      </c>
      <c r="T42">
        <f>IF(DataEntry!E35&gt;0,IF(M42="yes","",I42),"")</f>
      </c>
      <c r="U42">
        <v>26</v>
      </c>
      <c r="V42" t="e">
        <f>IF(DataEntry!E35&gt;0,DataEntry!B35,#N/A)</f>
        <v>#N/A</v>
      </c>
      <c r="W42" s="56" t="e">
        <f>IF(DataEntry!E35&gt;0,DataEntry!C35,#N/A)</f>
        <v>#N/A</v>
      </c>
      <c r="X42" s="32" t="e">
        <f>IF(DataEntry!E35&gt;0,DataEntry!D35,#N/A)</f>
        <v>#N/A</v>
      </c>
      <c r="Y42" s="32" t="e">
        <f>IF(DataEntry!E35&gt;0,DataEntry!E35,#N/A)</f>
        <v>#N/A</v>
      </c>
      <c r="Z42" s="32" t="e">
        <f>IF(DataEntry!E35&gt;0,$J$5,#N/A)</f>
        <v>#N/A</v>
      </c>
      <c r="AA42" s="6" t="e">
        <f t="shared" si="0"/>
        <v>#N/A</v>
      </c>
      <c r="AB42" s="6" t="e">
        <f t="shared" si="1"/>
        <v>#N/A</v>
      </c>
      <c r="AE42" t="e">
        <f>IF(DataEntry!H35&gt;0,DataEntry!B35,#N/A)</f>
        <v>#N/A</v>
      </c>
      <c r="AF42" s="56" t="e">
        <f>IF(DataEntry!H35&gt;0,DataEntry!F35,#N/A)</f>
        <v>#N/A</v>
      </c>
      <c r="AG42" t="e">
        <f>IF(DataEntry!H35&gt;0,DataEntry!G35,#N/A)</f>
        <v>#N/A</v>
      </c>
      <c r="AH42" t="e">
        <f>IF(DataEntry!H35&gt;0,DataEntry!H35,#N/A)</f>
        <v>#N/A</v>
      </c>
      <c r="AI42" s="6" t="e">
        <f>IF(DataEntry!H35&gt;0,$J$10,#N/A)</f>
        <v>#N/A</v>
      </c>
      <c r="AJ42" s="6" t="e">
        <f t="shared" si="2"/>
        <v>#N/A</v>
      </c>
      <c r="AK42" s="6" t="e">
        <f t="shared" si="3"/>
        <v>#N/A</v>
      </c>
      <c r="AN42">
        <f>IF(DataEntry!E35&gt;0,A42,"")</f>
      </c>
      <c r="AO42" s="6" t="e">
        <f>IF(DataEntry!E35&gt;0,E42,#N/A)</f>
        <v>#N/A</v>
      </c>
      <c r="AP42" s="6" t="e">
        <f>IF(DataEntry!H35&gt;0,K42,#N/A)</f>
        <v>#N/A</v>
      </c>
      <c r="AQ42" t="e">
        <f>IF(DataEntry!H35&gt;0,1,#N/A)</f>
        <v>#N/A</v>
      </c>
      <c r="AS42">
        <f>IF(DataEntry!E35&gt;0,A42,"")</f>
      </c>
      <c r="AT42" s="6" t="e">
        <f>IF(DataEntry!E35&gt;0,F42,#N/A)</f>
        <v>#N/A</v>
      </c>
      <c r="AU42" s="6" t="e">
        <f>IF(DataEntry!H35&gt;0,L42,#N/A)</f>
        <v>#N/A</v>
      </c>
      <c r="AV42" t="e">
        <f>IF(DataEntry!H35&gt;0,3,#N/A)</f>
        <v>#N/A</v>
      </c>
    </row>
    <row r="43" spans="1:48" ht="12.75">
      <c r="A43" s="18">
        <f>YoudenCalculations!I37</f>
      </c>
      <c r="B43" s="56">
        <f>IF(DataEntry!E36&gt;0,DataEntry!C36,"")</f>
      </c>
      <c r="C43" s="44">
        <f>YoudenCalculations!J37</f>
      </c>
      <c r="D43" s="44">
        <f>IF(DataEntry!E36&gt;0,DataEntry!E36,"")</f>
      </c>
      <c r="E43" s="44">
        <f>IF(DataEntry!E36&gt;0,ABS(C43-YoudenCalculations!$J$1)/SQRT(D43^2+$J$6^2),"")</f>
      </c>
      <c r="F43" s="44">
        <f>IF(DataEntry!E36&gt;0,$B$14/D43,"")</f>
      </c>
      <c r="G43">
        <f>IF(DataEntry!E36&gt;0,IF(ABS(C43-$B$4)&gt;$S$2,"yes",""),"")</f>
      </c>
      <c r="H43" s="56">
        <f>IF(DataEntry!H36&gt;0,DataEntry!F36,"")</f>
      </c>
      <c r="I43" s="45">
        <f>YoudenCalculations!K37</f>
      </c>
      <c r="J43" s="45">
        <f>IF(DataEntry!H36&gt;0,DataEntry!H36,"")</f>
      </c>
      <c r="K43" s="45">
        <f>IF(DataEntry!H36&gt;0,ABS(I43-YoudenCalculations!$K$1)/SQRT(J43^2+$J$11^2),"")</f>
      </c>
      <c r="L43" s="45">
        <f>IF(DataEntry!H36&gt;0,$B$14/J43,"")</f>
      </c>
      <c r="M43">
        <f>IF(DataEntry!H36&gt;0,IF(ABS(I43-$D$4)&gt;$T$2,"yes",""),"")</f>
      </c>
      <c r="S43">
        <f>IF(DataEntry!E36&gt;0,IF(G43="yes","",C43),"")</f>
      </c>
      <c r="T43">
        <f>IF(DataEntry!E36&gt;0,IF(M43="yes","",I43),"")</f>
      </c>
      <c r="U43">
        <v>27</v>
      </c>
      <c r="V43" t="e">
        <f>IF(DataEntry!E36&gt;0,DataEntry!B36,#N/A)</f>
        <v>#N/A</v>
      </c>
      <c r="W43" s="56" t="e">
        <f>IF(DataEntry!E36&gt;0,DataEntry!C36,#N/A)</f>
        <v>#N/A</v>
      </c>
      <c r="X43" s="32" t="e">
        <f>IF(DataEntry!E36&gt;0,DataEntry!D36,#N/A)</f>
        <v>#N/A</v>
      </c>
      <c r="Y43" s="32" t="e">
        <f>IF(DataEntry!E36&gt;0,DataEntry!E36,#N/A)</f>
        <v>#N/A</v>
      </c>
      <c r="Z43" s="32" t="e">
        <f>IF(DataEntry!E36&gt;0,$J$5,#N/A)</f>
        <v>#N/A</v>
      </c>
      <c r="AA43" s="6" t="e">
        <f t="shared" si="0"/>
        <v>#N/A</v>
      </c>
      <c r="AB43" s="6" t="e">
        <f t="shared" si="1"/>
        <v>#N/A</v>
      </c>
      <c r="AE43" t="e">
        <f>IF(DataEntry!H36&gt;0,DataEntry!B36,#N/A)</f>
        <v>#N/A</v>
      </c>
      <c r="AF43" s="56" t="e">
        <f>IF(DataEntry!H36&gt;0,DataEntry!F36,#N/A)</f>
        <v>#N/A</v>
      </c>
      <c r="AG43" t="e">
        <f>IF(DataEntry!H36&gt;0,DataEntry!G36,#N/A)</f>
        <v>#N/A</v>
      </c>
      <c r="AH43" t="e">
        <f>IF(DataEntry!H36&gt;0,DataEntry!H36,#N/A)</f>
        <v>#N/A</v>
      </c>
      <c r="AI43" s="6" t="e">
        <f>IF(DataEntry!H36&gt;0,$J$10,#N/A)</f>
        <v>#N/A</v>
      </c>
      <c r="AJ43" s="6" t="e">
        <f t="shared" si="2"/>
        <v>#N/A</v>
      </c>
      <c r="AK43" s="6" t="e">
        <f t="shared" si="3"/>
        <v>#N/A</v>
      </c>
      <c r="AN43">
        <f>IF(DataEntry!E36&gt;0,A43,"")</f>
      </c>
      <c r="AO43" s="6" t="e">
        <f>IF(DataEntry!E36&gt;0,E43,#N/A)</f>
        <v>#N/A</v>
      </c>
      <c r="AP43" s="6" t="e">
        <f>IF(DataEntry!H36&gt;0,K43,#N/A)</f>
        <v>#N/A</v>
      </c>
      <c r="AQ43" t="e">
        <f>IF(DataEntry!H36&gt;0,1,#N/A)</f>
        <v>#N/A</v>
      </c>
      <c r="AS43">
        <f>IF(DataEntry!E36&gt;0,A43,"")</f>
      </c>
      <c r="AT43" s="6" t="e">
        <f>IF(DataEntry!E36&gt;0,F43,#N/A)</f>
        <v>#N/A</v>
      </c>
      <c r="AU43" s="6" t="e">
        <f>IF(DataEntry!H36&gt;0,L43,#N/A)</f>
        <v>#N/A</v>
      </c>
      <c r="AV43" t="e">
        <f>IF(DataEntry!H36&gt;0,3,#N/A)</f>
        <v>#N/A</v>
      </c>
    </row>
    <row r="44" spans="1:48" ht="12.75">
      <c r="A44" s="18">
        <f>YoudenCalculations!I38</f>
      </c>
      <c r="B44" s="56">
        <f>IF(DataEntry!E37&gt;0,DataEntry!C37,"")</f>
      </c>
      <c r="C44" s="44">
        <f>YoudenCalculations!J38</f>
      </c>
      <c r="D44" s="44">
        <f>IF(DataEntry!E37&gt;0,DataEntry!E37,"")</f>
      </c>
      <c r="E44" s="44">
        <f>IF(DataEntry!E37&gt;0,ABS(C44-YoudenCalculations!$J$1)/SQRT(D44^2+$J$6^2),"")</f>
      </c>
      <c r="F44" s="44">
        <f>IF(DataEntry!E37&gt;0,$B$14/D44,"")</f>
      </c>
      <c r="G44">
        <f>IF(DataEntry!E37&gt;0,IF(ABS(C44-$B$4)&gt;$S$2,"yes",""),"")</f>
      </c>
      <c r="H44" s="56">
        <f>IF(DataEntry!H37&gt;0,DataEntry!F37,"")</f>
      </c>
      <c r="I44" s="45">
        <f>YoudenCalculations!K38</f>
      </c>
      <c r="J44" s="45">
        <f>IF(DataEntry!H37&gt;0,DataEntry!H37,"")</f>
      </c>
      <c r="K44" s="45">
        <f>IF(DataEntry!H37&gt;0,ABS(I44-YoudenCalculations!$K$1)/SQRT(J44^2+$J$11^2),"")</f>
      </c>
      <c r="L44" s="45">
        <f>IF(DataEntry!H37&gt;0,$B$14/J44,"")</f>
      </c>
      <c r="M44">
        <f>IF(DataEntry!H37&gt;0,IF(ABS(I44-$D$4)&gt;$T$2,"yes",""),"")</f>
      </c>
      <c r="S44">
        <f>IF(DataEntry!E37&gt;0,IF(G44="yes","",C44),"")</f>
      </c>
      <c r="T44">
        <f>IF(DataEntry!E37&gt;0,IF(M44="yes","",I44),"")</f>
      </c>
      <c r="U44">
        <v>28</v>
      </c>
      <c r="V44" t="e">
        <f>IF(DataEntry!E37&gt;0,DataEntry!B37,#N/A)</f>
        <v>#N/A</v>
      </c>
      <c r="W44" s="56" t="e">
        <f>IF(DataEntry!E37&gt;0,DataEntry!C37,#N/A)</f>
        <v>#N/A</v>
      </c>
      <c r="X44" s="32" t="e">
        <f>IF(DataEntry!E37&gt;0,DataEntry!D37,#N/A)</f>
        <v>#N/A</v>
      </c>
      <c r="Y44" s="32" t="e">
        <f>IF(DataEntry!E37&gt;0,DataEntry!E37,#N/A)</f>
        <v>#N/A</v>
      </c>
      <c r="Z44" s="32" t="e">
        <f>IF(DataEntry!E37&gt;0,$J$5,#N/A)</f>
        <v>#N/A</v>
      </c>
      <c r="AA44" s="6" t="e">
        <f t="shared" si="0"/>
        <v>#N/A</v>
      </c>
      <c r="AB44" s="6" t="e">
        <f t="shared" si="1"/>
        <v>#N/A</v>
      </c>
      <c r="AE44" t="e">
        <f>IF(DataEntry!H37&gt;0,DataEntry!B37,#N/A)</f>
        <v>#N/A</v>
      </c>
      <c r="AF44" s="56" t="e">
        <f>IF(DataEntry!H37&gt;0,DataEntry!F37,#N/A)</f>
        <v>#N/A</v>
      </c>
      <c r="AG44" t="e">
        <f>IF(DataEntry!H37&gt;0,DataEntry!G37,#N/A)</f>
        <v>#N/A</v>
      </c>
      <c r="AH44" t="e">
        <f>IF(DataEntry!H37&gt;0,DataEntry!H37,#N/A)</f>
        <v>#N/A</v>
      </c>
      <c r="AI44" s="6" t="e">
        <f>IF(DataEntry!H37&gt;0,$J$10,#N/A)</f>
        <v>#N/A</v>
      </c>
      <c r="AJ44" s="6" t="e">
        <f t="shared" si="2"/>
        <v>#N/A</v>
      </c>
      <c r="AK44" s="6" t="e">
        <f t="shared" si="3"/>
        <v>#N/A</v>
      </c>
      <c r="AN44">
        <f>IF(DataEntry!E37&gt;0,A44,"")</f>
      </c>
      <c r="AO44" s="6" t="e">
        <f>IF(DataEntry!E37&gt;0,E44,#N/A)</f>
        <v>#N/A</v>
      </c>
      <c r="AP44" s="6" t="e">
        <f>IF(DataEntry!H37&gt;0,K44,#N/A)</f>
        <v>#N/A</v>
      </c>
      <c r="AQ44" t="e">
        <f>IF(DataEntry!H37&gt;0,1,#N/A)</f>
        <v>#N/A</v>
      </c>
      <c r="AS44">
        <f>IF(DataEntry!E37&gt;0,A44,"")</f>
      </c>
      <c r="AT44" s="6" t="e">
        <f>IF(DataEntry!E37&gt;0,F44,#N/A)</f>
        <v>#N/A</v>
      </c>
      <c r="AU44" s="6" t="e">
        <f>IF(DataEntry!H37&gt;0,L44,#N/A)</f>
        <v>#N/A</v>
      </c>
      <c r="AV44" t="e">
        <f>IF(DataEntry!H37&gt;0,3,#N/A)</f>
        <v>#N/A</v>
      </c>
    </row>
    <row r="45" spans="1:48" ht="12.75">
      <c r="A45" s="18">
        <f>YoudenCalculations!I39</f>
      </c>
      <c r="B45" s="56">
        <f>IF(DataEntry!E38&gt;0,DataEntry!C38,"")</f>
      </c>
      <c r="C45" s="44">
        <f>YoudenCalculations!J39</f>
      </c>
      <c r="D45" s="44">
        <f>IF(DataEntry!E38&gt;0,DataEntry!E38,"")</f>
      </c>
      <c r="E45" s="44">
        <f>IF(DataEntry!E38&gt;0,ABS(C45-YoudenCalculations!$J$1)/SQRT(D45^2+$J$6^2),"")</f>
      </c>
      <c r="F45" s="44">
        <f>IF(DataEntry!E38&gt;0,$B$14/D45,"")</f>
      </c>
      <c r="G45">
        <f>IF(DataEntry!E38&gt;0,IF(ABS(C45-$B$4)&gt;$S$2,"yes",""),"")</f>
      </c>
      <c r="H45" s="56">
        <f>IF(DataEntry!H38&gt;0,DataEntry!F38,"")</f>
      </c>
      <c r="I45" s="45">
        <f>YoudenCalculations!K39</f>
      </c>
      <c r="J45" s="45">
        <f>IF(DataEntry!H38&gt;0,DataEntry!H38,"")</f>
      </c>
      <c r="K45" s="45">
        <f>IF(DataEntry!H38&gt;0,ABS(I45-YoudenCalculations!$K$1)/SQRT(J45^2+$J$11^2),"")</f>
      </c>
      <c r="L45" s="45">
        <f>IF(DataEntry!H38&gt;0,$B$14/J45,"")</f>
      </c>
      <c r="M45">
        <f>IF(DataEntry!H38&gt;0,IF(ABS(I45-$D$4)&gt;$T$2,"yes",""),"")</f>
      </c>
      <c r="S45">
        <f>IF(DataEntry!E38&gt;0,IF(G45="yes","",C45),"")</f>
      </c>
      <c r="T45">
        <f>IF(DataEntry!E38&gt;0,IF(M45="yes","",I45),"")</f>
      </c>
      <c r="U45">
        <v>29</v>
      </c>
      <c r="V45" t="e">
        <f>IF(DataEntry!E38&gt;0,DataEntry!B38,#N/A)</f>
        <v>#N/A</v>
      </c>
      <c r="W45" s="56" t="e">
        <f>IF(DataEntry!E38&gt;0,DataEntry!C38,#N/A)</f>
        <v>#N/A</v>
      </c>
      <c r="X45" s="32" t="e">
        <f>IF(DataEntry!E38&gt;0,DataEntry!D38,#N/A)</f>
        <v>#N/A</v>
      </c>
      <c r="Y45" s="32" t="e">
        <f>IF(DataEntry!E38&gt;0,DataEntry!E38,#N/A)</f>
        <v>#N/A</v>
      </c>
      <c r="Z45" s="32" t="e">
        <f>IF(DataEntry!E38&gt;0,$J$5,#N/A)</f>
        <v>#N/A</v>
      </c>
      <c r="AA45" s="6" t="e">
        <f t="shared" si="0"/>
        <v>#N/A</v>
      </c>
      <c r="AB45" s="6" t="e">
        <f t="shared" si="1"/>
        <v>#N/A</v>
      </c>
      <c r="AE45" t="e">
        <f>IF(DataEntry!H38&gt;0,DataEntry!B38,#N/A)</f>
        <v>#N/A</v>
      </c>
      <c r="AF45" s="56" t="e">
        <f>IF(DataEntry!H38&gt;0,DataEntry!F38,#N/A)</f>
        <v>#N/A</v>
      </c>
      <c r="AG45" t="e">
        <f>IF(DataEntry!H38&gt;0,DataEntry!G38,#N/A)</f>
        <v>#N/A</v>
      </c>
      <c r="AH45" t="e">
        <f>IF(DataEntry!H38&gt;0,DataEntry!H38,#N/A)</f>
        <v>#N/A</v>
      </c>
      <c r="AI45" s="6" t="e">
        <f>IF(DataEntry!H38&gt;0,$J$10,#N/A)</f>
        <v>#N/A</v>
      </c>
      <c r="AJ45" s="6" t="e">
        <f t="shared" si="2"/>
        <v>#N/A</v>
      </c>
      <c r="AK45" s="6" t="e">
        <f t="shared" si="3"/>
        <v>#N/A</v>
      </c>
      <c r="AN45">
        <f>IF(DataEntry!E38&gt;0,A45,"")</f>
      </c>
      <c r="AO45" s="6" t="e">
        <f>IF(DataEntry!E38&gt;0,E45,#N/A)</f>
        <v>#N/A</v>
      </c>
      <c r="AP45" s="6" t="e">
        <f>IF(DataEntry!H38&gt;0,K45,#N/A)</f>
        <v>#N/A</v>
      </c>
      <c r="AQ45" t="e">
        <f>IF(DataEntry!H38&gt;0,1,#N/A)</f>
        <v>#N/A</v>
      </c>
      <c r="AS45">
        <f>IF(DataEntry!E38&gt;0,A45,"")</f>
      </c>
      <c r="AT45" s="6" t="e">
        <f>IF(DataEntry!E38&gt;0,F45,#N/A)</f>
        <v>#N/A</v>
      </c>
      <c r="AU45" s="6" t="e">
        <f>IF(DataEntry!H38&gt;0,L45,#N/A)</f>
        <v>#N/A</v>
      </c>
      <c r="AV45" t="e">
        <f>IF(DataEntry!H38&gt;0,3,#N/A)</f>
        <v>#N/A</v>
      </c>
    </row>
    <row r="46" spans="1:48" ht="12.75">
      <c r="A46" s="18">
        <f>YoudenCalculations!I40</f>
      </c>
      <c r="B46" s="56">
        <f>IF(DataEntry!E39&gt;0,DataEntry!C39,"")</f>
      </c>
      <c r="C46" s="44">
        <f>YoudenCalculations!J40</f>
      </c>
      <c r="D46" s="44">
        <f>IF(DataEntry!E39&gt;0,DataEntry!E39,"")</f>
      </c>
      <c r="E46" s="44">
        <f>IF(DataEntry!E39&gt;0,ABS(C46-YoudenCalculations!$J$1)/SQRT(D46^2+$J$6^2),"")</f>
      </c>
      <c r="F46" s="44">
        <f>IF(DataEntry!E39&gt;0,$B$14/D46,"")</f>
      </c>
      <c r="G46">
        <f>IF(DataEntry!E39&gt;0,IF(ABS(C46-$B$4)&gt;$S$2,"yes",""),"")</f>
      </c>
      <c r="H46" s="56">
        <f>IF(DataEntry!H39&gt;0,DataEntry!F39,"")</f>
      </c>
      <c r="I46" s="45">
        <f>YoudenCalculations!K40</f>
      </c>
      <c r="J46" s="45">
        <f>IF(DataEntry!H39&gt;0,DataEntry!H39,"")</f>
      </c>
      <c r="K46" s="45">
        <f>IF(DataEntry!H39&gt;0,ABS(I46-YoudenCalculations!$K$1)/SQRT(J46^2+$J$11^2),"")</f>
      </c>
      <c r="L46" s="45">
        <f>IF(DataEntry!H39&gt;0,$B$14/J46,"")</f>
      </c>
      <c r="M46">
        <f>IF(DataEntry!H39&gt;0,IF(ABS(I46-$D$4)&gt;$T$2,"yes",""),"")</f>
      </c>
      <c r="S46">
        <f>IF(DataEntry!E39&gt;0,IF(G46="yes","",C46),"")</f>
      </c>
      <c r="T46">
        <f>IF(DataEntry!E39&gt;0,IF(M46="yes","",I46),"")</f>
      </c>
      <c r="U46">
        <v>30</v>
      </c>
      <c r="V46" t="e">
        <f>IF(DataEntry!E39&gt;0,DataEntry!B39,#N/A)</f>
        <v>#N/A</v>
      </c>
      <c r="W46" s="56" t="e">
        <f>IF(DataEntry!E39&gt;0,DataEntry!C39,#N/A)</f>
        <v>#N/A</v>
      </c>
      <c r="X46" s="32" t="e">
        <f>IF(DataEntry!E39&gt;0,DataEntry!D39,#N/A)</f>
        <v>#N/A</v>
      </c>
      <c r="Y46" s="32" t="e">
        <f>IF(DataEntry!E39&gt;0,DataEntry!E39,#N/A)</f>
        <v>#N/A</v>
      </c>
      <c r="Z46" s="32" t="e">
        <f>IF(DataEntry!E39&gt;0,$J$5,#N/A)</f>
        <v>#N/A</v>
      </c>
      <c r="AA46" s="6" t="e">
        <f t="shared" si="0"/>
        <v>#N/A</v>
      </c>
      <c r="AB46" s="6" t="e">
        <f t="shared" si="1"/>
        <v>#N/A</v>
      </c>
      <c r="AE46" t="e">
        <f>IF(DataEntry!H39&gt;0,DataEntry!B39,#N/A)</f>
        <v>#N/A</v>
      </c>
      <c r="AF46" s="56" t="e">
        <f>IF(DataEntry!H39&gt;0,DataEntry!F39,#N/A)</f>
        <v>#N/A</v>
      </c>
      <c r="AG46" t="e">
        <f>IF(DataEntry!H39&gt;0,DataEntry!G39,#N/A)</f>
        <v>#N/A</v>
      </c>
      <c r="AH46" t="e">
        <f>IF(DataEntry!H39&gt;0,DataEntry!H39,#N/A)</f>
        <v>#N/A</v>
      </c>
      <c r="AI46" s="6" t="e">
        <f>IF(DataEntry!H39&gt;0,$J$10,#N/A)</f>
        <v>#N/A</v>
      </c>
      <c r="AJ46" s="6" t="e">
        <f t="shared" si="2"/>
        <v>#N/A</v>
      </c>
      <c r="AK46" s="6" t="e">
        <f t="shared" si="3"/>
        <v>#N/A</v>
      </c>
      <c r="AN46">
        <f>IF(DataEntry!E39&gt;0,A46,"")</f>
      </c>
      <c r="AO46" s="6" t="e">
        <f>IF(DataEntry!E39&gt;0,E46,#N/A)</f>
        <v>#N/A</v>
      </c>
      <c r="AP46" s="6" t="e">
        <f>IF(DataEntry!H39&gt;0,K46,#N/A)</f>
        <v>#N/A</v>
      </c>
      <c r="AQ46" t="e">
        <f>IF(DataEntry!H39&gt;0,1,#N/A)</f>
        <v>#N/A</v>
      </c>
      <c r="AS46">
        <f>IF(DataEntry!E39&gt;0,A46,"")</f>
      </c>
      <c r="AT46" s="6" t="e">
        <f>IF(DataEntry!E39&gt;0,F46,#N/A)</f>
        <v>#N/A</v>
      </c>
      <c r="AU46" s="6" t="e">
        <f>IF(DataEntry!H39&gt;0,L46,#N/A)</f>
        <v>#N/A</v>
      </c>
      <c r="AV46" t="e">
        <f>IF(DataEntry!H39&gt;0,3,#N/A)</f>
        <v>#N/A</v>
      </c>
    </row>
    <row r="47" spans="1:9" ht="12.75">
      <c r="A47" s="18"/>
      <c r="B47" s="44"/>
      <c r="C47" s="44"/>
      <c r="D47" s="44"/>
      <c r="E47" s="44"/>
      <c r="F47" s="45"/>
      <c r="G47" s="45"/>
      <c r="H47" s="45"/>
      <c r="I47" s="45"/>
    </row>
  </sheetData>
  <mergeCells count="8">
    <mergeCell ref="B5:C5"/>
    <mergeCell ref="D5:E5"/>
    <mergeCell ref="B4:C4"/>
    <mergeCell ref="B2:C2"/>
    <mergeCell ref="B3:C3"/>
    <mergeCell ref="D2:E2"/>
    <mergeCell ref="D3:E3"/>
    <mergeCell ref="D4:E4"/>
  </mergeCells>
  <conditionalFormatting sqref="E17:E46 K17:K46">
    <cfRule type="expression" priority="1" dxfId="3" stopIfTrue="1">
      <formula>E17&gt;1</formula>
    </cfRule>
  </conditionalFormatting>
  <conditionalFormatting sqref="F17:F46 L17:L46">
    <cfRule type="expression" priority="2" dxfId="3" stopIfTrue="1">
      <formula>F17&lt;3</formula>
    </cfRule>
  </conditionalFormatting>
  <conditionalFormatting sqref="I10:J10 G16:G46 I5:K7 K3:K4 I11:K12 K8:K10 M16:M46">
    <cfRule type="expression" priority="3" dxfId="4" stopIfTrue="1">
      <formula>$S$1="NIST"</formula>
    </cfRule>
  </conditionalFormatting>
  <printOptions horizontalCentered="1"/>
  <pageMargins left="0" right="0" top="0" bottom="0" header="0" footer="0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B1:AF200"/>
  <sheetViews>
    <sheetView zoomScale="75" zoomScaleNormal="75" workbookViewId="0" topLeftCell="A1">
      <selection activeCell="Q1" sqref="Q1"/>
    </sheetView>
  </sheetViews>
  <sheetFormatPr defaultColWidth="9.140625" defaultRowHeight="12.75"/>
  <cols>
    <col min="2" max="2" width="9.7109375" style="0" bestFit="1" customWidth="1"/>
    <col min="6" max="6" width="12.57421875" style="0" bestFit="1" customWidth="1"/>
    <col min="12" max="12" width="10.140625" style="0" bestFit="1" customWidth="1"/>
    <col min="17" max="17" width="12.421875" style="0" bestFit="1" customWidth="1"/>
    <col min="28" max="28" width="9.57421875" style="0" bestFit="1" customWidth="1"/>
    <col min="29" max="31" width="9.28125" style="0" bestFit="1" customWidth="1"/>
  </cols>
  <sheetData>
    <row r="1" spans="9:31" ht="12.75">
      <c r="I1" s="6" t="str">
        <f>IF(DataEntry!B7="Median",YoudenCalculations!I5,IF(DataEntry!B7="Mean",YoudenCalculations!I6,IF(AND(DataEntry!B7="NIST",DataEntry!K1="yes"),I7,"INPUT ERROR")))</f>
        <v>Median=</v>
      </c>
      <c r="J1" s="8">
        <f>IF(DataEntry!B7="Median",YoudenCalculations!J5,IF(DataEntry!B7="Mean",YoudenCalculations!J6,IF(AND(DataEntry!B7="NIST",DataEntry!K1="yes"),DataEntry!K3,"INPUT ERROR")))</f>
        <v>1.5</v>
      </c>
      <c r="K1" s="8">
        <f>IF(DataEntry!B7="Median",YoudenCalculations!K5,IF(DataEntry!B7="Mean",YoudenCalculations!K6,IF(AND(DataEntry!B7="NIST",DataEntry!K1="yes"),DataEntry!K6,"INPUT ERROR")))</f>
        <v>-3</v>
      </c>
      <c r="O1" s="5"/>
      <c r="P1" s="1" t="s">
        <v>4</v>
      </c>
      <c r="Q1">
        <f>SQRT(SUM(Q11:Q40)/(COUNT(Q11:Q40)-1))</f>
        <v>2.919957115022655</v>
      </c>
      <c r="X1" t="str">
        <f>J10</f>
        <v>10 kg #1</v>
      </c>
      <c r="Y1" s="7">
        <f>J1</f>
        <v>1.5</v>
      </c>
      <c r="AB1" t="str">
        <f>X1</f>
        <v>10 kg #1</v>
      </c>
      <c r="AC1" t="s">
        <v>5</v>
      </c>
      <c r="AD1" t="str">
        <f>X2</f>
        <v>10 kg #2</v>
      </c>
      <c r="AE1" t="s">
        <v>20</v>
      </c>
    </row>
    <row r="2" spans="9:32" ht="12.75">
      <c r="I2" t="s">
        <v>2</v>
      </c>
      <c r="J2" s="6">
        <f>IF(DataEntry!B7="Median",YoudenCalculations!J4,IF(DataEntry!B7="Mean",YoudenCalculations!J4,IF(AND(DataEntry!B7="NIST",DataEntry!K1="yes"),DataEntry!K4,"INPUT ERROR")))</f>
        <v>3.693623849670827</v>
      </c>
      <c r="K2" s="6">
        <f>IF(DataEntry!B7="Median",YoudenCalculations!K4,IF(DataEntry!B7="Mean",YoudenCalculations!K4,IF(AND(DataEntry!B7="NIST",DataEntry!K1="yes"),DataEntry!K7,"INPUT ERROR")))</f>
        <v>10.819955109492302</v>
      </c>
      <c r="P2" s="1" t="s">
        <v>6</v>
      </c>
      <c r="Q2">
        <f>Q1*2.45</f>
        <v>7.153894931805506</v>
      </c>
      <c r="R2" s="1" t="s">
        <v>7</v>
      </c>
      <c r="X2" t="str">
        <f>K10</f>
        <v>10 kg #2</v>
      </c>
      <c r="Y2" s="8">
        <f>K1</f>
        <v>-3</v>
      </c>
      <c r="AB2" s="32">
        <f>$Y$1-Y3</f>
        <v>-5.653894931805506</v>
      </c>
      <c r="AC2" s="32">
        <f>SQRT(ABS(($Y$3^2)-((AB2-$Y$1)^2)))+$Y$2</f>
        <v>-3</v>
      </c>
      <c r="AD2" s="32"/>
      <c r="AE2" s="32"/>
      <c r="AF2" s="15"/>
    </row>
    <row r="3" spans="24:32" ht="12.75">
      <c r="X3" t="s">
        <v>8</v>
      </c>
      <c r="Y3">
        <f>Q2</f>
        <v>7.153894931805506</v>
      </c>
      <c r="Z3">
        <f>Y3/25</f>
        <v>0.28615579727222024</v>
      </c>
      <c r="AB3" s="32">
        <f>AB2+$Z$3</f>
        <v>-5.367739134533285</v>
      </c>
      <c r="AC3" s="32">
        <f aca="true" t="shared" si="0" ref="AC3:AC52">SQRT(ABS(($Y$3^2)-((AB3-$Y$1)^2)))+$Y$2</f>
        <v>-0.9969094190944574</v>
      </c>
      <c r="AD3" s="32"/>
      <c r="AE3" s="32"/>
      <c r="AF3" s="15"/>
    </row>
    <row r="4" spans="9:32" ht="12.75">
      <c r="I4" t="s">
        <v>38</v>
      </c>
      <c r="J4">
        <f>STDEV(J11:J40)*2</f>
        <v>3.693623849670827</v>
      </c>
      <c r="K4">
        <f>STDEV(K11:K40)*2</f>
        <v>10.819955109492302</v>
      </c>
      <c r="R4" t="s">
        <v>9</v>
      </c>
      <c r="AB4" s="32">
        <f aca="true" t="shared" si="1" ref="AB4:AB52">AB3+$Z$3</f>
        <v>-5.081583337261065</v>
      </c>
      <c r="AC4" s="32">
        <f t="shared" si="0"/>
        <v>-0.19625723897501413</v>
      </c>
      <c r="AD4" s="32"/>
      <c r="AE4" s="32"/>
      <c r="AF4" s="15"/>
    </row>
    <row r="5" spans="9:32" ht="12.75">
      <c r="I5" s="2" t="s">
        <v>1</v>
      </c>
      <c r="J5" s="6">
        <f>MEDIAN(J11:J40)</f>
        <v>1.5</v>
      </c>
      <c r="K5" s="6">
        <f>MEDIAN(K11:K40)</f>
        <v>-3</v>
      </c>
      <c r="R5" s="11" t="s">
        <v>10</v>
      </c>
      <c r="S5" s="10" t="s">
        <v>11</v>
      </c>
      <c r="AB5" s="32">
        <f t="shared" si="1"/>
        <v>-4.795427539988844</v>
      </c>
      <c r="AC5" s="32">
        <f t="shared" si="0"/>
        <v>0.3979118269994175</v>
      </c>
      <c r="AD5" s="32"/>
      <c r="AE5" s="32"/>
      <c r="AF5" s="15"/>
    </row>
    <row r="6" spans="9:32" ht="12.75">
      <c r="I6" t="s">
        <v>36</v>
      </c>
      <c r="J6" s="6">
        <f>AVERAGE(J11:J40)</f>
        <v>1.375</v>
      </c>
      <c r="K6" s="6">
        <f>AVERAGE(K11:K40)</f>
        <v>-1.875</v>
      </c>
      <c r="R6" s="11" t="s">
        <v>12</v>
      </c>
      <c r="S6" s="12" t="s">
        <v>13</v>
      </c>
      <c r="AB6" s="32">
        <f t="shared" si="1"/>
        <v>-4.509271742716623</v>
      </c>
      <c r="AC6" s="32">
        <f t="shared" si="0"/>
        <v>0.8816060873689922</v>
      </c>
      <c r="AD6" s="32"/>
      <c r="AE6" s="32"/>
      <c r="AF6" s="15"/>
    </row>
    <row r="7" spans="9:32" ht="12.75">
      <c r="I7">
        <f>IF(DataEntry!K1="yes","NIST","")</f>
      </c>
      <c r="J7" s="6">
        <f>IF(DataEntry!K1="yes",DataEntry!K3,"")</f>
      </c>
      <c r="K7" s="6">
        <f>IF(DataEntry!K1="yes",DataEntry!K6,"")</f>
      </c>
      <c r="O7" s="7">
        <f>M11^2</f>
        <v>0.12500000000000003</v>
      </c>
      <c r="R7" s="11" t="s">
        <v>14</v>
      </c>
      <c r="S7" s="10" t="s">
        <v>15</v>
      </c>
      <c r="AB7" s="32">
        <f t="shared" si="1"/>
        <v>-4.223115945444403</v>
      </c>
      <c r="AC7" s="32">
        <f t="shared" si="0"/>
        <v>1.2923369590833067</v>
      </c>
      <c r="AD7" s="32"/>
      <c r="AE7" s="32"/>
      <c r="AF7" s="15"/>
    </row>
    <row r="8" spans="18:32" ht="12.75">
      <c r="R8" s="11" t="s">
        <v>16</v>
      </c>
      <c r="S8" s="10" t="s">
        <v>17</v>
      </c>
      <c r="AB8" s="32">
        <f t="shared" si="1"/>
        <v>-3.9369601481721825</v>
      </c>
      <c r="AC8" s="32">
        <f t="shared" si="0"/>
        <v>1.6494813734974807</v>
      </c>
      <c r="AD8" s="32"/>
      <c r="AE8" s="32"/>
      <c r="AF8" s="15"/>
    </row>
    <row r="9" spans="18:32" ht="12.75">
      <c r="R9" s="11" t="s">
        <v>18</v>
      </c>
      <c r="S9" s="10" t="s">
        <v>19</v>
      </c>
      <c r="T9" s="6"/>
      <c r="AB9" s="32">
        <f t="shared" si="1"/>
        <v>-3.6508043508999624</v>
      </c>
      <c r="AC9" s="32">
        <f t="shared" si="0"/>
        <v>1.9646175314985257</v>
      </c>
      <c r="AD9" s="32"/>
      <c r="AE9" s="32"/>
      <c r="AF9" s="15"/>
    </row>
    <row r="10" spans="9:32" ht="12.75">
      <c r="I10" t="s">
        <v>0</v>
      </c>
      <c r="J10" s="1" t="str">
        <f>DataEntry!B4</f>
        <v>10 kg #1</v>
      </c>
      <c r="K10" s="1" t="str">
        <f>DataEntry!B5</f>
        <v>10 kg #2</v>
      </c>
      <c r="L10" t="s">
        <v>51</v>
      </c>
      <c r="M10" t="s">
        <v>52</v>
      </c>
      <c r="N10" t="s">
        <v>53</v>
      </c>
      <c r="O10" t="s">
        <v>68</v>
      </c>
      <c r="Q10" t="s">
        <v>69</v>
      </c>
      <c r="R10" t="s">
        <v>50</v>
      </c>
      <c r="S10" t="s">
        <v>2</v>
      </c>
      <c r="T10" t="s">
        <v>25</v>
      </c>
      <c r="AB10" s="32">
        <f t="shared" si="1"/>
        <v>-3.364648553627742</v>
      </c>
      <c r="AC10" s="32">
        <f t="shared" si="0"/>
        <v>2.2453224062015504</v>
      </c>
      <c r="AD10" s="32"/>
      <c r="AE10" s="32"/>
      <c r="AF10" s="15"/>
    </row>
    <row r="11" spans="2:32" ht="12.75">
      <c r="B11" s="5"/>
      <c r="C11" s="5"/>
      <c r="D11" s="5"/>
      <c r="F11" s="87"/>
      <c r="H11">
        <v>1</v>
      </c>
      <c r="I11" s="40" t="str">
        <f>IF(DataEntry!E10&gt;0,DataEntry!B10,"")</f>
        <v>A</v>
      </c>
      <c r="J11" s="40">
        <f>IF(DataEntry!E10&gt;0,DataEntry!D10,"")</f>
        <v>-2</v>
      </c>
      <c r="K11" s="40">
        <f>IF(DataEntry!E10&gt;0,DataEntry!G10,"")</f>
        <v>-7</v>
      </c>
      <c r="L11" s="41">
        <f>IF(DataEntry!E10&gt;0,((K11-$K$1)+(J11-$J$1))/SQRT(2),"")</f>
        <v>-5.303300858899106</v>
      </c>
      <c r="M11" s="41">
        <f>IF(DataEntry!E10&gt;0,SQRT((J11-(L11/SQRT(2)+$J$1))^2+(K11-(L11/SQRT(2)+$K$1))^2),"")</f>
        <v>0.3535533905932738</v>
      </c>
      <c r="N11" s="41">
        <f>IF(DataEntry!E10&gt;0,IF(L11=0,0,(L11/(ABS(L11)+M11))*R11),"")</f>
        <v>-4.9828808497193675</v>
      </c>
      <c r="O11" s="41">
        <f>IF(DataEntry!E10&gt;0,IF(M11=0,0,(M11/(ABS(L11)+M11))*R11),"")</f>
        <v>0.33219205664795787</v>
      </c>
      <c r="P11" s="42"/>
      <c r="Q11" s="41">
        <f>IF(DataEntry!E10&gt;0,O11^2,"")</f>
        <v>0.11035156250000006</v>
      </c>
      <c r="R11" s="43">
        <f>IF(DataEntry!E10&gt;0,SQRT((J11-$J$1)^2+(K11-$K$1)^2),"")</f>
        <v>5.315072906367325</v>
      </c>
      <c r="S11" s="41">
        <f>IF(DataEntry!E10&gt;0,DataEntry!J10,"")</f>
        <v>5</v>
      </c>
      <c r="T11" s="42" t="str">
        <f>IF(DataEntry!E10&gt;0,IF(AND(ABS(N11)&gt;S11,ABS(O11)&gt;S11),$R$5,IF(ABS(N11)&gt;S11,$R$6,IF(ABS(O11)&gt;S11,$R$7,IF(ABS(N11)+ABS(O11)&gt;S11,$R$8,$R$9)))),"")</f>
        <v>Warning</v>
      </c>
      <c r="U11" s="6"/>
      <c r="V11" s="6"/>
      <c r="W11" s="6"/>
      <c r="AB11" s="32">
        <f t="shared" si="1"/>
        <v>-3.078492756355522</v>
      </c>
      <c r="AC11" s="32">
        <f t="shared" si="0"/>
        <v>2.4968733635870235</v>
      </c>
      <c r="AD11" s="32"/>
      <c r="AE11" s="32"/>
      <c r="AF11" s="15"/>
    </row>
    <row r="12" spans="2:32" ht="12.75">
      <c r="B12" s="5"/>
      <c r="C12" s="5"/>
      <c r="D12" s="5"/>
      <c r="F12" s="87"/>
      <c r="H12">
        <v>2</v>
      </c>
      <c r="I12" s="40" t="str">
        <f>IF(DataEntry!E11&gt;0,DataEntry!B11,"")</f>
        <v>B</v>
      </c>
      <c r="J12" s="40">
        <f>IF(DataEntry!E11&gt;0,DataEntry!D11,"")</f>
        <v>1</v>
      </c>
      <c r="K12" s="40">
        <f>IF(DataEntry!E11&gt;0,DataEntry!G11,"")</f>
        <v>-3</v>
      </c>
      <c r="L12" s="41">
        <f>IF(DataEntry!E11&gt;0,((K12-$K$1)+(J12-$J$1))/SQRT(2),"")</f>
        <v>-0.35355339059327373</v>
      </c>
      <c r="M12" s="41">
        <f>IF(DataEntry!E11&gt;0,SQRT((J12-(L12/SQRT(2)+$J$1))^2+(K12-(L12/SQRT(2)+$K$1))^2),"")</f>
        <v>0.3535533905932738</v>
      </c>
      <c r="N12" s="41">
        <f>IF(DataEntry!E11&gt;0,IF(L12=0,0,(L12/(ABS(L12)+M12))*R12),"")</f>
        <v>-0.25</v>
      </c>
      <c r="O12" s="41">
        <f>IF(DataEntry!E11&gt;0,IF(M12=0,0,(M12/(ABS(L12)+M12))*R12),"")</f>
        <v>0.25000000000000006</v>
      </c>
      <c r="P12" s="42"/>
      <c r="Q12" s="41">
        <f>IF(DataEntry!E11&gt;0,O12^2,"")</f>
        <v>0.06250000000000003</v>
      </c>
      <c r="R12" s="43">
        <f>IF(DataEntry!E11&gt;0,SQRT((J12-$J$1)^2+(K12-$K$1)^2),"")</f>
        <v>0.5</v>
      </c>
      <c r="S12" s="41">
        <f>IF(DataEntry!E11&gt;0,DataEntry!J11,"")</f>
        <v>8</v>
      </c>
      <c r="T12" s="42" t="str">
        <f>IF(DataEntry!E11&gt;0,IF(AND(ABS(N12)&gt;S12,ABS(O12)&gt;S12),$R$5,IF(ABS(N12)&gt;S12,$R$6,IF(ABS(O12)&gt;S12,$R$7,IF(ABS(N12)+ABS(O12)&gt;S12,$R$8,$R$9)))),"")</f>
        <v>IN</v>
      </c>
      <c r="U12" s="6"/>
      <c r="V12" s="6"/>
      <c r="W12" s="6"/>
      <c r="AB12" s="32">
        <f t="shared" si="1"/>
        <v>-2.792336959083302</v>
      </c>
      <c r="AC12" s="32">
        <f t="shared" si="0"/>
        <v>2.7231159454444054</v>
      </c>
      <c r="AD12" s="32"/>
      <c r="AE12" s="32"/>
      <c r="AF12" s="15"/>
    </row>
    <row r="13" spans="2:32" ht="12.75">
      <c r="B13" s="5"/>
      <c r="C13" s="5"/>
      <c r="D13" s="5"/>
      <c r="F13" s="87"/>
      <c r="H13">
        <v>3</v>
      </c>
      <c r="I13" s="40" t="str">
        <f>IF(DataEntry!E12&gt;0,DataEntry!B12,"")</f>
        <v>C</v>
      </c>
      <c r="J13" s="40">
        <f>IF(DataEntry!E12&gt;0,DataEntry!D12,"")</f>
        <v>4</v>
      </c>
      <c r="K13" s="40">
        <f>IF(DataEntry!E12&gt;0,DataEntry!G12,"")</f>
        <v>-8</v>
      </c>
      <c r="L13" s="41">
        <f>IF(DataEntry!E12&gt;0,((K13-$K$1)+(J13-$J$1))/SQRT(2),"")</f>
        <v>-1.7677669529663687</v>
      </c>
      <c r="M13" s="41">
        <f>IF(DataEntry!E12&gt;0,SQRT((J13-(L13/SQRT(2)+$J$1))^2+(K13-(L13/SQRT(2)+$K$1))^2),"")</f>
        <v>5.303300858899107</v>
      </c>
      <c r="N13" s="41">
        <f>IF(DataEntry!E12&gt;0,IF(L13=0,0,(L13/(ABS(L13)+M13))*R13),"")</f>
        <v>-1.3975424859373684</v>
      </c>
      <c r="O13" s="41">
        <f>IF(DataEntry!E12&gt;0,IF(M13=0,0,(M13/(ABS(L13)+M13))*R13),"")</f>
        <v>4.192627457812106</v>
      </c>
      <c r="P13" s="42"/>
      <c r="Q13" s="41">
        <f>IF(DataEntry!E12&gt;0,O13^2,"")</f>
        <v>17.578125000000007</v>
      </c>
      <c r="R13" s="43">
        <f>IF(DataEntry!E12&gt;0,SQRT((J13-$J$1)^2+(K13-$K$1)^2),"")</f>
        <v>5.5901699437494745</v>
      </c>
      <c r="S13" s="41">
        <f>IF(DataEntry!E12&gt;0,DataEntry!J12,"")</f>
        <v>6</v>
      </c>
      <c r="T13" s="42" t="str">
        <f>IF(DataEntry!E12&gt;0,IF(AND(ABS(N13)&gt;S13,ABS(O13)&gt;S13),$R$5,IF(ABS(N13)&gt;S13,$R$6,IF(ABS(O13)&gt;S13,$R$7,IF(ABS(N13)+ABS(O13)&gt;S13,$R$8,$R$9)))),"")</f>
        <v>IN</v>
      </c>
      <c r="U13" s="6"/>
      <c r="V13" s="6"/>
      <c r="W13" s="6"/>
      <c r="AB13" s="32">
        <f t="shared" si="1"/>
        <v>-2.5061811618110816</v>
      </c>
      <c r="AC13" s="32">
        <f t="shared" si="0"/>
        <v>2.9269490628874575</v>
      </c>
      <c r="AD13" s="32"/>
      <c r="AE13" s="32"/>
      <c r="AF13" s="15"/>
    </row>
    <row r="14" spans="2:32" ht="12.75">
      <c r="B14" s="5"/>
      <c r="C14" s="5"/>
      <c r="D14" s="5"/>
      <c r="F14" s="87"/>
      <c r="H14">
        <v>4</v>
      </c>
      <c r="I14" s="40" t="str">
        <f>IF(DataEntry!E13&gt;0,DataEntry!B13,"")</f>
        <v>D</v>
      </c>
      <c r="J14" s="40">
        <f>IF(DataEntry!E13&gt;0,DataEntry!D13,"")</f>
        <v>3</v>
      </c>
      <c r="K14" s="40">
        <f>IF(DataEntry!E13&gt;0,DataEntry!G13,"")</f>
        <v>9</v>
      </c>
      <c r="L14" s="41">
        <f>IF(DataEntry!E13&gt;0,((K14-$K$1)+(J14-$J$1))/SQRT(2),"")</f>
        <v>9.54594154601839</v>
      </c>
      <c r="M14" s="41">
        <f>IF(DataEntry!E13&gt;0,SQRT((J14-(L14/SQRT(2)+$J$1))^2+(K14-(L14/SQRT(2)+$K$1))^2),"")</f>
        <v>7.42462120245875</v>
      </c>
      <c r="N14" s="41">
        <f>IF(DataEntry!E13&gt;0,IF(L14=0,0,(L14/(ABS(L14)+M14))*R14),"")</f>
        <v>6.802529975126899</v>
      </c>
      <c r="O14" s="41">
        <f>IF(DataEntry!E13&gt;0,IF(M14=0,0,(M14/(ABS(L14)+M14))*R14),"")</f>
        <v>5.290856647320923</v>
      </c>
      <c r="P14" s="42"/>
      <c r="Q14" s="41">
        <f>IF(DataEntry!E13&gt;0,O14^2,"")</f>
        <v>27.993164062499996</v>
      </c>
      <c r="R14" s="43">
        <f>IF(DataEntry!E13&gt;0,SQRT((J14-$J$1)^2+(K14-$K$1)^2),"")</f>
        <v>12.093386622447824</v>
      </c>
      <c r="S14" s="41">
        <f>IF(DataEntry!E13&gt;0,DataEntry!J13,"")</f>
        <v>4</v>
      </c>
      <c r="T14" s="42" t="str">
        <f>IF(DataEntry!E13&gt;0,IF(AND(ABS(N14)&gt;S14,ABS(O14)&gt;S14),$R$5,IF(ABS(N14)&gt;S14,$R$6,IF(ABS(O14)&gt;S14,$R$7,IF(ABS(N14)+ABS(O14)&gt;S14,$R$8,$R$9)))),"")</f>
        <v>OUT R&amp;S</v>
      </c>
      <c r="U14" s="6"/>
      <c r="V14" s="6"/>
      <c r="W14" s="6"/>
      <c r="AB14" s="32">
        <f t="shared" si="1"/>
        <v>-2.2200253645388615</v>
      </c>
      <c r="AC14" s="32">
        <f t="shared" si="0"/>
        <v>3.110615679495808</v>
      </c>
      <c r="AD14" s="32"/>
      <c r="AE14" s="32"/>
      <c r="AF14" s="15"/>
    </row>
    <row r="15" spans="2:32" ht="12.75">
      <c r="B15" s="5"/>
      <c r="C15" s="5"/>
      <c r="D15" s="5"/>
      <c r="F15" s="87"/>
      <c r="H15">
        <v>5</v>
      </c>
      <c r="I15" s="40" t="str">
        <f>IF(DataEntry!E14&gt;0,DataEntry!B14,"")</f>
        <v>E</v>
      </c>
      <c r="J15" s="40">
        <f>IF(DataEntry!E14&gt;0,DataEntry!D14,"")</f>
        <v>2</v>
      </c>
      <c r="K15" s="40">
        <f>IF(DataEntry!E14&gt;0,DataEntry!G14,"")</f>
        <v>-4</v>
      </c>
      <c r="L15" s="41">
        <f>IF(DataEntry!E14&gt;0,((K15-$K$1)+(J15-$J$1))/SQRT(2),"")</f>
        <v>-0.35355339059327373</v>
      </c>
      <c r="M15" s="41">
        <f>IF(DataEntry!E14&gt;0,SQRT((J15-(L15/SQRT(2)+$J$1))^2+(K15-(L15/SQRT(2)+$K$1))^2),"")</f>
        <v>1.0606601717798212</v>
      </c>
      <c r="N15" s="41">
        <f>IF(DataEntry!E14&gt;0,IF(L15=0,0,(L15/(ABS(L15)+M15))*R15),"")</f>
        <v>-0.2795084971874737</v>
      </c>
      <c r="O15" s="41">
        <f>IF(DataEntry!E14&gt;0,IF(M15=0,0,(M15/(ABS(L15)+M15))*R15),"")</f>
        <v>0.8385254915624212</v>
      </c>
      <c r="P15" s="42"/>
      <c r="Q15" s="41">
        <f>IF(DataEntry!E14&gt;0,O15^2,"")</f>
        <v>0.7031250000000001</v>
      </c>
      <c r="R15" s="43">
        <f>IF(DataEntry!E14&gt;0,SQRT((J15-$J$1)^2+(K15-$K$1)^2),"")</f>
        <v>1.118033988749895</v>
      </c>
      <c r="S15" s="41">
        <f>IF(DataEntry!E14&gt;0,DataEntry!J14,"")</f>
        <v>2</v>
      </c>
      <c r="T15" s="42" t="str">
        <f>IF(DataEntry!E14&gt;0,IF(AND(ABS(N15)&gt;S15,ABS(O15)&gt;S15),$R$5,IF(ABS(N15)&gt;S15,$R$6,IF(ABS(O15)&gt;S15,$R$7,IF(ABS(N15)+ABS(O15)&gt;S15,$R$8,$R$9)))),"")</f>
        <v>IN</v>
      </c>
      <c r="U15" s="6"/>
      <c r="V15" s="6"/>
      <c r="W15" s="6"/>
      <c r="AB15" s="32">
        <f t="shared" si="1"/>
        <v>-1.9338695672666413</v>
      </c>
      <c r="AC15" s="32">
        <f t="shared" si="0"/>
        <v>3.27588658998173</v>
      </c>
      <c r="AD15" s="32"/>
      <c r="AE15" s="32"/>
      <c r="AF15" s="15"/>
    </row>
    <row r="16" spans="2:32" ht="12.75">
      <c r="B16" s="5"/>
      <c r="C16" s="5"/>
      <c r="D16" s="5"/>
      <c r="F16" s="87"/>
      <c r="H16">
        <v>6</v>
      </c>
      <c r="I16" s="40" t="str">
        <f>IF(DataEntry!E15&gt;0,DataEntry!B15,"")</f>
        <v>F</v>
      </c>
      <c r="J16" s="40">
        <f>IF(DataEntry!E15&gt;0,DataEntry!D15,"")</f>
        <v>0</v>
      </c>
      <c r="K16" s="40">
        <f>IF(DataEntry!E15&gt;0,DataEntry!G15,"")</f>
        <v>2</v>
      </c>
      <c r="L16" s="41">
        <f>IF(DataEntry!E15&gt;0,((K16-$K$1)+(J16-$J$1))/SQRT(2),"")</f>
        <v>2.4748737341529163</v>
      </c>
      <c r="M16" s="41">
        <f>IF(DataEntry!E15&gt;0,SQRT((J16-(L16/SQRT(2)+$J$1))^2+(K16-(L16/SQRT(2)+$K$1))^2),"")</f>
        <v>4.596194077712559</v>
      </c>
      <c r="N16" s="41">
        <f>IF(DataEntry!E15&gt;0,IF(L16=0,0,(L16/(ABS(L16)+M16))*R16),"")</f>
        <v>1.8270536390593461</v>
      </c>
      <c r="O16" s="41">
        <f>IF(DataEntry!E15&gt;0,IF(M16=0,0,(M16/(ABS(L16)+M16))*R16),"")</f>
        <v>3.3930996153959283</v>
      </c>
      <c r="P16" s="42"/>
      <c r="Q16" s="41">
        <f>IF(DataEntry!E15&gt;0,O16^2,"")</f>
        <v>11.513124999999997</v>
      </c>
      <c r="R16" s="43">
        <f>IF(DataEntry!E15&gt;0,SQRT((J16-$J$1)^2+(K16-$K$1)^2),"")</f>
        <v>5.220153254455275</v>
      </c>
      <c r="S16" s="41">
        <f>IF(DataEntry!E15&gt;0,DataEntry!J15,"")</f>
        <v>7</v>
      </c>
      <c r="T16" s="42" t="str">
        <f>IF(DataEntry!E15&gt;0,IF(AND(ABS(N16)&gt;S16,ABS(O16)&gt;S16),$R$5,IF(ABS(N16)&gt;S16,$R$6,IF(ABS(O16)&gt;S16,$R$7,IF(ABS(N16)+ABS(O16)&gt;S16,$R$8,$R$9)))),"")</f>
        <v>IN</v>
      </c>
      <c r="U16" s="6"/>
      <c r="V16" s="6"/>
      <c r="W16" s="6"/>
      <c r="AB16" s="32">
        <f t="shared" si="1"/>
        <v>-1.647713769994421</v>
      </c>
      <c r="AC16" s="32">
        <f t="shared" si="0"/>
        <v>3.424181715790737</v>
      </c>
      <c r="AD16" s="32"/>
      <c r="AE16" s="32"/>
      <c r="AF16" s="15"/>
    </row>
    <row r="17" spans="2:32" ht="12.75">
      <c r="B17" s="5"/>
      <c r="C17" s="5"/>
      <c r="D17" s="5"/>
      <c r="F17" s="87"/>
      <c r="H17">
        <v>7</v>
      </c>
      <c r="I17" s="40" t="str">
        <f>IF(DataEntry!E16&gt;0,DataEntry!B16,"")</f>
        <v>G</v>
      </c>
      <c r="J17" s="40">
        <f>IF(DataEntry!E16&gt;0,DataEntry!D16,"")</f>
        <v>1</v>
      </c>
      <c r="K17" s="40">
        <f>IF(DataEntry!E16&gt;0,DataEntry!G16,"")</f>
        <v>-1</v>
      </c>
      <c r="L17" s="41">
        <f>IF(DataEntry!E16&gt;0,((K17-$K$1)+(J17-$J$1))/SQRT(2),"")</f>
        <v>1.0606601717798212</v>
      </c>
      <c r="M17" s="41">
        <f>IF(DataEntry!E16&gt;0,SQRT((J17-(L17/SQRT(2)+$J$1))^2+(K17-(L17/SQRT(2)+$K$1))^2),"")</f>
        <v>1.7677669529663689</v>
      </c>
      <c r="N17" s="41">
        <f>IF(DataEntry!E16&gt;0,IF(L17=0,0,(L17/(ABS(L17)+M17))*R17),"")</f>
        <v>0.7730823048033113</v>
      </c>
      <c r="O17" s="41">
        <f>IF(DataEntry!E16&gt;0,IF(M17=0,0,(M17/(ABS(L17)+M17))*R17),"")</f>
        <v>1.2884705080055192</v>
      </c>
      <c r="P17" s="42"/>
      <c r="Q17" s="41">
        <f>IF(DataEntry!E16&gt;0,O17^2,"")</f>
        <v>1.6601562500000007</v>
      </c>
      <c r="R17" s="43">
        <f>IF(DataEntry!E16&gt;0,SQRT((J17-$J$1)^2+(K17-$K$1)^2),"")</f>
        <v>2.0615528128088303</v>
      </c>
      <c r="S17" s="41">
        <f>IF(DataEntry!E16&gt;0,DataEntry!J16,"")</f>
        <v>5</v>
      </c>
      <c r="T17" s="42" t="str">
        <f>IF(DataEntry!E16&gt;0,IF(AND(ABS(N17)&gt;S17,ABS(O17)&gt;S17),$R$5,IF(ABS(N17)&gt;S17,$R$6,IF(ABS(O17)&gt;S17,$R$7,IF(ABS(N17)+ABS(O17)&gt;S17,$R$8,$R$9)))),"")</f>
        <v>IN</v>
      </c>
      <c r="U17" s="6"/>
      <c r="V17" s="6"/>
      <c r="W17" s="6"/>
      <c r="AB17" s="32">
        <f t="shared" si="1"/>
        <v>-1.361557972722201</v>
      </c>
      <c r="AC17" s="32">
        <f t="shared" si="0"/>
        <v>3.556653007751936</v>
      </c>
      <c r="AD17" s="32"/>
      <c r="AE17" s="32"/>
      <c r="AF17" s="15"/>
    </row>
    <row r="18" spans="2:32" ht="12.75">
      <c r="B18" s="5"/>
      <c r="C18" s="5"/>
      <c r="D18" s="5"/>
      <c r="F18" s="87"/>
      <c r="H18">
        <v>8</v>
      </c>
      <c r="I18" s="40" t="str">
        <f>IF(DataEntry!E17&gt;0,DataEntry!B17,"")</f>
        <v>H</v>
      </c>
      <c r="J18" s="40">
        <f>IF(DataEntry!E17&gt;0,DataEntry!D17,"")</f>
        <v>2</v>
      </c>
      <c r="K18" s="40">
        <f>IF(DataEntry!E17&gt;0,DataEntry!G17,"")</f>
        <v>-3</v>
      </c>
      <c r="L18" s="41">
        <f>IF(DataEntry!E17&gt;0,((K18-$K$1)+(J18-$J$1))/SQRT(2),"")</f>
        <v>0.35355339059327373</v>
      </c>
      <c r="M18" s="41">
        <f>IF(DataEntry!E17&gt;0,SQRT((J18-(L18/SQRT(2)+$J$1))^2+(K18-(L18/SQRT(2)+$K$1))^2),"")</f>
        <v>0.3535533905932738</v>
      </c>
      <c r="N18" s="41">
        <f>IF(DataEntry!E17&gt;0,IF(L18=0,0,(L18/(ABS(L18)+M18))*R18),"")</f>
        <v>0.25</v>
      </c>
      <c r="O18" s="41">
        <f>IF(DataEntry!E17&gt;0,IF(M18=0,0,(M18/(ABS(L18)+M18))*R18),"")</f>
        <v>0.25000000000000006</v>
      </c>
      <c r="P18" s="42"/>
      <c r="Q18" s="41">
        <f>IF(DataEntry!E17&gt;0,O18^2,"")</f>
        <v>0.06250000000000003</v>
      </c>
      <c r="R18" s="43">
        <f>IF(DataEntry!E17&gt;0,SQRT((J18-$J$1)^2+(K18-$K$1)^2),"")</f>
        <v>0.5</v>
      </c>
      <c r="S18" s="41">
        <f>IF(DataEntry!E17&gt;0,DataEntry!J17,"")</f>
        <v>9</v>
      </c>
      <c r="T18" s="42" t="str">
        <f>IF(DataEntry!E17&gt;0,IF(AND(ABS(N18)&gt;S18,ABS(O18)&gt;S18),$R$5,IF(ABS(N18)&gt;S18,$R$6,IF(ABS(O18)&gt;S18,$R$7,IF(ABS(N18)+ABS(O18)&gt;S18,$R$8,$R$9)))),"")</f>
        <v>IN</v>
      </c>
      <c r="U18" s="6"/>
      <c r="V18" s="6"/>
      <c r="W18" s="6"/>
      <c r="AB18" s="32">
        <f t="shared" si="1"/>
        <v>-1.0754021754499807</v>
      </c>
      <c r="AC18" s="32">
        <f t="shared" si="0"/>
        <v>3.674242753301682</v>
      </c>
      <c r="AD18" s="32"/>
      <c r="AE18" s="32"/>
      <c r="AF18" s="15"/>
    </row>
    <row r="19" spans="8:32" ht="12.75">
      <c r="H19">
        <v>9</v>
      </c>
      <c r="I19" s="40">
        <f>IF(DataEntry!E18&gt;0,DataEntry!B18,"")</f>
      </c>
      <c r="J19" s="40">
        <f>IF(DataEntry!E18&gt;0,DataEntry!D18,"")</f>
      </c>
      <c r="K19" s="40">
        <f>IF(DataEntry!E18&gt;0,DataEntry!G18,"")</f>
      </c>
      <c r="L19" s="41">
        <f>IF(DataEntry!E18&gt;0,((K19-$K$1)+(J19-$J$1))/SQRT(2),"")</f>
      </c>
      <c r="M19" s="41">
        <f>IF(DataEntry!E18&gt;0,SQRT((J19-(L19/SQRT(2)+$J$1))^2+(K19-(L19/SQRT(2)+$K$1))^2),"")</f>
      </c>
      <c r="N19" s="41">
        <f>IF(DataEntry!E18&gt;0,IF(L19=0,0,(L19/(ABS(L19)+M19))*R19),"")</f>
      </c>
      <c r="O19" s="41">
        <f>IF(DataEntry!E18&gt;0,IF(M19=0,0,(M19/(ABS(L19)+M19))*R19),"")</f>
      </c>
      <c r="P19" s="42"/>
      <c r="Q19" s="41">
        <f>IF(DataEntry!E18&gt;0,O19^2,"")</f>
      </c>
      <c r="R19" s="43">
        <f>IF(DataEntry!E18&gt;0,SQRT((J19-$J$1)^2+(K19-$K$1)^2),"")</f>
      </c>
      <c r="S19" s="41">
        <f>IF(DataEntry!E18&gt;0,DataEntry!J18,"")</f>
      </c>
      <c r="T19" s="42">
        <f>IF(DataEntry!E18&gt;0,IF(AND(ABS(N19)&gt;S19,ABS(O19)&gt;S19),$R$5,IF(ABS(N19)&gt;S19,$R$6,IF(ABS(O19)&gt;S19,$R$7,IF(ABS(N19)+ABS(O19)&gt;S19,$R$8,$R$9)))),"")</f>
      </c>
      <c r="U19" s="6"/>
      <c r="V19" s="6"/>
      <c r="W19" s="6"/>
      <c r="AB19" s="32">
        <f t="shared" si="1"/>
        <v>-0.7892463781777606</v>
      </c>
      <c r="AC19" s="32">
        <f t="shared" si="0"/>
        <v>3.777725556210764</v>
      </c>
      <c r="AD19" s="32"/>
      <c r="AE19" s="32"/>
      <c r="AF19" s="15"/>
    </row>
    <row r="20" spans="8:32" ht="12.75">
      <c r="H20">
        <v>10</v>
      </c>
      <c r="I20" s="40">
        <f>IF(DataEntry!E19&gt;0,DataEntry!B19,"")</f>
      </c>
      <c r="J20" s="40">
        <f>IF(DataEntry!E19&gt;0,DataEntry!D19,"")</f>
      </c>
      <c r="K20" s="40">
        <f>IF(DataEntry!E19&gt;0,DataEntry!G19,"")</f>
      </c>
      <c r="L20" s="41">
        <f>IF(DataEntry!E19&gt;0,((K20-$K$1)+(J20-$J$1))/SQRT(2),"")</f>
      </c>
      <c r="M20" s="41">
        <f>IF(DataEntry!E19&gt;0,SQRT((J20-(L20/SQRT(2)+$J$1))^2+(K20-(L20/SQRT(2)+$K$1))^2),"")</f>
      </c>
      <c r="N20" s="41">
        <f>IF(DataEntry!E19&gt;0,IF(L20=0,0,(L20/(ABS(L20)+M20))*R20),"")</f>
      </c>
      <c r="O20" s="41">
        <f>IF(DataEntry!E19&gt;0,IF(M20=0,0,(M20/(ABS(L20)+M20))*R20),"")</f>
      </c>
      <c r="P20" s="42"/>
      <c r="Q20" s="41">
        <f>IF(DataEntry!E19&gt;0,O20^2,"")</f>
      </c>
      <c r="R20" s="43">
        <f>IF(DataEntry!E19&gt;0,SQRT((J20-$J$1)^2+(K20-$K$1)^2),"")</f>
      </c>
      <c r="S20" s="41">
        <f>IF(DataEntry!E19&gt;0,DataEntry!J19,"")</f>
      </c>
      <c r="T20" s="42">
        <f>IF(DataEntry!E19&gt;0,IF(AND(ABS(N20)&gt;S20,ABS(O20)&gt;S20),$R$5,IF(ABS(N20)&gt;S20,$R$6,IF(ABS(O20)&gt;S20,$R$7,IF(ABS(N20)+ABS(O20)&gt;S20,$R$8,$R$9)))),"")</f>
      </c>
      <c r="AB20" s="32">
        <f t="shared" si="1"/>
        <v>-0.5030905809055404</v>
      </c>
      <c r="AC20" s="32">
        <f t="shared" si="0"/>
        <v>3.867739134533286</v>
      </c>
      <c r="AD20" s="32"/>
      <c r="AE20" s="32"/>
      <c r="AF20" s="15"/>
    </row>
    <row r="21" spans="8:32" ht="12.75">
      <c r="H21">
        <v>11</v>
      </c>
      <c r="I21" s="40">
        <f>IF(DataEntry!E20&gt;0,DataEntry!B20,"")</f>
      </c>
      <c r="J21" s="40">
        <f>IF(DataEntry!E20&gt;0,DataEntry!D20,"")</f>
      </c>
      <c r="K21" s="40">
        <f>IF(DataEntry!E20&gt;0,DataEntry!G20,"")</f>
      </c>
      <c r="L21" s="41">
        <f>IF(DataEntry!E20&gt;0,((K21-$K$1)+(J21-$J$1))/SQRT(2),"")</f>
      </c>
      <c r="M21" s="41">
        <f>IF(DataEntry!E20&gt;0,SQRT((J21-(L21/SQRT(2)+$J$1))^2+(K21-(L21/SQRT(2)+$K$1))^2),"")</f>
      </c>
      <c r="N21" s="41">
        <f>IF(DataEntry!E20&gt;0,IF(L21=0,0,(L21/(ABS(L21)+M21))*R21),"")</f>
      </c>
      <c r="O21" s="41">
        <f>IF(DataEntry!E20&gt;0,IF(M21=0,0,(M21/(ABS(L21)+M21))*R21),"")</f>
      </c>
      <c r="P21" s="42"/>
      <c r="Q21" s="41">
        <f>IF(DataEntry!E20&gt;0,O21^2,"")</f>
      </c>
      <c r="R21" s="43">
        <f>IF(DataEntry!E20&gt;0,SQRT((J21-$J$1)^2+(K21-$K$1)^2),"")</f>
      </c>
      <c r="S21" s="41">
        <f>IF(DataEntry!E20&gt;0,DataEntry!J20,"")</f>
      </c>
      <c r="T21" s="42">
        <f>IF(DataEntry!E20&gt;0,IF(AND(ABS(N21)&gt;S21,ABS(O21)&gt;S21),$R$5,IF(ABS(N21)&gt;S21,$R$6,IF(ABS(O21)&gt;S21,$R$7,IF(ABS(N21)+ABS(O21)&gt;S21,$R$8,$R$9)))),"")</f>
      </c>
      <c r="AB21" s="32">
        <f t="shared" si="1"/>
        <v>-0.21693478363332014</v>
      </c>
      <c r="AC21" s="32">
        <f t="shared" si="0"/>
        <v>3.944807243117875</v>
      </c>
      <c r="AD21" s="32"/>
      <c r="AE21" s="32"/>
      <c r="AF21" s="15"/>
    </row>
    <row r="22" spans="8:32" ht="12.75">
      <c r="H22">
        <v>12</v>
      </c>
      <c r="I22" s="40">
        <f>IF(DataEntry!E21&gt;0,DataEntry!B21,"")</f>
      </c>
      <c r="J22" s="40">
        <f>IF(DataEntry!E21&gt;0,DataEntry!D21,"")</f>
      </c>
      <c r="K22" s="40">
        <f>IF(DataEntry!E21&gt;0,DataEntry!G21,"")</f>
      </c>
      <c r="L22" s="41">
        <f>IF(DataEntry!E21&gt;0,((K22-$K$1)+(J22-$J$1))/SQRT(2),"")</f>
      </c>
      <c r="M22" s="41">
        <f>IF(DataEntry!E21&gt;0,SQRT((J22-(L22/SQRT(2)+$J$1))^2+(K22-(L22/SQRT(2)+$K$1))^2),"")</f>
      </c>
      <c r="N22" s="41">
        <f>IF(DataEntry!E21&gt;0,IF(L22=0,0,(L22/(ABS(L22)+M22))*R22),"")</f>
      </c>
      <c r="O22" s="41">
        <f>IF(DataEntry!E21&gt;0,IF(M22=0,0,(M22/(ABS(L22)+M22))*R22),"")</f>
      </c>
      <c r="P22" s="42"/>
      <c r="Q22" s="41">
        <f>IF(DataEntry!E21&gt;0,O22^2,"")</f>
      </c>
      <c r="R22" s="43">
        <f>IF(DataEntry!E21&gt;0,SQRT((J22-$J$1)^2+(K22-$K$1)^2),"")</f>
      </c>
      <c r="S22" s="41">
        <f>IF(DataEntry!E21&gt;0,DataEntry!J21,"")</f>
      </c>
      <c r="T22" s="42">
        <f>IF(DataEntry!E21&gt;0,IF(AND(ABS(N22)&gt;S22,ABS(O22)&gt;S22),$R$5,IF(ABS(N22)&gt;S22,$R$6,IF(ABS(O22)&gt;S22,$R$7,IF(ABS(N22)+ABS(O22)&gt;S22,$R$8,$R$9)))),"")</f>
      </c>
      <c r="AB22" s="32">
        <f t="shared" si="1"/>
        <v>0.0692210136389001</v>
      </c>
      <c r="AC22" s="32">
        <f t="shared" si="0"/>
        <v>4.009356902562461</v>
      </c>
      <c r="AD22" s="32"/>
      <c r="AE22" s="32"/>
      <c r="AF22" s="15"/>
    </row>
    <row r="23" spans="8:32" ht="12.75">
      <c r="H23">
        <v>13</v>
      </c>
      <c r="I23" s="40">
        <f>IF(DataEntry!E22&gt;0,DataEntry!B22,"")</f>
      </c>
      <c r="J23" s="40">
        <f>IF(DataEntry!E22&gt;0,DataEntry!D22,"")</f>
      </c>
      <c r="K23" s="40">
        <f>IF(DataEntry!E22&gt;0,DataEntry!G22,"")</f>
      </c>
      <c r="L23" s="41">
        <f>IF(DataEntry!E22&gt;0,((K23-$K$1)+(J23-$J$1))/SQRT(2),"")</f>
      </c>
      <c r="M23" s="41">
        <f>IF(DataEntry!E22&gt;0,SQRT((J23-(L23/SQRT(2)+$J$1))^2+(K23-(L23/SQRT(2)+$K$1))^2),"")</f>
      </c>
      <c r="N23" s="41">
        <f>IF(DataEntry!E22&gt;0,IF(L23=0,0,(L23/(ABS(L23)+M23))*R23),"")</f>
      </c>
      <c r="O23" s="41">
        <f>IF(DataEntry!E22&gt;0,IF(M23=0,0,(M23/(ABS(L23)+M23))*R23),"")</f>
      </c>
      <c r="P23" s="42"/>
      <c r="Q23" s="41">
        <f>IF(DataEntry!E22&gt;0,O23^2,"")</f>
      </c>
      <c r="R23" s="43">
        <f>IF(DataEntry!E22&gt;0,SQRT((J23-$J$1)^2+(K23-$K$1)^2),"")</f>
      </c>
      <c r="S23" s="41">
        <f>IF(DataEntry!E22&gt;0,DataEntry!J22,"")</f>
      </c>
      <c r="T23" s="42">
        <f>IF(DataEntry!E22&gt;0,IF(AND(ABS(N23)&gt;S23,ABS(O23)&gt;S23),$R$5,IF(ABS(N23)&gt;S23,$R$6,IF(ABS(O23)&gt;S23,$R$7,IF(ABS(N23)+ABS(O23)&gt;S23,$R$8,$R$9)))),"")</f>
      </c>
      <c r="AB23" s="32">
        <f t="shared" si="1"/>
        <v>0.35537681091112033</v>
      </c>
      <c r="AC23" s="32">
        <f t="shared" si="0"/>
        <v>4.061731405987664</v>
      </c>
      <c r="AD23" s="32"/>
      <c r="AE23" s="32"/>
      <c r="AF23" s="15"/>
    </row>
    <row r="24" spans="8:32" ht="12.75">
      <c r="H24">
        <v>14</v>
      </c>
      <c r="I24" s="40">
        <f>IF(DataEntry!E23&gt;0,DataEntry!B23,"")</f>
      </c>
      <c r="J24" s="40">
        <f>IF(DataEntry!E23&gt;0,DataEntry!D23,"")</f>
      </c>
      <c r="K24" s="40">
        <f>IF(DataEntry!E23&gt;0,DataEntry!G23,"")</f>
      </c>
      <c r="L24" s="41">
        <f>IF(DataEntry!E23&gt;0,((K24-$K$1)+(J24-$J$1))/SQRT(2),"")</f>
      </c>
      <c r="M24" s="41">
        <f>IF(DataEntry!E23&gt;0,SQRT((J24-(L24/SQRT(2)+$J$1))^2+(K24-(L24/SQRT(2)+$K$1))^2),"")</f>
      </c>
      <c r="N24" s="41">
        <f>IF(DataEntry!E23&gt;0,IF(L24=0,0,(L24/(ABS(L24)+M24))*R24),"")</f>
      </c>
      <c r="O24" s="41">
        <f>IF(DataEntry!E23&gt;0,IF(M24=0,0,(M24/(ABS(L24)+M24))*R24),"")</f>
      </c>
      <c r="P24" s="42"/>
      <c r="Q24" s="41">
        <f>IF(DataEntry!E23&gt;0,O24^2,"")</f>
      </c>
      <c r="R24" s="43">
        <f>IF(DataEntry!E23&gt;0,SQRT((J24-$J$1)^2+(K24-$K$1)^2),"")</f>
      </c>
      <c r="S24" s="41">
        <f>IF(DataEntry!E23&gt;0,DataEntry!J23,"")</f>
      </c>
      <c r="T24" s="42">
        <f>IF(DataEntry!E23&gt;0,IF(AND(ABS(N24)&gt;S24,ABS(O24)&gt;S24),$R$5,IF(ABS(N24)&gt;S24,$R$6,IF(ABS(O24)&gt;S24,$R$7,IF(ABS(N24)+ABS(O24)&gt;S24,$R$8,$R$9)))),"")</f>
      </c>
      <c r="AB24" s="32">
        <f t="shared" si="1"/>
        <v>0.6415326081833406</v>
      </c>
      <c r="AC24" s="32">
        <f t="shared" si="0"/>
        <v>4.102200112113147</v>
      </c>
      <c r="AD24" s="32"/>
      <c r="AE24" s="32"/>
      <c r="AF24" s="15"/>
    </row>
    <row r="25" spans="8:32" ht="12.75">
      <c r="H25">
        <v>15</v>
      </c>
      <c r="I25" s="40">
        <f>IF(DataEntry!E24&gt;0,DataEntry!B24,"")</f>
      </c>
      <c r="J25" s="40">
        <f>IF(DataEntry!E24&gt;0,DataEntry!D24,"")</f>
      </c>
      <c r="K25" s="40">
        <f>IF(DataEntry!E24&gt;0,DataEntry!G24,"")</f>
      </c>
      <c r="L25" s="41">
        <f>IF(DataEntry!E24&gt;0,((K25-$K$1)+(J25-$J$1))/SQRT(2),"")</f>
      </c>
      <c r="M25" s="41">
        <f>IF(DataEntry!E24&gt;0,SQRT((J25-(L25/SQRT(2)+$J$1))^2+(K25-(L25/SQRT(2)+$K$1))^2),"")</f>
      </c>
      <c r="N25" s="41">
        <f>IF(DataEntry!E24&gt;0,IF(L25=0,0,(L25/(ABS(L25)+M25))*R25),"")</f>
      </c>
      <c r="O25" s="41">
        <f>IF(DataEntry!E24&gt;0,IF(M25=0,0,(M25/(ABS(L25)+M25))*R25),"")</f>
      </c>
      <c r="P25" s="42"/>
      <c r="Q25" s="41">
        <f>IF(DataEntry!E24&gt;0,O25^2,"")</f>
      </c>
      <c r="R25" s="43">
        <f>IF(DataEntry!E24&gt;0,SQRT((J25-$J$1)^2+(K25-$K$1)^2),"")</f>
      </c>
      <c r="S25" s="41">
        <f>IF(DataEntry!E24&gt;0,DataEntry!J24,"")</f>
      </c>
      <c r="T25" s="42">
        <f>IF(DataEntry!E24&gt;0,IF(AND(ABS(N25)&gt;S25,ABS(O25)&gt;S25),$R$5,IF(ABS(N25)&gt;S25,$R$6,IF(ABS(O25)&gt;S25,$R$7,IF(ABS(N25)+ABS(O25)&gt;S25,$R$8,$R$9)))),"")</f>
      </c>
      <c r="AB25" s="32">
        <f t="shared" si="1"/>
        <v>0.9276884054555607</v>
      </c>
      <c r="AC25" s="32">
        <f t="shared" si="0"/>
        <v>4.1309657224013145</v>
      </c>
      <c r="AD25" s="32"/>
      <c r="AE25" s="32"/>
      <c r="AF25" s="15"/>
    </row>
    <row r="26" spans="8:32" ht="12.75">
      <c r="H26">
        <v>16</v>
      </c>
      <c r="I26" s="40">
        <f>IF(DataEntry!E25&gt;0,DataEntry!B25,"")</f>
      </c>
      <c r="J26" s="40">
        <f>IF(DataEntry!E25&gt;0,DataEntry!D25,"")</f>
      </c>
      <c r="K26" s="40">
        <f>IF(DataEntry!E25&gt;0,DataEntry!G25,"")</f>
      </c>
      <c r="L26" s="41">
        <f>IF(DataEntry!E25&gt;0,((K26-$K$1)+(J26-$J$1))/SQRT(2),"")</f>
      </c>
      <c r="M26" s="41">
        <f>IF(DataEntry!E25&gt;0,SQRT((J26-(L26/SQRT(2)+$J$1))^2+(K26-(L26/SQRT(2)+$K$1))^2),"")</f>
      </c>
      <c r="N26" s="41">
        <f>IF(DataEntry!E25&gt;0,IF(L26=0,0,(L26/(ABS(L26)+M26))*R26),"")</f>
      </c>
      <c r="O26" s="41">
        <f>IF(DataEntry!E25&gt;0,IF(M26=0,0,(M26/(ABS(L26)+M26))*R26),"")</f>
      </c>
      <c r="P26" s="42"/>
      <c r="Q26" s="41">
        <f>IF(DataEntry!E25&gt;0,O26^2,"")</f>
      </c>
      <c r="R26" s="43">
        <f>IF(DataEntry!E25&gt;0,SQRT((J26-$J$1)^2+(K26-$K$1)^2),"")</f>
      </c>
      <c r="S26" s="41">
        <f>IF(DataEntry!E25&gt;0,DataEntry!J25,"")</f>
      </c>
      <c r="T26" s="42">
        <f>IF(DataEntry!E25&gt;0,IF(AND(ABS(N26)&gt;S26,ABS(O26)&gt;S26),$R$5,IF(ABS(N26)&gt;S26,$R$6,IF(ABS(O26)&gt;S26,$R$7,IF(ABS(N26)+ABS(O26)&gt;S26,$R$8,$R$9)))),"")</f>
      </c>
      <c r="AB26" s="32">
        <f t="shared" si="1"/>
        <v>1.213844202727781</v>
      </c>
      <c r="AC26" s="32">
        <f t="shared" si="0"/>
        <v>4.148169524780452</v>
      </c>
      <c r="AD26" s="32"/>
      <c r="AE26" s="32"/>
      <c r="AF26" s="15"/>
    </row>
    <row r="27" spans="8:32" ht="12.75">
      <c r="H27">
        <v>17</v>
      </c>
      <c r="I27" s="40">
        <f>IF(DataEntry!E26&gt;0,DataEntry!B26,"")</f>
      </c>
      <c r="J27" s="40">
        <f>IF(DataEntry!E26&gt;0,DataEntry!D26,"")</f>
      </c>
      <c r="K27" s="40">
        <f>IF(DataEntry!E26&gt;0,DataEntry!G26,"")</f>
      </c>
      <c r="L27" s="41">
        <f>IF(DataEntry!E26&gt;0,((K27-$K$1)+(J27-$J$1))/SQRT(2),"")</f>
      </c>
      <c r="M27" s="41">
        <f>IF(DataEntry!E26&gt;0,SQRT((J27-(L27/SQRT(2)+$J$1))^2+(K27-(L27/SQRT(2)+$K$1))^2),"")</f>
      </c>
      <c r="N27" s="41">
        <f>IF(DataEntry!E26&gt;0,IF(L27=0,0,(L27/(ABS(L27)+M27))*R27),"")</f>
      </c>
      <c r="O27" s="41">
        <f>IF(DataEntry!E26&gt;0,IF(M27=0,0,(M27/(ABS(L27)+M27))*R27),"")</f>
      </c>
      <c r="P27" s="42"/>
      <c r="Q27" s="41">
        <f>IF(DataEntry!E26&gt;0,O27^2,"")</f>
      </c>
      <c r="R27" s="43">
        <f>IF(DataEntry!E26&gt;0,SQRT((J27-$J$1)^2+(K27-$K$1)^2),"")</f>
      </c>
      <c r="S27" s="41">
        <f>IF(DataEntry!E26&gt;0,DataEntry!J26,"")</f>
      </c>
      <c r="T27" s="42">
        <f>IF(DataEntry!E26&gt;0,IF(AND(ABS(N27)&gt;S27,ABS(O27)&gt;S27),$R$5,IF(ABS(N27)&gt;S27,$R$6,IF(ABS(O27)&gt;S27,$R$7,IF(ABS(N27)+ABS(O27)&gt;S27,$R$8,$R$9)))),"")</f>
      </c>
      <c r="AB27" s="32">
        <f t="shared" si="1"/>
        <v>1.500000000000001</v>
      </c>
      <c r="AC27" s="32">
        <f t="shared" si="0"/>
        <v>4.153894931805506</v>
      </c>
      <c r="AD27" s="32"/>
      <c r="AE27" s="32"/>
      <c r="AF27" s="15"/>
    </row>
    <row r="28" spans="8:32" ht="12.75">
      <c r="H28">
        <v>18</v>
      </c>
      <c r="I28" s="40">
        <f>IF(DataEntry!E27&gt;0,DataEntry!B27,"")</f>
      </c>
      <c r="J28" s="40">
        <f>IF(DataEntry!E27&gt;0,DataEntry!D27,"")</f>
      </c>
      <c r="K28" s="40">
        <f>IF(DataEntry!E27&gt;0,DataEntry!G27,"")</f>
      </c>
      <c r="L28" s="41">
        <f>IF(DataEntry!E27&gt;0,((K28-$K$1)+(J28-$J$1))/SQRT(2),"")</f>
      </c>
      <c r="M28" s="41">
        <f>IF(DataEntry!E27&gt;0,SQRT((J28-(L28/SQRT(2)+$J$1))^2+(K28-(L28/SQRT(2)+$K$1))^2),"")</f>
      </c>
      <c r="N28" s="41">
        <f>IF(DataEntry!E27&gt;0,IF(L28=0,0,(L28/(ABS(L28)+M28))*R28),"")</f>
      </c>
      <c r="O28" s="41">
        <f>IF(DataEntry!E27&gt;0,IF(M28=0,0,(M28/(ABS(L28)+M28))*R28),"")</f>
      </c>
      <c r="P28" s="42"/>
      <c r="Q28" s="41">
        <f>IF(DataEntry!E27&gt;0,O28^2,"")</f>
      </c>
      <c r="R28" s="43">
        <f>IF(DataEntry!E27&gt;0,SQRT((J28-$J$1)^2+(K28-$K$1)^2),"")</f>
      </c>
      <c r="S28" s="41">
        <f>IF(DataEntry!E27&gt;0,DataEntry!J27,"")</f>
      </c>
      <c r="T28" s="42">
        <f>IF(DataEntry!E27&gt;0,IF(AND(ABS(N28)&gt;S28,ABS(O28)&gt;S28),$R$5,IF(ABS(N28)&gt;S28,$R$6,IF(ABS(O28)&gt;S28,$R$7,IF(ABS(N28)+ABS(O28)&gt;S28,$R$8,$R$9)))),"")</f>
      </c>
      <c r="AB28" s="32">
        <f t="shared" si="1"/>
        <v>1.7861557972722213</v>
      </c>
      <c r="AC28" s="32">
        <f t="shared" si="0"/>
        <v>4.148169524780452</v>
      </c>
      <c r="AD28" s="32"/>
      <c r="AE28" s="32"/>
      <c r="AF28" s="15"/>
    </row>
    <row r="29" spans="8:32" ht="12.75">
      <c r="H29">
        <v>19</v>
      </c>
      <c r="I29" s="40">
        <f>IF(DataEntry!E28&gt;0,DataEntry!B28,"")</f>
      </c>
      <c r="J29" s="40">
        <f>IF(DataEntry!E28&gt;0,DataEntry!D28,"")</f>
      </c>
      <c r="K29" s="40">
        <f>IF(DataEntry!E28&gt;0,DataEntry!G28,"")</f>
      </c>
      <c r="L29" s="41">
        <f>IF(DataEntry!E28&gt;0,((K29-$K$1)+(J29-$J$1))/SQRT(2),"")</f>
      </c>
      <c r="M29" s="41">
        <f>IF(DataEntry!E28&gt;0,SQRT((J29-(L29/SQRT(2)+$J$1))^2+(K29-(L29/SQRT(2)+$K$1))^2),"")</f>
      </c>
      <c r="N29" s="41">
        <f>IF(DataEntry!E28&gt;0,IF(L29=0,0,(L29/(ABS(L29)+M29))*R29),"")</f>
      </c>
      <c r="O29" s="41">
        <f>IF(DataEntry!E28&gt;0,IF(M29=0,0,(M29/(ABS(L29)+M29))*R29),"")</f>
      </c>
      <c r="P29" s="42"/>
      <c r="Q29" s="41">
        <f>IF(DataEntry!E28&gt;0,O29^2,"")</f>
      </c>
      <c r="R29" s="43">
        <f>IF(DataEntry!E28&gt;0,SQRT((J29-$J$1)^2+(K29-$K$1)^2),"")</f>
      </c>
      <c r="S29" s="41">
        <f>IF(DataEntry!E28&gt;0,DataEntry!J28,"")</f>
      </c>
      <c r="T29" s="42">
        <f>IF(DataEntry!E28&gt;0,IF(AND(ABS(N29)&gt;S29,ABS(O29)&gt;S29),$R$5,IF(ABS(N29)&gt;S29,$R$6,IF(ABS(O29)&gt;S29,$R$7,IF(ABS(N29)+ABS(O29)&gt;S29,$R$8,$R$9)))),"")</f>
      </c>
      <c r="AB29" s="32">
        <f t="shared" si="1"/>
        <v>2.0723115945444417</v>
      </c>
      <c r="AC29" s="32">
        <f t="shared" si="0"/>
        <v>4.1309657224013145</v>
      </c>
      <c r="AD29" s="32"/>
      <c r="AE29" s="32"/>
      <c r="AF29" s="15"/>
    </row>
    <row r="30" spans="8:32" ht="12.75">
      <c r="H30">
        <v>20</v>
      </c>
      <c r="I30" s="40">
        <f>IF(DataEntry!E29&gt;0,DataEntry!B29,"")</f>
      </c>
      <c r="J30" s="40">
        <f>IF(DataEntry!E29&gt;0,DataEntry!D29,"")</f>
      </c>
      <c r="K30" s="40">
        <f>IF(DataEntry!E29&gt;0,DataEntry!G29,"")</f>
      </c>
      <c r="L30" s="41">
        <f>IF(DataEntry!E29&gt;0,((K30-$K$1)+(J30-$J$1))/SQRT(2),"")</f>
      </c>
      <c r="M30" s="41">
        <f>IF(DataEntry!E29&gt;0,SQRT((J30-(L30/SQRT(2)+$J$1))^2+(K30-(L30/SQRT(2)+$K$1))^2),"")</f>
      </c>
      <c r="N30" s="41">
        <f>IF(DataEntry!E29&gt;0,IF(L30=0,0,(L30/(ABS(L30)+M30))*R30),"")</f>
      </c>
      <c r="O30" s="41">
        <f>IF(DataEntry!E29&gt;0,IF(M30=0,0,(M30/(ABS(L30)+M30))*R30),"")</f>
      </c>
      <c r="P30" s="42"/>
      <c r="Q30" s="41">
        <f>IF(DataEntry!E29&gt;0,O30^2,"")</f>
      </c>
      <c r="R30" s="43">
        <f>IF(DataEntry!E29&gt;0,SQRT((J30-$J$1)^2+(K30-$K$1)^2),"")</f>
      </c>
      <c r="S30" s="41">
        <f>IF(DataEntry!E29&gt;0,DataEntry!J29,"")</f>
      </c>
      <c r="T30" s="42">
        <f>IF(DataEntry!E29&gt;0,IF(AND(ABS(N30)&gt;S30,ABS(O30)&gt;S30),$R$5,IF(ABS(N30)&gt;S30,$R$6,IF(ABS(O30)&gt;S30,$R$7,IF(ABS(N30)+ABS(O30)&gt;S30,$R$8,$R$9)))),"")</f>
      </c>
      <c r="AB30" s="32">
        <f t="shared" si="1"/>
        <v>2.358467391816662</v>
      </c>
      <c r="AC30" s="32">
        <f t="shared" si="0"/>
        <v>4.102200112113147</v>
      </c>
      <c r="AD30" s="32"/>
      <c r="AE30" s="32"/>
      <c r="AF30" s="15"/>
    </row>
    <row r="31" spans="8:32" ht="12.75">
      <c r="H31">
        <v>21</v>
      </c>
      <c r="I31" s="40">
        <f>IF(DataEntry!E30&gt;0,DataEntry!B30,"")</f>
      </c>
      <c r="J31" s="40">
        <f>IF(DataEntry!E30&gt;0,DataEntry!D30,"")</f>
      </c>
      <c r="K31" s="40">
        <f>IF(DataEntry!E30&gt;0,DataEntry!G30,"")</f>
      </c>
      <c r="L31" s="41">
        <f>IF(DataEntry!E30&gt;0,((K31-$K$1)+(J31-$J$1))/SQRT(2),"")</f>
      </c>
      <c r="M31" s="41">
        <f>IF(DataEntry!E30&gt;0,SQRT((J31-(L31/SQRT(2)+$J$1))^2+(K31-(L31/SQRT(2)+$K$1))^2),"")</f>
      </c>
      <c r="N31" s="41">
        <f>IF(DataEntry!E30&gt;0,IF(L31=0,0,(L31/(ABS(L31)+M31))*R31),"")</f>
      </c>
      <c r="O31" s="41">
        <f>IF(DataEntry!E30&gt;0,IF(M31=0,0,(M31/(ABS(L31)+M31))*R31),"")</f>
      </c>
      <c r="P31" s="42"/>
      <c r="Q31" s="41">
        <f>IF(DataEntry!E30&gt;0,O31^2,"")</f>
      </c>
      <c r="R31" s="43">
        <f>IF(DataEntry!E30&gt;0,SQRT((J31-$J$1)^2+(K31-$K$1)^2),"")</f>
      </c>
      <c r="S31" s="41">
        <f>IF(DataEntry!E30&gt;0,DataEntry!J30,"")</f>
      </c>
      <c r="T31" s="42">
        <f>IF(DataEntry!E30&gt;0,IF(AND(ABS(N31)&gt;S31,ABS(O31)&gt;S31),$R$5,IF(ABS(N31)&gt;S31,$R$6,IF(ABS(O31)&gt;S31,$R$7,IF(ABS(N31)+ABS(O31)&gt;S31,$R$8,$R$9)))),"")</f>
      </c>
      <c r="AB31" s="32">
        <f t="shared" si="1"/>
        <v>2.644623189088882</v>
      </c>
      <c r="AC31" s="32">
        <f t="shared" si="0"/>
        <v>4.061731405987663</v>
      </c>
      <c r="AD31" s="32"/>
      <c r="AE31" s="32"/>
      <c r="AF31" s="15"/>
    </row>
    <row r="32" spans="8:32" ht="12.75">
      <c r="H32">
        <v>22</v>
      </c>
      <c r="I32" s="40">
        <f>IF(DataEntry!E31&gt;0,DataEntry!B31,"")</f>
      </c>
      <c r="J32" s="40">
        <f>IF(DataEntry!E31&gt;0,DataEntry!D31,"")</f>
      </c>
      <c r="K32" s="40">
        <f>IF(DataEntry!E31&gt;0,DataEntry!G31,"")</f>
      </c>
      <c r="L32" s="41">
        <f>IF(DataEntry!E31&gt;0,((K32-$K$1)+(J32-$J$1))/SQRT(2),"")</f>
      </c>
      <c r="M32" s="41">
        <f>IF(DataEntry!E31&gt;0,SQRT((J32-(L32/SQRT(2)+$J$1))^2+(K32-(L32/SQRT(2)+$K$1))^2),"")</f>
      </c>
      <c r="N32" s="41">
        <f>IF(DataEntry!E31&gt;0,IF(L32=0,0,(L32/(ABS(L32)+M32))*R32),"")</f>
      </c>
      <c r="O32" s="41">
        <f>IF(DataEntry!E31&gt;0,IF(M32=0,0,(M32/(ABS(L32)+M32))*R32),"")</f>
      </c>
      <c r="P32" s="42"/>
      <c r="Q32" s="41">
        <f>IF(DataEntry!E31&gt;0,O32^2,"")</f>
      </c>
      <c r="R32" s="43">
        <f>IF(DataEntry!E31&gt;0,SQRT((J32-$J$1)^2+(K32-$K$1)^2),"")</f>
      </c>
      <c r="S32" s="41">
        <f>IF(DataEntry!E31&gt;0,DataEntry!J31,"")</f>
      </c>
      <c r="T32" s="42">
        <f>IF(DataEntry!E31&gt;0,IF(AND(ABS(N32)&gt;S32,ABS(O32)&gt;S32),$R$5,IF(ABS(N32)&gt;S32,$R$6,IF(ABS(O32)&gt;S32,$R$7,IF(ABS(N32)+ABS(O32)&gt;S32,$R$8,$R$9)))),"")</f>
      </c>
      <c r="AB32" s="32">
        <f t="shared" si="1"/>
        <v>2.9307789863611022</v>
      </c>
      <c r="AC32" s="32">
        <f t="shared" si="0"/>
        <v>4.00935690256246</v>
      </c>
      <c r="AD32" s="32"/>
      <c r="AE32" s="32"/>
      <c r="AF32" s="15"/>
    </row>
    <row r="33" spans="8:32" ht="12.75">
      <c r="H33">
        <v>23</v>
      </c>
      <c r="I33" s="40">
        <f>IF(DataEntry!E32&gt;0,DataEntry!B32,"")</f>
      </c>
      <c r="J33" s="40">
        <f>IF(DataEntry!E32&gt;0,DataEntry!D32,"")</f>
      </c>
      <c r="K33" s="40">
        <f>IF(DataEntry!E32&gt;0,DataEntry!G32,"")</f>
      </c>
      <c r="L33" s="41">
        <f>IF(DataEntry!E32&gt;0,((K33-$K$1)+(J33-$J$1))/SQRT(2),"")</f>
      </c>
      <c r="M33" s="41">
        <f>IF(DataEntry!E32&gt;0,SQRT((J33-(L33/SQRT(2)+$J$1))^2+(K33-(L33/SQRT(2)+$K$1))^2),"")</f>
      </c>
      <c r="N33" s="41">
        <f>IF(DataEntry!E32&gt;0,IF(L33=0,0,(L33/(ABS(L33)+M33))*R33),"")</f>
      </c>
      <c r="O33" s="41">
        <f>IF(DataEntry!E32&gt;0,IF(M33=0,0,(M33/(ABS(L33)+M33))*R33),"")</f>
      </c>
      <c r="P33" s="42"/>
      <c r="Q33" s="41">
        <f>IF(DataEntry!E32&gt;0,O33^2,"")</f>
      </c>
      <c r="R33" s="43">
        <f>IF(DataEntry!E32&gt;0,SQRT((J33-$J$1)^2+(K33-$K$1)^2),"")</f>
      </c>
      <c r="S33" s="41">
        <f>IF(DataEntry!E32&gt;0,DataEntry!J32,"")</f>
      </c>
      <c r="T33" s="42">
        <f>IF(DataEntry!E32&gt;0,IF(AND(ABS(N33)&gt;S33,ABS(O33)&gt;S33),$R$5,IF(ABS(N33)&gt;S33,$R$6,IF(ABS(O33)&gt;S33,$R$7,IF(ABS(N33)+ABS(O33)&gt;S33,$R$8,$R$9)))),"")</f>
      </c>
      <c r="AB33" s="32">
        <f t="shared" si="1"/>
        <v>3.2169347836333224</v>
      </c>
      <c r="AC33" s="32">
        <f t="shared" si="0"/>
        <v>3.944807243117875</v>
      </c>
      <c r="AD33" s="32"/>
      <c r="AE33" s="32"/>
      <c r="AF33" s="15"/>
    </row>
    <row r="34" spans="8:32" ht="12.75">
      <c r="H34">
        <v>24</v>
      </c>
      <c r="I34" s="40">
        <f>IF(DataEntry!E33&gt;0,DataEntry!B33,"")</f>
      </c>
      <c r="J34" s="40">
        <f>IF(DataEntry!E33&gt;0,DataEntry!D33,"")</f>
      </c>
      <c r="K34" s="40">
        <f>IF(DataEntry!E33&gt;0,DataEntry!G33,"")</f>
      </c>
      <c r="L34" s="41">
        <f>IF(DataEntry!E33&gt;0,((K34-$K$1)+(J34-$J$1))/SQRT(2),"")</f>
      </c>
      <c r="M34" s="41">
        <f>IF(DataEntry!E33&gt;0,SQRT((J34-(L34/SQRT(2)+$J$1))^2+(K34-(L34/SQRT(2)+$K$1))^2),"")</f>
      </c>
      <c r="N34" s="41">
        <f>IF(DataEntry!E33&gt;0,IF(L34=0,0,(L34/(ABS(L34)+M34))*R34),"")</f>
      </c>
      <c r="O34" s="41">
        <f>IF(DataEntry!E33&gt;0,IF(M34=0,0,(M34/(ABS(L34)+M34))*R34),"")</f>
      </c>
      <c r="P34" s="42"/>
      <c r="Q34" s="41">
        <f>IF(DataEntry!E33&gt;0,O34^2,"")</f>
      </c>
      <c r="R34" s="43">
        <f>IF(DataEntry!E33&gt;0,SQRT((J34-$J$1)^2+(K34-$K$1)^2),"")</f>
      </c>
      <c r="S34" s="41">
        <f>IF(DataEntry!E33&gt;0,DataEntry!J33,"")</f>
      </c>
      <c r="T34" s="42">
        <f>IF(DataEntry!E33&gt;0,IF(AND(ABS(N34)&gt;S34,ABS(O34)&gt;S34),$R$5,IF(ABS(N34)&gt;S34,$R$6,IF(ABS(O34)&gt;S34,$R$7,IF(ABS(N34)+ABS(O34)&gt;S34,$R$8,$R$9)))),"")</f>
      </c>
      <c r="AB34" s="32">
        <f t="shared" si="1"/>
        <v>3.5030905809055426</v>
      </c>
      <c r="AC34" s="32">
        <f t="shared" si="0"/>
        <v>3.867739134533285</v>
      </c>
      <c r="AD34" s="32"/>
      <c r="AE34" s="32"/>
      <c r="AF34" s="15"/>
    </row>
    <row r="35" spans="8:32" ht="12.75">
      <c r="H35">
        <v>25</v>
      </c>
      <c r="I35" s="40">
        <f>IF(DataEntry!E34&gt;0,DataEntry!B34,"")</f>
      </c>
      <c r="J35" s="40">
        <f>IF(DataEntry!E34&gt;0,DataEntry!D34,"")</f>
      </c>
      <c r="K35" s="40">
        <f>IF(DataEntry!E34&gt;0,DataEntry!G34,"")</f>
      </c>
      <c r="L35" s="41">
        <f>IF(DataEntry!E34&gt;0,((K35-$K$1)+(J35-$J$1))/SQRT(2),"")</f>
      </c>
      <c r="M35" s="41">
        <f>IF(DataEntry!E34&gt;0,SQRT((J35-(L35/SQRT(2)+$J$1))^2+(K35-(L35/SQRT(2)+$K$1))^2),"")</f>
      </c>
      <c r="N35" s="41">
        <f>IF(DataEntry!E34&gt;0,IF(L35=0,0,(L35/(ABS(L35)+M35))*R35),"")</f>
      </c>
      <c r="O35" s="41">
        <f>IF(DataEntry!E34&gt;0,IF(M35=0,0,(M35/(ABS(L35)+M35))*R35),"")</f>
      </c>
      <c r="P35" s="42"/>
      <c r="Q35" s="41">
        <f>IF(DataEntry!E34&gt;0,O35^2,"")</f>
      </c>
      <c r="R35" s="43">
        <f>IF(DataEntry!E34&gt;0,SQRT((J35-$J$1)^2+(K35-$K$1)^2),"")</f>
      </c>
      <c r="S35" s="41">
        <f>IF(DataEntry!E34&gt;0,DataEntry!J34,"")</f>
      </c>
      <c r="T35" s="42">
        <f>IF(DataEntry!E34&gt;0,IF(AND(ABS(N35)&gt;S35,ABS(O35)&gt;S35),$R$5,IF(ABS(N35)&gt;S35,$R$6,IF(ABS(O35)&gt;S35,$R$7,IF(ABS(N35)+ABS(O35)&gt;S35,$R$8,$R$9)))),"")</f>
      </c>
      <c r="AB35" s="32">
        <f t="shared" si="1"/>
        <v>3.7892463781777628</v>
      </c>
      <c r="AC35" s="32">
        <f t="shared" si="0"/>
        <v>3.777725556210763</v>
      </c>
      <c r="AD35" s="32"/>
      <c r="AE35" s="32"/>
      <c r="AF35" s="15"/>
    </row>
    <row r="36" spans="8:32" ht="12.75">
      <c r="H36">
        <v>26</v>
      </c>
      <c r="I36" s="40">
        <f>IF(DataEntry!E35&gt;0,DataEntry!B35,"")</f>
      </c>
      <c r="J36" s="40">
        <f>IF(DataEntry!E35&gt;0,DataEntry!D35,"")</f>
      </c>
      <c r="K36" s="40">
        <f>IF(DataEntry!E35&gt;0,DataEntry!G35,"")</f>
      </c>
      <c r="L36" s="41">
        <f>IF(DataEntry!E35&gt;0,((K36-$K$1)+(J36-$J$1))/SQRT(2),"")</f>
      </c>
      <c r="M36" s="41">
        <f>IF(DataEntry!E35&gt;0,SQRT((J36-(L36/SQRT(2)+$J$1))^2+(K36-(L36/SQRT(2)+$K$1))^2),"")</f>
      </c>
      <c r="N36" s="41">
        <f>IF(DataEntry!E35&gt;0,IF(L36=0,0,(L36/(ABS(L36)+M36))*R36),"")</f>
      </c>
      <c r="O36" s="41">
        <f>IF(DataEntry!E35&gt;0,IF(M36=0,0,(M36/(ABS(L36)+M36))*R36),"")</f>
      </c>
      <c r="P36" s="42"/>
      <c r="Q36" s="41">
        <f>IF(DataEntry!E35&gt;0,O36^2,"")</f>
      </c>
      <c r="R36" s="43">
        <f>IF(DataEntry!E35&gt;0,SQRT((J36-$J$1)^2+(K36-$K$1)^2),"")</f>
      </c>
      <c r="S36" s="41">
        <f>IF(DataEntry!E35&gt;0,DataEntry!J35,"")</f>
      </c>
      <c r="T36" s="42">
        <f>IF(DataEntry!E35&gt;0,IF(AND(ABS(N36)&gt;S36,ABS(O36)&gt;S36),$R$5,IF(ABS(N36)&gt;S36,$R$6,IF(ABS(O36)&gt;S36,$R$7,IF(ABS(N36)+ABS(O36)&gt;S36,$R$8,$R$9)))),"")</f>
      </c>
      <c r="AB36" s="32">
        <f t="shared" si="1"/>
        <v>4.075402175449983</v>
      </c>
      <c r="AC36" s="32">
        <f t="shared" si="0"/>
        <v>3.674242753301681</v>
      </c>
      <c r="AD36" s="32"/>
      <c r="AE36" s="32"/>
      <c r="AF36" s="15"/>
    </row>
    <row r="37" spans="8:32" ht="12.75">
      <c r="H37">
        <v>27</v>
      </c>
      <c r="I37" s="40">
        <f>IF(DataEntry!E36&gt;0,DataEntry!B36,"")</f>
      </c>
      <c r="J37" s="40">
        <f>IF(DataEntry!E36&gt;0,DataEntry!D36,"")</f>
      </c>
      <c r="K37" s="40">
        <f>IF(DataEntry!E36&gt;0,DataEntry!G36,"")</f>
      </c>
      <c r="L37" s="41">
        <f>IF(DataEntry!E36&gt;0,((K37-$K$1)+(J37-$J$1))/SQRT(2),"")</f>
      </c>
      <c r="M37" s="41">
        <f>IF(DataEntry!E36&gt;0,SQRT((J37-(L37/SQRT(2)+$J$1))^2+(K37-(L37/SQRT(2)+$K$1))^2),"")</f>
      </c>
      <c r="N37" s="41">
        <f>IF(DataEntry!E36&gt;0,IF(L37=0,0,(L37/(ABS(L37)+M37))*R37),"")</f>
      </c>
      <c r="O37" s="41">
        <f>IF(DataEntry!E36&gt;0,IF(M37=0,0,(M37/(ABS(L37)+M37))*R37),"")</f>
      </c>
      <c r="P37" s="42"/>
      <c r="Q37" s="41">
        <f>IF(DataEntry!E36&gt;0,O37^2,"")</f>
      </c>
      <c r="R37" s="43">
        <f>IF(DataEntry!E36&gt;0,SQRT((J37-$J$1)^2+(K37-$K$1)^2),"")</f>
      </c>
      <c r="S37" s="41">
        <f>IF(DataEntry!E36&gt;0,DataEntry!J36,"")</f>
      </c>
      <c r="T37" s="42">
        <f>IF(DataEntry!E36&gt;0,IF(AND(ABS(N37)&gt;S37,ABS(O37)&gt;S37),$R$5,IF(ABS(N37)&gt;S37,$R$6,IF(ABS(O37)&gt;S37,$R$7,IF(ABS(N37)+ABS(O37)&gt;S37,$R$8,$R$9)))),"")</f>
      </c>
      <c r="AB37" s="32">
        <f t="shared" si="1"/>
        <v>4.361557972722204</v>
      </c>
      <c r="AC37" s="32">
        <f t="shared" si="0"/>
        <v>3.556653007751935</v>
      </c>
      <c r="AD37" s="32"/>
      <c r="AE37" s="32"/>
      <c r="AF37" s="15"/>
    </row>
    <row r="38" spans="8:32" ht="12.75">
      <c r="H38">
        <v>28</v>
      </c>
      <c r="I38" s="40">
        <f>IF(DataEntry!E37&gt;0,DataEntry!B37,"")</f>
      </c>
      <c r="J38" s="40">
        <f>IF(DataEntry!E37&gt;0,DataEntry!D37,"")</f>
      </c>
      <c r="K38" s="40">
        <f>IF(DataEntry!E37&gt;0,DataEntry!G37,"")</f>
      </c>
      <c r="L38" s="41">
        <f>IF(DataEntry!E37&gt;0,((K38-$K$1)+(J38-$J$1))/SQRT(2),"")</f>
      </c>
      <c r="M38" s="41">
        <f>IF(DataEntry!E37&gt;0,SQRT((J38-(L38/SQRT(2)+$J$1))^2+(K38-(L38/SQRT(2)+$K$1))^2),"")</f>
      </c>
      <c r="N38" s="41">
        <f>IF(DataEntry!E37&gt;0,IF(L38=0,0,(L38/(ABS(L38)+M38))*R38),"")</f>
      </c>
      <c r="O38" s="41">
        <f>IF(DataEntry!E37&gt;0,IF(M38=0,0,(M38/(ABS(L38)+M38))*R38),"")</f>
      </c>
      <c r="P38" s="42"/>
      <c r="Q38" s="41">
        <f>IF(DataEntry!E37&gt;0,O38^2,"")</f>
      </c>
      <c r="R38" s="43">
        <f>IF(DataEntry!E37&gt;0,SQRT((J38-$J$1)^2+(K38-$K$1)^2),"")</f>
      </c>
      <c r="S38" s="41">
        <f>IF(DataEntry!E37&gt;0,DataEntry!J37,"")</f>
      </c>
      <c r="T38" s="42">
        <f>IF(DataEntry!E37&gt;0,IF(AND(ABS(N38)&gt;S38,ABS(O38)&gt;S38),$R$5,IF(ABS(N38)&gt;S38,$R$6,IF(ABS(O38)&gt;S38,$R$7,IF(ABS(N38)+ABS(O38)&gt;S38,$R$8,$R$9)))),"")</f>
      </c>
      <c r="AB38" s="32">
        <f t="shared" si="1"/>
        <v>4.647713769994424</v>
      </c>
      <c r="AC38" s="32">
        <f t="shared" si="0"/>
        <v>3.424181715790735</v>
      </c>
      <c r="AD38" s="32"/>
      <c r="AE38" s="32"/>
      <c r="AF38" s="15"/>
    </row>
    <row r="39" spans="8:32" ht="12.75">
      <c r="H39">
        <v>29</v>
      </c>
      <c r="I39" s="40">
        <f>IF(DataEntry!E38&gt;0,DataEntry!B38,"")</f>
      </c>
      <c r="J39" s="40">
        <f>IF(DataEntry!E38&gt;0,DataEntry!D38,"")</f>
      </c>
      <c r="K39" s="40">
        <f>IF(DataEntry!E38&gt;0,DataEntry!G38,"")</f>
      </c>
      <c r="L39" s="41">
        <f>IF(DataEntry!E38&gt;0,((K39-$K$1)+(J39-$J$1))/SQRT(2),"")</f>
      </c>
      <c r="M39" s="41">
        <f>IF(DataEntry!E38&gt;0,SQRT((J39-(L39/SQRT(2)+$J$1))^2+(K39-(L39/SQRT(2)+$K$1))^2),"")</f>
      </c>
      <c r="N39" s="41">
        <f>IF(DataEntry!E38&gt;0,IF(L39=0,0,(L39/(ABS(L39)+M39))*R39),"")</f>
      </c>
      <c r="O39" s="41">
        <f>IF(DataEntry!E38&gt;0,IF(M39=0,0,(M39/(ABS(L39)+M39))*R39),"")</f>
      </c>
      <c r="P39" s="42"/>
      <c r="Q39" s="41">
        <f>IF(DataEntry!E38&gt;0,O39^2,"")</f>
      </c>
      <c r="R39" s="43">
        <f>IF(DataEntry!E38&gt;0,SQRT((J39-$J$1)^2+(K39-$K$1)^2),"")</f>
      </c>
      <c r="S39" s="41">
        <f>IF(DataEntry!E38&gt;0,DataEntry!J38,"")</f>
      </c>
      <c r="T39" s="42">
        <f>IF(DataEntry!E38&gt;0,IF(AND(ABS(N39)&gt;S39,ABS(O39)&gt;S39),$R$5,IF(ABS(N39)&gt;S39,$R$6,IF(ABS(O39)&gt;S39,$R$7,IF(ABS(N39)+ABS(O39)&gt;S39,$R$8,$R$9)))),"")</f>
      </c>
      <c r="AB39" s="32">
        <f t="shared" si="1"/>
        <v>4.933869567266645</v>
      </c>
      <c r="AC39" s="32">
        <f t="shared" si="0"/>
        <v>3.275886589981728</v>
      </c>
      <c r="AD39" s="32"/>
      <c r="AE39" s="32"/>
      <c r="AF39" s="15"/>
    </row>
    <row r="40" spans="8:32" ht="12.75">
      <c r="H40">
        <v>30</v>
      </c>
      <c r="I40" s="40">
        <f>IF(DataEntry!E39&gt;0,DataEntry!B39,"")</f>
      </c>
      <c r="J40" s="40">
        <f>IF(DataEntry!E39&gt;0,DataEntry!D39,"")</f>
      </c>
      <c r="K40" s="40">
        <f>IF(DataEntry!E39&gt;0,DataEntry!G39,"")</f>
      </c>
      <c r="L40" s="41">
        <f>IF(DataEntry!E39&gt;0,((K40-$K$1)+(J40-$J$1))/SQRT(2),"")</f>
      </c>
      <c r="M40" s="41">
        <f>IF(DataEntry!E39&gt;0,SQRT((J40-(L40/SQRT(2)+$J$1))^2+(K40-(L40/SQRT(2)+$K$1))^2),"")</f>
      </c>
      <c r="N40" s="41">
        <f>IF(DataEntry!E39&gt;0,IF(L40=0,0,(L40/(ABS(L40)+M40))*R40),"")</f>
      </c>
      <c r="O40" s="41">
        <f>IF(DataEntry!E39&gt;0,IF(M40=0,0,(M40/(ABS(L40)+M40))*R40),"")</f>
      </c>
      <c r="P40" s="42"/>
      <c r="Q40" s="41">
        <f>IF(DataEntry!E39&gt;0,O40^2,"")</f>
      </c>
      <c r="R40" s="43">
        <f>IF(DataEntry!E39&gt;0,SQRT((J40-$J$1)^2+(K40-$K$1)^2),"")</f>
      </c>
      <c r="S40" s="41">
        <f>IF(DataEntry!E39&gt;0,DataEntry!J39,"")</f>
      </c>
      <c r="T40" s="42">
        <f>IF(DataEntry!E39&gt;0,IF(AND(ABS(N40)&gt;S40,ABS(O40)&gt;S40),$R$5,IF(ABS(N40)&gt;S40,$R$6,IF(ABS(O40)&gt;S40,$R$7,IF(ABS(N40)+ABS(O40)&gt;S40,$R$8,$R$9)))),"")</f>
      </c>
      <c r="AB40" s="32">
        <f t="shared" si="1"/>
        <v>5.2200253645388655</v>
      </c>
      <c r="AC40" s="32">
        <f t="shared" si="0"/>
        <v>3.1106156794958055</v>
      </c>
      <c r="AD40" s="32"/>
      <c r="AE40" s="32"/>
      <c r="AF40" s="15"/>
    </row>
    <row r="41" spans="9:32" ht="12.75">
      <c r="I41" s="36"/>
      <c r="J41" s="36"/>
      <c r="K41" s="36"/>
      <c r="L41" s="37"/>
      <c r="M41" s="37"/>
      <c r="N41" s="37"/>
      <c r="O41" s="37"/>
      <c r="P41" s="38"/>
      <c r="Q41" s="38"/>
      <c r="R41" s="39"/>
      <c r="S41" s="37"/>
      <c r="T41" s="38"/>
      <c r="AB41" s="32">
        <f t="shared" si="1"/>
        <v>5.506181161811086</v>
      </c>
      <c r="AC41" s="32">
        <f t="shared" si="0"/>
        <v>2.926949062887455</v>
      </c>
      <c r="AD41" s="32"/>
      <c r="AE41" s="32"/>
      <c r="AF41" s="15"/>
    </row>
    <row r="42" spans="9:32" ht="12.75">
      <c r="I42" s="36"/>
      <c r="J42" s="36"/>
      <c r="K42" s="36"/>
      <c r="L42" s="37"/>
      <c r="M42" s="37"/>
      <c r="N42" s="37"/>
      <c r="O42" s="37"/>
      <c r="P42" s="38"/>
      <c r="Q42" s="38"/>
      <c r="R42" s="38"/>
      <c r="S42" s="39"/>
      <c r="T42" s="38"/>
      <c r="AB42" s="32">
        <f t="shared" si="1"/>
        <v>5.792336959083307</v>
      </c>
      <c r="AC42" s="32">
        <f t="shared" si="0"/>
        <v>2.7231159454444027</v>
      </c>
      <c r="AD42" s="32"/>
      <c r="AE42" s="32"/>
      <c r="AF42" s="15"/>
    </row>
    <row r="43" spans="9:32" ht="12.75">
      <c r="I43" s="36"/>
      <c r="J43" s="36"/>
      <c r="K43" s="36"/>
      <c r="L43" s="37"/>
      <c r="M43" s="37"/>
      <c r="N43" s="37"/>
      <c r="O43" s="37"/>
      <c r="P43" s="38"/>
      <c r="Q43" s="38"/>
      <c r="R43" s="38"/>
      <c r="S43" s="39"/>
      <c r="T43" s="38"/>
      <c r="AB43" s="32">
        <f t="shared" si="1"/>
        <v>6.078492756355527</v>
      </c>
      <c r="AC43" s="32">
        <f t="shared" si="0"/>
        <v>2.496873363587019</v>
      </c>
      <c r="AD43" s="32"/>
      <c r="AE43" s="32"/>
      <c r="AF43" s="15"/>
    </row>
    <row r="44" spans="9:32" ht="12.75">
      <c r="I44" s="36"/>
      <c r="J44" s="36"/>
      <c r="K44" s="36"/>
      <c r="L44" s="37"/>
      <c r="M44" s="37"/>
      <c r="N44" s="37"/>
      <c r="O44" s="37"/>
      <c r="P44" s="38"/>
      <c r="Q44" s="38"/>
      <c r="R44" s="38"/>
      <c r="S44" s="39"/>
      <c r="T44" s="38"/>
      <c r="AB44" s="32">
        <f t="shared" si="1"/>
        <v>6.364648553627748</v>
      </c>
      <c r="AC44" s="32">
        <f t="shared" si="0"/>
        <v>2.245322406201545</v>
      </c>
      <c r="AD44" s="32"/>
      <c r="AE44" s="32"/>
      <c r="AF44" s="15"/>
    </row>
    <row r="45" spans="9:32" ht="12.75">
      <c r="I45" s="36"/>
      <c r="J45" s="36"/>
      <c r="K45" s="36"/>
      <c r="L45" s="37"/>
      <c r="M45" s="37"/>
      <c r="N45" s="37"/>
      <c r="O45" s="37"/>
      <c r="P45" s="38"/>
      <c r="Q45" s="38"/>
      <c r="R45" s="38"/>
      <c r="S45" s="38"/>
      <c r="T45" s="38"/>
      <c r="AB45" s="32">
        <f t="shared" si="1"/>
        <v>6.650804350899969</v>
      </c>
      <c r="AC45" s="32">
        <f t="shared" si="0"/>
        <v>1.9646175314985195</v>
      </c>
      <c r="AD45" s="32"/>
      <c r="AE45" s="32"/>
      <c r="AF45" s="15"/>
    </row>
    <row r="46" spans="9:32" ht="12.75">
      <c r="I46" s="36"/>
      <c r="J46" s="36"/>
      <c r="K46" s="36"/>
      <c r="L46" s="37"/>
      <c r="M46" s="37"/>
      <c r="N46" s="37"/>
      <c r="O46" s="37"/>
      <c r="P46" s="38"/>
      <c r="Q46" s="38"/>
      <c r="R46" s="38"/>
      <c r="S46" s="38"/>
      <c r="T46" s="38"/>
      <c r="AB46" s="32">
        <f t="shared" si="1"/>
        <v>6.936960148172189</v>
      </c>
      <c r="AC46" s="32">
        <f t="shared" si="0"/>
        <v>1.6494813734974727</v>
      </c>
      <c r="AD46" s="32"/>
      <c r="AE46" s="32"/>
      <c r="AF46" s="15"/>
    </row>
    <row r="47" spans="9:32" ht="12.75">
      <c r="I47" s="36"/>
      <c r="J47" s="36"/>
      <c r="K47" s="36"/>
      <c r="L47" s="37"/>
      <c r="M47" s="37"/>
      <c r="N47" s="37"/>
      <c r="O47" s="37"/>
      <c r="P47" s="38"/>
      <c r="Q47" s="38"/>
      <c r="R47" s="38"/>
      <c r="S47" s="38"/>
      <c r="T47" s="38"/>
      <c r="AB47" s="32">
        <f t="shared" si="1"/>
        <v>7.22311594544441</v>
      </c>
      <c r="AC47" s="32">
        <f t="shared" si="0"/>
        <v>1.292336959083296</v>
      </c>
      <c r="AD47" s="32"/>
      <c r="AE47" s="32"/>
      <c r="AF47" s="15"/>
    </row>
    <row r="48" spans="9:32" ht="12.75">
      <c r="I48" s="36"/>
      <c r="J48" s="36"/>
      <c r="K48" s="36"/>
      <c r="L48" s="37"/>
      <c r="M48" s="37"/>
      <c r="N48" s="37"/>
      <c r="O48" s="37"/>
      <c r="P48" s="38"/>
      <c r="Q48" s="38"/>
      <c r="R48" s="38"/>
      <c r="S48" s="38"/>
      <c r="T48" s="38"/>
      <c r="AB48" s="32">
        <f t="shared" si="1"/>
        <v>7.5092717427166304</v>
      </c>
      <c r="AC48" s="32">
        <f t="shared" si="0"/>
        <v>0.881606087368981</v>
      </c>
      <c r="AD48" s="32"/>
      <c r="AE48" s="32"/>
      <c r="AF48" s="15"/>
    </row>
    <row r="49" spans="9:32" ht="12.75">
      <c r="I49" s="36"/>
      <c r="J49" s="36"/>
      <c r="K49" s="36"/>
      <c r="L49" s="37"/>
      <c r="M49" s="37"/>
      <c r="N49" s="37"/>
      <c r="O49" s="37"/>
      <c r="P49" s="38"/>
      <c r="Q49" s="38"/>
      <c r="R49" s="38"/>
      <c r="S49" s="38"/>
      <c r="T49" s="38"/>
      <c r="AB49" s="32">
        <f t="shared" si="1"/>
        <v>7.795427539988851</v>
      </c>
      <c r="AC49" s="32">
        <f t="shared" si="0"/>
        <v>0.39791182699940375</v>
      </c>
      <c r="AD49" s="32"/>
      <c r="AE49" s="32"/>
      <c r="AF49" s="15"/>
    </row>
    <row r="50" spans="9:32" ht="12.75">
      <c r="I50" s="36"/>
      <c r="J50" s="36"/>
      <c r="K50" s="36"/>
      <c r="L50" s="37"/>
      <c r="M50" s="37"/>
      <c r="N50" s="37"/>
      <c r="O50" s="37"/>
      <c r="P50" s="38"/>
      <c r="Q50" s="38"/>
      <c r="R50" s="38"/>
      <c r="S50" s="38"/>
      <c r="T50" s="38"/>
      <c r="AB50" s="32">
        <f t="shared" si="1"/>
        <v>8.08158333726107</v>
      </c>
      <c r="AC50" s="32">
        <f t="shared" si="0"/>
        <v>-0.19625723897502922</v>
      </c>
      <c r="AD50" s="32"/>
      <c r="AE50" s="32"/>
      <c r="AF50" s="15"/>
    </row>
    <row r="51" spans="9:32" ht="12.75">
      <c r="I51" s="36"/>
      <c r="J51" s="36"/>
      <c r="K51" s="36"/>
      <c r="L51" s="37"/>
      <c r="M51" s="37"/>
      <c r="N51" s="37"/>
      <c r="O51" s="37"/>
      <c r="P51" s="38"/>
      <c r="Q51" s="38"/>
      <c r="R51" s="38"/>
      <c r="S51" s="38"/>
      <c r="T51" s="38"/>
      <c r="AB51" s="32">
        <f t="shared" si="1"/>
        <v>8.367739134533291</v>
      </c>
      <c r="AC51" s="32">
        <f t="shared" si="0"/>
        <v>-0.9969094190944787</v>
      </c>
      <c r="AD51" s="32"/>
      <c r="AE51" s="32"/>
      <c r="AF51" s="15"/>
    </row>
    <row r="52" spans="9:32" ht="12.75">
      <c r="I52" s="36"/>
      <c r="J52" s="36"/>
      <c r="K52" s="36"/>
      <c r="L52" s="37"/>
      <c r="M52" s="37"/>
      <c r="N52" s="37"/>
      <c r="O52" s="37"/>
      <c r="P52" s="38"/>
      <c r="Q52" s="38"/>
      <c r="R52" s="38"/>
      <c r="S52" s="38"/>
      <c r="T52" s="38"/>
      <c r="AB52" s="32">
        <f t="shared" si="1"/>
        <v>8.653894931805512</v>
      </c>
      <c r="AC52" s="32">
        <f t="shared" si="0"/>
        <v>-2.9999996960747533</v>
      </c>
      <c r="AD52" s="32"/>
      <c r="AE52" s="32"/>
      <c r="AF52" s="15"/>
    </row>
    <row r="53" spans="9:32" ht="12.75">
      <c r="I53" s="36"/>
      <c r="J53" s="36"/>
      <c r="K53" s="36"/>
      <c r="L53" s="37"/>
      <c r="M53" s="37"/>
      <c r="N53" s="37"/>
      <c r="O53" s="37"/>
      <c r="P53" s="38"/>
      <c r="Q53" s="38"/>
      <c r="R53" s="38"/>
      <c r="S53" s="38"/>
      <c r="T53" s="38"/>
      <c r="AB53" s="32">
        <f>AB52-$Z$3</f>
        <v>8.367739134533291</v>
      </c>
      <c r="AC53" s="32">
        <f>-SQRT(ABS(($Y$3^2)-((AB53-$Y$1)^2)))+$Y$2</f>
        <v>-5.003090580905521</v>
      </c>
      <c r="AD53" s="32"/>
      <c r="AE53" s="32"/>
      <c r="AF53" s="15"/>
    </row>
    <row r="54" spans="9:32" ht="12.75">
      <c r="I54" s="36"/>
      <c r="J54" s="36"/>
      <c r="K54" s="36"/>
      <c r="L54" s="37"/>
      <c r="M54" s="37"/>
      <c r="N54" s="37"/>
      <c r="O54" s="37"/>
      <c r="P54" s="38"/>
      <c r="Q54" s="38"/>
      <c r="R54" s="38"/>
      <c r="S54" s="38"/>
      <c r="T54" s="38"/>
      <c r="AB54" s="32">
        <f aca="true" t="shared" si="2" ref="AB54:AB102">AB53-$Z$3</f>
        <v>8.08158333726107</v>
      </c>
      <c r="AC54" s="32">
        <f aca="true" t="shared" si="3" ref="AC54:AC102">-SQRT(ABS(($Y$3^2)-((AB54-$Y$1)^2)))+$Y$2</f>
        <v>-5.803742761024971</v>
      </c>
      <c r="AD54" s="32"/>
      <c r="AE54" s="32"/>
      <c r="AF54" s="15"/>
    </row>
    <row r="55" spans="9:32" ht="12.75">
      <c r="I55" s="36"/>
      <c r="J55" s="36"/>
      <c r="K55" s="36"/>
      <c r="L55" s="37"/>
      <c r="M55" s="37"/>
      <c r="N55" s="37"/>
      <c r="O55" s="37"/>
      <c r="P55" s="38"/>
      <c r="Q55" s="38"/>
      <c r="R55" s="38"/>
      <c r="S55" s="38"/>
      <c r="T55" s="38"/>
      <c r="AB55" s="32">
        <f t="shared" si="2"/>
        <v>7.79542753998885</v>
      </c>
      <c r="AC55" s="32">
        <f t="shared" si="3"/>
        <v>-6.397911826999406</v>
      </c>
      <c r="AD55" s="32"/>
      <c r="AE55" s="32"/>
      <c r="AF55" s="15"/>
    </row>
    <row r="56" spans="9:32" ht="12.75">
      <c r="I56" s="36"/>
      <c r="J56" s="36"/>
      <c r="K56" s="36"/>
      <c r="L56" s="37"/>
      <c r="M56" s="37"/>
      <c r="N56" s="37"/>
      <c r="O56" s="37"/>
      <c r="P56" s="38"/>
      <c r="Q56" s="38"/>
      <c r="R56" s="38"/>
      <c r="S56" s="38"/>
      <c r="T56" s="38"/>
      <c r="AB56" s="32">
        <f t="shared" si="2"/>
        <v>7.50927174271663</v>
      </c>
      <c r="AC56" s="32">
        <f t="shared" si="3"/>
        <v>-6.881606087368983</v>
      </c>
      <c r="AD56" s="32"/>
      <c r="AE56" s="32"/>
      <c r="AF56" s="15"/>
    </row>
    <row r="57" spans="9:32" ht="12.75">
      <c r="I57" s="36"/>
      <c r="J57" s="36"/>
      <c r="K57" s="36"/>
      <c r="L57" s="37"/>
      <c r="M57" s="37"/>
      <c r="N57" s="37"/>
      <c r="O57" s="37"/>
      <c r="P57" s="38"/>
      <c r="Q57" s="38"/>
      <c r="R57" s="38"/>
      <c r="S57" s="38"/>
      <c r="T57" s="38"/>
      <c r="AB57" s="32">
        <f t="shared" si="2"/>
        <v>7.223115945444409</v>
      </c>
      <c r="AC57" s="32">
        <f t="shared" si="3"/>
        <v>-7.292336959083298</v>
      </c>
      <c r="AD57" s="32"/>
      <c r="AE57" s="32"/>
      <c r="AF57" s="15"/>
    </row>
    <row r="58" spans="9:32" ht="12.75">
      <c r="I58" s="36"/>
      <c r="J58" s="36"/>
      <c r="K58" s="36"/>
      <c r="L58" s="37"/>
      <c r="M58" s="37"/>
      <c r="N58" s="37"/>
      <c r="O58" s="37"/>
      <c r="P58" s="38"/>
      <c r="Q58" s="38"/>
      <c r="R58" s="38"/>
      <c r="S58" s="38"/>
      <c r="T58" s="38"/>
      <c r="AB58" s="32">
        <f t="shared" si="2"/>
        <v>6.936960148172188</v>
      </c>
      <c r="AC58" s="32">
        <f t="shared" si="3"/>
        <v>-7.6494813734974745</v>
      </c>
      <c r="AD58" s="32"/>
      <c r="AE58" s="32"/>
      <c r="AF58" s="15"/>
    </row>
    <row r="59" spans="9:32" ht="12.75">
      <c r="I59" s="36"/>
      <c r="J59" s="36"/>
      <c r="K59" s="36"/>
      <c r="L59" s="37"/>
      <c r="M59" s="37"/>
      <c r="N59" s="37"/>
      <c r="O59" s="37"/>
      <c r="P59" s="38"/>
      <c r="Q59" s="38"/>
      <c r="R59" s="38"/>
      <c r="S59" s="38"/>
      <c r="T59" s="38"/>
      <c r="AB59" s="32">
        <f t="shared" si="2"/>
        <v>6.650804350899968</v>
      </c>
      <c r="AC59" s="32">
        <f t="shared" si="3"/>
        <v>-7.96461753149852</v>
      </c>
      <c r="AD59" s="32"/>
      <c r="AE59" s="32"/>
      <c r="AF59" s="15"/>
    </row>
    <row r="60" spans="9:32" ht="12.75">
      <c r="I60" s="36"/>
      <c r="J60" s="36"/>
      <c r="K60" s="36"/>
      <c r="L60" s="37"/>
      <c r="M60" s="37"/>
      <c r="N60" s="37"/>
      <c r="O60" s="37"/>
      <c r="P60" s="38"/>
      <c r="Q60" s="38"/>
      <c r="R60" s="38"/>
      <c r="S60" s="38"/>
      <c r="T60" s="38"/>
      <c r="AB60" s="32">
        <f t="shared" si="2"/>
        <v>6.364648553627747</v>
      </c>
      <c r="AC60" s="32">
        <f t="shared" si="3"/>
        <v>-8.245322406201545</v>
      </c>
      <c r="AD60" s="32"/>
      <c r="AE60" s="32"/>
      <c r="AF60" s="15"/>
    </row>
    <row r="61" spans="28:32" ht="12.75">
      <c r="AB61" s="32">
        <f t="shared" si="2"/>
        <v>6.078492756355526</v>
      </c>
      <c r="AC61" s="32">
        <f t="shared" si="3"/>
        <v>-8.49687336358702</v>
      </c>
      <c r="AD61" s="32"/>
      <c r="AE61" s="32"/>
      <c r="AF61" s="15"/>
    </row>
    <row r="62" spans="28:32" ht="12.75">
      <c r="AB62" s="32">
        <f t="shared" si="2"/>
        <v>5.792336959083306</v>
      </c>
      <c r="AC62" s="32">
        <f t="shared" si="3"/>
        <v>-8.723115945444402</v>
      </c>
      <c r="AD62" s="32"/>
      <c r="AE62" s="32"/>
      <c r="AF62" s="15"/>
    </row>
    <row r="63" spans="28:32" ht="12.75">
      <c r="AB63" s="32">
        <f t="shared" si="2"/>
        <v>5.506181161811085</v>
      </c>
      <c r="AC63" s="32">
        <f t="shared" si="3"/>
        <v>-8.926949062887456</v>
      </c>
      <c r="AD63" s="32"/>
      <c r="AE63" s="32"/>
      <c r="AF63" s="15"/>
    </row>
    <row r="64" spans="28:32" ht="12.75">
      <c r="AB64" s="32">
        <f t="shared" si="2"/>
        <v>5.220025364538865</v>
      </c>
      <c r="AC64" s="32">
        <f t="shared" si="3"/>
        <v>-9.110615679495805</v>
      </c>
      <c r="AD64" s="32"/>
      <c r="AE64" s="32"/>
      <c r="AF64" s="15"/>
    </row>
    <row r="65" spans="28:32" ht="12.75">
      <c r="AB65" s="32">
        <f t="shared" si="2"/>
        <v>4.933869567266644</v>
      </c>
      <c r="AC65" s="32">
        <f t="shared" si="3"/>
        <v>-9.275886589981729</v>
      </c>
      <c r="AD65" s="32"/>
      <c r="AE65" s="32"/>
      <c r="AF65" s="15"/>
    </row>
    <row r="66" spans="28:32" ht="12.75">
      <c r="AB66" s="32">
        <f t="shared" si="2"/>
        <v>4.647713769994423</v>
      </c>
      <c r="AC66" s="32">
        <f t="shared" si="3"/>
        <v>-9.424181715790734</v>
      </c>
      <c r="AD66" s="32"/>
      <c r="AE66" s="32"/>
      <c r="AF66" s="15"/>
    </row>
    <row r="67" spans="28:32" ht="12.75">
      <c r="AB67" s="32">
        <f t="shared" si="2"/>
        <v>4.361557972722203</v>
      </c>
      <c r="AC67" s="32">
        <f t="shared" si="3"/>
        <v>-9.556653007751937</v>
      </c>
      <c r="AD67" s="32"/>
      <c r="AE67" s="32"/>
      <c r="AF67" s="15"/>
    </row>
    <row r="68" spans="28:32" ht="12.75">
      <c r="AB68" s="32">
        <f t="shared" si="2"/>
        <v>4.075402175449982</v>
      </c>
      <c r="AC68" s="32">
        <f t="shared" si="3"/>
        <v>-9.67424275330168</v>
      </c>
      <c r="AD68" s="32"/>
      <c r="AE68" s="32"/>
      <c r="AF68" s="15"/>
    </row>
    <row r="69" spans="28:32" ht="12.75">
      <c r="AB69" s="32">
        <f t="shared" si="2"/>
        <v>3.789246378177762</v>
      </c>
      <c r="AC69" s="32">
        <f t="shared" si="3"/>
        <v>-9.777725556210763</v>
      </c>
      <c r="AD69" s="32"/>
      <c r="AE69" s="32"/>
      <c r="AF69" s="15"/>
    </row>
    <row r="70" spans="28:32" ht="12.75">
      <c r="AB70" s="32">
        <f t="shared" si="2"/>
        <v>3.5030905809055417</v>
      </c>
      <c r="AC70" s="32">
        <f t="shared" si="3"/>
        <v>-9.867739134533284</v>
      </c>
      <c r="AD70" s="32"/>
      <c r="AE70" s="32"/>
      <c r="AF70" s="15"/>
    </row>
    <row r="71" spans="28:32" ht="12.75">
      <c r="AB71" s="32">
        <f t="shared" si="2"/>
        <v>3.2169347836333215</v>
      </c>
      <c r="AC71" s="32">
        <f t="shared" si="3"/>
        <v>-9.944807243117875</v>
      </c>
      <c r="AD71" s="32"/>
      <c r="AE71" s="32"/>
      <c r="AF71" s="15"/>
    </row>
    <row r="72" spans="28:32" ht="12.75">
      <c r="AB72" s="32">
        <f t="shared" si="2"/>
        <v>2.9307789863611013</v>
      </c>
      <c r="AC72" s="32">
        <f t="shared" si="3"/>
        <v>-10.009356902562459</v>
      </c>
      <c r="AD72" s="32"/>
      <c r="AE72" s="32"/>
      <c r="AF72" s="15"/>
    </row>
    <row r="73" spans="28:32" ht="12.75">
      <c r="AB73" s="32">
        <f t="shared" si="2"/>
        <v>2.644623189088881</v>
      </c>
      <c r="AC73" s="32">
        <f t="shared" si="3"/>
        <v>-10.061731405987663</v>
      </c>
      <c r="AD73" s="32"/>
      <c r="AE73" s="32"/>
      <c r="AF73" s="15"/>
    </row>
    <row r="74" spans="28:32" ht="12.75">
      <c r="AB74" s="32">
        <f t="shared" si="2"/>
        <v>2.358467391816661</v>
      </c>
      <c r="AC74" s="32">
        <f t="shared" si="3"/>
        <v>-10.102200112113147</v>
      </c>
      <c r="AD74" s="32"/>
      <c r="AE74" s="32"/>
      <c r="AF74" s="15"/>
    </row>
    <row r="75" spans="28:32" ht="12.75">
      <c r="AB75" s="32">
        <f t="shared" si="2"/>
        <v>2.072311594544441</v>
      </c>
      <c r="AC75" s="32">
        <f t="shared" si="3"/>
        <v>-10.130965722401314</v>
      </c>
      <c r="AD75" s="32"/>
      <c r="AE75" s="32"/>
      <c r="AF75" s="15"/>
    </row>
    <row r="76" spans="28:32" ht="12.75">
      <c r="AB76" s="32">
        <f t="shared" si="2"/>
        <v>1.7861557972722206</v>
      </c>
      <c r="AC76" s="32">
        <f t="shared" si="3"/>
        <v>-10.148169524780453</v>
      </c>
      <c r="AD76" s="32"/>
      <c r="AE76" s="32"/>
      <c r="AF76" s="15"/>
    </row>
    <row r="77" spans="28:32" ht="12.75">
      <c r="AB77" s="32">
        <f t="shared" si="2"/>
        <v>1.5000000000000004</v>
      </c>
      <c r="AC77" s="32">
        <f t="shared" si="3"/>
        <v>-10.153894931805507</v>
      </c>
      <c r="AD77" s="32"/>
      <c r="AE77" s="32"/>
      <c r="AF77" s="15"/>
    </row>
    <row r="78" spans="28:32" ht="12.75">
      <c r="AB78" s="32">
        <f t="shared" si="2"/>
        <v>1.2138442027277803</v>
      </c>
      <c r="AC78" s="32">
        <f t="shared" si="3"/>
        <v>-10.148169524780453</v>
      </c>
      <c r="AD78" s="32"/>
      <c r="AE78" s="32"/>
      <c r="AF78" s="15"/>
    </row>
    <row r="79" spans="28:32" ht="12.75">
      <c r="AB79" s="32">
        <f t="shared" si="2"/>
        <v>0.9276884054555601</v>
      </c>
      <c r="AC79" s="32">
        <f t="shared" si="3"/>
        <v>-10.130965722401314</v>
      </c>
      <c r="AD79" s="32"/>
      <c r="AE79" s="32"/>
      <c r="AF79" s="15"/>
    </row>
    <row r="80" spans="28:32" ht="12.75">
      <c r="AB80" s="32">
        <f t="shared" si="2"/>
        <v>0.6415326081833399</v>
      </c>
      <c r="AC80" s="32">
        <f t="shared" si="3"/>
        <v>-10.102200112113147</v>
      </c>
      <c r="AD80" s="32"/>
      <c r="AE80" s="32"/>
      <c r="AF80" s="15"/>
    </row>
    <row r="81" spans="28:32" ht="12.75">
      <c r="AB81" s="32">
        <f t="shared" si="2"/>
        <v>0.35537681091111967</v>
      </c>
      <c r="AC81" s="32">
        <f t="shared" si="3"/>
        <v>-10.061731405987663</v>
      </c>
      <c r="AD81" s="32"/>
      <c r="AE81" s="32"/>
      <c r="AF81" s="15"/>
    </row>
    <row r="82" spans="28:32" ht="12.75">
      <c r="AB82" s="32">
        <f t="shared" si="2"/>
        <v>0.06922101363889943</v>
      </c>
      <c r="AC82" s="32">
        <f t="shared" si="3"/>
        <v>-10.00935690256246</v>
      </c>
      <c r="AD82" s="32"/>
      <c r="AE82" s="32"/>
      <c r="AF82" s="15"/>
    </row>
    <row r="83" spans="28:32" ht="12.75">
      <c r="AB83" s="32">
        <f t="shared" si="2"/>
        <v>-0.2169347836333208</v>
      </c>
      <c r="AC83" s="32">
        <f t="shared" si="3"/>
        <v>-9.944807243117875</v>
      </c>
      <c r="AD83" s="32"/>
      <c r="AE83" s="32"/>
      <c r="AF83" s="15"/>
    </row>
    <row r="84" spans="28:32" ht="12.75">
      <c r="AB84" s="32">
        <f t="shared" si="2"/>
        <v>-0.503090580905541</v>
      </c>
      <c r="AC84" s="32">
        <f t="shared" si="3"/>
        <v>-9.867739134533286</v>
      </c>
      <c r="AD84" s="32"/>
      <c r="AE84" s="32"/>
      <c r="AF84" s="15"/>
    </row>
    <row r="85" spans="28:32" ht="12.75">
      <c r="AB85" s="32">
        <f t="shared" si="2"/>
        <v>-0.7892463781777612</v>
      </c>
      <c r="AC85" s="32">
        <f t="shared" si="3"/>
        <v>-9.777725556210765</v>
      </c>
      <c r="AD85" s="32"/>
      <c r="AE85" s="32"/>
      <c r="AF85" s="15"/>
    </row>
    <row r="86" spans="28:32" ht="12.75">
      <c r="AB86" s="32">
        <f t="shared" si="2"/>
        <v>-1.0754021754499814</v>
      </c>
      <c r="AC86" s="32">
        <f t="shared" si="3"/>
        <v>-9.67424275330168</v>
      </c>
      <c r="AD86" s="32"/>
      <c r="AE86" s="32"/>
      <c r="AF86" s="15"/>
    </row>
    <row r="87" spans="28:32" ht="12.75">
      <c r="AB87" s="32">
        <f t="shared" si="2"/>
        <v>-1.3615579727222016</v>
      </c>
      <c r="AC87" s="32">
        <f t="shared" si="3"/>
        <v>-9.556653007751937</v>
      </c>
      <c r="AD87" s="32"/>
      <c r="AE87" s="32"/>
      <c r="AF87" s="15"/>
    </row>
    <row r="88" spans="28:32" ht="12.75">
      <c r="AB88" s="32">
        <f t="shared" si="2"/>
        <v>-1.6477137699944218</v>
      </c>
      <c r="AC88" s="32">
        <f t="shared" si="3"/>
        <v>-9.424181715790738</v>
      </c>
      <c r="AD88" s="32"/>
      <c r="AE88" s="32"/>
      <c r="AF88" s="15"/>
    </row>
    <row r="89" spans="28:32" ht="12.75">
      <c r="AB89" s="32">
        <f t="shared" si="2"/>
        <v>-1.933869567266642</v>
      </c>
      <c r="AC89" s="32">
        <f t="shared" si="3"/>
        <v>-9.27588658998173</v>
      </c>
      <c r="AD89" s="32"/>
      <c r="AE89" s="32"/>
      <c r="AF89" s="15"/>
    </row>
    <row r="90" spans="28:32" ht="12.75">
      <c r="AB90" s="32">
        <f t="shared" si="2"/>
        <v>-2.2200253645388623</v>
      </c>
      <c r="AC90" s="32">
        <f t="shared" si="3"/>
        <v>-9.110615679495808</v>
      </c>
      <c r="AD90" s="32"/>
      <c r="AE90" s="32"/>
      <c r="AF90" s="15"/>
    </row>
    <row r="91" spans="28:32" ht="12.75">
      <c r="AB91" s="32">
        <f t="shared" si="2"/>
        <v>-2.5061811618110825</v>
      </c>
      <c r="AC91" s="32">
        <f t="shared" si="3"/>
        <v>-8.926949062887457</v>
      </c>
      <c r="AD91" s="32"/>
      <c r="AE91" s="32"/>
      <c r="AF91" s="15"/>
    </row>
    <row r="92" spans="28:32" ht="12.75">
      <c r="AB92" s="32">
        <f t="shared" si="2"/>
        <v>-2.7923369590833027</v>
      </c>
      <c r="AC92" s="32">
        <f t="shared" si="3"/>
        <v>-8.723115945444405</v>
      </c>
      <c r="AD92" s="32"/>
      <c r="AE92" s="32"/>
      <c r="AF92" s="15"/>
    </row>
    <row r="93" spans="28:32" ht="12.75">
      <c r="AB93" s="32">
        <f t="shared" si="2"/>
        <v>-3.078492756355523</v>
      </c>
      <c r="AC93" s="32">
        <f t="shared" si="3"/>
        <v>-8.496873363587023</v>
      </c>
      <c r="AD93" s="32"/>
      <c r="AE93" s="32"/>
      <c r="AF93" s="15"/>
    </row>
    <row r="94" spans="28:32" ht="12.75">
      <c r="AB94" s="32">
        <f t="shared" si="2"/>
        <v>-3.364648553627743</v>
      </c>
      <c r="AC94" s="32">
        <f t="shared" si="3"/>
        <v>-8.245322406201549</v>
      </c>
      <c r="AD94" s="32"/>
      <c r="AE94" s="32"/>
      <c r="AF94" s="15"/>
    </row>
    <row r="95" spans="28:32" ht="12.75">
      <c r="AB95" s="32">
        <f t="shared" si="2"/>
        <v>-3.6508043508999632</v>
      </c>
      <c r="AC95" s="32">
        <f t="shared" si="3"/>
        <v>-7.964617531498526</v>
      </c>
      <c r="AD95" s="32"/>
      <c r="AE95" s="32"/>
      <c r="AF95" s="15"/>
    </row>
    <row r="96" spans="28:32" ht="12.75">
      <c r="AB96" s="32">
        <f t="shared" si="2"/>
        <v>-3.9369601481721834</v>
      </c>
      <c r="AC96" s="32">
        <f t="shared" si="3"/>
        <v>-7.649481373497481</v>
      </c>
      <c r="AD96" s="32"/>
      <c r="AE96" s="32"/>
      <c r="AF96" s="15"/>
    </row>
    <row r="97" spans="28:32" ht="12.75">
      <c r="AB97" s="32">
        <f t="shared" si="2"/>
        <v>-4.223115945444404</v>
      </c>
      <c r="AC97" s="32">
        <f t="shared" si="3"/>
        <v>-7.292336959083305</v>
      </c>
      <c r="AD97" s="32"/>
      <c r="AE97" s="32"/>
      <c r="AF97" s="15"/>
    </row>
    <row r="98" spans="28:32" ht="12.75">
      <c r="AB98" s="32">
        <f t="shared" si="2"/>
        <v>-4.509271742716624</v>
      </c>
      <c r="AC98" s="32">
        <f t="shared" si="3"/>
        <v>-6.881606087368992</v>
      </c>
      <c r="AD98" s="32"/>
      <c r="AE98" s="32"/>
      <c r="AF98" s="15"/>
    </row>
    <row r="99" spans="28:32" ht="12.75">
      <c r="AB99" s="32">
        <f t="shared" si="2"/>
        <v>-4.795427539988845</v>
      </c>
      <c r="AC99" s="32">
        <f t="shared" si="3"/>
        <v>-6.397911826999415</v>
      </c>
      <c r="AD99" s="32"/>
      <c r="AE99" s="32"/>
      <c r="AF99" s="15"/>
    </row>
    <row r="100" spans="28:32" ht="12.75">
      <c r="AB100" s="32">
        <f t="shared" si="2"/>
        <v>-5.0815833372610655</v>
      </c>
      <c r="AC100" s="32">
        <f t="shared" si="3"/>
        <v>-5.803742761024983</v>
      </c>
      <c r="AD100" s="32"/>
      <c r="AE100" s="32"/>
      <c r="AF100" s="15"/>
    </row>
    <row r="101" spans="28:32" ht="12.75">
      <c r="AB101" s="32">
        <f t="shared" si="2"/>
        <v>-5.367739134533286</v>
      </c>
      <c r="AC101" s="32">
        <f t="shared" si="3"/>
        <v>-5.003090580905541</v>
      </c>
      <c r="AD101" s="32"/>
      <c r="AE101" s="32"/>
      <c r="AF101" s="15"/>
    </row>
    <row r="102" spans="28:32" ht="12.75">
      <c r="AB102" s="32">
        <f t="shared" si="2"/>
        <v>-5.653894931805507</v>
      </c>
      <c r="AC102" s="32">
        <f t="shared" si="3"/>
        <v>-3.0000001192092896</v>
      </c>
      <c r="AD102" s="32"/>
      <c r="AE102" s="32"/>
      <c r="AF102" s="15"/>
    </row>
    <row r="103" spans="25:32" ht="12.75">
      <c r="Y103" t="s">
        <v>21</v>
      </c>
      <c r="AB103" s="32">
        <f>AB109-Q2</f>
        <v>-5.653894931805506</v>
      </c>
      <c r="AC103" s="32">
        <f>AE109</f>
        <v>-3</v>
      </c>
      <c r="AD103" s="32"/>
      <c r="AE103" s="32"/>
      <c r="AF103" s="15"/>
    </row>
    <row r="104" spans="25:32" ht="12.75">
      <c r="Y104" t="s">
        <v>22</v>
      </c>
      <c r="AB104" s="32">
        <f>AB109+Q2</f>
        <v>8.653894931805507</v>
      </c>
      <c r="AC104" s="32">
        <f>AE109</f>
        <v>-3</v>
      </c>
      <c r="AD104" s="32"/>
      <c r="AE104" s="32"/>
      <c r="AF104" s="15"/>
    </row>
    <row r="105" spans="28:32" ht="12.75">
      <c r="AB105" s="32"/>
      <c r="AC105" s="32"/>
      <c r="AD105" s="32"/>
      <c r="AE105" s="32"/>
      <c r="AF105" s="15"/>
    </row>
    <row r="106" spans="25:32" ht="12.75">
      <c r="Y106" t="s">
        <v>23</v>
      </c>
      <c r="AB106" s="32">
        <f>AB109</f>
        <v>1.5</v>
      </c>
      <c r="AC106" s="32">
        <f>AE109+(Q2)</f>
        <v>4.153894931805506</v>
      </c>
      <c r="AD106" s="32"/>
      <c r="AE106" s="32"/>
      <c r="AF106" s="15"/>
    </row>
    <row r="107" spans="25:32" ht="12.75">
      <c r="Y107" t="s">
        <v>24</v>
      </c>
      <c r="AB107" s="32">
        <f>AB109</f>
        <v>1.5</v>
      </c>
      <c r="AC107" s="32">
        <f>AE109-(Q2)</f>
        <v>-10.153894931805507</v>
      </c>
      <c r="AD107" s="32"/>
      <c r="AE107" s="32"/>
      <c r="AF107" s="15"/>
    </row>
    <row r="108" spans="25:32" ht="12.75">
      <c r="Y108">
        <f>AB108-AE108</f>
        <v>4.5</v>
      </c>
      <c r="AB108" s="32">
        <f>AB109-Y110</f>
        <v>-15.5</v>
      </c>
      <c r="AC108" s="32"/>
      <c r="AD108" s="32"/>
      <c r="AE108" s="32">
        <f>AE109-Y110</f>
        <v>-20</v>
      </c>
      <c r="AF108" s="15"/>
    </row>
    <row r="109" spans="25:32" ht="12.75">
      <c r="Y109">
        <f>AB109-AE109</f>
        <v>4.5</v>
      </c>
      <c r="AB109" s="32">
        <f>Y1</f>
        <v>1.5</v>
      </c>
      <c r="AC109" s="32"/>
      <c r="AD109" s="32"/>
      <c r="AE109" s="32">
        <f>Y2</f>
        <v>-3</v>
      </c>
      <c r="AF109" s="15"/>
    </row>
    <row r="110" spans="25:32" ht="12.75">
      <c r="Y110" s="15">
        <f>MAX(X112:X113)</f>
        <v>17</v>
      </c>
      <c r="AB110" s="32">
        <f>Y110+AB109</f>
        <v>18.5</v>
      </c>
      <c r="AC110" s="32"/>
      <c r="AD110" s="32"/>
      <c r="AE110" s="32">
        <f>Y110+AE109</f>
        <v>14</v>
      </c>
      <c r="AF110" s="15"/>
    </row>
    <row r="111" spans="27:32" ht="12.75">
      <c r="AA111" s="17" t="str">
        <f>IF(DataEntry!E10&gt;0,DataEntry!B10,#N/A)</f>
        <v>A</v>
      </c>
      <c r="AB111" s="85">
        <f>IF(DataEntry!E10&gt;0,DataEntry!D10,#N/A)</f>
        <v>-2</v>
      </c>
      <c r="AC111" s="85"/>
      <c r="AD111" s="85">
        <f>IF(DataEntry!E10&gt;0,DataEntry!G10,#N/A)</f>
        <v>-7</v>
      </c>
      <c r="AE111" s="32"/>
      <c r="AF111" s="15"/>
    </row>
    <row r="112" spans="24:32" ht="12.75">
      <c r="X112" s="15">
        <f>MAX(DataEntry!D10:D39)-MIN(DataEntry!D10:D39)</f>
        <v>6</v>
      </c>
      <c r="AA112" s="17" t="str">
        <f>IF(DataEntry!E11&gt;0,DataEntry!B11,#N/A)</f>
        <v>B</v>
      </c>
      <c r="AB112" s="85">
        <f>IF(DataEntry!E11&gt;0,DataEntry!D11,#N/A)</f>
        <v>1</v>
      </c>
      <c r="AC112" s="85"/>
      <c r="AD112" s="85">
        <f>IF(DataEntry!E11&gt;0,DataEntry!G11,#N/A)</f>
        <v>-3</v>
      </c>
      <c r="AE112" s="32"/>
      <c r="AF112" s="15"/>
    </row>
    <row r="113" spans="24:32" ht="12.75">
      <c r="X113">
        <f>MAX(DataEntry!G10:G39)-MIN(DataEntry!G10:G39)</f>
        <v>17</v>
      </c>
      <c r="AA113" s="17" t="str">
        <f>IF(DataEntry!E12&gt;0,DataEntry!B12,#N/A)</f>
        <v>C</v>
      </c>
      <c r="AB113" s="85">
        <f>IF(DataEntry!E12&gt;0,DataEntry!D12,#N/A)</f>
        <v>4</v>
      </c>
      <c r="AC113" s="85"/>
      <c r="AD113" s="85">
        <f>IF(DataEntry!E12&gt;0,DataEntry!G12,#N/A)</f>
        <v>-8</v>
      </c>
      <c r="AE113" s="32"/>
      <c r="AF113" s="15"/>
    </row>
    <row r="114" spans="27:32" ht="12.75">
      <c r="AA114" s="17" t="str">
        <f>IF(DataEntry!E13&gt;0,DataEntry!B13,#N/A)</f>
        <v>D</v>
      </c>
      <c r="AB114" s="85">
        <f>IF(DataEntry!E13&gt;0,DataEntry!D13,#N/A)</f>
        <v>3</v>
      </c>
      <c r="AC114" s="85"/>
      <c r="AD114" s="85">
        <f>IF(DataEntry!E13&gt;0,DataEntry!G13,#N/A)</f>
        <v>9</v>
      </c>
      <c r="AE114" s="32"/>
      <c r="AF114" s="15"/>
    </row>
    <row r="115" spans="27:32" ht="12.75">
      <c r="AA115" s="17" t="str">
        <f>IF(DataEntry!E14&gt;0,DataEntry!B14,#N/A)</f>
        <v>E</v>
      </c>
      <c r="AB115" s="85">
        <f>IF(DataEntry!E14&gt;0,DataEntry!D14,#N/A)</f>
        <v>2</v>
      </c>
      <c r="AC115" s="85"/>
      <c r="AD115" s="85">
        <f>IF(DataEntry!E14&gt;0,DataEntry!G14,#N/A)</f>
        <v>-4</v>
      </c>
      <c r="AE115" s="32"/>
      <c r="AF115" s="15"/>
    </row>
    <row r="116" spans="27:32" ht="12.75">
      <c r="AA116" s="17" t="str">
        <f>IF(DataEntry!E15&gt;0,DataEntry!B15,#N/A)</f>
        <v>F</v>
      </c>
      <c r="AB116" s="85">
        <f>IF(DataEntry!E15&gt;0,DataEntry!D15,#N/A)</f>
        <v>0</v>
      </c>
      <c r="AC116" s="85"/>
      <c r="AD116" s="85">
        <f>IF(DataEntry!E15&gt;0,DataEntry!G15,#N/A)</f>
        <v>2</v>
      </c>
      <c r="AE116" s="32"/>
      <c r="AF116" s="15"/>
    </row>
    <row r="117" spans="27:32" ht="12.75">
      <c r="AA117" s="17" t="str">
        <f>IF(DataEntry!E16&gt;0,DataEntry!B16,#N/A)</f>
        <v>G</v>
      </c>
      <c r="AB117" s="85">
        <f>IF(DataEntry!E16&gt;0,DataEntry!D16,#N/A)</f>
        <v>1</v>
      </c>
      <c r="AC117" s="85"/>
      <c r="AD117" s="85">
        <f>IF(DataEntry!E16&gt;0,DataEntry!G16,#N/A)</f>
        <v>-1</v>
      </c>
      <c r="AE117" s="32"/>
      <c r="AF117" s="15"/>
    </row>
    <row r="118" spans="27:32" ht="12.75">
      <c r="AA118" s="17" t="str">
        <f>IF(DataEntry!E17&gt;0,DataEntry!B17,#N/A)</f>
        <v>H</v>
      </c>
      <c r="AB118" s="85">
        <f>IF(DataEntry!E17&gt;0,DataEntry!D17,#N/A)</f>
        <v>2</v>
      </c>
      <c r="AC118" s="85"/>
      <c r="AD118" s="85">
        <f>IF(DataEntry!E17&gt;0,DataEntry!G17,#N/A)</f>
        <v>-3</v>
      </c>
      <c r="AE118" s="32"/>
      <c r="AF118" s="15"/>
    </row>
    <row r="119" spans="27:32" ht="12.75">
      <c r="AA119" s="17" t="e">
        <f>IF(DataEntry!E18&gt;0,DataEntry!B18,#N/A)</f>
        <v>#N/A</v>
      </c>
      <c r="AB119" s="85" t="e">
        <f>IF(DataEntry!E18&gt;0,DataEntry!D18,#N/A)</f>
        <v>#N/A</v>
      </c>
      <c r="AC119" s="85"/>
      <c r="AD119" s="85" t="e">
        <f>IF(DataEntry!E18&gt;0,DataEntry!G18,#N/A)</f>
        <v>#N/A</v>
      </c>
      <c r="AE119" s="32"/>
      <c r="AF119" s="15"/>
    </row>
    <row r="120" spans="27:32" ht="12.75">
      <c r="AA120" s="17" t="e">
        <f>IF(DataEntry!E19&gt;0,DataEntry!B19,#N/A)</f>
        <v>#N/A</v>
      </c>
      <c r="AB120" s="85" t="e">
        <f>IF(DataEntry!E19&gt;0,DataEntry!D19,#N/A)</f>
        <v>#N/A</v>
      </c>
      <c r="AC120" s="85"/>
      <c r="AD120" s="85" t="e">
        <f>IF(DataEntry!E19&gt;0,DataEntry!G19,#N/A)</f>
        <v>#N/A</v>
      </c>
      <c r="AE120" s="32"/>
      <c r="AF120" s="15"/>
    </row>
    <row r="121" spans="27:32" ht="12.75">
      <c r="AA121" s="17" t="e">
        <f>IF(DataEntry!E20&gt;0,DataEntry!B20,#N/A)</f>
        <v>#N/A</v>
      </c>
      <c r="AB121" s="85" t="e">
        <f>IF(DataEntry!E20&gt;0,DataEntry!D20,#N/A)</f>
        <v>#N/A</v>
      </c>
      <c r="AC121" s="85"/>
      <c r="AD121" s="85" t="e">
        <f>IF(DataEntry!E20&gt;0,DataEntry!G20,#N/A)</f>
        <v>#N/A</v>
      </c>
      <c r="AE121" s="32"/>
      <c r="AF121" s="15"/>
    </row>
    <row r="122" spans="27:32" ht="12.75">
      <c r="AA122" s="17" t="e">
        <f>IF(DataEntry!E21&gt;0,DataEntry!B21,#N/A)</f>
        <v>#N/A</v>
      </c>
      <c r="AB122" s="85" t="e">
        <f>IF(DataEntry!E21&gt;0,DataEntry!D21,#N/A)</f>
        <v>#N/A</v>
      </c>
      <c r="AC122" s="85"/>
      <c r="AD122" s="85" t="e">
        <f>IF(DataEntry!E21&gt;0,DataEntry!G21,#N/A)</f>
        <v>#N/A</v>
      </c>
      <c r="AE122" s="32"/>
      <c r="AF122" s="15"/>
    </row>
    <row r="123" spans="27:32" ht="12.75">
      <c r="AA123" s="17" t="e">
        <f>IF(DataEntry!E22&gt;0,DataEntry!B22,#N/A)</f>
        <v>#N/A</v>
      </c>
      <c r="AB123" s="85" t="e">
        <f>IF(DataEntry!E22&gt;0,DataEntry!D22,#N/A)</f>
        <v>#N/A</v>
      </c>
      <c r="AC123" s="85"/>
      <c r="AD123" s="85" t="e">
        <f>IF(DataEntry!E22&gt;0,DataEntry!G22,#N/A)</f>
        <v>#N/A</v>
      </c>
      <c r="AE123" s="32"/>
      <c r="AF123" s="15"/>
    </row>
    <row r="124" spans="27:32" ht="12.75">
      <c r="AA124" s="17" t="e">
        <f>IF(DataEntry!E23&gt;0,DataEntry!B23,#N/A)</f>
        <v>#N/A</v>
      </c>
      <c r="AB124" s="85" t="e">
        <f>IF(DataEntry!E23&gt;0,DataEntry!D23,#N/A)</f>
        <v>#N/A</v>
      </c>
      <c r="AC124" s="85"/>
      <c r="AD124" s="85" t="e">
        <f>IF(DataEntry!E23&gt;0,DataEntry!G23,#N/A)</f>
        <v>#N/A</v>
      </c>
      <c r="AE124" s="32"/>
      <c r="AF124" s="15"/>
    </row>
    <row r="125" spans="27:32" ht="12.75">
      <c r="AA125" s="17" t="e">
        <f>IF(DataEntry!E24&gt;0,DataEntry!B24,#N/A)</f>
        <v>#N/A</v>
      </c>
      <c r="AB125" s="85" t="e">
        <f>IF(DataEntry!E24&gt;0,DataEntry!D24,#N/A)</f>
        <v>#N/A</v>
      </c>
      <c r="AC125" s="85"/>
      <c r="AD125" s="85" t="e">
        <f>IF(DataEntry!E24&gt;0,DataEntry!G24,#N/A)</f>
        <v>#N/A</v>
      </c>
      <c r="AE125" s="32"/>
      <c r="AF125" s="16"/>
    </row>
    <row r="126" spans="27:32" ht="12.75">
      <c r="AA126" s="17" t="e">
        <f>IF(DataEntry!E25&gt;0,DataEntry!B25,#N/A)</f>
        <v>#N/A</v>
      </c>
      <c r="AB126" s="85" t="e">
        <f>IF(DataEntry!E25&gt;0,DataEntry!D25,#N/A)</f>
        <v>#N/A</v>
      </c>
      <c r="AC126" s="85"/>
      <c r="AD126" s="85" t="e">
        <f>IF(DataEntry!E25&gt;0,DataEntry!G25,#N/A)</f>
        <v>#N/A</v>
      </c>
      <c r="AE126" s="32"/>
      <c r="AF126" s="15"/>
    </row>
    <row r="127" spans="27:32" ht="12.75">
      <c r="AA127" s="17" t="e">
        <f>IF(DataEntry!E26&gt;0,DataEntry!B26,#N/A)</f>
        <v>#N/A</v>
      </c>
      <c r="AB127" s="85" t="e">
        <f>IF(DataEntry!E26&gt;0,DataEntry!D26,#N/A)</f>
        <v>#N/A</v>
      </c>
      <c r="AC127" s="85"/>
      <c r="AD127" s="85" t="e">
        <f>IF(DataEntry!E26&gt;0,DataEntry!G26,#N/A)</f>
        <v>#N/A</v>
      </c>
      <c r="AE127" s="32"/>
      <c r="AF127" s="15"/>
    </row>
    <row r="128" spans="27:32" ht="12.75">
      <c r="AA128" s="17" t="e">
        <f>IF(DataEntry!E27&gt;0,DataEntry!B27,#N/A)</f>
        <v>#N/A</v>
      </c>
      <c r="AB128" s="85" t="e">
        <f>IF(DataEntry!E27&gt;0,DataEntry!D27,#N/A)</f>
        <v>#N/A</v>
      </c>
      <c r="AC128" s="85"/>
      <c r="AD128" s="85" t="e">
        <f>IF(DataEntry!E27&gt;0,DataEntry!G27,#N/A)</f>
        <v>#N/A</v>
      </c>
      <c r="AE128" s="32"/>
      <c r="AF128" s="15"/>
    </row>
    <row r="129" spans="27:32" ht="12.75">
      <c r="AA129" s="17" t="e">
        <f>IF(DataEntry!E28&gt;0,DataEntry!B28,#N/A)</f>
        <v>#N/A</v>
      </c>
      <c r="AB129" s="85" t="e">
        <f>IF(DataEntry!E28&gt;0,DataEntry!D28,#N/A)</f>
        <v>#N/A</v>
      </c>
      <c r="AC129" s="85"/>
      <c r="AD129" s="85" t="e">
        <f>IF(DataEntry!E28&gt;0,DataEntry!G28,#N/A)</f>
        <v>#N/A</v>
      </c>
      <c r="AE129" s="32"/>
      <c r="AF129" s="15"/>
    </row>
    <row r="130" spans="27:32" ht="12.75">
      <c r="AA130" s="17" t="e">
        <f>IF(DataEntry!E29&gt;0,DataEntry!B29,#N/A)</f>
        <v>#N/A</v>
      </c>
      <c r="AB130" s="85" t="e">
        <f>IF(DataEntry!E29&gt;0,DataEntry!D29,#N/A)</f>
        <v>#N/A</v>
      </c>
      <c r="AC130" s="85"/>
      <c r="AD130" s="85" t="e">
        <f>IF(DataEntry!E29&gt;0,DataEntry!G29,#N/A)</f>
        <v>#N/A</v>
      </c>
      <c r="AE130" s="32"/>
      <c r="AF130" s="15"/>
    </row>
    <row r="131" spans="27:32" ht="12.75">
      <c r="AA131" s="17" t="e">
        <f>IF(DataEntry!E30&gt;0,DataEntry!B30,#N/A)</f>
        <v>#N/A</v>
      </c>
      <c r="AB131" s="85" t="e">
        <f>IF(DataEntry!E30&gt;0,DataEntry!D30,#N/A)</f>
        <v>#N/A</v>
      </c>
      <c r="AC131" s="85"/>
      <c r="AD131" s="85" t="e">
        <f>IF(DataEntry!E30&gt;0,DataEntry!G30,#N/A)</f>
        <v>#N/A</v>
      </c>
      <c r="AE131" s="32"/>
      <c r="AF131" s="15"/>
    </row>
    <row r="132" spans="27:32" ht="12.75">
      <c r="AA132" s="17" t="e">
        <f>IF(DataEntry!E31&gt;0,DataEntry!B31,#N/A)</f>
        <v>#N/A</v>
      </c>
      <c r="AB132" s="85" t="e">
        <f>IF(DataEntry!E31&gt;0,DataEntry!D31,#N/A)</f>
        <v>#N/A</v>
      </c>
      <c r="AC132" s="85"/>
      <c r="AD132" s="85" t="e">
        <f>IF(DataEntry!E31&gt;0,DataEntry!G31,#N/A)</f>
        <v>#N/A</v>
      </c>
      <c r="AE132" s="32"/>
      <c r="AF132" s="15"/>
    </row>
    <row r="133" spans="27:32" ht="12.75">
      <c r="AA133" s="17" t="e">
        <f>IF(DataEntry!E32&gt;0,DataEntry!B32,#N/A)</f>
        <v>#N/A</v>
      </c>
      <c r="AB133" s="85" t="e">
        <f>IF(DataEntry!E32&gt;0,DataEntry!D32,#N/A)</f>
        <v>#N/A</v>
      </c>
      <c r="AC133" s="85"/>
      <c r="AD133" s="85" t="e">
        <f>IF(DataEntry!E32&gt;0,DataEntry!G32,#N/A)</f>
        <v>#N/A</v>
      </c>
      <c r="AE133" s="32"/>
      <c r="AF133" s="15"/>
    </row>
    <row r="134" spans="27:32" ht="12.75">
      <c r="AA134" s="17" t="e">
        <f>IF(DataEntry!E33&gt;0,DataEntry!B33,#N/A)</f>
        <v>#N/A</v>
      </c>
      <c r="AB134" s="85" t="e">
        <f>IF(DataEntry!E33&gt;0,DataEntry!D33,#N/A)</f>
        <v>#N/A</v>
      </c>
      <c r="AC134" s="85"/>
      <c r="AD134" s="85" t="e">
        <f>IF(DataEntry!E33&gt;0,DataEntry!G33,#N/A)</f>
        <v>#N/A</v>
      </c>
      <c r="AE134" s="32"/>
      <c r="AF134" s="15"/>
    </row>
    <row r="135" spans="27:32" ht="12.75">
      <c r="AA135" s="17" t="e">
        <f>IF(DataEntry!E34&gt;0,DataEntry!B34,#N/A)</f>
        <v>#N/A</v>
      </c>
      <c r="AB135" s="85" t="e">
        <f>IF(DataEntry!E34&gt;0,DataEntry!D34,#N/A)</f>
        <v>#N/A</v>
      </c>
      <c r="AC135" s="85"/>
      <c r="AD135" s="85" t="e">
        <f>IF(DataEntry!E34&gt;0,DataEntry!G34,#N/A)</f>
        <v>#N/A</v>
      </c>
      <c r="AE135" s="32"/>
      <c r="AF135" s="15"/>
    </row>
    <row r="136" spans="27:32" ht="12.75">
      <c r="AA136" s="17" t="e">
        <f>IF(DataEntry!E35&gt;0,DataEntry!B35,#N/A)</f>
        <v>#N/A</v>
      </c>
      <c r="AB136" s="85" t="e">
        <f>IF(DataEntry!E35&gt;0,DataEntry!D35,#N/A)</f>
        <v>#N/A</v>
      </c>
      <c r="AC136" s="85"/>
      <c r="AD136" s="85" t="e">
        <f>IF(DataEntry!E35&gt;0,DataEntry!G35,#N/A)</f>
        <v>#N/A</v>
      </c>
      <c r="AE136" s="32"/>
      <c r="AF136" s="15"/>
    </row>
    <row r="137" spans="27:32" ht="12.75">
      <c r="AA137" s="17" t="e">
        <f>IF(DataEntry!E36&gt;0,DataEntry!B36,#N/A)</f>
        <v>#N/A</v>
      </c>
      <c r="AB137" s="85" t="e">
        <f>IF(DataEntry!E36&gt;0,DataEntry!D36,#N/A)</f>
        <v>#N/A</v>
      </c>
      <c r="AC137" s="85"/>
      <c r="AD137" s="85" t="e">
        <f>IF(DataEntry!E36&gt;0,DataEntry!G36,#N/A)</f>
        <v>#N/A</v>
      </c>
      <c r="AE137" s="32"/>
      <c r="AF137" s="15"/>
    </row>
    <row r="138" spans="27:32" ht="12.75">
      <c r="AA138" s="17" t="e">
        <f>IF(DataEntry!E37&gt;0,DataEntry!B37,#N/A)</f>
        <v>#N/A</v>
      </c>
      <c r="AB138" s="85" t="e">
        <f>IF(DataEntry!E37&gt;0,DataEntry!D37,#N/A)</f>
        <v>#N/A</v>
      </c>
      <c r="AC138" s="85"/>
      <c r="AD138" s="85" t="e">
        <f>IF(DataEntry!E37&gt;0,DataEntry!G37,#N/A)</f>
        <v>#N/A</v>
      </c>
      <c r="AE138" s="32"/>
      <c r="AF138" s="15"/>
    </row>
    <row r="139" spans="27:32" ht="12.75">
      <c r="AA139" s="17" t="e">
        <f>IF(DataEntry!E38&gt;0,DataEntry!B38,#N/A)</f>
        <v>#N/A</v>
      </c>
      <c r="AB139" s="85" t="e">
        <f>IF(DataEntry!E38&gt;0,DataEntry!D38,#N/A)</f>
        <v>#N/A</v>
      </c>
      <c r="AC139" s="85"/>
      <c r="AD139" s="85" t="e">
        <f>IF(DataEntry!E38&gt;0,DataEntry!G38,#N/A)</f>
        <v>#N/A</v>
      </c>
      <c r="AE139" s="32"/>
      <c r="AF139" s="15"/>
    </row>
    <row r="140" spans="27:32" ht="12.75">
      <c r="AA140" s="17" t="e">
        <f>IF(DataEntry!E39&gt;0,DataEntry!B39,#N/A)</f>
        <v>#N/A</v>
      </c>
      <c r="AB140" s="85" t="e">
        <f>IF(DataEntry!E39&gt;0,DataEntry!D39,#N/A)</f>
        <v>#N/A</v>
      </c>
      <c r="AC140" s="85"/>
      <c r="AD140" s="85" t="e">
        <f>IF(DataEntry!E39&gt;0,DataEntry!G39,#N/A)</f>
        <v>#N/A</v>
      </c>
      <c r="AE140" s="32"/>
      <c r="AF140" s="15"/>
    </row>
    <row r="141" spans="27:32" ht="12.75">
      <c r="AA141" s="17"/>
      <c r="AB141" s="86"/>
      <c r="AC141" s="86"/>
      <c r="AD141" s="86"/>
      <c r="AE141" s="32"/>
      <c r="AF141" s="15"/>
    </row>
    <row r="142" spans="27:32" ht="12.75">
      <c r="AA142" s="17"/>
      <c r="AB142" s="86"/>
      <c r="AC142" s="86"/>
      <c r="AD142" s="86"/>
      <c r="AE142" s="32"/>
      <c r="AF142" s="15"/>
    </row>
    <row r="143" spans="27:32" ht="12.75">
      <c r="AA143" s="17"/>
      <c r="AB143" s="86"/>
      <c r="AC143" s="86"/>
      <c r="AD143" s="86"/>
      <c r="AE143" s="32"/>
      <c r="AF143" s="15"/>
    </row>
    <row r="144" spans="27:32" ht="12.75">
      <c r="AA144" s="17"/>
      <c r="AB144" s="86"/>
      <c r="AC144" s="86"/>
      <c r="AD144" s="86"/>
      <c r="AE144" s="32"/>
      <c r="AF144" s="15"/>
    </row>
    <row r="145" spans="27:32" ht="12.75">
      <c r="AA145" s="17"/>
      <c r="AB145" s="86"/>
      <c r="AC145" s="86"/>
      <c r="AD145" s="86"/>
      <c r="AE145" s="32"/>
      <c r="AF145" s="15"/>
    </row>
    <row r="146" spans="27:32" ht="12.75">
      <c r="AA146" s="17"/>
      <c r="AB146" s="86"/>
      <c r="AC146" s="86"/>
      <c r="AD146" s="86"/>
      <c r="AE146" s="32"/>
      <c r="AF146" s="15"/>
    </row>
    <row r="147" spans="27:32" ht="12.75">
      <c r="AA147" s="17"/>
      <c r="AB147" s="86"/>
      <c r="AC147" s="86"/>
      <c r="AD147" s="86"/>
      <c r="AE147" s="32"/>
      <c r="AF147" s="15"/>
    </row>
    <row r="148" spans="27:32" ht="12.75">
      <c r="AA148" s="17"/>
      <c r="AB148" s="86"/>
      <c r="AC148" s="86"/>
      <c r="AD148" s="86"/>
      <c r="AE148" s="32"/>
      <c r="AF148" s="15"/>
    </row>
    <row r="149" spans="27:32" ht="12.75">
      <c r="AA149" s="17"/>
      <c r="AB149" s="86"/>
      <c r="AC149" s="86"/>
      <c r="AD149" s="86"/>
      <c r="AE149" s="32"/>
      <c r="AF149" s="15"/>
    </row>
    <row r="150" spans="27:32" ht="12.75">
      <c r="AA150" s="17"/>
      <c r="AB150" s="86"/>
      <c r="AC150" s="86"/>
      <c r="AD150" s="86"/>
      <c r="AE150" s="32"/>
      <c r="AF150" s="15"/>
    </row>
    <row r="151" spans="27:32" ht="12.75">
      <c r="AA151" s="17"/>
      <c r="AB151" s="86"/>
      <c r="AC151" s="86"/>
      <c r="AD151" s="86"/>
      <c r="AE151" s="32"/>
      <c r="AF151" s="15"/>
    </row>
    <row r="152" spans="27:32" ht="12.75">
      <c r="AA152" s="17"/>
      <c r="AB152" s="86"/>
      <c r="AC152" s="86"/>
      <c r="AD152" s="86"/>
      <c r="AE152" s="32"/>
      <c r="AF152" s="15"/>
    </row>
    <row r="153" spans="27:32" ht="12.75">
      <c r="AA153" s="17"/>
      <c r="AB153" s="86"/>
      <c r="AC153" s="86"/>
      <c r="AD153" s="86"/>
      <c r="AE153" s="32"/>
      <c r="AF153" s="15"/>
    </row>
    <row r="154" spans="27:32" ht="12.75">
      <c r="AA154" s="17"/>
      <c r="AB154" s="86"/>
      <c r="AC154" s="86"/>
      <c r="AD154" s="86"/>
      <c r="AE154" s="32"/>
      <c r="AF154" s="15"/>
    </row>
    <row r="155" spans="27:32" ht="12.75">
      <c r="AA155" s="17"/>
      <c r="AB155" s="86"/>
      <c r="AC155" s="86"/>
      <c r="AD155" s="86"/>
      <c r="AE155" s="32"/>
      <c r="AF155" s="15"/>
    </row>
    <row r="156" spans="27:32" ht="12.75">
      <c r="AA156" s="17"/>
      <c r="AB156" s="86"/>
      <c r="AC156" s="86"/>
      <c r="AD156" s="86"/>
      <c r="AE156" s="32"/>
      <c r="AF156" s="15"/>
    </row>
    <row r="157" spans="27:32" ht="12.75">
      <c r="AA157" s="17"/>
      <c r="AB157" s="86"/>
      <c r="AC157" s="86"/>
      <c r="AD157" s="86"/>
      <c r="AE157" s="32"/>
      <c r="AF157" s="15"/>
    </row>
    <row r="158" spans="27:32" ht="12.75">
      <c r="AA158" s="17"/>
      <c r="AB158" s="86"/>
      <c r="AC158" s="86"/>
      <c r="AD158" s="86"/>
      <c r="AE158" s="32"/>
      <c r="AF158" s="15"/>
    </row>
    <row r="159" spans="27:32" ht="12.75">
      <c r="AA159" s="17"/>
      <c r="AB159" s="86"/>
      <c r="AC159" s="86"/>
      <c r="AD159" s="86"/>
      <c r="AE159" s="32"/>
      <c r="AF159" s="15"/>
    </row>
    <row r="160" spans="27:32" ht="12.75">
      <c r="AA160" s="17"/>
      <c r="AB160" s="86"/>
      <c r="AC160" s="86"/>
      <c r="AD160" s="86"/>
      <c r="AE160" s="32"/>
      <c r="AF160" s="15"/>
    </row>
    <row r="161" spans="27:31" ht="12.75">
      <c r="AA161" s="13"/>
      <c r="AB161" s="5"/>
      <c r="AC161" s="5"/>
      <c r="AD161" s="5"/>
      <c r="AE161" s="5"/>
    </row>
    <row r="162" spans="28:31" ht="12.75">
      <c r="AB162" s="5"/>
      <c r="AC162" s="5"/>
      <c r="AD162" s="5"/>
      <c r="AE162" s="5"/>
    </row>
    <row r="163" spans="28:31" ht="12.75">
      <c r="AB163" s="5"/>
      <c r="AC163" s="5"/>
      <c r="AD163" s="5"/>
      <c r="AE163" s="5"/>
    </row>
    <row r="164" spans="28:31" ht="12.75">
      <c r="AB164" s="5"/>
      <c r="AC164" s="5"/>
      <c r="AD164" s="5"/>
      <c r="AE164" s="5"/>
    </row>
    <row r="165" spans="28:31" ht="12.75">
      <c r="AB165" s="5"/>
      <c r="AC165" s="5"/>
      <c r="AD165" s="5"/>
      <c r="AE165" s="5"/>
    </row>
    <row r="166" spans="28:31" ht="12.75">
      <c r="AB166" s="5"/>
      <c r="AC166" s="5"/>
      <c r="AD166" s="5"/>
      <c r="AE166" s="5"/>
    </row>
    <row r="167" spans="28:31" ht="12.75">
      <c r="AB167" s="5"/>
      <c r="AC167" s="5"/>
      <c r="AD167" s="5"/>
      <c r="AE167" s="5"/>
    </row>
    <row r="168" spans="28:31" ht="12.75">
      <c r="AB168" s="5"/>
      <c r="AC168" s="5"/>
      <c r="AD168" s="5"/>
      <c r="AE168" s="5"/>
    </row>
    <row r="169" spans="28:31" ht="12.75">
      <c r="AB169" s="5"/>
      <c r="AC169" s="5"/>
      <c r="AD169" s="5"/>
      <c r="AE169" s="5"/>
    </row>
    <row r="170" spans="28:31" ht="12.75">
      <c r="AB170" s="5"/>
      <c r="AC170" s="5"/>
      <c r="AD170" s="5"/>
      <c r="AE170" s="5"/>
    </row>
    <row r="171" spans="28:31" ht="12.75">
      <c r="AB171" s="5"/>
      <c r="AC171" s="5"/>
      <c r="AD171" s="5"/>
      <c r="AE171" s="5"/>
    </row>
    <row r="172" spans="28:31" ht="12.75">
      <c r="AB172" s="5"/>
      <c r="AC172" s="5"/>
      <c r="AD172" s="5"/>
      <c r="AE172" s="5"/>
    </row>
    <row r="173" spans="28:31" ht="12.75">
      <c r="AB173" s="5"/>
      <c r="AC173" s="5"/>
      <c r="AD173" s="5"/>
      <c r="AE173" s="5"/>
    </row>
    <row r="174" spans="28:31" ht="12.75">
      <c r="AB174" s="5"/>
      <c r="AC174" s="5"/>
      <c r="AD174" s="5"/>
      <c r="AE174" s="5"/>
    </row>
    <row r="175" spans="28:31" ht="12.75">
      <c r="AB175" s="5"/>
      <c r="AC175" s="5"/>
      <c r="AD175" s="5"/>
      <c r="AE175" s="5"/>
    </row>
    <row r="176" spans="28:31" ht="12.75">
      <c r="AB176" s="5"/>
      <c r="AC176" s="5"/>
      <c r="AD176" s="5"/>
      <c r="AE176" s="5"/>
    </row>
    <row r="177" spans="28:31" ht="12.75">
      <c r="AB177" s="5"/>
      <c r="AC177" s="5"/>
      <c r="AD177" s="5"/>
      <c r="AE177" s="5"/>
    </row>
    <row r="178" spans="28:31" ht="12.75">
      <c r="AB178" s="5"/>
      <c r="AC178" s="5"/>
      <c r="AD178" s="5"/>
      <c r="AE178" s="5"/>
    </row>
    <row r="179" spans="28:31" ht="12.75">
      <c r="AB179" s="5"/>
      <c r="AC179" s="5"/>
      <c r="AD179" s="5"/>
      <c r="AE179" s="5"/>
    </row>
    <row r="180" spans="28:31" ht="12.75">
      <c r="AB180" s="5"/>
      <c r="AC180" s="5"/>
      <c r="AD180" s="5"/>
      <c r="AE180" s="5"/>
    </row>
    <row r="181" spans="28:31" ht="12.75">
      <c r="AB181" s="5"/>
      <c r="AC181" s="5"/>
      <c r="AD181" s="5"/>
      <c r="AE181" s="5"/>
    </row>
    <row r="182" spans="28:31" ht="12.75">
      <c r="AB182" s="5"/>
      <c r="AC182" s="5"/>
      <c r="AD182" s="5"/>
      <c r="AE182" s="5"/>
    </row>
    <row r="183" spans="28:31" ht="12.75">
      <c r="AB183" s="5"/>
      <c r="AC183" s="5"/>
      <c r="AD183" s="5"/>
      <c r="AE183" s="5"/>
    </row>
    <row r="184" spans="28:31" ht="12.75">
      <c r="AB184" s="5"/>
      <c r="AC184" s="5"/>
      <c r="AD184" s="5"/>
      <c r="AE184" s="5"/>
    </row>
    <row r="185" spans="28:31" ht="12.75">
      <c r="AB185" s="5"/>
      <c r="AC185" s="5"/>
      <c r="AD185" s="5"/>
      <c r="AE185" s="5"/>
    </row>
    <row r="186" spans="28:31" ht="12.75">
      <c r="AB186" s="5"/>
      <c r="AC186" s="5"/>
      <c r="AD186" s="5"/>
      <c r="AE186" s="5"/>
    </row>
    <row r="187" spans="28:31" ht="12.75">
      <c r="AB187" s="5"/>
      <c r="AC187" s="5"/>
      <c r="AD187" s="5"/>
      <c r="AE187" s="5"/>
    </row>
    <row r="188" spans="28:31" ht="12.75">
      <c r="AB188" s="5"/>
      <c r="AC188" s="5"/>
      <c r="AD188" s="5"/>
      <c r="AE188" s="5"/>
    </row>
    <row r="189" spans="28:31" ht="12.75">
      <c r="AB189" s="5"/>
      <c r="AC189" s="5"/>
      <c r="AD189" s="5"/>
      <c r="AE189" s="5"/>
    </row>
    <row r="190" spans="28:31" ht="12.75">
      <c r="AB190" s="5"/>
      <c r="AC190" s="5"/>
      <c r="AD190" s="5"/>
      <c r="AE190" s="5"/>
    </row>
    <row r="191" spans="28:31" ht="12.75">
      <c r="AB191" s="5"/>
      <c r="AC191" s="5"/>
      <c r="AD191" s="5"/>
      <c r="AE191" s="5"/>
    </row>
    <row r="192" spans="28:31" ht="12.75">
      <c r="AB192" s="5"/>
      <c r="AC192" s="5"/>
      <c r="AD192" s="5"/>
      <c r="AE192" s="5"/>
    </row>
    <row r="193" spans="28:31" ht="12.75">
      <c r="AB193" s="5"/>
      <c r="AC193" s="5"/>
      <c r="AD193" s="5"/>
      <c r="AE193" s="5"/>
    </row>
    <row r="194" spans="28:31" ht="12.75">
      <c r="AB194" s="5"/>
      <c r="AC194" s="5"/>
      <c r="AD194" s="5"/>
      <c r="AE194" s="5"/>
    </row>
    <row r="195" spans="28:31" ht="12.75">
      <c r="AB195" s="5"/>
      <c r="AC195" s="5"/>
      <c r="AD195" s="5"/>
      <c r="AE195" s="5"/>
    </row>
    <row r="196" spans="28:31" ht="12.75">
      <c r="AB196" s="5"/>
      <c r="AC196" s="5"/>
      <c r="AD196" s="5"/>
      <c r="AE196" s="5"/>
    </row>
    <row r="197" spans="28:31" ht="12.75">
      <c r="AB197" s="5"/>
      <c r="AC197" s="5"/>
      <c r="AD197" s="5"/>
      <c r="AE197" s="5"/>
    </row>
    <row r="198" spans="28:31" ht="12.75">
      <c r="AB198" s="5"/>
      <c r="AC198" s="5"/>
      <c r="AD198" s="5"/>
      <c r="AE198" s="5"/>
    </row>
    <row r="199" spans="28:31" ht="12.75">
      <c r="AB199" s="5"/>
      <c r="AC199" s="5"/>
      <c r="AD199" s="5"/>
      <c r="AE199" s="5"/>
    </row>
    <row r="200" spans="28:31" ht="12.75">
      <c r="AB200" s="5"/>
      <c r="AC200" s="5"/>
      <c r="AD200" s="5"/>
      <c r="AE200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Tx Dept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Resources</dc:creator>
  <cp:keywords/>
  <dc:description/>
  <cp:lastModifiedBy>OWM</cp:lastModifiedBy>
  <cp:lastPrinted>2000-11-15T21:22:35Z</cp:lastPrinted>
  <dcterms:created xsi:type="dcterms:W3CDTF">1998-10-02T18:31:17Z</dcterms:created>
  <dcterms:modified xsi:type="dcterms:W3CDTF">2000-11-17T16:03:58Z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