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05" windowHeight="8310" activeTab="0"/>
  </bookViews>
  <sheets>
    <sheet name="Tabl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<sst xmlns="http://schemas.openxmlformats.org/spreadsheetml/2006/main" count="347" uniqueCount="90">
  <si>
    <t>Means of transportation</t>
  </si>
  <si>
    <t>2005 ACS</t>
  </si>
  <si>
    <t>Census 2000</t>
  </si>
  <si>
    <t>C2SS</t>
  </si>
  <si>
    <r>
      <t>Difference between 2005 ACS and Census 2000</t>
    </r>
    <r>
      <rPr>
        <vertAlign val="superscript"/>
        <sz val="9"/>
        <rFont val="Arial"/>
        <family val="2"/>
      </rPr>
      <t>2</t>
    </r>
  </si>
  <si>
    <t>(X)</t>
  </si>
  <si>
    <t xml:space="preserve"> </t>
  </si>
  <si>
    <t xml:space="preserve">   Car, truck, or van</t>
  </si>
  <si>
    <t>*</t>
  </si>
  <si>
    <t xml:space="preserve">        Drove alone</t>
  </si>
  <si>
    <t xml:space="preserve">        Carpooled</t>
  </si>
  <si>
    <t xml:space="preserve">        Bus or trolley bus</t>
  </si>
  <si>
    <t xml:space="preserve">        Streetcar or trolley car</t>
  </si>
  <si>
    <t xml:space="preserve">        Subway or elevated</t>
  </si>
  <si>
    <t xml:space="preserve">        Railroad</t>
  </si>
  <si>
    <t xml:space="preserve">        Ferryboat</t>
  </si>
  <si>
    <t xml:space="preserve">   Taxicab</t>
  </si>
  <si>
    <t xml:space="preserve">   Motorcycle</t>
  </si>
  <si>
    <t xml:space="preserve">   Bicycle</t>
  </si>
  <si>
    <t xml:space="preserve">   Walked</t>
  </si>
  <si>
    <t xml:space="preserve">   Other means</t>
  </si>
  <si>
    <t xml:space="preserve">   Worked at home</t>
  </si>
  <si>
    <t>(X) Not Applicable</t>
  </si>
  <si>
    <t>Time Leaving Home to go to Work</t>
  </si>
  <si>
    <t>Did not work at home</t>
  </si>
  <si>
    <t>Worked at home</t>
  </si>
  <si>
    <t xml:space="preserve">     Did not work at home</t>
  </si>
  <si>
    <t>12:00 a.m. to 6:29a.m.</t>
  </si>
  <si>
    <t xml:space="preserve">  12:00 a.m. to 4:59 a.m.</t>
  </si>
  <si>
    <t xml:space="preserve">  5:00 a.m. to 5:29 a.m.</t>
  </si>
  <si>
    <t xml:space="preserve">  5:30 a.m. to 5:59 a.m.</t>
  </si>
  <si>
    <t xml:space="preserve">  6:00 a.m. to 6:29 a.m.</t>
  </si>
  <si>
    <t>6:30 a.m. to 8:29 a.m.</t>
  </si>
  <si>
    <t xml:space="preserve">  6:30 a.m. to 6:59 a.m.</t>
  </si>
  <si>
    <t xml:space="preserve">  7:00 a.m. to 7:29 a.m.</t>
  </si>
  <si>
    <t xml:space="preserve">  7:30 a.m. to 7:59 a.m.</t>
  </si>
  <si>
    <t xml:space="preserve">  8:00 a.m. to 8:29 a.m.</t>
  </si>
  <si>
    <t>8:30 a.m. to 11:59 a.m.</t>
  </si>
  <si>
    <t xml:space="preserve">  8:30 a.m. to 8:59 a.m.</t>
  </si>
  <si>
    <t xml:space="preserve">  9:00 a.m. to 9:59 a.m.</t>
  </si>
  <si>
    <t xml:space="preserve">  10:00 a.m. to 10:59 a.m.</t>
  </si>
  <si>
    <t xml:space="preserve">  11:00 a.m. to 11:59 a.m.</t>
  </si>
  <si>
    <t>12:00 p.m. to 3:59 p.m.</t>
  </si>
  <si>
    <t>4:00 p.m. to 11:59 p.m.</t>
  </si>
  <si>
    <t>Travel Time to go to Work</t>
  </si>
  <si>
    <t xml:space="preserve">      Did not work at home</t>
  </si>
  <si>
    <t>Less than 5 minutes</t>
  </si>
  <si>
    <t>5 to 9 minutes</t>
  </si>
  <si>
    <t>10 to 14 minutes</t>
  </si>
  <si>
    <t>15 to 19 minutes</t>
  </si>
  <si>
    <t>20 to 24 minutes</t>
  </si>
  <si>
    <t>25 to 29 minutes</t>
  </si>
  <si>
    <t>30 to 34 minutes</t>
  </si>
  <si>
    <t>35 to 39 minutes</t>
  </si>
  <si>
    <t>40 to 44 minutes</t>
  </si>
  <si>
    <t>45 to 59 minutes</t>
  </si>
  <si>
    <t>60 to 89 minutes</t>
  </si>
  <si>
    <t>90 or more minutes</t>
  </si>
  <si>
    <t>Place of Work - State and County Level</t>
  </si>
  <si>
    <t xml:space="preserve">   Worked in state of residence</t>
  </si>
  <si>
    <t xml:space="preserve">      Worked in county of residence</t>
  </si>
  <si>
    <t xml:space="preserve">      Worked outside county of residence</t>
  </si>
  <si>
    <t xml:space="preserve">   Worked outside state of residence</t>
  </si>
  <si>
    <t xml:space="preserve">     Workers 16 years and over</t>
  </si>
  <si>
    <t xml:space="preserve">     Workers 16 years old and over</t>
  </si>
  <si>
    <t>3. The difference is the percentage-point difference and is calculated as ACS-Census 2000.  All tests of significance are done on unrounded estimates and standard errors.</t>
  </si>
  <si>
    <t>4. The difference is the percentage-point difference and is calculated as ACS-C2SS.  All tests of significance are done on unrounded estimates and standard errors.</t>
  </si>
  <si>
    <t>5. The difference is the percentage-point difference and is calculated as Census 2000-C2SS.  All tests of significance are done on unrounded estimates and standard errors.</t>
  </si>
  <si>
    <t>1. Percentages may not add to 100 due to rounding.</t>
  </si>
  <si>
    <r>
      <t>Estimate</t>
    </r>
    <r>
      <rPr>
        <vertAlign val="superscript"/>
        <sz val="9"/>
        <rFont val="Arial"/>
        <family val="2"/>
      </rPr>
      <t>1</t>
    </r>
  </si>
  <si>
    <r>
      <t>Margin of error</t>
    </r>
    <r>
      <rPr>
        <vertAlign val="superscript"/>
        <sz val="9"/>
        <rFont val="Arial"/>
        <family val="2"/>
      </rPr>
      <t>2</t>
    </r>
  </si>
  <si>
    <r>
      <t>Estimate</t>
    </r>
    <r>
      <rPr>
        <vertAlign val="superscript"/>
        <sz val="10"/>
        <rFont val="Arial"/>
        <family val="2"/>
      </rPr>
      <t>1</t>
    </r>
  </si>
  <si>
    <r>
      <t>Difference between 2005 ACS and Census 2000</t>
    </r>
    <r>
      <rPr>
        <vertAlign val="superscript"/>
        <sz val="9"/>
        <rFont val="Arial"/>
        <family val="2"/>
      </rPr>
      <t>3</t>
    </r>
  </si>
  <si>
    <r>
      <t>Difference between 2005 ACS and C2SS</t>
    </r>
    <r>
      <rPr>
        <vertAlign val="superscript"/>
        <sz val="9"/>
        <rFont val="Arial"/>
        <family val="2"/>
      </rPr>
      <t>4</t>
    </r>
  </si>
  <si>
    <r>
      <t>Difference between Census 2000 and C2SS</t>
    </r>
    <r>
      <rPr>
        <vertAlign val="superscript"/>
        <sz val="9"/>
        <rFont val="Arial"/>
        <family val="2"/>
      </rPr>
      <t>5</t>
    </r>
  </si>
  <si>
    <r>
      <t xml:space="preserve">   Public transportation (excluding taxicab)</t>
    </r>
    <r>
      <rPr>
        <vertAlign val="superscript"/>
        <sz val="10"/>
        <rFont val="Arial"/>
        <family val="2"/>
      </rPr>
      <t>6</t>
    </r>
  </si>
  <si>
    <t>Mean Travel Time (minutes)</t>
  </si>
  <si>
    <t>2. This number added to and subtracted from the estimate yields the 90-percent confidence interval around the estimate.</t>
  </si>
  <si>
    <t>* Difference is significant at the 90 percent confidence level.</t>
  </si>
  <si>
    <t>Table 2. Means of Transportation to Work</t>
  </si>
  <si>
    <t>Table 3. Departure Time</t>
  </si>
  <si>
    <t>Table 4. Travel Time</t>
  </si>
  <si>
    <t>Table 5. Place of Work - State and County Level</t>
  </si>
  <si>
    <t>Source: 2005 ACS Table B08006; Census 2000 Summary File 3; Census 2000 Supplementary Survey.</t>
  </si>
  <si>
    <t>6. For Census 2000 and C2SS, taxicabs were classified as public transportation.  For ACS taxicabs were not classified as public transportation.</t>
  </si>
  <si>
    <t>Source: 2005 ACS Table B08011; Census 2000 Summary File 3; Census 2000 Supplementary Survey.</t>
  </si>
  <si>
    <t>Source: 2005 ACS Table B08012; Census 2000 Summary File 3; Census 2000 Supplementary Survey.</t>
  </si>
  <si>
    <t>Source: 2005 ACS Table B08007; Census 2000 Summary File 3; Census 2000 Supplementary Survey.</t>
  </si>
  <si>
    <t>(Data based on sample.  For information on confidentiality protection, sampling error, and nonsampling error, see www.census.gov/acs/www/Downloads/ACS/accuracy2005.pdf for 2005 ACS;</t>
  </si>
  <si>
    <t>www.census.gov/prod/cen2000/doc/sf3.pdf for Census 2000; and www.census.gov/acs/www/Downloads/ACS/Accuracy00_C2SS.pdf for C2SS)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</si>
</sst>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0"/>
    <numFmt numFmtId="167" formatCode="0.00000"/>
    <numFmt numFmtId="168" formatCode="0.0000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left"/>
    </xf>
    <xf numFmtId="164" fontId="0" fillId="0" borderId="2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left"/>
    </xf>
    <xf numFmtId="164" fontId="0" fillId="0" borderId="3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6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67" fontId="1" fillId="0" borderId="7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/>
    </xf>
    <xf numFmtId="0" fontId="0" fillId="0" borderId="6" xfId="0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7" fontId="0" fillId="0" borderId="7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1" fillId="0" borderId="2" xfId="0" applyNumberFormat="1" applyFont="1" applyFill="1" applyBorder="1" applyAlignment="1">
      <alignment/>
    </xf>
    <xf numFmtId="0" fontId="0" fillId="0" borderId="6" xfId="0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7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16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167" fontId="0" fillId="0" borderId="1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9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wrapText="1"/>
    </xf>
    <xf numFmtId="1" fontId="3" fillId="0" borderId="3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7" width="9.421875" style="0" customWidth="1"/>
    <col min="8" max="8" width="11.7109375" style="0" customWidth="1"/>
    <col min="9" max="9" width="2.140625" style="0" customWidth="1"/>
    <col min="10" max="10" width="12.28125" style="0" customWidth="1"/>
    <col min="11" max="11" width="1.7109375" style="0" customWidth="1"/>
    <col min="12" max="12" width="12.421875" style="0" customWidth="1"/>
    <col min="13" max="13" width="2.140625" style="0" customWidth="1"/>
    <col min="14" max="14" width="2.28125" style="0" customWidth="1"/>
    <col min="15" max="15" width="12.28125" style="0" customWidth="1"/>
    <col min="16" max="16" width="1.7109375" style="0" customWidth="1"/>
  </cols>
  <sheetData>
    <row r="1" spans="1:9" ht="12.75">
      <c r="A1" s="1" t="s">
        <v>79</v>
      </c>
      <c r="C1" s="2"/>
      <c r="D1" s="2"/>
      <c r="F1" s="2"/>
      <c r="G1" s="2"/>
      <c r="I1" s="2"/>
    </row>
    <row r="2" spans="1:9" s="135" customFormat="1" ht="11.25">
      <c r="A2" s="134" t="s">
        <v>88</v>
      </c>
      <c r="C2" s="136"/>
      <c r="D2" s="136"/>
      <c r="F2" s="136"/>
      <c r="G2" s="136"/>
      <c r="I2" s="136"/>
    </row>
    <row r="3" spans="1:9" s="135" customFormat="1" ht="11.25">
      <c r="A3" s="135" t="s">
        <v>89</v>
      </c>
      <c r="B3" s="137"/>
      <c r="I3" s="134"/>
    </row>
    <row r="5" spans="1:13" ht="12.75" customHeight="1">
      <c r="A5" s="172" t="s">
        <v>0</v>
      </c>
      <c r="B5" s="174" t="s">
        <v>1</v>
      </c>
      <c r="C5" s="175"/>
      <c r="D5" s="174" t="s">
        <v>2</v>
      </c>
      <c r="E5" s="175"/>
      <c r="F5" s="157" t="s">
        <v>3</v>
      </c>
      <c r="G5" s="175"/>
      <c r="H5" s="158" t="s">
        <v>72</v>
      </c>
      <c r="I5" s="159"/>
      <c r="J5" s="158" t="s">
        <v>73</v>
      </c>
      <c r="K5" s="159"/>
      <c r="L5" s="158" t="s">
        <v>74</v>
      </c>
      <c r="M5" s="159"/>
    </row>
    <row r="6" spans="1:13" ht="12.75" customHeight="1">
      <c r="A6" s="178"/>
      <c r="B6" s="5"/>
      <c r="C6" s="164" t="s">
        <v>70</v>
      </c>
      <c r="D6" s="5"/>
      <c r="E6" s="159" t="s">
        <v>70</v>
      </c>
      <c r="F6" s="169" t="s">
        <v>71</v>
      </c>
      <c r="G6" s="159" t="s">
        <v>70</v>
      </c>
      <c r="H6" s="160"/>
      <c r="I6" s="161"/>
      <c r="J6" s="160"/>
      <c r="K6" s="161"/>
      <c r="L6" s="160"/>
      <c r="M6" s="161"/>
    </row>
    <row r="7" spans="1:13" ht="12.75" customHeight="1">
      <c r="A7" s="173"/>
      <c r="B7" s="6"/>
      <c r="C7" s="165"/>
      <c r="D7" s="6"/>
      <c r="E7" s="167"/>
      <c r="F7" s="170"/>
      <c r="G7" s="167"/>
      <c r="H7" s="160"/>
      <c r="I7" s="161"/>
      <c r="J7" s="160"/>
      <c r="K7" s="161"/>
      <c r="L7" s="160"/>
      <c r="M7" s="161"/>
    </row>
    <row r="8" spans="1:13" ht="12.75" customHeight="1">
      <c r="A8" s="179"/>
      <c r="B8" s="8" t="s">
        <v>69</v>
      </c>
      <c r="C8" s="166"/>
      <c r="D8" s="8" t="s">
        <v>69</v>
      </c>
      <c r="E8" s="168"/>
      <c r="F8" s="171"/>
      <c r="G8" s="168"/>
      <c r="H8" s="162"/>
      <c r="I8" s="163"/>
      <c r="J8" s="162"/>
      <c r="K8" s="163"/>
      <c r="L8" s="162"/>
      <c r="M8" s="163"/>
    </row>
    <row r="9" spans="1:13" s="17" customFormat="1" ht="12.75">
      <c r="A9" s="131" t="s">
        <v>64</v>
      </c>
      <c r="B9" s="132">
        <v>100</v>
      </c>
      <c r="C9" s="9" t="s">
        <v>5</v>
      </c>
      <c r="D9" s="133">
        <v>100</v>
      </c>
      <c r="E9" s="10" t="s">
        <v>5</v>
      </c>
      <c r="F9" s="133">
        <v>100</v>
      </c>
      <c r="G9" s="11" t="s">
        <v>5</v>
      </c>
      <c r="H9" s="12" t="s">
        <v>5</v>
      </c>
      <c r="I9" s="13" t="s">
        <v>6</v>
      </c>
      <c r="J9" s="14" t="s">
        <v>5</v>
      </c>
      <c r="K9" s="15"/>
      <c r="L9" s="16" t="s">
        <v>5</v>
      </c>
      <c r="M9" s="15" t="s">
        <v>6</v>
      </c>
    </row>
    <row r="10" spans="1:13" ht="14.25" customHeight="1">
      <c r="A10" s="18" t="s">
        <v>7</v>
      </c>
      <c r="B10" s="19">
        <f>0.876533013570267*100</f>
        <v>87.6533013570267</v>
      </c>
      <c r="C10" s="20">
        <v>0.1</v>
      </c>
      <c r="D10" s="21">
        <f>0.878833640938344*100</f>
        <v>87.8833640938344</v>
      </c>
      <c r="E10" s="20">
        <v>0.1</v>
      </c>
      <c r="F10" s="22">
        <f>0.875098775350839*100</f>
        <v>87.5098775350839</v>
      </c>
      <c r="G10" s="20">
        <v>0.1</v>
      </c>
      <c r="H10" s="23">
        <f>(B10-D10)</f>
        <v>-0.23006273680769596</v>
      </c>
      <c r="I10" s="24" t="s">
        <v>8</v>
      </c>
      <c r="J10" s="25">
        <f>(B10-F10)</f>
        <v>0.1434238219428039</v>
      </c>
      <c r="K10" s="20" t="s">
        <v>8</v>
      </c>
      <c r="L10" s="23">
        <f>(D10-F10)</f>
        <v>0.37348655875049985</v>
      </c>
      <c r="M10" s="26" t="s">
        <v>8</v>
      </c>
    </row>
    <row r="11" spans="1:13" ht="13.5" customHeight="1">
      <c r="A11" s="27" t="s">
        <v>9</v>
      </c>
      <c r="B11" s="19">
        <f>0.769835931032564*100</f>
        <v>76.9835931032564</v>
      </c>
      <c r="C11" s="20">
        <v>0.1</v>
      </c>
      <c r="D11" s="21">
        <f>0.756958484346351*100</f>
        <v>75.69584843463511</v>
      </c>
      <c r="E11" s="20">
        <v>0.1</v>
      </c>
      <c r="F11" s="22">
        <f>0.76294479479756*100</f>
        <v>76.294479479756</v>
      </c>
      <c r="G11" s="20">
        <v>0.1</v>
      </c>
      <c r="H11" s="23">
        <f aca="true" t="shared" si="0" ref="H11:H24">(B11-D11)</f>
        <v>1.2877446686212863</v>
      </c>
      <c r="I11" s="24" t="s">
        <v>8</v>
      </c>
      <c r="J11" s="25">
        <f aca="true" t="shared" si="1" ref="J11:J24">(B11-F11)</f>
        <v>0.6891136235003898</v>
      </c>
      <c r="K11" s="20" t="s">
        <v>8</v>
      </c>
      <c r="L11" s="23">
        <f aca="true" t="shared" si="2" ref="L11:L24">(D11-F11)</f>
        <v>-0.5986310451208965</v>
      </c>
      <c r="M11" s="26" t="s">
        <v>8</v>
      </c>
    </row>
    <row r="12" spans="1:13" ht="12.75">
      <c r="A12" s="18" t="s">
        <v>10</v>
      </c>
      <c r="B12" s="19">
        <f>0.106697082537703*100</f>
        <v>10.6697082537703</v>
      </c>
      <c r="C12" s="20">
        <v>0.1</v>
      </c>
      <c r="D12" s="21">
        <f>0.121875156591993*100</f>
        <v>12.187515659199299</v>
      </c>
      <c r="E12" s="20">
        <v>0.1</v>
      </c>
      <c r="F12" s="22">
        <f>0.112153980553279*100</f>
        <v>11.215398055327901</v>
      </c>
      <c r="G12" s="20">
        <v>0.1</v>
      </c>
      <c r="H12" s="23">
        <f t="shared" si="0"/>
        <v>-1.5178074054289983</v>
      </c>
      <c r="I12" s="24" t="s">
        <v>8</v>
      </c>
      <c r="J12" s="25">
        <f t="shared" si="1"/>
        <v>-0.5456898015576002</v>
      </c>
      <c r="K12" s="20" t="s">
        <v>8</v>
      </c>
      <c r="L12" s="23">
        <f t="shared" si="2"/>
        <v>0.9721176038713981</v>
      </c>
      <c r="M12" s="26" t="s">
        <v>8</v>
      </c>
    </row>
    <row r="13" spans="1:13" ht="14.25">
      <c r="A13" s="18" t="s">
        <v>75</v>
      </c>
      <c r="B13" s="19">
        <f>0.0465997850809539*100</f>
        <v>4.65997850809539</v>
      </c>
      <c r="C13" s="20">
        <v>0.1</v>
      </c>
      <c r="D13" s="21">
        <f>0.0457405231656056*100</f>
        <v>4.57405231656056</v>
      </c>
      <c r="E13" s="20">
        <v>0.1</v>
      </c>
      <c r="F13" s="22">
        <f>0.0503038766409916*100</f>
        <v>5.03038766409916</v>
      </c>
      <c r="G13" s="20">
        <v>0.1</v>
      </c>
      <c r="H13" s="23">
        <f t="shared" si="0"/>
        <v>0.08592619153483039</v>
      </c>
      <c r="I13" s="24" t="s">
        <v>8</v>
      </c>
      <c r="J13" s="25">
        <f t="shared" si="1"/>
        <v>-0.37040915600376945</v>
      </c>
      <c r="K13" s="20" t="s">
        <v>8</v>
      </c>
      <c r="L13" s="23">
        <f t="shared" si="2"/>
        <v>-0.45633534753859983</v>
      </c>
      <c r="M13" s="26" t="s">
        <v>8</v>
      </c>
    </row>
    <row r="14" spans="1:13" ht="12.75">
      <c r="A14" s="18" t="s">
        <v>11</v>
      </c>
      <c r="B14" s="19">
        <f>0.0252296016644787*100</f>
        <v>2.52296016644787</v>
      </c>
      <c r="C14" s="20">
        <v>0.1</v>
      </c>
      <c r="D14" s="21">
        <f>0.0249976714858309*100</f>
        <v>2.4997671485830897</v>
      </c>
      <c r="E14" s="20">
        <v>0.1</v>
      </c>
      <c r="F14" s="22">
        <f>0.0280843842713331*100</f>
        <v>2.80843842713331</v>
      </c>
      <c r="G14" s="20">
        <v>0.1</v>
      </c>
      <c r="H14" s="23">
        <f t="shared" si="0"/>
        <v>0.02319301786478034</v>
      </c>
      <c r="I14" s="24" t="s">
        <v>6</v>
      </c>
      <c r="J14" s="25">
        <f t="shared" si="1"/>
        <v>-0.2854782606854398</v>
      </c>
      <c r="K14" s="20" t="s">
        <v>8</v>
      </c>
      <c r="L14" s="23">
        <f t="shared" si="2"/>
        <v>-0.30867127855022014</v>
      </c>
      <c r="M14" s="26" t="s">
        <v>8</v>
      </c>
    </row>
    <row r="15" spans="1:13" ht="12.75">
      <c r="A15" s="18" t="s">
        <v>12</v>
      </c>
      <c r="B15" s="19">
        <f>0.000625819725524279*100</f>
        <v>0.0625819725524279</v>
      </c>
      <c r="C15" s="20">
        <v>0.1</v>
      </c>
      <c r="D15" s="21">
        <f>0.00056683378231743*100</f>
        <v>0.056683378231743</v>
      </c>
      <c r="E15" s="20">
        <v>0.1</v>
      </c>
      <c r="F15" s="22">
        <f>0.000692999108772989*100</f>
        <v>0.0692999108772989</v>
      </c>
      <c r="G15" s="20">
        <v>0.1</v>
      </c>
      <c r="H15" s="23">
        <f t="shared" si="0"/>
        <v>0.005898594320684895</v>
      </c>
      <c r="I15" s="24" t="s">
        <v>8</v>
      </c>
      <c r="J15" s="25">
        <f t="shared" si="1"/>
        <v>-0.006717938324871012</v>
      </c>
      <c r="K15" s="20" t="s">
        <v>6</v>
      </c>
      <c r="L15" s="23">
        <f t="shared" si="2"/>
        <v>-0.012616532645555907</v>
      </c>
      <c r="M15" s="26" t="s">
        <v>8</v>
      </c>
    </row>
    <row r="16" spans="1:13" ht="12.75">
      <c r="A16" s="18" t="s">
        <v>13</v>
      </c>
      <c r="B16" s="19">
        <f>0.015224871293555*100</f>
        <v>1.5224871293555</v>
      </c>
      <c r="C16" s="20">
        <v>0.1</v>
      </c>
      <c r="D16" s="21">
        <f>0.0147019983625096*100</f>
        <v>1.47019983625096</v>
      </c>
      <c r="E16" s="20">
        <v>0.1</v>
      </c>
      <c r="F16" s="22">
        <f>0.0156985224803045*100</f>
        <v>1.56985224803045</v>
      </c>
      <c r="G16" s="20">
        <v>0.1</v>
      </c>
      <c r="H16" s="23">
        <f t="shared" si="0"/>
        <v>0.052287293104539945</v>
      </c>
      <c r="I16" s="24" t="s">
        <v>8</v>
      </c>
      <c r="J16" s="25">
        <f t="shared" si="1"/>
        <v>-0.04736511867494997</v>
      </c>
      <c r="K16" s="20" t="s">
        <v>8</v>
      </c>
      <c r="L16" s="23">
        <f t="shared" si="2"/>
        <v>-0.09965241177948991</v>
      </c>
      <c r="M16" s="26" t="s">
        <v>8</v>
      </c>
    </row>
    <row r="17" spans="1:13" ht="12.75">
      <c r="A17" s="18" t="s">
        <v>14</v>
      </c>
      <c r="B17" s="19">
        <f>0.00518988343941373*100</f>
        <v>0.518988343941373</v>
      </c>
      <c r="C17" s="20">
        <v>0.1</v>
      </c>
      <c r="D17" s="21">
        <f>0.00513019146014817*100</f>
        <v>0.513019146014817</v>
      </c>
      <c r="E17" s="20">
        <v>0.1</v>
      </c>
      <c r="F17" s="22">
        <f>0.0054777368379922*100</f>
        <v>0.54777368379922</v>
      </c>
      <c r="G17" s="20">
        <v>0.1</v>
      </c>
      <c r="H17" s="23">
        <f t="shared" si="0"/>
        <v>0.005969197926556036</v>
      </c>
      <c r="I17" s="24" t="s">
        <v>6</v>
      </c>
      <c r="J17" s="25">
        <f t="shared" si="1"/>
        <v>-0.028785339857846926</v>
      </c>
      <c r="K17" s="20" t="s">
        <v>8</v>
      </c>
      <c r="L17" s="23">
        <f t="shared" si="2"/>
        <v>-0.03475453778440296</v>
      </c>
      <c r="M17" s="26" t="s">
        <v>8</v>
      </c>
    </row>
    <row r="18" spans="1:13" ht="12.75">
      <c r="A18" s="18" t="s">
        <v>15</v>
      </c>
      <c r="B18" s="19">
        <f>0.000329608957982244*100</f>
        <v>0.0329608957982244</v>
      </c>
      <c r="C18" s="20">
        <v>0.1</v>
      </c>
      <c r="D18" s="21">
        <f>0.000343828074799452*100</f>
        <v>0.0343828074799452</v>
      </c>
      <c r="E18" s="20">
        <v>0.1</v>
      </c>
      <c r="F18" s="22">
        <f>0.000350233942588721*100</f>
        <v>0.0350233942588721</v>
      </c>
      <c r="G18" s="20">
        <v>0.1</v>
      </c>
      <c r="H18" s="23">
        <f t="shared" si="0"/>
        <v>-0.0014219116817208027</v>
      </c>
      <c r="I18" s="24"/>
      <c r="J18" s="25">
        <f t="shared" si="1"/>
        <v>-0.0020624984606476965</v>
      </c>
      <c r="K18" s="20"/>
      <c r="L18" s="23">
        <f t="shared" si="2"/>
        <v>-0.0006405867789268938</v>
      </c>
      <c r="M18" s="26"/>
    </row>
    <row r="19" spans="1:13" ht="12.75">
      <c r="A19" s="18" t="s">
        <v>16</v>
      </c>
      <c r="B19" s="19">
        <f>0.00132008132207665*100</f>
        <v>0.132008132207665</v>
      </c>
      <c r="C19" s="20">
        <v>0.1</v>
      </c>
      <c r="D19" s="21">
        <f>0.00156022142571672*100</f>
        <v>0.156022142571672</v>
      </c>
      <c r="E19" s="20">
        <v>0.1</v>
      </c>
      <c r="F19" s="22">
        <f>0.00155890743732456*100</f>
        <v>0.155890743732456</v>
      </c>
      <c r="G19" s="20">
        <v>0.1</v>
      </c>
      <c r="H19" s="23">
        <f t="shared" si="0"/>
        <v>-0.024014010364006994</v>
      </c>
      <c r="I19" s="24" t="s">
        <v>8</v>
      </c>
      <c r="J19" s="25">
        <f t="shared" si="1"/>
        <v>-0.023882611524791014</v>
      </c>
      <c r="K19" s="20" t="s">
        <v>8</v>
      </c>
      <c r="L19" s="23">
        <f t="shared" si="2"/>
        <v>0.00013139883921597928</v>
      </c>
      <c r="M19" s="26" t="s">
        <v>6</v>
      </c>
    </row>
    <row r="20" spans="1:13" ht="12.75">
      <c r="A20" s="18" t="s">
        <v>17</v>
      </c>
      <c r="B20" s="19">
        <f>0.00186394211367026*100</f>
        <v>0.186394211367026</v>
      </c>
      <c r="C20" s="20">
        <v>0.1</v>
      </c>
      <c r="D20" s="21">
        <f>0.00111026549052821*100</f>
        <v>0.11102654905282101</v>
      </c>
      <c r="E20" s="20">
        <v>0.1</v>
      </c>
      <c r="F20" s="22">
        <f>0.00124096773233371*100</f>
        <v>0.12409677323337101</v>
      </c>
      <c r="G20" s="20">
        <v>0.1</v>
      </c>
      <c r="H20" s="23">
        <f t="shared" si="0"/>
        <v>0.07536766231420498</v>
      </c>
      <c r="I20" s="24" t="s">
        <v>8</v>
      </c>
      <c r="J20" s="25">
        <f t="shared" si="1"/>
        <v>0.062297438133654987</v>
      </c>
      <c r="K20" s="20" t="s">
        <v>8</v>
      </c>
      <c r="L20" s="23">
        <f t="shared" si="2"/>
        <v>-0.013070224180549997</v>
      </c>
      <c r="M20" s="26" t="s">
        <v>8</v>
      </c>
    </row>
    <row r="21" spans="1:13" ht="12.75">
      <c r="A21" s="18" t="s">
        <v>18</v>
      </c>
      <c r="B21" s="19">
        <f>0.00401902327867398*100</f>
        <v>0.401902327867398</v>
      </c>
      <c r="C21" s="20">
        <v>0.1</v>
      </c>
      <c r="D21" s="21">
        <f>0.00380807561454922*100</f>
        <v>0.380807561454922</v>
      </c>
      <c r="E21" s="20">
        <v>0.1</v>
      </c>
      <c r="F21" s="22">
        <f>0.00443416714366887*100</f>
        <v>0.443416714366887</v>
      </c>
      <c r="G21" s="20">
        <v>0.1</v>
      </c>
      <c r="H21" s="23">
        <f t="shared" si="0"/>
        <v>0.021094766412475985</v>
      </c>
      <c r="I21" s="24" t="s">
        <v>8</v>
      </c>
      <c r="J21" s="25">
        <f t="shared" si="1"/>
        <v>-0.04151438649948902</v>
      </c>
      <c r="K21" s="20" t="s">
        <v>8</v>
      </c>
      <c r="L21" s="23">
        <f t="shared" si="2"/>
        <v>-0.062609152911965</v>
      </c>
      <c r="M21" s="26" t="s">
        <v>8</v>
      </c>
    </row>
    <row r="22" spans="1:13" ht="12.75">
      <c r="A22" s="18" t="s">
        <v>19</v>
      </c>
      <c r="B22" s="19">
        <f>0.024730447112057*100</f>
        <v>2.4730447112057004</v>
      </c>
      <c r="C22" s="20">
        <v>0.1</v>
      </c>
      <c r="D22" s="21">
        <f>0.0293031230278374*100</f>
        <v>2.93031230278374</v>
      </c>
      <c r="E22" s="20">
        <v>0.1</v>
      </c>
      <c r="F22" s="22">
        <f>0.0267519984026526*100</f>
        <v>2.67519984026526</v>
      </c>
      <c r="G22" s="20">
        <v>0.1</v>
      </c>
      <c r="H22" s="23">
        <f t="shared" si="0"/>
        <v>-0.45726759157803976</v>
      </c>
      <c r="I22" s="24" t="s">
        <v>8</v>
      </c>
      <c r="J22" s="25">
        <f t="shared" si="1"/>
        <v>-0.2021551290595598</v>
      </c>
      <c r="K22" s="20" t="s">
        <v>8</v>
      </c>
      <c r="L22" s="23">
        <f t="shared" si="2"/>
        <v>0.25511246251847997</v>
      </c>
      <c r="M22" s="26" t="s">
        <v>8</v>
      </c>
    </row>
    <row r="23" spans="1:13" ht="12.75">
      <c r="A23" s="18" t="s">
        <v>20</v>
      </c>
      <c r="B23" s="19">
        <f>0.00889688722328219*100</f>
        <v>0.889688722328219</v>
      </c>
      <c r="C23" s="20">
        <v>0.1</v>
      </c>
      <c r="D23" s="21">
        <f>0.00702606348706745*100</f>
        <v>0.702606348706745</v>
      </c>
      <c r="E23" s="20">
        <v>0.1</v>
      </c>
      <c r="F23" s="22">
        <f>0.00852057427907166*100</f>
        <v>0.852057427907166</v>
      </c>
      <c r="G23" s="20">
        <v>0.1</v>
      </c>
      <c r="H23" s="23">
        <f t="shared" si="0"/>
        <v>0.18708237362147406</v>
      </c>
      <c r="I23" s="24" t="s">
        <v>8</v>
      </c>
      <c r="J23" s="25">
        <f t="shared" si="1"/>
        <v>0.03763129442105306</v>
      </c>
      <c r="K23" s="20" t="s">
        <v>8</v>
      </c>
      <c r="L23" s="23">
        <f t="shared" si="2"/>
        <v>-0.149451079200421</v>
      </c>
      <c r="M23" s="26" t="s">
        <v>8</v>
      </c>
    </row>
    <row r="24" spans="1:13" ht="12.75">
      <c r="A24" s="28" t="s">
        <v>21</v>
      </c>
      <c r="B24" s="29">
        <f>0.0360368202990189*100</f>
        <v>3.60368202990189</v>
      </c>
      <c r="C24" s="30">
        <v>0.1</v>
      </c>
      <c r="D24" s="31">
        <f>0.0326180868503512*100</f>
        <v>3.2618086850351196</v>
      </c>
      <c r="E24" s="30">
        <v>0.1</v>
      </c>
      <c r="F24" s="32">
        <f>0.0320907330131175*100</f>
        <v>3.2090733013117503</v>
      </c>
      <c r="G24" s="30">
        <v>0.1</v>
      </c>
      <c r="H24" s="33">
        <f t="shared" si="0"/>
        <v>0.34187334486677035</v>
      </c>
      <c r="I24" s="34" t="s">
        <v>8</v>
      </c>
      <c r="J24" s="35">
        <f t="shared" si="1"/>
        <v>0.3946087285901396</v>
      </c>
      <c r="K24" s="30" t="s">
        <v>8</v>
      </c>
      <c r="L24" s="33">
        <f t="shared" si="2"/>
        <v>0.05273538372336928</v>
      </c>
      <c r="M24" s="36" t="s">
        <v>8</v>
      </c>
    </row>
    <row r="25" spans="1:5" ht="12.75">
      <c r="A25" s="37"/>
      <c r="B25" s="38"/>
      <c r="C25" s="39"/>
      <c r="D25" s="39"/>
      <c r="E25" s="39"/>
    </row>
    <row r="26" spans="1:5" ht="12.75">
      <c r="A26" s="40" t="s">
        <v>68</v>
      </c>
      <c r="B26" s="38"/>
      <c r="C26" s="39"/>
      <c r="D26" s="39"/>
      <c r="E26" s="39"/>
    </row>
    <row r="27" spans="1:9" ht="12.75">
      <c r="A27" s="40" t="s">
        <v>77</v>
      </c>
      <c r="B27" s="41"/>
      <c r="C27" s="41"/>
      <c r="D27" s="41"/>
      <c r="E27" s="41"/>
      <c r="F27" s="41"/>
      <c r="G27" s="41"/>
      <c r="H27" s="41"/>
      <c r="I27" s="41"/>
    </row>
    <row r="28" spans="1:13" ht="12.75">
      <c r="A28" s="42" t="s">
        <v>65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2.75">
      <c r="A29" s="42" t="s">
        <v>66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.75">
      <c r="A30" s="42" t="s">
        <v>67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46" customFormat="1" ht="12.75">
      <c r="A31" s="44" t="s">
        <v>84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>
      <c r="A32" s="42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9" ht="12.75">
      <c r="A33" s="47" t="s">
        <v>78</v>
      </c>
      <c r="B33" s="43"/>
      <c r="C33" s="43"/>
      <c r="D33" s="43"/>
      <c r="E33" s="43"/>
      <c r="F33" s="43"/>
      <c r="G33" s="43"/>
      <c r="H33" s="43"/>
      <c r="I33" s="43"/>
    </row>
    <row r="34" ht="12.75">
      <c r="A34" s="47"/>
    </row>
    <row r="35" ht="12.75">
      <c r="A35" s="4" t="s">
        <v>83</v>
      </c>
    </row>
    <row r="38" spans="1:256" ht="12.75">
      <c r="A38" s="98" t="s">
        <v>80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9" s="135" customFormat="1" ht="11.25">
      <c r="A39" s="134" t="s">
        <v>88</v>
      </c>
      <c r="C39" s="136"/>
      <c r="D39" s="136"/>
      <c r="F39" s="136"/>
      <c r="G39" s="136"/>
      <c r="I39" s="136"/>
    </row>
    <row r="40" spans="1:9" s="135" customFormat="1" ht="11.25">
      <c r="A40" s="135" t="s">
        <v>89</v>
      </c>
      <c r="B40" s="137"/>
      <c r="I40" s="134"/>
    </row>
    <row r="42" spans="1:13" ht="12.75">
      <c r="A42" s="152" t="s">
        <v>23</v>
      </c>
      <c r="B42" s="155" t="s">
        <v>1</v>
      </c>
      <c r="C42" s="156"/>
      <c r="D42" s="155" t="s">
        <v>2</v>
      </c>
      <c r="E42" s="156"/>
      <c r="F42" s="157" t="s">
        <v>3</v>
      </c>
      <c r="G42" s="156"/>
      <c r="H42" s="138" t="s">
        <v>4</v>
      </c>
      <c r="I42" s="139"/>
      <c r="J42" s="138" t="s">
        <v>73</v>
      </c>
      <c r="K42" s="139"/>
      <c r="L42" s="138" t="s">
        <v>74</v>
      </c>
      <c r="M42" s="139"/>
    </row>
    <row r="43" spans="1:13" ht="12.75">
      <c r="A43" s="176"/>
      <c r="B43" s="48"/>
      <c r="C43" s="144" t="s">
        <v>70</v>
      </c>
      <c r="D43" s="48"/>
      <c r="E43" s="139" t="s">
        <v>70</v>
      </c>
      <c r="F43" s="149" t="s">
        <v>71</v>
      </c>
      <c r="G43" s="139" t="s">
        <v>70</v>
      </c>
      <c r="H43" s="140"/>
      <c r="I43" s="141"/>
      <c r="J43" s="140"/>
      <c r="K43" s="141"/>
      <c r="L43" s="140"/>
      <c r="M43" s="141"/>
    </row>
    <row r="44" spans="1:13" ht="12.75">
      <c r="A44" s="176"/>
      <c r="B44" s="49"/>
      <c r="C44" s="145"/>
      <c r="D44" s="49"/>
      <c r="E44" s="147"/>
      <c r="F44" s="150"/>
      <c r="G44" s="147"/>
      <c r="H44" s="140"/>
      <c r="I44" s="141"/>
      <c r="J44" s="140"/>
      <c r="K44" s="141"/>
      <c r="L44" s="140"/>
      <c r="M44" s="141"/>
    </row>
    <row r="45" spans="1:13" ht="13.5">
      <c r="A45" s="177"/>
      <c r="B45" s="50" t="s">
        <v>69</v>
      </c>
      <c r="C45" s="146"/>
      <c r="D45" s="50" t="s">
        <v>69</v>
      </c>
      <c r="E45" s="148"/>
      <c r="F45" s="151"/>
      <c r="G45" s="148"/>
      <c r="H45" s="142"/>
      <c r="I45" s="143"/>
      <c r="J45" s="142"/>
      <c r="K45" s="143"/>
      <c r="L45" s="142"/>
      <c r="M45" s="143"/>
    </row>
    <row r="46" spans="1:13" ht="12.75">
      <c r="A46" s="51" t="s">
        <v>63</v>
      </c>
      <c r="B46" s="123">
        <v>100</v>
      </c>
      <c r="C46" s="52" t="s">
        <v>5</v>
      </c>
      <c r="D46" s="124">
        <v>100</v>
      </c>
      <c r="E46" s="53" t="s">
        <v>5</v>
      </c>
      <c r="F46" s="125">
        <v>100</v>
      </c>
      <c r="G46" s="53" t="s">
        <v>5</v>
      </c>
      <c r="H46" s="54" t="s">
        <v>5</v>
      </c>
      <c r="I46" s="55" t="s">
        <v>6</v>
      </c>
      <c r="J46" s="56" t="s">
        <v>5</v>
      </c>
      <c r="K46" s="55" t="s">
        <v>6</v>
      </c>
      <c r="L46" s="56" t="s">
        <v>5</v>
      </c>
      <c r="M46" s="57" t="s">
        <v>6</v>
      </c>
    </row>
    <row r="47" spans="1:13" ht="12.75">
      <c r="A47" s="58" t="s">
        <v>24</v>
      </c>
      <c r="B47" s="59">
        <f>0.963963179700981*100</f>
        <v>96.3963179700981</v>
      </c>
      <c r="C47" s="60">
        <v>0.1</v>
      </c>
      <c r="D47" s="59">
        <f>0.967381913149649*100</f>
        <v>96.73819131496491</v>
      </c>
      <c r="E47" s="61">
        <v>0.1</v>
      </c>
      <c r="F47" s="61">
        <f>0.967909266986883*100</f>
        <v>96.7909266986883</v>
      </c>
      <c r="G47" s="61">
        <v>0.1</v>
      </c>
      <c r="H47" s="62">
        <f>(B47-D47)</f>
        <v>-0.3418733448668121</v>
      </c>
      <c r="I47" s="63" t="s">
        <v>8</v>
      </c>
      <c r="J47" s="59">
        <f>(B47-F47)</f>
        <v>-0.3946087285901996</v>
      </c>
      <c r="K47" s="63" t="s">
        <v>8</v>
      </c>
      <c r="L47" s="59">
        <f>(D47-F47)</f>
        <v>-0.052735383723387486</v>
      </c>
      <c r="M47" s="64" t="s">
        <v>8</v>
      </c>
    </row>
    <row r="48" spans="1:13" ht="12.75">
      <c r="A48" s="65" t="s">
        <v>25</v>
      </c>
      <c r="B48" s="66">
        <f>0.0360368202990189*100</f>
        <v>3.60368202990189</v>
      </c>
      <c r="C48" s="60">
        <v>0.1</v>
      </c>
      <c r="D48" s="59">
        <f>0.0326180868503512*100</f>
        <v>3.2618086850351196</v>
      </c>
      <c r="E48" s="61">
        <v>0.1</v>
      </c>
      <c r="F48" s="61">
        <f>0.0320907330131175*100</f>
        <v>3.2090733013117503</v>
      </c>
      <c r="G48" s="61">
        <v>0.1</v>
      </c>
      <c r="H48" s="62">
        <f>(B48-D48)</f>
        <v>0.34187334486677035</v>
      </c>
      <c r="I48" s="63" t="s">
        <v>8</v>
      </c>
      <c r="J48" s="59">
        <f>(B48-F48)</f>
        <v>0.3946087285901396</v>
      </c>
      <c r="K48" s="63" t="s">
        <v>8</v>
      </c>
      <c r="L48" s="59">
        <f>(D48-F48)</f>
        <v>0.05273538372336928</v>
      </c>
      <c r="M48" s="64" t="s">
        <v>8</v>
      </c>
    </row>
    <row r="49" spans="1:13" ht="12.75">
      <c r="A49" s="67"/>
      <c r="B49" s="68"/>
      <c r="C49" s="69"/>
      <c r="D49" s="68"/>
      <c r="E49" s="70"/>
      <c r="F49" s="71"/>
      <c r="G49" s="70"/>
      <c r="H49" s="72"/>
      <c r="I49" s="63"/>
      <c r="J49" s="73"/>
      <c r="K49" s="63"/>
      <c r="L49" s="73"/>
      <c r="M49" s="64"/>
    </row>
    <row r="50" spans="1:13" ht="12.75">
      <c r="A50" s="74" t="s">
        <v>26</v>
      </c>
      <c r="B50" s="81">
        <v>100</v>
      </c>
      <c r="C50" s="75" t="s">
        <v>5</v>
      </c>
      <c r="D50" s="126">
        <v>100</v>
      </c>
      <c r="E50" s="76" t="s">
        <v>5</v>
      </c>
      <c r="F50" s="126">
        <v>100</v>
      </c>
      <c r="G50" s="77" t="s">
        <v>5</v>
      </c>
      <c r="H50" s="54" t="s">
        <v>5</v>
      </c>
      <c r="I50" s="55" t="s">
        <v>6</v>
      </c>
      <c r="J50" s="56" t="s">
        <v>5</v>
      </c>
      <c r="K50" s="55" t="s">
        <v>6</v>
      </c>
      <c r="L50" s="56" t="s">
        <v>5</v>
      </c>
      <c r="M50" s="78" t="s">
        <v>6</v>
      </c>
    </row>
    <row r="51" spans="1:13" ht="12.75">
      <c r="A51" s="74" t="s">
        <v>27</v>
      </c>
      <c r="B51" s="79">
        <f>0.214124836563022*100</f>
        <v>21.4124836563022</v>
      </c>
      <c r="C51" s="60">
        <v>0.1</v>
      </c>
      <c r="D51" s="79">
        <f>0.197332608189991*100</f>
        <v>19.7332608189991</v>
      </c>
      <c r="E51" s="61">
        <v>0.1</v>
      </c>
      <c r="F51" s="79">
        <f>0.202769314540903*100</f>
        <v>20.2769314540903</v>
      </c>
      <c r="G51" s="61">
        <v>0.1</v>
      </c>
      <c r="H51" s="62">
        <f aca="true" t="shared" si="3" ref="H51:H67">(B51-D51)</f>
        <v>1.6792228373031008</v>
      </c>
      <c r="I51" s="63" t="s">
        <v>8</v>
      </c>
      <c r="J51" s="59">
        <f aca="true" t="shared" si="4" ref="J51:J67">(B51-F51)</f>
        <v>1.1355522022119011</v>
      </c>
      <c r="K51" s="63" t="s">
        <v>8</v>
      </c>
      <c r="L51" s="59">
        <f aca="true" t="shared" si="5" ref="L51:L67">(D51-F51)</f>
        <v>-0.5436706350911997</v>
      </c>
      <c r="M51" s="64" t="s">
        <v>8</v>
      </c>
    </row>
    <row r="52" spans="1:13" ht="12.75">
      <c r="A52" s="80" t="s">
        <v>28</v>
      </c>
      <c r="B52" s="66">
        <f>0.0393643346520533*100</f>
        <v>3.9364334652053303</v>
      </c>
      <c r="C52" s="60">
        <v>0.1</v>
      </c>
      <c r="D52" s="61">
        <f>0.0341510119605539*100</f>
        <v>3.41510119605539</v>
      </c>
      <c r="E52" s="61">
        <v>0.1</v>
      </c>
      <c r="F52" s="61">
        <f>0.0352988965060717*100</f>
        <v>3.52988965060717</v>
      </c>
      <c r="G52" s="61">
        <v>0.1</v>
      </c>
      <c r="H52" s="62">
        <f t="shared" si="3"/>
        <v>0.5213322691499402</v>
      </c>
      <c r="I52" s="63" t="s">
        <v>8</v>
      </c>
      <c r="J52" s="59">
        <f t="shared" si="4"/>
        <v>0.40654381459816014</v>
      </c>
      <c r="K52" s="63" t="s">
        <v>8</v>
      </c>
      <c r="L52" s="59">
        <f t="shared" si="5"/>
        <v>-0.1147884545517801</v>
      </c>
      <c r="M52" s="64" t="s">
        <v>8</v>
      </c>
    </row>
    <row r="53" spans="1:13" ht="12.75">
      <c r="A53" s="80" t="s">
        <v>29</v>
      </c>
      <c r="B53" s="66">
        <f>0.0349071180674301*100</f>
        <v>3.49071180674301</v>
      </c>
      <c r="C53" s="60">
        <v>0.1</v>
      </c>
      <c r="D53" s="61">
        <f>0.0303252173606826*100</f>
        <v>3.03252173606826</v>
      </c>
      <c r="E53" s="61">
        <v>0.1</v>
      </c>
      <c r="F53" s="61">
        <f>0.0305989690758339*100</f>
        <v>3.05989690758339</v>
      </c>
      <c r="G53" s="61">
        <v>0.1</v>
      </c>
      <c r="H53" s="62">
        <f t="shared" si="3"/>
        <v>0.4581900706747497</v>
      </c>
      <c r="I53" s="63" t="s">
        <v>8</v>
      </c>
      <c r="J53" s="59">
        <f t="shared" si="4"/>
        <v>0.4308148991596199</v>
      </c>
      <c r="K53" s="63" t="s">
        <v>8</v>
      </c>
      <c r="L53" s="59">
        <f t="shared" si="5"/>
        <v>-0.027375171515129804</v>
      </c>
      <c r="M53" s="64" t="s">
        <v>6</v>
      </c>
    </row>
    <row r="54" spans="1:13" ht="12.75">
      <c r="A54" s="80" t="s">
        <v>30</v>
      </c>
      <c r="B54" s="66">
        <f>0.0497562938314016*100</f>
        <v>4.97562938314016</v>
      </c>
      <c r="C54" s="60">
        <v>0.1</v>
      </c>
      <c r="D54" s="61">
        <f>0.0457481185483654*100</f>
        <v>4.57481185483654</v>
      </c>
      <c r="E54" s="61">
        <v>0.1</v>
      </c>
      <c r="F54" s="61">
        <f>0.0488833137754103*100</f>
        <v>4.88833137754103</v>
      </c>
      <c r="G54" s="61">
        <v>0.1</v>
      </c>
      <c r="H54" s="62">
        <f t="shared" si="3"/>
        <v>0.4008175283036204</v>
      </c>
      <c r="I54" s="63" t="s">
        <v>8</v>
      </c>
      <c r="J54" s="59">
        <f t="shared" si="4"/>
        <v>0.0872980055991297</v>
      </c>
      <c r="K54" s="63" t="s">
        <v>8</v>
      </c>
      <c r="L54" s="59">
        <f t="shared" si="5"/>
        <v>-0.3135195227044907</v>
      </c>
      <c r="M54" s="64" t="s">
        <v>8</v>
      </c>
    </row>
    <row r="55" spans="1:13" ht="12.75">
      <c r="A55" s="80" t="s">
        <v>31</v>
      </c>
      <c r="B55" s="66">
        <f>0.0900970900121373*100</f>
        <v>9.00970900121373</v>
      </c>
      <c r="C55" s="60">
        <v>0.1</v>
      </c>
      <c r="D55" s="61">
        <f>0.0871082603203892*100</f>
        <v>8.71082603203892</v>
      </c>
      <c r="E55" s="61">
        <v>0.1</v>
      </c>
      <c r="F55" s="61">
        <f>0.0879881351835873*100</f>
        <v>8.79881351835873</v>
      </c>
      <c r="G55" s="61">
        <v>0.1</v>
      </c>
      <c r="H55" s="62">
        <f t="shared" si="3"/>
        <v>0.2988829691748105</v>
      </c>
      <c r="I55" s="63" t="s">
        <v>8</v>
      </c>
      <c r="J55" s="59">
        <f t="shared" si="4"/>
        <v>0.21089548285500115</v>
      </c>
      <c r="K55" s="63" t="s">
        <v>8</v>
      </c>
      <c r="L55" s="59">
        <f t="shared" si="5"/>
        <v>-0.08798748631980935</v>
      </c>
      <c r="M55" s="64" t="s">
        <v>6</v>
      </c>
    </row>
    <row r="56" spans="1:13" ht="12.75">
      <c r="A56" s="74" t="s">
        <v>32</v>
      </c>
      <c r="B56" s="79">
        <f>0.499064315629468*100</f>
        <v>49.9064315629468</v>
      </c>
      <c r="C56" s="60">
        <v>0.1</v>
      </c>
      <c r="D56" s="79">
        <f>0.524613283185733*100</f>
        <v>52.461328318573294</v>
      </c>
      <c r="E56" s="61">
        <v>0.1</v>
      </c>
      <c r="F56" s="79">
        <f>0.516044404411905*100</f>
        <v>51.604440441190505</v>
      </c>
      <c r="G56" s="61">
        <v>0.1</v>
      </c>
      <c r="H56" s="62">
        <f t="shared" si="3"/>
        <v>-2.554896755626494</v>
      </c>
      <c r="I56" s="63" t="s">
        <v>8</v>
      </c>
      <c r="J56" s="59">
        <f t="shared" si="4"/>
        <v>-1.698008878243705</v>
      </c>
      <c r="K56" s="63" t="s">
        <v>8</v>
      </c>
      <c r="L56" s="59">
        <f t="shared" si="5"/>
        <v>0.856887877382789</v>
      </c>
      <c r="M56" s="64" t="s">
        <v>8</v>
      </c>
    </row>
    <row r="57" spans="1:13" ht="12.75">
      <c r="A57" s="80" t="s">
        <v>33</v>
      </c>
      <c r="B57" s="66">
        <f>0.107291994890053*100</f>
        <v>10.7291994890053</v>
      </c>
      <c r="C57" s="60">
        <v>0.1</v>
      </c>
      <c r="D57" s="61">
        <f>0.107872424035117*100</f>
        <v>10.7872424035117</v>
      </c>
      <c r="E57" s="61">
        <v>0.1</v>
      </c>
      <c r="F57" s="61">
        <f>0.110959514290549*100</f>
        <v>11.0959514290549</v>
      </c>
      <c r="G57" s="61">
        <v>0.1</v>
      </c>
      <c r="H57" s="62">
        <f t="shared" si="3"/>
        <v>-0.05804291450639987</v>
      </c>
      <c r="I57" s="63" t="s">
        <v>8</v>
      </c>
      <c r="J57" s="59">
        <f t="shared" si="4"/>
        <v>-0.36675194004959977</v>
      </c>
      <c r="K57" s="63" t="s">
        <v>8</v>
      </c>
      <c r="L57" s="59">
        <f t="shared" si="5"/>
        <v>-0.3087090255431999</v>
      </c>
      <c r="M57" s="64" t="s">
        <v>8</v>
      </c>
    </row>
    <row r="58" spans="1:13" ht="12.75">
      <c r="A58" s="80" t="s">
        <v>34</v>
      </c>
      <c r="B58" s="66">
        <f>0.148098218895978*100</f>
        <v>14.8098218895978</v>
      </c>
      <c r="C58" s="60">
        <v>0.1</v>
      </c>
      <c r="D58" s="61">
        <f>0.150207995881865*100</f>
        <v>15.0207995881865</v>
      </c>
      <c r="E58" s="61">
        <v>0.1</v>
      </c>
      <c r="F58" s="61">
        <f>0.14903856388873*100</f>
        <v>14.903856388872999</v>
      </c>
      <c r="G58" s="61">
        <v>0.1</v>
      </c>
      <c r="H58" s="62">
        <f t="shared" si="3"/>
        <v>-0.2109776985887013</v>
      </c>
      <c r="I58" s="63" t="s">
        <v>8</v>
      </c>
      <c r="J58" s="59">
        <f t="shared" si="4"/>
        <v>-0.09403449927519958</v>
      </c>
      <c r="K58" s="63" t="s">
        <v>6</v>
      </c>
      <c r="L58" s="59">
        <f t="shared" si="5"/>
        <v>0.11694319931350172</v>
      </c>
      <c r="M58" s="64" t="s">
        <v>8</v>
      </c>
    </row>
    <row r="59" spans="1:13" ht="12.75">
      <c r="A59" s="80" t="s">
        <v>35</v>
      </c>
      <c r="B59" s="66">
        <f>0.135692554803343*100</f>
        <v>13.5692554803343</v>
      </c>
      <c r="C59" s="60">
        <v>0.1</v>
      </c>
      <c r="D59" s="61">
        <f>0.158474235123323*100</f>
        <v>15.8474235123323</v>
      </c>
      <c r="E59" s="61">
        <v>0.1</v>
      </c>
      <c r="F59" s="61">
        <f>0.147404425817235*100</f>
        <v>14.740442581723501</v>
      </c>
      <c r="G59" s="61">
        <v>0.1</v>
      </c>
      <c r="H59" s="62">
        <f t="shared" si="3"/>
        <v>-2.2781680319979998</v>
      </c>
      <c r="I59" s="63" t="s">
        <v>8</v>
      </c>
      <c r="J59" s="59">
        <f t="shared" si="4"/>
        <v>-1.1711871013892008</v>
      </c>
      <c r="K59" s="63" t="s">
        <v>8</v>
      </c>
      <c r="L59" s="59">
        <f t="shared" si="5"/>
        <v>1.106980930608799</v>
      </c>
      <c r="M59" s="64" t="s">
        <v>8</v>
      </c>
    </row>
    <row r="60" spans="1:13" ht="12.75">
      <c r="A60" s="80" t="s">
        <v>36</v>
      </c>
      <c r="B60" s="66">
        <f>0.107981547040094*100</f>
        <v>10.798154704009399</v>
      </c>
      <c r="C60" s="60">
        <v>0.1</v>
      </c>
      <c r="D60" s="61">
        <f>0.108058628145428*100</f>
        <v>10.8058628145428</v>
      </c>
      <c r="E60" s="61">
        <v>0.1</v>
      </c>
      <c r="F60" s="61">
        <f>0.108641900415392*100</f>
        <v>10.8641900415392</v>
      </c>
      <c r="G60" s="61">
        <v>0.1</v>
      </c>
      <c r="H60" s="62">
        <f t="shared" si="3"/>
        <v>-0.007708110533402035</v>
      </c>
      <c r="I60" s="63" t="s">
        <v>6</v>
      </c>
      <c r="J60" s="59">
        <f t="shared" si="4"/>
        <v>-0.06603533752980084</v>
      </c>
      <c r="K60" s="63" t="s">
        <v>6</v>
      </c>
      <c r="L60" s="59">
        <f t="shared" si="5"/>
        <v>-0.05832722699639881</v>
      </c>
      <c r="M60" s="64" t="s">
        <v>6</v>
      </c>
    </row>
    <row r="61" spans="1:13" ht="12.75">
      <c r="A61" s="74" t="s">
        <v>37</v>
      </c>
      <c r="B61" s="79">
        <f>0.15206449611214*100</f>
        <v>15.206449611214001</v>
      </c>
      <c r="C61" s="60">
        <v>0.1</v>
      </c>
      <c r="D61" s="79">
        <f>0.141540281979923*100</f>
        <v>14.1540281979923</v>
      </c>
      <c r="E61" s="61">
        <v>0.1</v>
      </c>
      <c r="F61" s="79">
        <f>0.143552695903578*100</f>
        <v>14.3552695903578</v>
      </c>
      <c r="G61" s="61">
        <v>0.1</v>
      </c>
      <c r="H61" s="62">
        <f t="shared" si="3"/>
        <v>1.0524214132217011</v>
      </c>
      <c r="I61" s="63" t="s">
        <v>8</v>
      </c>
      <c r="J61" s="59">
        <f t="shared" si="4"/>
        <v>0.8511800208562015</v>
      </c>
      <c r="K61" s="63" t="s">
        <v>8</v>
      </c>
      <c r="L61" s="59">
        <f t="shared" si="5"/>
        <v>-0.20124139236549965</v>
      </c>
      <c r="M61" s="64" t="s">
        <v>8</v>
      </c>
    </row>
    <row r="62" spans="1:13" ht="12.75">
      <c r="A62" s="80" t="s">
        <v>38</v>
      </c>
      <c r="B62" s="66">
        <f>0.0546988065344626*100</f>
        <v>5.4698806534462605</v>
      </c>
      <c r="C62" s="60">
        <v>0.1</v>
      </c>
      <c r="D62" s="61">
        <f>0.05260758883889*100</f>
        <v>5.260758883889</v>
      </c>
      <c r="E62" s="61">
        <v>0.1</v>
      </c>
      <c r="F62" s="61">
        <f>0.055296347019997*100</f>
        <v>5.5296347019997</v>
      </c>
      <c r="G62" s="61">
        <v>0.1</v>
      </c>
      <c r="H62" s="62">
        <f t="shared" si="3"/>
        <v>0.20912176955726025</v>
      </c>
      <c r="I62" s="63" t="s">
        <v>8</v>
      </c>
      <c r="J62" s="59">
        <f t="shared" si="4"/>
        <v>-0.059754048553439354</v>
      </c>
      <c r="K62" s="63"/>
      <c r="L62" s="59">
        <f t="shared" si="5"/>
        <v>-0.2688758181106996</v>
      </c>
      <c r="M62" s="64" t="s">
        <v>8</v>
      </c>
    </row>
    <row r="63" spans="1:13" ht="12.75">
      <c r="A63" s="80" t="s">
        <v>39</v>
      </c>
      <c r="B63" s="66">
        <f>0.0596688183895747*100</f>
        <v>5.96688183895747</v>
      </c>
      <c r="C63" s="60">
        <v>0.1</v>
      </c>
      <c r="D63" s="61">
        <f>0.0550831921075308*100</f>
        <v>5.50831921075308</v>
      </c>
      <c r="E63" s="61">
        <v>0.1</v>
      </c>
      <c r="F63" s="61">
        <f>0.0547181831093959*100</f>
        <v>5.4718183109395895</v>
      </c>
      <c r="G63" s="61">
        <v>0.1</v>
      </c>
      <c r="H63" s="62">
        <f t="shared" si="3"/>
        <v>0.45856262820438953</v>
      </c>
      <c r="I63" s="63" t="s">
        <v>8</v>
      </c>
      <c r="J63" s="59">
        <f t="shared" si="4"/>
        <v>0.4950635280178801</v>
      </c>
      <c r="K63" s="63" t="s">
        <v>8</v>
      </c>
      <c r="L63" s="59">
        <f t="shared" si="5"/>
        <v>0.036500899813490584</v>
      </c>
      <c r="M63" s="64"/>
    </row>
    <row r="64" spans="1:13" ht="12.75">
      <c r="A64" s="80" t="s">
        <v>40</v>
      </c>
      <c r="B64" s="66">
        <f>0.0257363846947421*100</f>
        <v>2.57363846947421</v>
      </c>
      <c r="C64" s="60">
        <v>0.1</v>
      </c>
      <c r="D64" s="61">
        <f>0.0228839105973685*100</f>
        <v>2.28839105973685</v>
      </c>
      <c r="E64" s="61">
        <v>0.1</v>
      </c>
      <c r="F64" s="61">
        <f>0.022636969359901*100</f>
        <v>2.2636969359901</v>
      </c>
      <c r="G64" s="61">
        <v>0.1</v>
      </c>
      <c r="H64" s="62">
        <f t="shared" si="3"/>
        <v>0.28524740973736007</v>
      </c>
      <c r="I64" s="63" t="s">
        <v>8</v>
      </c>
      <c r="J64" s="59">
        <f t="shared" si="4"/>
        <v>0.30994153348411</v>
      </c>
      <c r="K64" s="63" t="s">
        <v>8</v>
      </c>
      <c r="L64" s="59">
        <f t="shared" si="5"/>
        <v>0.024694123746749952</v>
      </c>
      <c r="M64" s="64"/>
    </row>
    <row r="65" spans="1:13" ht="12.75">
      <c r="A65" s="80" t="s">
        <v>41</v>
      </c>
      <c r="B65" s="66">
        <f>0.0119604864933604*100</f>
        <v>1.19604864933604</v>
      </c>
      <c r="C65" s="60">
        <v>0.1</v>
      </c>
      <c r="D65" s="61">
        <f>0.010965590436134*100</f>
        <v>1.0965590436133998</v>
      </c>
      <c r="E65" s="61">
        <v>0.1</v>
      </c>
      <c r="F65" s="61">
        <f>0.0109011964142837*100</f>
        <v>1.09011964142837</v>
      </c>
      <c r="G65" s="61">
        <v>0.1</v>
      </c>
      <c r="H65" s="62">
        <f t="shared" si="3"/>
        <v>0.0994896057226402</v>
      </c>
      <c r="I65" s="63" t="s">
        <v>8</v>
      </c>
      <c r="J65" s="59">
        <f t="shared" si="4"/>
        <v>0.10592900790767001</v>
      </c>
      <c r="K65" s="63" t="s">
        <v>8</v>
      </c>
      <c r="L65" s="59">
        <f t="shared" si="5"/>
        <v>0.006439402185029808</v>
      </c>
      <c r="M65" s="64"/>
    </row>
    <row r="66" spans="1:13" ht="12.75">
      <c r="A66" s="74" t="s">
        <v>42</v>
      </c>
      <c r="B66" s="81">
        <f>0.0687238729313134*100</f>
        <v>6.87238729313134</v>
      </c>
      <c r="C66" s="60">
        <v>0.1</v>
      </c>
      <c r="D66" s="79">
        <f>0.068679871522629*100</f>
        <v>6.8679871522629</v>
      </c>
      <c r="E66" s="61">
        <v>0.1</v>
      </c>
      <c r="F66" s="79">
        <f>0.0696813045344939*100</f>
        <v>6.96813045344939</v>
      </c>
      <c r="G66" s="61">
        <v>0.1</v>
      </c>
      <c r="H66" s="62">
        <f t="shared" si="3"/>
        <v>0.004400140868439983</v>
      </c>
      <c r="I66" s="63" t="s">
        <v>6</v>
      </c>
      <c r="J66" s="59">
        <f t="shared" si="4"/>
        <v>-0.09574316031805008</v>
      </c>
      <c r="K66" s="63"/>
      <c r="L66" s="59">
        <f t="shared" si="5"/>
        <v>-0.10014330118649006</v>
      </c>
      <c r="M66" s="64" t="s">
        <v>8</v>
      </c>
    </row>
    <row r="67" spans="1:13" ht="12.75">
      <c r="A67" s="82" t="s">
        <v>43</v>
      </c>
      <c r="B67" s="83">
        <f>0.0660224787640565*100</f>
        <v>6.60224787640565</v>
      </c>
      <c r="C67" s="84">
        <v>0.1</v>
      </c>
      <c r="D67" s="85">
        <f>0.0678339551217231*100</f>
        <v>6.78339551217231</v>
      </c>
      <c r="E67" s="86">
        <v>0.1</v>
      </c>
      <c r="F67" s="85">
        <f>0.0679522806091201*100</f>
        <v>6.79522806091201</v>
      </c>
      <c r="G67" s="86">
        <v>0.1</v>
      </c>
      <c r="H67" s="87">
        <f t="shared" si="3"/>
        <v>-0.18114763576666082</v>
      </c>
      <c r="I67" s="88" t="s">
        <v>8</v>
      </c>
      <c r="J67" s="89">
        <f t="shared" si="4"/>
        <v>-0.19298018450636079</v>
      </c>
      <c r="K67" s="90" t="s">
        <v>8</v>
      </c>
      <c r="L67" s="89">
        <f t="shared" si="5"/>
        <v>-0.011832548739699966</v>
      </c>
      <c r="M67" s="91"/>
    </row>
    <row r="68" spans="1:13" ht="12.75">
      <c r="A68" s="92"/>
      <c r="B68" s="93"/>
      <c r="C68" s="60"/>
      <c r="D68" s="63"/>
      <c r="E68" s="60"/>
      <c r="F68" s="63"/>
      <c r="G68" s="60"/>
      <c r="H68" s="63"/>
      <c r="I68" s="63"/>
      <c r="J68" s="63"/>
      <c r="K68" s="63"/>
      <c r="L68" s="63"/>
      <c r="M68" s="63"/>
    </row>
    <row r="69" spans="1:5" ht="12.75">
      <c r="A69" s="40" t="s">
        <v>68</v>
      </c>
      <c r="B69" s="38"/>
      <c r="C69" s="39"/>
      <c r="D69" s="39"/>
      <c r="E69" s="39"/>
    </row>
    <row r="70" spans="1:9" ht="12.75">
      <c r="A70" s="40" t="s">
        <v>77</v>
      </c>
      <c r="B70" s="41"/>
      <c r="C70" s="41"/>
      <c r="D70" s="41"/>
      <c r="E70" s="41"/>
      <c r="F70" s="41"/>
      <c r="G70" s="41"/>
      <c r="H70" s="41"/>
      <c r="I70" s="41"/>
    </row>
    <row r="71" spans="1:13" ht="12.75">
      <c r="A71" s="42" t="s">
        <v>65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42" t="s">
        <v>66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2.75">
      <c r="A73" s="42" t="s">
        <v>67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2.75">
      <c r="A74" s="97" t="s">
        <v>22</v>
      </c>
      <c r="B74" s="96"/>
      <c r="C74" s="96"/>
      <c r="D74" s="96"/>
      <c r="E74" s="96"/>
      <c r="F74" s="96"/>
      <c r="G74" s="95"/>
      <c r="H74" s="96"/>
      <c r="I74" s="96"/>
      <c r="J74" s="96"/>
      <c r="K74" s="96"/>
      <c r="L74" s="96"/>
      <c r="M74" s="96"/>
    </row>
    <row r="75" spans="1:9" ht="12.75">
      <c r="A75" s="47" t="s">
        <v>78</v>
      </c>
      <c r="B75" s="43"/>
      <c r="C75" s="43"/>
      <c r="D75" s="43"/>
      <c r="E75" s="43"/>
      <c r="F75" s="43"/>
      <c r="G75" s="43"/>
      <c r="H75" s="43"/>
      <c r="I75" s="43"/>
    </row>
    <row r="76" spans="1:13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92" t="s">
        <v>85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80" ht="12.75">
      <c r="A80" s="99" t="s">
        <v>81</v>
      </c>
    </row>
    <row r="81" spans="1:9" s="135" customFormat="1" ht="11.25">
      <c r="A81" s="134" t="s">
        <v>88</v>
      </c>
      <c r="C81" s="136"/>
      <c r="D81" s="136"/>
      <c r="F81" s="136"/>
      <c r="G81" s="136"/>
      <c r="I81" s="136"/>
    </row>
    <row r="82" spans="1:9" s="135" customFormat="1" ht="11.25">
      <c r="A82" s="135" t="s">
        <v>89</v>
      </c>
      <c r="B82" s="137"/>
      <c r="I82" s="134"/>
    </row>
    <row r="83" spans="8:9" ht="12.75">
      <c r="H83" s="3"/>
      <c r="I83" s="3"/>
    </row>
    <row r="84" spans="1:13" ht="12.75">
      <c r="A84" s="172" t="s">
        <v>44</v>
      </c>
      <c r="B84" s="174" t="s">
        <v>1</v>
      </c>
      <c r="C84" s="175"/>
      <c r="D84" s="174" t="s">
        <v>2</v>
      </c>
      <c r="E84" s="175"/>
      <c r="F84" s="157" t="s">
        <v>3</v>
      </c>
      <c r="G84" s="175"/>
      <c r="H84" s="158" t="s">
        <v>72</v>
      </c>
      <c r="I84" s="159"/>
      <c r="J84" s="158" t="s">
        <v>73</v>
      </c>
      <c r="K84" s="159"/>
      <c r="L84" s="158" t="s">
        <v>74</v>
      </c>
      <c r="M84" s="159"/>
    </row>
    <row r="85" spans="1:13" ht="12.75">
      <c r="A85" s="173"/>
      <c r="B85" s="5"/>
      <c r="C85" s="164" t="s">
        <v>70</v>
      </c>
      <c r="D85" s="5"/>
      <c r="E85" s="159" t="s">
        <v>70</v>
      </c>
      <c r="F85" s="169" t="s">
        <v>71</v>
      </c>
      <c r="G85" s="159" t="s">
        <v>70</v>
      </c>
      <c r="H85" s="160"/>
      <c r="I85" s="161"/>
      <c r="J85" s="160"/>
      <c r="K85" s="161"/>
      <c r="L85" s="160"/>
      <c r="M85" s="161"/>
    </row>
    <row r="86" spans="1:13" ht="12.75">
      <c r="A86" s="173"/>
      <c r="B86" s="6"/>
      <c r="C86" s="165"/>
      <c r="D86" s="6"/>
      <c r="E86" s="167"/>
      <c r="F86" s="170"/>
      <c r="G86" s="167"/>
      <c r="H86" s="160"/>
      <c r="I86" s="161"/>
      <c r="J86" s="160"/>
      <c r="K86" s="161"/>
      <c r="L86" s="160"/>
      <c r="M86" s="161"/>
    </row>
    <row r="87" spans="1:13" ht="13.5">
      <c r="A87" s="7"/>
      <c r="B87" s="8" t="s">
        <v>69</v>
      </c>
      <c r="C87" s="166"/>
      <c r="D87" s="8" t="s">
        <v>69</v>
      </c>
      <c r="E87" s="168"/>
      <c r="F87" s="171"/>
      <c r="G87" s="168"/>
      <c r="H87" s="162"/>
      <c r="I87" s="163"/>
      <c r="J87" s="162"/>
      <c r="K87" s="163"/>
      <c r="L87" s="162"/>
      <c r="M87" s="163"/>
    </row>
    <row r="88" spans="1:13" ht="12.75">
      <c r="A88" s="100" t="s">
        <v>63</v>
      </c>
      <c r="B88" s="127">
        <v>100</v>
      </c>
      <c r="C88" s="101" t="s">
        <v>5</v>
      </c>
      <c r="D88" s="127">
        <v>100</v>
      </c>
      <c r="E88" s="101" t="s">
        <v>5</v>
      </c>
      <c r="F88" s="127">
        <v>100</v>
      </c>
      <c r="G88" s="101" t="s">
        <v>5</v>
      </c>
      <c r="H88" s="102" t="s">
        <v>5</v>
      </c>
      <c r="I88" s="103" t="s">
        <v>6</v>
      </c>
      <c r="J88" s="102" t="s">
        <v>5</v>
      </c>
      <c r="K88" s="103" t="s">
        <v>6</v>
      </c>
      <c r="L88" s="102" t="s">
        <v>5</v>
      </c>
      <c r="M88" s="104" t="s">
        <v>6</v>
      </c>
    </row>
    <row r="89" spans="1:13" ht="12.75">
      <c r="A89" s="105" t="s">
        <v>24</v>
      </c>
      <c r="B89" s="106">
        <f>0.963963179700981*100</f>
        <v>96.3963179700981</v>
      </c>
      <c r="C89" s="20">
        <v>0.1</v>
      </c>
      <c r="D89" s="20">
        <f>0.967381913149649*100</f>
        <v>96.73819131496491</v>
      </c>
      <c r="E89" s="20">
        <v>0.1</v>
      </c>
      <c r="F89" s="20">
        <f>0.967909266986883*100</f>
        <v>96.7909266986883</v>
      </c>
      <c r="G89" s="20">
        <v>0.1</v>
      </c>
      <c r="H89" s="20">
        <f aca="true" t="shared" si="6" ref="H89:H104">(B89-D89)</f>
        <v>-0.3418733448668121</v>
      </c>
      <c r="I89" s="20" t="s">
        <v>8</v>
      </c>
      <c r="J89" s="20">
        <f>(B89-F89)</f>
        <v>-0.3946087285901996</v>
      </c>
      <c r="K89" s="20" t="s">
        <v>8</v>
      </c>
      <c r="L89" s="20">
        <f>(D89-F89)</f>
        <v>-0.052735383723387486</v>
      </c>
      <c r="M89" s="107" t="s">
        <v>8</v>
      </c>
    </row>
    <row r="90" spans="1:13" ht="12.75">
      <c r="A90" s="105" t="s">
        <v>25</v>
      </c>
      <c r="B90" s="20">
        <f>0.0360368202990189*100</f>
        <v>3.60368202990189</v>
      </c>
      <c r="C90" s="20">
        <v>0.1</v>
      </c>
      <c r="D90" s="20">
        <f>0.0326180868503512*100</f>
        <v>3.2618086850351196</v>
      </c>
      <c r="E90" s="20">
        <v>0.1</v>
      </c>
      <c r="F90" s="20">
        <f>0.0320907330131175*100</f>
        <v>3.2090733013117503</v>
      </c>
      <c r="G90" s="20">
        <v>0.1</v>
      </c>
      <c r="H90" s="20">
        <f t="shared" si="6"/>
        <v>0.34187334486677035</v>
      </c>
      <c r="I90" s="20" t="s">
        <v>8</v>
      </c>
      <c r="J90" s="20">
        <f>(B90-F90)</f>
        <v>0.3946087285901396</v>
      </c>
      <c r="K90" s="20" t="s">
        <v>8</v>
      </c>
      <c r="L90" s="20">
        <f>(D90-F90)</f>
        <v>0.05273538372336928</v>
      </c>
      <c r="M90" s="107" t="s">
        <v>8</v>
      </c>
    </row>
    <row r="91" spans="1:13" ht="12.75">
      <c r="A91" s="108"/>
      <c r="B91" s="109"/>
      <c r="C91" s="110"/>
      <c r="D91" s="111"/>
      <c r="E91" s="110"/>
      <c r="F91" s="111"/>
      <c r="G91" s="110"/>
      <c r="H91" s="20"/>
      <c r="I91" s="20"/>
      <c r="J91" s="20"/>
      <c r="K91" s="20"/>
      <c r="L91" s="20"/>
      <c r="M91" s="107"/>
    </row>
    <row r="92" spans="1:13" ht="12.75">
      <c r="A92" s="108" t="s">
        <v>45</v>
      </c>
      <c r="B92" s="128">
        <v>100</v>
      </c>
      <c r="C92" s="112" t="s">
        <v>5</v>
      </c>
      <c r="D92" s="128">
        <v>100</v>
      </c>
      <c r="E92" s="112" t="s">
        <v>5</v>
      </c>
      <c r="F92" s="128">
        <v>100</v>
      </c>
      <c r="G92" s="112" t="s">
        <v>5</v>
      </c>
      <c r="H92" s="113" t="s">
        <v>5</v>
      </c>
      <c r="I92" s="20"/>
      <c r="J92" s="113" t="s">
        <v>5</v>
      </c>
      <c r="K92" s="20" t="s">
        <v>6</v>
      </c>
      <c r="L92" s="113" t="s">
        <v>5</v>
      </c>
      <c r="M92" s="107"/>
    </row>
    <row r="93" spans="1:13" ht="12.75">
      <c r="A93" s="24" t="s">
        <v>46</v>
      </c>
      <c r="B93" s="20">
        <f>0.037633431392597*100</f>
        <v>3.7633431392596997</v>
      </c>
      <c r="C93" s="20">
        <v>0.1</v>
      </c>
      <c r="D93" s="20">
        <f>0.0336871496157319*100</f>
        <v>3.36871496157319</v>
      </c>
      <c r="E93" s="20">
        <v>0.1</v>
      </c>
      <c r="F93" s="20">
        <f>0.0387574539304954*100</f>
        <v>3.87574539304954</v>
      </c>
      <c r="G93" s="20">
        <v>0.1</v>
      </c>
      <c r="H93" s="20">
        <f t="shared" si="6"/>
        <v>0.3946281776865095</v>
      </c>
      <c r="I93" s="20" t="s">
        <v>8</v>
      </c>
      <c r="J93" s="20">
        <f aca="true" t="shared" si="7" ref="J93:J104">(B93-F93)</f>
        <v>-0.11240225378984015</v>
      </c>
      <c r="K93" s="20" t="s">
        <v>8</v>
      </c>
      <c r="L93" s="20">
        <f aca="true" t="shared" si="8" ref="L93:L104">(D93-F93)</f>
        <v>-0.5070304314763496</v>
      </c>
      <c r="M93" s="107" t="s">
        <v>8</v>
      </c>
    </row>
    <row r="94" spans="1:13" ht="12.75">
      <c r="A94" s="24" t="s">
        <v>47</v>
      </c>
      <c r="B94" s="20">
        <f>0.109054216628234*100</f>
        <v>10.9054216628234</v>
      </c>
      <c r="C94" s="20">
        <v>0.1</v>
      </c>
      <c r="D94" s="20">
        <f>0.11029939520934*100</f>
        <v>11.029939520934</v>
      </c>
      <c r="E94" s="20">
        <v>0.1</v>
      </c>
      <c r="F94" s="20">
        <f>0.114563955378817*100</f>
        <v>11.4563955378817</v>
      </c>
      <c r="G94" s="20">
        <v>0.1</v>
      </c>
      <c r="H94" s="20">
        <f t="shared" si="6"/>
        <v>-0.12451785811060034</v>
      </c>
      <c r="I94" s="20" t="s">
        <v>8</v>
      </c>
      <c r="J94" s="20">
        <f t="shared" si="7"/>
        <v>-0.5509738750583004</v>
      </c>
      <c r="K94" s="20" t="s">
        <v>8</v>
      </c>
      <c r="L94" s="20">
        <f t="shared" si="8"/>
        <v>-0.4264560169477001</v>
      </c>
      <c r="M94" s="107" t="s">
        <v>8</v>
      </c>
    </row>
    <row r="95" spans="1:13" ht="12.75">
      <c r="A95" s="24" t="s">
        <v>48</v>
      </c>
      <c r="B95" s="20">
        <f>0.143078150477808*100</f>
        <v>14.3078150477808</v>
      </c>
      <c r="C95" s="20">
        <v>0.1</v>
      </c>
      <c r="D95" s="20">
        <f>0.150032670533355*100</f>
        <v>15.0032670533355</v>
      </c>
      <c r="E95" s="20">
        <v>0.1</v>
      </c>
      <c r="F95" s="20">
        <f>0.147134942227287*100</f>
        <v>14.713494222728702</v>
      </c>
      <c r="G95" s="20">
        <v>0.1</v>
      </c>
      <c r="H95" s="20">
        <f t="shared" si="6"/>
        <v>-0.6954520055547011</v>
      </c>
      <c r="I95" s="20" t="s">
        <v>8</v>
      </c>
      <c r="J95" s="20">
        <f t="shared" si="7"/>
        <v>-0.4056791749479025</v>
      </c>
      <c r="K95" s="20" t="s">
        <v>8</v>
      </c>
      <c r="L95" s="20">
        <f t="shared" si="8"/>
        <v>0.2897728306067986</v>
      </c>
      <c r="M95" s="107" t="s">
        <v>8</v>
      </c>
    </row>
    <row r="96" spans="1:13" ht="12.75">
      <c r="A96" s="24" t="s">
        <v>49</v>
      </c>
      <c r="B96" s="20">
        <f>0.154756287400903*100</f>
        <v>15.4756287400903</v>
      </c>
      <c r="C96" s="20">
        <v>0.1</v>
      </c>
      <c r="D96" s="20">
        <f>0.158220131422695*100</f>
        <v>15.822013142269501</v>
      </c>
      <c r="E96" s="20">
        <v>0.1</v>
      </c>
      <c r="F96" s="20">
        <f>0.15763211951266*100</f>
        <v>15.763211951266001</v>
      </c>
      <c r="G96" s="20">
        <v>0.1</v>
      </c>
      <c r="H96" s="20">
        <f t="shared" si="6"/>
        <v>-0.34638440217920063</v>
      </c>
      <c r="I96" s="20" t="s">
        <v>8</v>
      </c>
      <c r="J96" s="20">
        <f t="shared" si="7"/>
        <v>-0.2875832111757006</v>
      </c>
      <c r="K96" s="20" t="s">
        <v>8</v>
      </c>
      <c r="L96" s="20">
        <f t="shared" si="8"/>
        <v>0.05880119100350001</v>
      </c>
      <c r="M96" s="107"/>
    </row>
    <row r="97" spans="1:13" ht="12.75">
      <c r="A97" s="24" t="s">
        <v>50</v>
      </c>
      <c r="B97" s="20">
        <f>0.145346129013036*100</f>
        <v>14.5346129013036</v>
      </c>
      <c r="C97" s="20">
        <v>0.1</v>
      </c>
      <c r="D97" s="20">
        <f>0.144903140944311*100</f>
        <v>14.4903140944311</v>
      </c>
      <c r="E97" s="20">
        <v>0.1</v>
      </c>
      <c r="F97" s="20">
        <f>0.145354718280171*100</f>
        <v>14.5354718280171</v>
      </c>
      <c r="G97" s="20">
        <v>0.1</v>
      </c>
      <c r="H97" s="20">
        <f t="shared" si="6"/>
        <v>0.044298806872498986</v>
      </c>
      <c r="I97" s="20"/>
      <c r="J97" s="20">
        <f t="shared" si="7"/>
        <v>-0.0008589267134997414</v>
      </c>
      <c r="K97" s="20" t="s">
        <v>6</v>
      </c>
      <c r="L97" s="20">
        <f t="shared" si="8"/>
        <v>-0.04515773358599873</v>
      </c>
      <c r="M97" s="107"/>
    </row>
    <row r="98" spans="1:13" ht="12.75">
      <c r="A98" s="24" t="s">
        <v>51</v>
      </c>
      <c r="B98" s="20">
        <f>0.0605471621954628*100</f>
        <v>6.05471621954628</v>
      </c>
      <c r="C98" s="20">
        <v>0.1</v>
      </c>
      <c r="D98" s="20">
        <f>0.057943831018823*100</f>
        <v>5.7943831018823</v>
      </c>
      <c r="E98" s="20">
        <v>0.1</v>
      </c>
      <c r="F98" s="20">
        <f>0.0593277623180134*100</f>
        <v>5.9327762318013395</v>
      </c>
      <c r="G98" s="20">
        <v>0.1</v>
      </c>
      <c r="H98" s="20">
        <f t="shared" si="6"/>
        <v>0.26033311766398004</v>
      </c>
      <c r="I98" s="20" t="s">
        <v>8</v>
      </c>
      <c r="J98" s="20">
        <f>(B98-F98)</f>
        <v>0.1219399877449403</v>
      </c>
      <c r="K98" s="20" t="s">
        <v>8</v>
      </c>
      <c r="L98" s="20">
        <f t="shared" si="8"/>
        <v>-0.13839312991903974</v>
      </c>
      <c r="M98" s="107" t="s">
        <v>8</v>
      </c>
    </row>
    <row r="99" spans="1:13" ht="12.75">
      <c r="A99" s="24" t="s">
        <v>52</v>
      </c>
      <c r="B99" s="20">
        <f>0.131852518025566*100</f>
        <v>13.1852518025566</v>
      </c>
      <c r="C99" s="20">
        <v>0.1</v>
      </c>
      <c r="D99" s="20">
        <f>0.131907783073138*100</f>
        <v>13.1907783073138</v>
      </c>
      <c r="E99" s="20">
        <v>0.1</v>
      </c>
      <c r="F99" s="20">
        <f>0.130188406373845*100</f>
        <v>13.0188406373845</v>
      </c>
      <c r="G99" s="20">
        <v>0.1</v>
      </c>
      <c r="H99" s="20">
        <f t="shared" si="6"/>
        <v>-0.005526504757199291</v>
      </c>
      <c r="I99" s="20"/>
      <c r="J99" s="20">
        <f t="shared" si="7"/>
        <v>0.16641116517210008</v>
      </c>
      <c r="K99" s="20" t="s">
        <v>8</v>
      </c>
      <c r="L99" s="20">
        <f t="shared" si="8"/>
        <v>0.17193766992929937</v>
      </c>
      <c r="M99" s="107" t="s">
        <v>8</v>
      </c>
    </row>
    <row r="100" spans="1:13" ht="12.75">
      <c r="A100" s="24" t="s">
        <v>53</v>
      </c>
      <c r="B100" s="20">
        <f>0.0276812326042823*100</f>
        <v>2.76812326042823</v>
      </c>
      <c r="C100" s="20">
        <v>0.1</v>
      </c>
      <c r="D100" s="20">
        <f>0.0258865133209834*100</f>
        <v>2.58865133209834</v>
      </c>
      <c r="E100" s="20">
        <v>0.1</v>
      </c>
      <c r="F100" s="20">
        <f>0.0266323666963352*100</f>
        <v>2.6632366696335197</v>
      </c>
      <c r="G100" s="20">
        <v>0.1</v>
      </c>
      <c r="H100" s="20">
        <f t="shared" si="6"/>
        <v>0.17947192832989023</v>
      </c>
      <c r="I100" s="20" t="s">
        <v>8</v>
      </c>
      <c r="J100" s="20">
        <f t="shared" si="7"/>
        <v>0.10488659079471052</v>
      </c>
      <c r="K100" s="20" t="s">
        <v>8</v>
      </c>
      <c r="L100" s="20">
        <f t="shared" si="8"/>
        <v>-0.07458533753517971</v>
      </c>
      <c r="M100" s="107" t="s">
        <v>8</v>
      </c>
    </row>
    <row r="101" spans="1:13" ht="12.75">
      <c r="A101" s="24" t="s">
        <v>54</v>
      </c>
      <c r="B101" s="20">
        <f>0.0359280084982357*100</f>
        <v>3.59280084982357</v>
      </c>
      <c r="C101" s="20">
        <v>0.1</v>
      </c>
      <c r="D101" s="20">
        <f>0.0332198624755283*100</f>
        <v>3.32198624755283</v>
      </c>
      <c r="E101" s="20">
        <v>0.1</v>
      </c>
      <c r="F101" s="20">
        <f>0.0340302602643506*100</f>
        <v>3.4030260264350596</v>
      </c>
      <c r="G101" s="20">
        <v>0.1</v>
      </c>
      <c r="H101" s="20">
        <f t="shared" si="6"/>
        <v>0.27081460227074006</v>
      </c>
      <c r="I101" s="20" t="s">
        <v>8</v>
      </c>
      <c r="J101" s="20">
        <f t="shared" si="7"/>
        <v>0.1897748233885106</v>
      </c>
      <c r="K101" s="20" t="s">
        <v>8</v>
      </c>
      <c r="L101" s="20">
        <f t="shared" si="8"/>
        <v>-0.08103977888222946</v>
      </c>
      <c r="M101" s="107" t="s">
        <v>8</v>
      </c>
    </row>
    <row r="102" spans="1:13" ht="12.75">
      <c r="A102" s="24" t="s">
        <v>55</v>
      </c>
      <c r="B102" s="20">
        <f>0.0752153096696427*100</f>
        <v>7.52153096696427</v>
      </c>
      <c r="C102" s="20">
        <v>0.1</v>
      </c>
      <c r="D102" s="20">
        <f>0.0741400832370328*100</f>
        <v>7.41400832370328</v>
      </c>
      <c r="E102" s="20">
        <v>0.1</v>
      </c>
      <c r="F102" s="20">
        <f>0.073242537010417*100</f>
        <v>7.3242537010417</v>
      </c>
      <c r="G102" s="20">
        <v>0.1</v>
      </c>
      <c r="H102" s="20">
        <f t="shared" si="6"/>
        <v>0.1075226432609897</v>
      </c>
      <c r="I102" s="20" t="s">
        <v>8</v>
      </c>
      <c r="J102" s="20">
        <f t="shared" si="7"/>
        <v>0.1972772659225699</v>
      </c>
      <c r="K102" s="20" t="s">
        <v>8</v>
      </c>
      <c r="L102" s="20">
        <f t="shared" si="8"/>
        <v>0.08975462266158019</v>
      </c>
      <c r="M102" s="107"/>
    </row>
    <row r="103" spans="1:13" ht="12.75">
      <c r="A103" s="24" t="s">
        <v>56</v>
      </c>
      <c r="B103" s="20">
        <f>0.0551407182197043*100</f>
        <v>5.51407182197043</v>
      </c>
      <c r="C103" s="20">
        <v>0.1</v>
      </c>
      <c r="D103" s="20">
        <f>0.052072240941527*100</f>
        <v>5.2072240941527</v>
      </c>
      <c r="E103" s="20">
        <v>0.1</v>
      </c>
      <c r="F103" s="20">
        <f>0.0524377357587099*100</f>
        <v>5.24377357587099</v>
      </c>
      <c r="G103" s="20">
        <v>0.1</v>
      </c>
      <c r="H103" s="20">
        <f t="shared" si="6"/>
        <v>0.30684772781772995</v>
      </c>
      <c r="I103" s="20" t="s">
        <v>8</v>
      </c>
      <c r="J103" s="20">
        <f t="shared" si="7"/>
        <v>0.27029824609943987</v>
      </c>
      <c r="K103" s="20" t="s">
        <v>8</v>
      </c>
      <c r="L103" s="20">
        <f t="shared" si="8"/>
        <v>-0.03654948171829009</v>
      </c>
      <c r="M103" s="107" t="s">
        <v>6</v>
      </c>
    </row>
    <row r="104" spans="1:13" ht="12.75">
      <c r="A104" s="36" t="s">
        <v>57</v>
      </c>
      <c r="B104" s="30">
        <f>0.0237668358745301*100</f>
        <v>2.37668358745301</v>
      </c>
      <c r="C104" s="30">
        <v>0.1</v>
      </c>
      <c r="D104" s="30">
        <f>0.0276871982075346*100</f>
        <v>2.7687198207534602</v>
      </c>
      <c r="E104" s="30">
        <v>0.1</v>
      </c>
      <c r="F104" s="30">
        <f>0.0206977422488991*100</f>
        <v>2.06977422488991</v>
      </c>
      <c r="G104" s="30">
        <v>0.1</v>
      </c>
      <c r="H104" s="30">
        <f t="shared" si="6"/>
        <v>-0.3920362333004501</v>
      </c>
      <c r="I104" s="30" t="s">
        <v>8</v>
      </c>
      <c r="J104" s="30">
        <f t="shared" si="7"/>
        <v>0.3069093625631001</v>
      </c>
      <c r="K104" s="30" t="s">
        <v>8</v>
      </c>
      <c r="L104" s="30">
        <f t="shared" si="8"/>
        <v>0.6989455958635502</v>
      </c>
      <c r="M104" s="36" t="s">
        <v>8</v>
      </c>
    </row>
    <row r="105" spans="1:13" ht="12.75">
      <c r="A105" s="24"/>
      <c r="B105" s="26"/>
      <c r="C105" s="20"/>
      <c r="D105" s="26"/>
      <c r="E105" s="23"/>
      <c r="G105" s="26"/>
      <c r="H105" s="26"/>
      <c r="I105" s="107"/>
      <c r="J105" s="26"/>
      <c r="L105" s="26"/>
      <c r="M105" s="107"/>
    </row>
    <row r="106" spans="1:13" ht="12.75">
      <c r="A106" s="91" t="s">
        <v>76</v>
      </c>
      <c r="B106" s="91">
        <v>25.1</v>
      </c>
      <c r="C106" s="114">
        <v>0.1</v>
      </c>
      <c r="D106" s="91">
        <v>25.5</v>
      </c>
      <c r="E106" s="114">
        <v>0.1</v>
      </c>
      <c r="F106" s="115">
        <v>24.4</v>
      </c>
      <c r="G106" s="91">
        <v>0.1</v>
      </c>
      <c r="H106" s="91">
        <f>(B106-D106)</f>
        <v>-0.3999999999999986</v>
      </c>
      <c r="I106" s="116" t="s">
        <v>8</v>
      </c>
      <c r="J106" s="86">
        <f>(B106-F106)</f>
        <v>0.7000000000000028</v>
      </c>
      <c r="K106" s="90" t="s">
        <v>8</v>
      </c>
      <c r="L106" s="86">
        <f>(D106-F106)</f>
        <v>1.1000000000000014</v>
      </c>
      <c r="M106" s="116" t="s">
        <v>8</v>
      </c>
    </row>
    <row r="107" spans="3:7" ht="12.75">
      <c r="C107" s="2"/>
      <c r="E107" s="2"/>
      <c r="F107" s="2"/>
      <c r="G107" s="2"/>
    </row>
    <row r="108" spans="1:5" ht="12.75">
      <c r="A108" s="40" t="s">
        <v>68</v>
      </c>
      <c r="B108" s="38"/>
      <c r="C108" s="39"/>
      <c r="D108" s="39"/>
      <c r="E108" s="39"/>
    </row>
    <row r="109" spans="1:9" ht="12.75">
      <c r="A109" s="40" t="s">
        <v>77</v>
      </c>
      <c r="B109" s="41"/>
      <c r="C109" s="41"/>
      <c r="D109" s="41"/>
      <c r="E109" s="41"/>
      <c r="F109" s="41"/>
      <c r="G109" s="41"/>
      <c r="H109" s="41"/>
      <c r="I109" s="41"/>
    </row>
    <row r="110" spans="1:13" ht="12.75">
      <c r="A110" s="42" t="s">
        <v>65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2" t="s">
        <v>66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2" t="s">
        <v>67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97" t="s">
        <v>22</v>
      </c>
      <c r="B113" s="96"/>
      <c r="C113" s="96"/>
      <c r="D113" s="96"/>
      <c r="E113" s="96"/>
      <c r="F113" s="96"/>
      <c r="G113" s="95"/>
      <c r="H113" s="96"/>
      <c r="I113" s="96"/>
      <c r="J113" s="96"/>
      <c r="K113" s="96"/>
      <c r="L113" s="96"/>
      <c r="M113" s="96"/>
    </row>
    <row r="114" spans="1:9" ht="12.75">
      <c r="A114" s="47" t="s">
        <v>78</v>
      </c>
      <c r="B114" s="43"/>
      <c r="C114" s="43"/>
      <c r="D114" s="43"/>
      <c r="E114" s="43"/>
      <c r="F114" s="43"/>
      <c r="G114" s="43"/>
      <c r="H114" s="43"/>
      <c r="I114" s="43"/>
    </row>
    <row r="116" ht="12.75">
      <c r="A116" s="4" t="s">
        <v>86</v>
      </c>
    </row>
    <row r="119" spans="1:13" ht="12.75">
      <c r="A119" s="98" t="s">
        <v>82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9" s="135" customFormat="1" ht="11.25">
      <c r="A120" s="134" t="s">
        <v>88</v>
      </c>
      <c r="C120" s="136"/>
      <c r="D120" s="136"/>
      <c r="F120" s="136"/>
      <c r="G120" s="136"/>
      <c r="I120" s="136"/>
    </row>
    <row r="121" spans="1:9" s="135" customFormat="1" ht="11.25">
      <c r="A121" s="135" t="s">
        <v>89</v>
      </c>
      <c r="B121" s="137"/>
      <c r="I121" s="134"/>
    </row>
    <row r="122" spans="1:13" ht="12.75">
      <c r="A122" s="63"/>
      <c r="B122" s="63"/>
      <c r="C122" s="63"/>
      <c r="D122" s="63"/>
      <c r="E122" s="63"/>
      <c r="F122" s="63"/>
      <c r="G122" s="63"/>
      <c r="H122" s="117"/>
      <c r="I122" s="117"/>
      <c r="J122" s="63"/>
      <c r="K122" s="63"/>
      <c r="L122" s="63"/>
      <c r="M122" s="63"/>
    </row>
    <row r="123" spans="1:13" ht="12.75">
      <c r="A123" s="152" t="s">
        <v>58</v>
      </c>
      <c r="B123" s="155" t="s">
        <v>1</v>
      </c>
      <c r="C123" s="156"/>
      <c r="D123" s="155" t="s">
        <v>2</v>
      </c>
      <c r="E123" s="156"/>
      <c r="F123" s="157" t="s">
        <v>3</v>
      </c>
      <c r="G123" s="156"/>
      <c r="H123" s="138" t="s">
        <v>72</v>
      </c>
      <c r="I123" s="139"/>
      <c r="J123" s="138" t="s">
        <v>73</v>
      </c>
      <c r="K123" s="139"/>
      <c r="L123" s="138" t="s">
        <v>74</v>
      </c>
      <c r="M123" s="139"/>
    </row>
    <row r="124" spans="1:13" ht="12.75">
      <c r="A124" s="153"/>
      <c r="B124" s="48"/>
      <c r="C124" s="144" t="s">
        <v>70</v>
      </c>
      <c r="D124" s="48"/>
      <c r="E124" s="139" t="s">
        <v>70</v>
      </c>
      <c r="F124" s="149" t="s">
        <v>71</v>
      </c>
      <c r="G124" s="139" t="s">
        <v>70</v>
      </c>
      <c r="H124" s="140"/>
      <c r="I124" s="141"/>
      <c r="J124" s="140"/>
      <c r="K124" s="141"/>
      <c r="L124" s="140"/>
      <c r="M124" s="141"/>
    </row>
    <row r="125" spans="1:13" ht="12.75">
      <c r="A125" s="153"/>
      <c r="B125" s="49"/>
      <c r="C125" s="145"/>
      <c r="D125" s="49"/>
      <c r="E125" s="147"/>
      <c r="F125" s="150"/>
      <c r="G125" s="147"/>
      <c r="H125" s="140"/>
      <c r="I125" s="141"/>
      <c r="J125" s="140"/>
      <c r="K125" s="141"/>
      <c r="L125" s="140"/>
      <c r="M125" s="141"/>
    </row>
    <row r="126" spans="1:13" ht="13.5">
      <c r="A126" s="154"/>
      <c r="B126" s="50" t="s">
        <v>69</v>
      </c>
      <c r="C126" s="146"/>
      <c r="D126" s="50" t="s">
        <v>69</v>
      </c>
      <c r="E126" s="148"/>
      <c r="F126" s="151"/>
      <c r="G126" s="148"/>
      <c r="H126" s="142"/>
      <c r="I126" s="143"/>
      <c r="J126" s="142"/>
      <c r="K126" s="143"/>
      <c r="L126" s="142"/>
      <c r="M126" s="143"/>
    </row>
    <row r="127" spans="1:13" ht="12.75">
      <c r="A127" s="129" t="s">
        <v>63</v>
      </c>
      <c r="B127" s="130">
        <v>100</v>
      </c>
      <c r="C127" s="118" t="s">
        <v>5</v>
      </c>
      <c r="D127" s="130">
        <v>100</v>
      </c>
      <c r="E127" s="118" t="s">
        <v>5</v>
      </c>
      <c r="F127" s="130">
        <v>100</v>
      </c>
      <c r="G127" s="118" t="s">
        <v>5</v>
      </c>
      <c r="H127" s="118" t="s">
        <v>5</v>
      </c>
      <c r="I127" s="119" t="s">
        <v>6</v>
      </c>
      <c r="J127" s="118" t="s">
        <v>5</v>
      </c>
      <c r="K127" s="119" t="s">
        <v>6</v>
      </c>
      <c r="L127" s="118" t="s">
        <v>5</v>
      </c>
      <c r="M127" s="119" t="s">
        <v>6</v>
      </c>
    </row>
    <row r="128" spans="1:13" ht="12.75">
      <c r="A128" s="64" t="s">
        <v>59</v>
      </c>
      <c r="B128" s="61">
        <f>0.962175178084674*100</f>
        <v>96.2175178084674</v>
      </c>
      <c r="C128" s="61">
        <v>0.1</v>
      </c>
      <c r="D128" s="61">
        <f>0.963863798743784*100</f>
        <v>96.3863798743784</v>
      </c>
      <c r="E128" s="61">
        <v>0.1</v>
      </c>
      <c r="F128" s="61">
        <f>0.963589386214233*100</f>
        <v>96.35893862142329</v>
      </c>
      <c r="G128" s="61">
        <v>0.1</v>
      </c>
      <c r="H128" s="61">
        <f>(B128-D128)</f>
        <v>-0.16886206591100006</v>
      </c>
      <c r="I128" s="120" t="s">
        <v>8</v>
      </c>
      <c r="J128" s="61">
        <f>(B128-F128)</f>
        <v>-0.14142081295588582</v>
      </c>
      <c r="K128" s="120" t="s">
        <v>6</v>
      </c>
      <c r="L128" s="61">
        <f>(D128-F128)</f>
        <v>0.027441252955114237</v>
      </c>
      <c r="M128" s="121"/>
    </row>
    <row r="129" spans="1:13" ht="12.75">
      <c r="A129" s="64" t="s">
        <v>60</v>
      </c>
      <c r="B129" s="61">
        <f>0.722882545897548*100</f>
        <v>72.2882545897548</v>
      </c>
      <c r="C129" s="61">
        <v>0.1</v>
      </c>
      <c r="D129" s="61">
        <f>0.733110609303012*100</f>
        <v>73.3110609303012</v>
      </c>
      <c r="E129" s="61">
        <v>0.1</v>
      </c>
      <c r="F129" s="61">
        <f>0.731673865685064*100</f>
        <v>73.1673865685064</v>
      </c>
      <c r="G129" s="61">
        <v>0.1</v>
      </c>
      <c r="H129" s="61">
        <f>(B129-D129)</f>
        <v>-1.0228063405463956</v>
      </c>
      <c r="I129" s="120" t="s">
        <v>8</v>
      </c>
      <c r="J129" s="61">
        <f>(B129-F129)</f>
        <v>-0.8791319787516017</v>
      </c>
      <c r="K129" s="120" t="s">
        <v>8</v>
      </c>
      <c r="L129" s="61">
        <f>(D129-F129)</f>
        <v>0.14367436179479398</v>
      </c>
      <c r="M129" s="121"/>
    </row>
    <row r="130" spans="1:13" ht="12.75">
      <c r="A130" s="64" t="s">
        <v>61</v>
      </c>
      <c r="B130" s="61">
        <f>0.239292632187126*100</f>
        <v>23.9292632187126</v>
      </c>
      <c r="C130" s="61">
        <v>0.1</v>
      </c>
      <c r="D130" s="61">
        <f>0.230753189440772*100</f>
        <v>23.0753189440772</v>
      </c>
      <c r="E130" s="61">
        <v>0.1</v>
      </c>
      <c r="F130" s="61">
        <f>0.231915520529169*100</f>
        <v>23.1915520529169</v>
      </c>
      <c r="G130" s="61">
        <v>0.1</v>
      </c>
      <c r="H130" s="61">
        <f>(B130-D130)</f>
        <v>0.8539442746353991</v>
      </c>
      <c r="I130" s="120" t="s">
        <v>8</v>
      </c>
      <c r="J130" s="61">
        <f>(B130-F130)</f>
        <v>0.7377111657956981</v>
      </c>
      <c r="K130" s="120" t="s">
        <v>8</v>
      </c>
      <c r="L130" s="61">
        <f>(D130-F130)</f>
        <v>-0.11623310883970106</v>
      </c>
      <c r="M130" s="121"/>
    </row>
    <row r="131" spans="1:13" ht="12.75">
      <c r="A131" s="91" t="s">
        <v>62</v>
      </c>
      <c r="B131" s="86">
        <f>0.037824821915326*100</f>
        <v>3.7824821915326</v>
      </c>
      <c r="C131" s="86">
        <v>0.1</v>
      </c>
      <c r="D131" s="86">
        <f>0.0361362012562159*100</f>
        <v>3.61362012562159</v>
      </c>
      <c r="E131" s="86">
        <v>0.1</v>
      </c>
      <c r="F131" s="86">
        <f>0.0364106137857673*100</f>
        <v>3.64106137857673</v>
      </c>
      <c r="G131" s="86">
        <v>0.1</v>
      </c>
      <c r="H131" s="86">
        <f>(B131-D131)</f>
        <v>0.16886206591100983</v>
      </c>
      <c r="I131" s="122" t="s">
        <v>8</v>
      </c>
      <c r="J131" s="86">
        <f>(B131-F131)</f>
        <v>0.14142081295586983</v>
      </c>
      <c r="K131" s="122"/>
      <c r="L131" s="86">
        <f>(D131-F131)</f>
        <v>-0.027441252955139994</v>
      </c>
      <c r="M131" s="116"/>
    </row>
    <row r="132" spans="1:13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0" t="s">
        <v>68</v>
      </c>
      <c r="B133" s="94"/>
      <c r="C133" s="94"/>
      <c r="D133" s="94"/>
      <c r="E133" s="94"/>
      <c r="F133" s="94"/>
      <c r="G133" s="95"/>
      <c r="H133" s="96"/>
      <c r="I133" s="96"/>
      <c r="J133" s="96"/>
      <c r="K133" s="96"/>
      <c r="L133" s="96"/>
      <c r="M133" s="96"/>
    </row>
    <row r="134" spans="1:9" ht="12.75">
      <c r="A134" s="40" t="s">
        <v>77</v>
      </c>
      <c r="B134" s="41"/>
      <c r="C134" s="41"/>
      <c r="D134" s="41"/>
      <c r="E134" s="41"/>
      <c r="F134" s="41"/>
      <c r="G134" s="41"/>
      <c r="H134" s="41"/>
      <c r="I134" s="41"/>
    </row>
    <row r="135" spans="1:13" ht="12.75">
      <c r="A135" s="42" t="s">
        <v>65</v>
      </c>
      <c r="B135" s="96"/>
      <c r="C135" s="96"/>
      <c r="D135" s="96"/>
      <c r="E135" s="96"/>
      <c r="F135" s="96"/>
      <c r="G135" s="95"/>
      <c r="H135" s="96"/>
      <c r="I135" s="96"/>
      <c r="J135" s="96"/>
      <c r="K135" s="96"/>
      <c r="L135" s="96"/>
      <c r="M135" s="96"/>
    </row>
    <row r="136" spans="1:13" ht="12.75">
      <c r="A136" s="42" t="s">
        <v>66</v>
      </c>
      <c r="B136" s="96"/>
      <c r="C136" s="96"/>
      <c r="D136" s="96"/>
      <c r="E136" s="96"/>
      <c r="F136" s="96"/>
      <c r="G136" s="95"/>
      <c r="H136" s="96"/>
      <c r="I136" s="96"/>
      <c r="J136" s="96"/>
      <c r="K136" s="96"/>
      <c r="L136" s="96"/>
      <c r="M136" s="96"/>
    </row>
    <row r="137" spans="1:13" ht="12.75">
      <c r="A137" s="42" t="s">
        <v>67</v>
      </c>
      <c r="B137" s="96"/>
      <c r="C137" s="96"/>
      <c r="D137" s="96"/>
      <c r="E137" s="96"/>
      <c r="F137" s="96"/>
      <c r="G137" s="95"/>
      <c r="H137" s="96"/>
      <c r="I137" s="96"/>
      <c r="J137" s="96"/>
      <c r="K137" s="96"/>
      <c r="L137" s="96"/>
      <c r="M137" s="96"/>
    </row>
    <row r="138" spans="1:13" ht="12.75">
      <c r="A138" s="97" t="s">
        <v>22</v>
      </c>
      <c r="B138" s="96"/>
      <c r="C138" s="96"/>
      <c r="D138" s="96"/>
      <c r="E138" s="96"/>
      <c r="F138" s="96"/>
      <c r="G138" s="95"/>
      <c r="H138" s="96"/>
      <c r="I138" s="96"/>
      <c r="J138" s="96"/>
      <c r="K138" s="96"/>
      <c r="L138" s="96"/>
      <c r="M138" s="96"/>
    </row>
    <row r="139" spans="1:9" ht="12.75">
      <c r="A139" s="47" t="s">
        <v>78</v>
      </c>
      <c r="B139" s="43"/>
      <c r="C139" s="43"/>
      <c r="D139" s="43"/>
      <c r="E139" s="43"/>
      <c r="F139" s="43"/>
      <c r="G139" s="43"/>
      <c r="H139" s="43"/>
      <c r="I139" s="43"/>
    </row>
    <row r="140" spans="1:13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92" t="s">
        <v>87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</sheetData>
  <mergeCells count="44">
    <mergeCell ref="A5:A8"/>
    <mergeCell ref="B5:C5"/>
    <mergeCell ref="D5:E5"/>
    <mergeCell ref="F5:G5"/>
    <mergeCell ref="H5:I8"/>
    <mergeCell ref="J5:K8"/>
    <mergeCell ref="L5:M8"/>
    <mergeCell ref="C6:C8"/>
    <mergeCell ref="E6:E8"/>
    <mergeCell ref="F6:F8"/>
    <mergeCell ref="G6:G8"/>
    <mergeCell ref="A42:A45"/>
    <mergeCell ref="B42:C42"/>
    <mergeCell ref="D42:E42"/>
    <mergeCell ref="F42:G42"/>
    <mergeCell ref="H42:I45"/>
    <mergeCell ref="J42:K45"/>
    <mergeCell ref="L42:M45"/>
    <mergeCell ref="C43:C45"/>
    <mergeCell ref="E43:E45"/>
    <mergeCell ref="F43:F45"/>
    <mergeCell ref="G43:G45"/>
    <mergeCell ref="A84:A86"/>
    <mergeCell ref="B84:C84"/>
    <mergeCell ref="D84:E84"/>
    <mergeCell ref="F84:G84"/>
    <mergeCell ref="H84:I87"/>
    <mergeCell ref="J84:K87"/>
    <mergeCell ref="L84:M87"/>
    <mergeCell ref="C85:C87"/>
    <mergeCell ref="E85:E87"/>
    <mergeCell ref="F85:F87"/>
    <mergeCell ref="G85:G87"/>
    <mergeCell ref="A123:A126"/>
    <mergeCell ref="B123:C123"/>
    <mergeCell ref="D123:E123"/>
    <mergeCell ref="F123:G123"/>
    <mergeCell ref="H123:I126"/>
    <mergeCell ref="J123:K126"/>
    <mergeCell ref="L123:M126"/>
    <mergeCell ref="C124:C126"/>
    <mergeCell ref="E124:E126"/>
    <mergeCell ref="F124:F126"/>
    <mergeCell ref="G124:G126"/>
  </mergeCells>
  <printOptions/>
  <pageMargins left="0.75" right="0.75" top="1" bottom="1" header="0.5" footer="0.5"/>
  <pageSetup horizontalDpi="600" verticalDpi="600" orientation="landscape" scale="90" r:id="rId1"/>
  <rowBreaks count="3" manualBreakCount="3">
    <brk id="37" max="255" man="1"/>
    <brk id="79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jiles001</dc:creator>
  <cp:keywords/>
  <dc:description/>
  <cp:lastModifiedBy>jiles001</cp:lastModifiedBy>
  <cp:lastPrinted>2007-03-28T20:20:23Z</cp:lastPrinted>
  <dcterms:created xsi:type="dcterms:W3CDTF">2007-03-03T00:16:32Z</dcterms:created>
  <dcterms:modified xsi:type="dcterms:W3CDTF">2007-06-29T12:57:11Z</dcterms:modified>
  <cp:category/>
  <cp:version/>
  <cp:contentType/>
  <cp:contentStatus/>
</cp:coreProperties>
</file>