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00" windowHeight="4440" activeTab="0"/>
  </bookViews>
  <sheets>
    <sheet name="Sum P1" sheetId="1" r:id="rId1"/>
    <sheet name="SumP2" sheetId="2" r:id="rId2"/>
    <sheet name="Dsum" sheetId="3" r:id="rId3"/>
    <sheet name="Labor" sheetId="4" r:id="rId4"/>
    <sheet name="Trav" sheetId="5" r:id="rId5"/>
    <sheet name="ODC" sheetId="6" r:id="rId6"/>
    <sheet name="Rates" sheetId="7" r:id="rId7"/>
  </sheets>
  <definedNames>
    <definedName name="_xlnm.Print_Area" localSheetId="2">'Dsum'!$A$1:$K$24</definedName>
    <definedName name="_xlnm.Print_Area" localSheetId="3">'Labor'!$A$1:$K$24</definedName>
    <definedName name="_xlnm.Print_Area" localSheetId="5">'ODC'!$A$1:$L$24</definedName>
    <definedName name="_xlnm.Print_Area" localSheetId="0">'Sum P1'!$A$1:$E$74</definedName>
    <definedName name="_xlnm.Print_Area" localSheetId="1">'SumP2'!$A$1:$C$39</definedName>
    <definedName name="_xlnm.Print_Area" localSheetId="4">'Trav'!$A$1:$O$28</definedName>
  </definedNames>
  <calcPr fullCalcOnLoad="1"/>
</workbook>
</file>

<file path=xl/sharedStrings.xml><?xml version="1.0" encoding="utf-8"?>
<sst xmlns="http://schemas.openxmlformats.org/spreadsheetml/2006/main" count="255" uniqueCount="167">
  <si>
    <t>ENVIRONMENTAL ADVISORY AND ASSISTANCE SERVICES CONTRACT</t>
  </si>
  <si>
    <t>NATIONAL OCEANIC AND ATMOSPHERIC ADMINISTRATION CONTRACT</t>
  </si>
  <si>
    <t>Hourly Labor Rates</t>
  </si>
  <si>
    <t>Labor</t>
  </si>
  <si>
    <t>Direct Labor Classification</t>
  </si>
  <si>
    <t>Hours</t>
  </si>
  <si>
    <t>Cost ($)</t>
  </si>
  <si>
    <t>Principal</t>
  </si>
  <si>
    <t>Project Manager</t>
  </si>
  <si>
    <t>Deputy Project Manager</t>
  </si>
  <si>
    <t>Lead Chemist</t>
  </si>
  <si>
    <t>Chemist</t>
  </si>
  <si>
    <t>Chemical Engineer</t>
  </si>
  <si>
    <t>Lead Civil Engineer</t>
  </si>
  <si>
    <t>Civil Engineer</t>
  </si>
  <si>
    <t>Lead Ecologist</t>
  </si>
  <si>
    <t>Ecologist</t>
  </si>
  <si>
    <t>Environmental Estimator</t>
  </si>
  <si>
    <t>Environmental Engineer</t>
  </si>
  <si>
    <t>Environmental Attorney</t>
  </si>
  <si>
    <t>Lead Geologist</t>
  </si>
  <si>
    <t>Geologist</t>
  </si>
  <si>
    <t>Geotechnical Engineer</t>
  </si>
  <si>
    <t>Lead Hydrologist</t>
  </si>
  <si>
    <t>Hydrologist</t>
  </si>
  <si>
    <t>Lead Industrial Hygienist</t>
  </si>
  <si>
    <t>Industrial Hygienist</t>
  </si>
  <si>
    <t>Lead Life Safety Specialist</t>
  </si>
  <si>
    <t>Life Safety Specialist</t>
  </si>
  <si>
    <t>Lead Marine Biologist</t>
  </si>
  <si>
    <t>Marine Biologist</t>
  </si>
  <si>
    <t>Technical Editor</t>
  </si>
  <si>
    <t>Draftsperson</t>
  </si>
  <si>
    <t>Clerical</t>
  </si>
  <si>
    <t>Total</t>
  </si>
  <si>
    <t>Overhead Rate</t>
  </si>
  <si>
    <t>Travel (see supporting schedule)</t>
  </si>
  <si>
    <t>ODCs (see supporting schedule)</t>
  </si>
  <si>
    <t>Total Costs Exclusive of G &amp; A</t>
  </si>
  <si>
    <t>G &amp; A Rate</t>
  </si>
  <si>
    <t>Total Costs Exclusive of Fee</t>
  </si>
  <si>
    <t>Fee</t>
  </si>
  <si>
    <t>Subcontractors (see supporting schedule)</t>
  </si>
  <si>
    <t>Subcontractor Costs Exclusive of Fee</t>
  </si>
  <si>
    <t>Total Subcontractor Cost</t>
  </si>
  <si>
    <t>NATIONAL OCEANIC AND ATMOSPHERIC ADMINISTRATION</t>
  </si>
  <si>
    <t xml:space="preserve">    Airfare</t>
  </si>
  <si>
    <t xml:space="preserve">    Vehicle Rental</t>
  </si>
  <si>
    <t xml:space="preserve">    Mileage</t>
  </si>
  <si>
    <t xml:space="preserve">    Miscellaneous Auto</t>
  </si>
  <si>
    <t xml:space="preserve">    Reproduction</t>
  </si>
  <si>
    <t xml:space="preserve">    Computer</t>
  </si>
  <si>
    <t xml:space="preserve">    Shipping</t>
  </si>
  <si>
    <t xml:space="preserve">    Field Equipment &amp; Supplies</t>
  </si>
  <si>
    <t>Subcontractor Costs</t>
  </si>
  <si>
    <t>ENVIRONMENTAL ADVISORY AND ASSISTANCE SERVICES</t>
  </si>
  <si>
    <t>Total Labor</t>
  </si>
  <si>
    <t>Subcontractor</t>
  </si>
  <si>
    <t>Fee on</t>
  </si>
  <si>
    <t>Costs</t>
  </si>
  <si>
    <t>Total Project</t>
  </si>
  <si>
    <t>TASK</t>
  </si>
  <si>
    <t>DESCRIPTION</t>
  </si>
  <si>
    <t>Travel</t>
  </si>
  <si>
    <t>ODCs</t>
  </si>
  <si>
    <t>with G&amp;A</t>
  </si>
  <si>
    <t>Estimate</t>
  </si>
  <si>
    <t>1</t>
  </si>
  <si>
    <t>TOTAL</t>
  </si>
  <si>
    <t>Project</t>
  </si>
  <si>
    <t>Technical</t>
  </si>
  <si>
    <t>Manager</t>
  </si>
  <si>
    <t>Editor</t>
  </si>
  <si>
    <t>Unloaded</t>
  </si>
  <si>
    <t>Labor Costs</t>
  </si>
  <si>
    <t>Vehicle Rental</t>
  </si>
  <si>
    <t>Mileage</t>
  </si>
  <si>
    <t>Unit</t>
  </si>
  <si>
    <t>No. of</t>
  </si>
  <si>
    <t xml:space="preserve">Misc. </t>
  </si>
  <si>
    <t>No.</t>
  </si>
  <si>
    <t>Cost</t>
  </si>
  <si>
    <t>Days</t>
  </si>
  <si>
    <t>Reproduction</t>
  </si>
  <si>
    <t>Computer</t>
  </si>
  <si>
    <t>Shipping</t>
  </si>
  <si>
    <t>Field Supplies &amp; Analytical</t>
  </si>
  <si>
    <t>Lump</t>
  </si>
  <si>
    <t>Other Direct</t>
  </si>
  <si>
    <t>Sum</t>
  </si>
  <si>
    <t>G &amp; A</t>
  </si>
  <si>
    <t>PRC Fee</t>
  </si>
  <si>
    <t>Subcontractor Fee</t>
  </si>
  <si>
    <t>Base Year (1999) Unloaded</t>
  </si>
  <si>
    <t>Qty</t>
  </si>
  <si>
    <t>Telecommunication</t>
  </si>
  <si>
    <t>Hour</t>
  </si>
  <si>
    <t>Each</t>
  </si>
  <si>
    <t>Lead Env. Estimator</t>
  </si>
  <si>
    <t>CADD Operator</t>
  </si>
  <si>
    <t>Lead Env. Attorney</t>
  </si>
  <si>
    <t>Lead Env. Engineer</t>
  </si>
  <si>
    <t>Lead Chem. Engineer</t>
  </si>
  <si>
    <t>Lead Haz. Waste Spec.</t>
  </si>
  <si>
    <t>Lead Geotech. Engineer</t>
  </si>
  <si>
    <t>Haz. Waste Specialist</t>
  </si>
  <si>
    <t>Lodging</t>
  </si>
  <si>
    <t>Air Travel</t>
  </si>
  <si>
    <t>M&amp;I</t>
  </si>
  <si>
    <r>
      <t>Lodging</t>
    </r>
    <r>
      <rPr>
        <b/>
        <vertAlign val="superscript"/>
        <sz val="11"/>
        <rFont val="Times New Roman"/>
        <family val="1"/>
      </rPr>
      <t>a</t>
    </r>
  </si>
  <si>
    <r>
      <t>Meals &amp; Incidentals</t>
    </r>
    <r>
      <rPr>
        <b/>
        <vertAlign val="superscript"/>
        <sz val="11"/>
        <rFont val="Times New Roman"/>
        <family val="1"/>
      </rPr>
      <t>a</t>
    </r>
  </si>
  <si>
    <r>
      <t>Auto</t>
    </r>
    <r>
      <rPr>
        <b/>
        <vertAlign val="superscript"/>
        <sz val="11"/>
        <rFont val="Times New Roman"/>
        <family val="1"/>
      </rPr>
      <t>b</t>
    </r>
  </si>
  <si>
    <r>
      <t>a</t>
    </r>
    <r>
      <rPr>
        <sz val="11"/>
        <rFont val="Times New Roman"/>
        <family val="1"/>
      </rPr>
      <t xml:space="preserve">     Lodging, meals &amp; incidentals, and mileage are in accordance with the Federal Joint Travel Regulations (JTR)</t>
    </r>
  </si>
  <si>
    <t>Notes:</t>
  </si>
  <si>
    <r>
      <t>b</t>
    </r>
    <r>
      <rPr>
        <sz val="11"/>
        <rFont val="Times New Roman"/>
        <family val="1"/>
      </rPr>
      <t xml:space="preserve">    Misc Auto incudes expenses for parking, tolls, and shuttles to and from Airports</t>
    </r>
  </si>
  <si>
    <t>Fringe Benefits</t>
  </si>
  <si>
    <t>Plus Fringe</t>
  </si>
  <si>
    <t>&amp; Overhead</t>
  </si>
  <si>
    <t xml:space="preserve">    Meals &amp; Incidentals</t>
  </si>
  <si>
    <t xml:space="preserve">    Lodging</t>
  </si>
  <si>
    <t xml:space="preserve">    Telcommunications</t>
  </si>
  <si>
    <t>Base Period Unloaded</t>
  </si>
  <si>
    <t>Cost Each</t>
  </si>
  <si>
    <t>Loaded</t>
  </si>
  <si>
    <t>Estimated Qty</t>
  </si>
  <si>
    <t>Independent Government Cost Estimate</t>
  </si>
  <si>
    <t>VOC</t>
  </si>
  <si>
    <t>Semi-VOC</t>
  </si>
  <si>
    <t>PCB</t>
  </si>
  <si>
    <t>RCRA Metals</t>
  </si>
  <si>
    <t>WET</t>
  </si>
  <si>
    <t>Targeted Metals</t>
  </si>
  <si>
    <t>ANALYTICAL COSTS (Included)</t>
  </si>
  <si>
    <t>GPS and miscellaneous equipment</t>
  </si>
  <si>
    <t>Project:</t>
  </si>
  <si>
    <t>Estimated Analytical Costs</t>
  </si>
  <si>
    <t>Pesticides</t>
  </si>
  <si>
    <t xml:space="preserve">OPTIONAL TASKS COST SUMMARY (Page 2 of 2) </t>
  </si>
  <si>
    <t>OPTIONAL TASKS COST BACKUP SHEETS (1 of 4)</t>
  </si>
  <si>
    <t>OPTIONAL TASKS COST BACKUP SHEETS (2 of 4)</t>
  </si>
  <si>
    <t>OPTIONAL TASKS COST BACKUP SHEETS (3 of 4)</t>
  </si>
  <si>
    <t>OPTIONAL TASKS COST BACKUP SHEETS (4 of 4)</t>
  </si>
  <si>
    <t>Total Optional Cost Estimate</t>
  </si>
  <si>
    <t>CADD</t>
  </si>
  <si>
    <t>Operator</t>
  </si>
  <si>
    <t>Travel Costs</t>
  </si>
  <si>
    <t>Fee on Prime</t>
  </si>
  <si>
    <t>Prime</t>
  </si>
  <si>
    <t>Specialist</t>
  </si>
  <si>
    <t>Contract Specialist</t>
  </si>
  <si>
    <t>Contract</t>
  </si>
  <si>
    <t>City</t>
  </si>
  <si>
    <t>NWS Southern Region Facilities SPCC Plans</t>
  </si>
  <si>
    <t>Lubbock</t>
  </si>
  <si>
    <t>San Angelo</t>
  </si>
  <si>
    <t>Tulsa</t>
  </si>
  <si>
    <t>Norman</t>
  </si>
  <si>
    <t>Memphis</t>
  </si>
  <si>
    <t>San Juan Huntsville</t>
  </si>
  <si>
    <t>Melbourne</t>
  </si>
  <si>
    <t>Amarillo</t>
  </si>
  <si>
    <t>Mobile</t>
  </si>
  <si>
    <t>Austin/San Antonio</t>
  </si>
  <si>
    <t>Shreveport</t>
  </si>
  <si>
    <t>Nashville</t>
  </si>
  <si>
    <t>Lead Civil</t>
  </si>
  <si>
    <t>Engineer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</si>
</sst>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%"/>
    <numFmt numFmtId="167" formatCode="&quot;$&quot;#,##0.000"/>
    <numFmt numFmtId="168" formatCode="#######"/>
    <numFmt numFmtId="169" formatCode=";;;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color indexed="12"/>
      <name val="CG Times"/>
      <family val="1"/>
    </font>
    <font>
      <b/>
      <sz val="11"/>
      <color indexed="39"/>
      <name val="Times New Roman"/>
      <family val="1"/>
    </font>
    <font>
      <sz val="10"/>
      <color indexed="39"/>
      <name val="CG Times"/>
      <family val="1"/>
    </font>
    <font>
      <b/>
      <sz val="10"/>
      <color indexed="3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65" fontId="6" fillId="0" borderId="4" xfId="0" applyNumberFormat="1" applyFont="1" applyBorder="1" applyAlignment="1" applyProtection="1">
      <alignment/>
      <protection locked="0"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165" fontId="6" fillId="0" borderId="8" xfId="0" applyNumberFormat="1" applyFont="1" applyBorder="1" applyAlignment="1" applyProtection="1">
      <alignment/>
      <protection locked="0"/>
    </xf>
    <xf numFmtId="4" fontId="6" fillId="0" borderId="9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165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5" fillId="0" borderId="11" xfId="0" applyFont="1" applyBorder="1" applyAlignment="1">
      <alignment/>
    </xf>
    <xf numFmtId="9" fontId="5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10" fontId="5" fillId="0" borderId="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6" fillId="0" borderId="1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4" fontId="6" fillId="0" borderId="4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4" fontId="6" fillId="0" borderId="8" xfId="0" applyNumberFormat="1" applyFont="1" applyBorder="1" applyAlignment="1" applyProtection="1">
      <alignment/>
      <protection locked="0"/>
    </xf>
    <xf numFmtId="0" fontId="5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4" fontId="6" fillId="0" borderId="3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4" fontId="5" fillId="0" borderId="16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/>
    </xf>
    <xf numFmtId="3" fontId="6" fillId="0" borderId="4" xfId="0" applyNumberFormat="1" applyFont="1" applyBorder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/>
    </xf>
    <xf numFmtId="4" fontId="6" fillId="0" borderId="3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2" borderId="20" xfId="0" applyFont="1" applyFill="1" applyBorder="1" applyAlignment="1">
      <alignment horizontal="centerContinuous"/>
    </xf>
    <xf numFmtId="0" fontId="5" fillId="2" borderId="21" xfId="0" applyFont="1" applyFill="1" applyBorder="1" applyAlignment="1">
      <alignment horizontal="centerContinuous"/>
    </xf>
    <xf numFmtId="4" fontId="6" fillId="0" borderId="21" xfId="0" applyNumberFormat="1" applyFont="1" applyBorder="1" applyAlignment="1">
      <alignment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5" xfId="0" applyNumberFormat="1" applyFont="1" applyBorder="1" applyAlignment="1" applyProtection="1">
      <alignment/>
      <protection/>
    </xf>
    <xf numFmtId="166" fontId="5" fillId="0" borderId="12" xfId="0" applyNumberFormat="1" applyFont="1" applyBorder="1" applyAlignment="1">
      <alignment/>
    </xf>
    <xf numFmtId="166" fontId="1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9" fontId="13" fillId="0" borderId="8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0" fontId="5" fillId="0" borderId="26" xfId="0" applyFont="1" applyBorder="1" applyAlignment="1">
      <alignment/>
    </xf>
    <xf numFmtId="4" fontId="6" fillId="0" borderId="27" xfId="0" applyNumberFormat="1" applyFont="1" applyBorder="1" applyAlignment="1" applyProtection="1">
      <alignment/>
      <protection hidden="1"/>
    </xf>
    <xf numFmtId="4" fontId="6" fillId="0" borderId="28" xfId="0" applyNumberFormat="1" applyFont="1" applyBorder="1" applyAlignment="1" applyProtection="1">
      <alignment/>
      <protection hidden="1"/>
    </xf>
    <xf numFmtId="4" fontId="6" fillId="0" borderId="29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164" fontId="6" fillId="0" borderId="32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6" fillId="0" borderId="33" xfId="0" applyFont="1" applyBorder="1" applyAlignment="1">
      <alignment/>
    </xf>
    <xf numFmtId="164" fontId="6" fillId="0" borderId="0" xfId="0" applyNumberFormat="1" applyFont="1" applyAlignment="1">
      <alignment/>
    </xf>
    <xf numFmtId="164" fontId="5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35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/>
    </xf>
    <xf numFmtId="0" fontId="6" fillId="0" borderId="31" xfId="0" applyFont="1" applyBorder="1" applyAlignment="1">
      <alignment horizontal="right"/>
    </xf>
    <xf numFmtId="169" fontId="6" fillId="0" borderId="0" xfId="0" applyNumberFormat="1" applyFont="1" applyAlignment="1">
      <alignment/>
    </xf>
    <xf numFmtId="0" fontId="17" fillId="0" borderId="26" xfId="0" applyFont="1" applyBorder="1" applyAlignment="1">
      <alignment/>
    </xf>
    <xf numFmtId="0" fontId="17" fillId="0" borderId="31" xfId="0" applyFont="1" applyBorder="1" applyAlignment="1">
      <alignment/>
    </xf>
    <xf numFmtId="164" fontId="17" fillId="0" borderId="32" xfId="0" applyNumberFormat="1" applyFont="1" applyBorder="1" applyAlignment="1">
      <alignment/>
    </xf>
    <xf numFmtId="0" fontId="5" fillId="3" borderId="26" xfId="0" applyFont="1" applyFill="1" applyBorder="1" applyAlignment="1">
      <alignment/>
    </xf>
    <xf numFmtId="0" fontId="6" fillId="3" borderId="33" xfId="0" applyFont="1" applyFill="1" applyBorder="1" applyAlignment="1">
      <alignment/>
    </xf>
    <xf numFmtId="0" fontId="5" fillId="3" borderId="31" xfId="0" applyFont="1" applyFill="1" applyBorder="1" applyAlignment="1">
      <alignment horizontal="right"/>
    </xf>
    <xf numFmtId="2" fontId="5" fillId="3" borderId="36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4" fontId="5" fillId="3" borderId="9" xfId="0" applyNumberFormat="1" applyFont="1" applyFill="1" applyBorder="1" applyAlignment="1">
      <alignment/>
    </xf>
    <xf numFmtId="4" fontId="5" fillId="3" borderId="29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0" fontId="5" fillId="3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Continuous"/>
    </xf>
    <xf numFmtId="0" fontId="5" fillId="3" borderId="2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Continuous"/>
    </xf>
    <xf numFmtId="0" fontId="5" fillId="3" borderId="8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Continuous"/>
    </xf>
    <xf numFmtId="0" fontId="5" fillId="3" borderId="2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42" xfId="0" applyFont="1" applyFill="1" applyBorder="1" applyAlignment="1">
      <alignment horizontal="left"/>
    </xf>
    <xf numFmtId="4" fontId="5" fillId="3" borderId="43" xfId="0" applyNumberFormat="1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4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0" fontId="8" fillId="3" borderId="4" xfId="0" applyNumberFormat="1" applyFont="1" applyFill="1" applyBorder="1" applyAlignment="1">
      <alignment horizontal="center"/>
    </xf>
    <xf numFmtId="9" fontId="15" fillId="3" borderId="3" xfId="0" applyNumberFormat="1" applyFont="1" applyFill="1" applyBorder="1" applyAlignment="1" applyProtection="1">
      <alignment horizontal="center"/>
      <protection locked="0"/>
    </xf>
    <xf numFmtId="9" fontId="15" fillId="3" borderId="4" xfId="0" applyNumberFormat="1" applyFont="1" applyFill="1" applyBorder="1" applyAlignment="1">
      <alignment horizontal="center"/>
    </xf>
    <xf numFmtId="9" fontId="8" fillId="3" borderId="4" xfId="0" applyNumberFormat="1" applyFont="1" applyFill="1" applyBorder="1" applyAlignment="1">
      <alignment horizontal="center"/>
    </xf>
    <xf numFmtId="9" fontId="8" fillId="3" borderId="3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49" fontId="5" fillId="3" borderId="22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 horizontal="center"/>
    </xf>
    <xf numFmtId="49" fontId="5" fillId="3" borderId="24" xfId="0" applyNumberFormat="1" applyFont="1" applyFill="1" applyBorder="1" applyAlignment="1">
      <alignment horizontal="left"/>
    </xf>
    <xf numFmtId="49" fontId="5" fillId="0" borderId="46" xfId="0" applyNumberFormat="1" applyFont="1" applyBorder="1" applyAlignment="1">
      <alignment/>
    </xf>
    <xf numFmtId="169" fontId="5" fillId="0" borderId="0" xfId="0" applyNumberFormat="1" applyFont="1" applyAlignment="1">
      <alignment horizontal="center"/>
    </xf>
    <xf numFmtId="0" fontId="5" fillId="3" borderId="38" xfId="0" applyNumberFormat="1" applyFont="1" applyFill="1" applyBorder="1" applyAlignment="1">
      <alignment horizontal="center"/>
    </xf>
    <xf numFmtId="0" fontId="5" fillId="3" borderId="39" xfId="0" applyNumberFormat="1" applyFont="1" applyFill="1" applyBorder="1" applyAlignment="1" applyProtection="1">
      <alignment horizontal="center"/>
      <protection locked="0"/>
    </xf>
    <xf numFmtId="0" fontId="13" fillId="3" borderId="39" xfId="0" applyNumberFormat="1" applyFont="1" applyFill="1" applyBorder="1" applyAlignment="1" applyProtection="1">
      <alignment horizontal="center"/>
      <protection locked="0"/>
    </xf>
    <xf numFmtId="0" fontId="5" fillId="3" borderId="47" xfId="0" applyNumberFormat="1" applyFont="1" applyFill="1" applyBorder="1" applyAlignment="1" applyProtection="1">
      <alignment horizontal="center"/>
      <protection locked="0"/>
    </xf>
    <xf numFmtId="0" fontId="5" fillId="3" borderId="48" xfId="0" applyNumberFormat="1" applyFont="1" applyFill="1" applyBorder="1" applyAlignment="1">
      <alignment horizontal="center"/>
    </xf>
    <xf numFmtId="0" fontId="5" fillId="3" borderId="20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 applyProtection="1">
      <alignment horizontal="center"/>
      <protection locked="0"/>
    </xf>
    <xf numFmtId="0" fontId="13" fillId="3" borderId="4" xfId="0" applyNumberFormat="1" applyFont="1" applyFill="1" applyBorder="1" applyAlignment="1" applyProtection="1">
      <alignment horizontal="center"/>
      <protection locked="0"/>
    </xf>
    <xf numFmtId="0" fontId="5" fillId="3" borderId="5" xfId="0" applyNumberFormat="1" applyFont="1" applyFill="1" applyBorder="1" applyAlignment="1" applyProtection="1">
      <alignment horizontal="center"/>
      <protection locked="0"/>
    </xf>
    <xf numFmtId="0" fontId="5" fillId="3" borderId="49" xfId="0" applyNumberFormat="1" applyFont="1" applyFill="1" applyBorder="1" applyAlignment="1">
      <alignment horizontal="center"/>
    </xf>
    <xf numFmtId="0" fontId="5" fillId="3" borderId="44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/>
    </xf>
    <xf numFmtId="0" fontId="5" fillId="3" borderId="50" xfId="0" applyNumberFormat="1" applyFont="1" applyFill="1" applyBorder="1" applyAlignment="1">
      <alignment horizontal="center"/>
    </xf>
    <xf numFmtId="0" fontId="5" fillId="3" borderId="6" xfId="0" applyNumberFormat="1" applyFont="1" applyFill="1" applyBorder="1" applyAlignment="1">
      <alignment horizontal="center"/>
    </xf>
    <xf numFmtId="0" fontId="5" fillId="3" borderId="22" xfId="0" applyNumberFormat="1" applyFont="1" applyFill="1" applyBorder="1" applyAlignment="1">
      <alignment horizontal="center"/>
    </xf>
    <xf numFmtId="0" fontId="5" fillId="3" borderId="45" xfId="0" applyNumberFormat="1" applyFont="1" applyFill="1" applyBorder="1" applyAlignment="1">
      <alignment horizontal="center"/>
    </xf>
    <xf numFmtId="0" fontId="5" fillId="3" borderId="24" xfId="0" applyNumberFormat="1" applyFont="1" applyFill="1" applyBorder="1" applyAlignment="1">
      <alignment horizontal="left"/>
    </xf>
    <xf numFmtId="0" fontId="5" fillId="3" borderId="51" xfId="0" applyFont="1" applyFill="1" applyBorder="1" applyAlignment="1">
      <alignment horizontal="centerContinuous"/>
    </xf>
    <xf numFmtId="0" fontId="5" fillId="3" borderId="52" xfId="0" applyFont="1" applyFill="1" applyBorder="1" applyAlignment="1">
      <alignment horizontal="centerContinuous"/>
    </xf>
    <xf numFmtId="0" fontId="5" fillId="3" borderId="38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4" fontId="5" fillId="3" borderId="4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/>
    </xf>
    <xf numFmtId="4" fontId="5" fillId="3" borderId="3" xfId="0" applyNumberFormat="1" applyFont="1" applyFill="1" applyBorder="1" applyAlignment="1" applyProtection="1">
      <alignment horizontal="center"/>
      <protection locked="0"/>
    </xf>
    <xf numFmtId="4" fontId="5" fillId="3" borderId="2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9" fontId="5" fillId="3" borderId="4" xfId="0" applyNumberFormat="1" applyFont="1" applyFill="1" applyBorder="1" applyAlignment="1">
      <alignment horizontal="center"/>
    </xf>
    <xf numFmtId="8" fontId="5" fillId="3" borderId="3" xfId="0" applyNumberFormat="1" applyFont="1" applyFill="1" applyBorder="1" applyAlignment="1" applyProtection="1">
      <alignment horizontal="center"/>
      <protection locked="0"/>
    </xf>
    <xf numFmtId="9" fontId="5" fillId="3" borderId="3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Continuous" wrapText="1"/>
    </xf>
    <xf numFmtId="0" fontId="5" fillId="3" borderId="54" xfId="0" applyFont="1" applyFill="1" applyBorder="1" applyAlignment="1">
      <alignment horizontal="center"/>
    </xf>
    <xf numFmtId="164" fontId="5" fillId="3" borderId="55" xfId="0" applyNumberFormat="1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4" fontId="5" fillId="3" borderId="57" xfId="0" applyNumberFormat="1" applyFont="1" applyFill="1" applyBorder="1" applyAlignment="1">
      <alignment horizontal="center"/>
    </xf>
    <xf numFmtId="4" fontId="5" fillId="3" borderId="58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>
      <alignment horizontal="center"/>
    </xf>
    <xf numFmtId="0" fontId="18" fillId="0" borderId="0" xfId="0" applyFont="1" applyAlignment="1">
      <alignment horizontal="centerContinuous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49" fontId="5" fillId="0" borderId="59" xfId="0" applyNumberFormat="1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4" fontId="6" fillId="0" borderId="0" xfId="17" applyFont="1" applyAlignment="1">
      <alignment/>
    </xf>
    <xf numFmtId="44" fontId="5" fillId="0" borderId="0" xfId="17" applyFont="1" applyAlignment="1">
      <alignment horizontal="centerContinuous"/>
    </xf>
    <xf numFmtId="44" fontId="5" fillId="0" borderId="0" xfId="17" applyFont="1" applyBorder="1" applyAlignment="1">
      <alignment/>
    </xf>
    <xf numFmtId="44" fontId="5" fillId="3" borderId="51" xfId="17" applyFont="1" applyFill="1" applyBorder="1" applyAlignment="1">
      <alignment horizontal="center" wrapText="1"/>
    </xf>
    <xf numFmtId="44" fontId="5" fillId="3" borderId="0" xfId="17" applyFont="1" applyFill="1" applyBorder="1" applyAlignment="1">
      <alignment horizontal="center"/>
    </xf>
    <xf numFmtId="44" fontId="5" fillId="3" borderId="5" xfId="17" applyFont="1" applyFill="1" applyBorder="1" applyAlignment="1">
      <alignment horizontal="center"/>
    </xf>
    <xf numFmtId="44" fontId="6" fillId="0" borderId="5" xfId="17" applyFont="1" applyBorder="1" applyAlignment="1" applyProtection="1">
      <alignment/>
      <protection locked="0"/>
    </xf>
    <xf numFmtId="44" fontId="5" fillId="0" borderId="60" xfId="17" applyFont="1" applyBorder="1" applyAlignment="1">
      <alignment/>
    </xf>
    <xf numFmtId="0" fontId="17" fillId="0" borderId="61" xfId="0" applyFont="1" applyBorder="1" applyAlignment="1">
      <alignment/>
    </xf>
    <xf numFmtId="44" fontId="6" fillId="0" borderId="4" xfId="17" applyFont="1" applyBorder="1" applyAlignment="1" applyProtection="1">
      <alignment/>
      <protection locked="0"/>
    </xf>
    <xf numFmtId="44" fontId="5" fillId="0" borderId="8" xfId="17" applyFont="1" applyBorder="1" applyAlignment="1">
      <alignment/>
    </xf>
    <xf numFmtId="44" fontId="6" fillId="0" borderId="36" xfId="17" applyFont="1" applyBorder="1" applyAlignment="1">
      <alignment/>
    </xf>
    <xf numFmtId="0" fontId="5" fillId="0" borderId="62" xfId="0" applyFont="1" applyBorder="1" applyAlignment="1">
      <alignment vertical="center" wrapText="1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 applyProtection="1">
      <alignment horizontal="center"/>
      <protection locked="0"/>
    </xf>
    <xf numFmtId="165" fontId="6" fillId="0" borderId="50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60" xfId="0" applyNumberFormat="1" applyFont="1" applyBorder="1" applyAlignment="1">
      <alignment horizontal="center"/>
    </xf>
    <xf numFmtId="165" fontId="5" fillId="0" borderId="63" xfId="0" applyNumberFormat="1" applyFont="1" applyBorder="1" applyAlignment="1">
      <alignment horizontal="center"/>
    </xf>
    <xf numFmtId="0" fontId="5" fillId="0" borderId="58" xfId="0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6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44" fontId="6" fillId="0" borderId="66" xfId="17" applyFont="1" applyBorder="1" applyAlignment="1">
      <alignment horizontal="left" vertical="center" wrapText="1"/>
    </xf>
    <xf numFmtId="44" fontId="6" fillId="0" borderId="4" xfId="17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Zeros="0" tabSelected="1" zoomScale="75" zoomScaleNormal="75" workbookViewId="0" topLeftCell="A19">
      <selection activeCell="M71" sqref="M71"/>
    </sheetView>
  </sheetViews>
  <sheetFormatPr defaultColWidth="9.140625" defaultRowHeight="12.75"/>
  <cols>
    <col min="1" max="1" width="13.00390625" style="14" customWidth="1"/>
    <col min="2" max="2" width="29.00390625" style="14" customWidth="1"/>
    <col min="3" max="3" width="15.140625" style="14" customWidth="1"/>
    <col min="4" max="4" width="22.28125" style="14" customWidth="1"/>
    <col min="5" max="5" width="11.8515625" style="14" customWidth="1"/>
    <col min="6" max="6" width="9.28125" style="14" bestFit="1" customWidth="1"/>
    <col min="7" max="7" width="11.57421875" style="14" bestFit="1" customWidth="1"/>
    <col min="8" max="8" width="9.28125" style="14" bestFit="1" customWidth="1"/>
    <col min="9" max="16384" width="9.140625" style="14" customWidth="1"/>
  </cols>
  <sheetData>
    <row r="1" spans="1:5" s="5" customFormat="1" ht="20.25">
      <c r="A1" s="196" t="s">
        <v>125</v>
      </c>
      <c r="B1" s="4"/>
      <c r="C1" s="4"/>
      <c r="D1" s="4"/>
      <c r="E1" s="4"/>
    </row>
    <row r="2" spans="1:5" s="5" customFormat="1" ht="14.25">
      <c r="A2" s="4"/>
      <c r="B2" s="4"/>
      <c r="C2" s="4"/>
      <c r="D2" s="4"/>
      <c r="E2" s="4"/>
    </row>
    <row r="3" spans="1:5" s="5" customFormat="1" ht="14.25">
      <c r="A3" s="4" t="s">
        <v>0</v>
      </c>
      <c r="B3" s="4"/>
      <c r="C3" s="4"/>
      <c r="D3" s="4"/>
      <c r="E3" s="4"/>
    </row>
    <row r="4" spans="1:5" s="5" customFormat="1" ht="14.25">
      <c r="A4" s="4" t="s">
        <v>1</v>
      </c>
      <c r="B4" s="4"/>
      <c r="C4" s="4"/>
      <c r="D4" s="4"/>
      <c r="E4" s="4"/>
    </row>
    <row r="5" spans="1:5" s="5" customFormat="1" ht="14.25">
      <c r="A5" s="4"/>
      <c r="B5" s="4"/>
      <c r="C5" s="4"/>
      <c r="D5" s="4"/>
      <c r="E5" s="4"/>
    </row>
    <row r="6" s="5" customFormat="1" ht="14.25"/>
    <row r="7" spans="1:2" s="6" customFormat="1" ht="14.25">
      <c r="A7" s="57" t="s">
        <v>134</v>
      </c>
      <c r="B7" s="57" t="s">
        <v>152</v>
      </c>
    </row>
    <row r="8" s="6" customFormat="1" ht="15" thickBot="1"/>
    <row r="9" spans="1:5" s="8" customFormat="1" ht="15" thickTop="1">
      <c r="A9" s="122"/>
      <c r="B9" s="123"/>
      <c r="C9" s="124"/>
      <c r="D9" s="125" t="s">
        <v>2</v>
      </c>
      <c r="E9" s="126" t="s">
        <v>3</v>
      </c>
    </row>
    <row r="10" spans="1:5" s="8" customFormat="1" ht="15" thickBot="1">
      <c r="A10" s="127" t="s">
        <v>4</v>
      </c>
      <c r="B10" s="128"/>
      <c r="C10" s="129" t="s">
        <v>5</v>
      </c>
      <c r="D10" s="130" t="s">
        <v>121</v>
      </c>
      <c r="E10" s="131" t="s">
        <v>6</v>
      </c>
    </row>
    <row r="11" spans="1:5" ht="15.75" thickTop="1">
      <c r="A11" s="9" t="str">
        <f>CONCATENATE(Labor!C$9,Labor!C$10)</f>
        <v>Principal</v>
      </c>
      <c r="B11" s="10"/>
      <c r="C11" s="11">
        <f>Labor!C24</f>
        <v>12</v>
      </c>
      <c r="D11" s="12">
        <f>Labor!C11</f>
        <v>35.83</v>
      </c>
      <c r="E11" s="89">
        <f>ROUND(C11*D11,2)</f>
        <v>429.96</v>
      </c>
    </row>
    <row r="12" spans="1:5" ht="15">
      <c r="A12" s="9" t="str">
        <f>CONCATENATE(Labor!D$9," ",Labor!D$10)</f>
        <v>Project Manager</v>
      </c>
      <c r="B12" s="10"/>
      <c r="C12" s="11">
        <f>Labor!D24</f>
        <v>48</v>
      </c>
      <c r="D12" s="12">
        <f>Labor!D11</f>
        <v>31.67</v>
      </c>
      <c r="E12" s="90">
        <f>ROUND(C12*D12,2)</f>
        <v>1520.16</v>
      </c>
    </row>
    <row r="13" spans="1:5" ht="15" hidden="1">
      <c r="A13" s="9" t="str">
        <f>CONCATENATE(Labor!C$9,Labor!C$10)</f>
        <v>Principal</v>
      </c>
      <c r="B13" s="10"/>
      <c r="C13" s="11">
        <f>Labor!C26</f>
        <v>0</v>
      </c>
      <c r="D13" s="12">
        <v>28.84</v>
      </c>
      <c r="E13" s="90">
        <f aca="true" t="shared" si="0" ref="E13:E28">ROUND(C13*D13,2)</f>
        <v>0</v>
      </c>
    </row>
    <row r="14" spans="1:5" ht="15" hidden="1">
      <c r="A14" s="9" t="str">
        <f>CONCATENATE(Labor!C$9,Labor!C$10)</f>
        <v>Principal</v>
      </c>
      <c r="B14" s="10"/>
      <c r="C14" s="11">
        <f>Labor!C27</f>
        <v>0</v>
      </c>
      <c r="D14" s="12">
        <v>20.95</v>
      </c>
      <c r="E14" s="90">
        <f t="shared" si="0"/>
        <v>0</v>
      </c>
    </row>
    <row r="15" spans="1:5" ht="15" hidden="1">
      <c r="A15" s="9" t="str">
        <f>CONCATENATE(Labor!C$9,Labor!C$10)</f>
        <v>Principal</v>
      </c>
      <c r="B15" s="10"/>
      <c r="C15" s="11">
        <f>Labor!C28</f>
        <v>0</v>
      </c>
      <c r="D15" s="12">
        <v>18.03</v>
      </c>
      <c r="E15" s="90">
        <f t="shared" si="0"/>
        <v>0</v>
      </c>
    </row>
    <row r="16" spans="1:5" ht="15" hidden="1">
      <c r="A16" s="9" t="str">
        <f>CONCATENATE(Labor!C$9,Labor!C$10)</f>
        <v>Principal</v>
      </c>
      <c r="B16" s="10"/>
      <c r="C16" s="11">
        <f>Labor!C29</f>
        <v>0</v>
      </c>
      <c r="D16" s="12">
        <v>39.85</v>
      </c>
      <c r="E16" s="90">
        <f t="shared" si="0"/>
        <v>0</v>
      </c>
    </row>
    <row r="17" spans="1:5" ht="15" hidden="1">
      <c r="A17" s="9" t="str">
        <f>CONCATENATE(Labor!C$9,Labor!C$10)</f>
        <v>Principal</v>
      </c>
      <c r="B17" s="10"/>
      <c r="C17" s="11">
        <f>Labor!C30</f>
        <v>0</v>
      </c>
      <c r="D17" s="12">
        <v>36.22</v>
      </c>
      <c r="E17" s="90">
        <f t="shared" si="0"/>
        <v>0</v>
      </c>
    </row>
    <row r="18" spans="1:5" ht="15" hidden="1">
      <c r="A18" s="9" t="str">
        <f>CONCATENATE(Labor!C$9,Labor!C$10)</f>
        <v>Principal</v>
      </c>
      <c r="B18" s="10"/>
      <c r="C18" s="11">
        <f>Labor!C31</f>
        <v>0</v>
      </c>
      <c r="D18" s="12">
        <v>35.24</v>
      </c>
      <c r="E18" s="90">
        <f t="shared" si="0"/>
        <v>0</v>
      </c>
    </row>
    <row r="19" spans="1:5" ht="15">
      <c r="A19" s="9" t="str">
        <f>CONCATENATE(Labor!E$9," ",Labor!E$10)</f>
        <v>Lead Civil Engineer</v>
      </c>
      <c r="B19" s="10"/>
      <c r="C19" s="11">
        <f>Labor!E24</f>
        <v>600</v>
      </c>
      <c r="D19" s="12">
        <f>Labor!E11</f>
        <v>33.66</v>
      </c>
      <c r="E19" s="90">
        <f t="shared" si="0"/>
        <v>20196</v>
      </c>
    </row>
    <row r="20" spans="1:5" ht="15" hidden="1">
      <c r="A20" s="9" t="str">
        <f>CONCATENATE(Labor!C$9,Labor!C$10)</f>
        <v>Principal</v>
      </c>
      <c r="B20" s="10"/>
      <c r="C20" s="11">
        <f>Labor!C33</f>
        <v>0</v>
      </c>
      <c r="D20" s="12">
        <v>22.51</v>
      </c>
      <c r="E20" s="90">
        <f t="shared" si="0"/>
        <v>0</v>
      </c>
    </row>
    <row r="21" spans="1:5" ht="15" hidden="1">
      <c r="A21" s="9" t="str">
        <f>CONCATENATE(Labor!C$9,Labor!C$10)</f>
        <v>Principal</v>
      </c>
      <c r="B21" s="10"/>
      <c r="C21" s="11">
        <f>Labor!C34</f>
        <v>0</v>
      </c>
      <c r="D21" s="12">
        <v>23.23</v>
      </c>
      <c r="E21" s="90">
        <f t="shared" si="0"/>
        <v>0</v>
      </c>
    </row>
    <row r="22" spans="1:5" ht="15">
      <c r="A22" s="9" t="str">
        <f>CONCATENATE(Labor!F$9," ",Labor!F$10)</f>
        <v>CADD Operator</v>
      </c>
      <c r="B22" s="10"/>
      <c r="C22" s="11">
        <f>Labor!F24</f>
        <v>96</v>
      </c>
      <c r="D22" s="12">
        <f>Labor!F11</f>
        <v>20</v>
      </c>
      <c r="E22" s="90">
        <f t="shared" si="0"/>
        <v>1920</v>
      </c>
    </row>
    <row r="23" spans="1:5" ht="15" hidden="1">
      <c r="A23" s="9" t="str">
        <f>CONCATENATE(Labor!C$9,Labor!C$10)</f>
        <v>Principal</v>
      </c>
      <c r="B23" s="10"/>
      <c r="C23" s="11">
        <f>Labor!C36</f>
        <v>0</v>
      </c>
      <c r="D23" s="12">
        <v>23.23</v>
      </c>
      <c r="E23" s="90">
        <f t="shared" si="0"/>
        <v>0</v>
      </c>
    </row>
    <row r="24" spans="1:5" ht="15" hidden="1">
      <c r="A24" s="9" t="str">
        <f>CONCATENATE(Labor!C$9,Labor!C$10)</f>
        <v>Principal</v>
      </c>
      <c r="B24" s="10"/>
      <c r="C24" s="11">
        <f>Labor!C37</f>
        <v>0</v>
      </c>
      <c r="D24" s="12">
        <v>37.85</v>
      </c>
      <c r="E24" s="90">
        <f t="shared" si="0"/>
        <v>0</v>
      </c>
    </row>
    <row r="25" spans="1:5" ht="15" hidden="1">
      <c r="A25" s="9" t="str">
        <f>CONCATENATE(Labor!C$9,Labor!C$10)</f>
        <v>Principal</v>
      </c>
      <c r="B25" s="10"/>
      <c r="C25" s="11">
        <f>Labor!C38</f>
        <v>0</v>
      </c>
      <c r="D25" s="12">
        <v>18.03</v>
      </c>
      <c r="E25" s="90">
        <f t="shared" si="0"/>
        <v>0</v>
      </c>
    </row>
    <row r="26" spans="1:5" ht="15" hidden="1">
      <c r="A26" s="9" t="str">
        <f>CONCATENATE(Labor!C$9,Labor!C$10)</f>
        <v>Principal</v>
      </c>
      <c r="B26" s="10"/>
      <c r="C26" s="11">
        <f>Labor!C39</f>
        <v>0</v>
      </c>
      <c r="D26" s="12">
        <v>26.49</v>
      </c>
      <c r="E26" s="90">
        <f t="shared" si="0"/>
        <v>0</v>
      </c>
    </row>
    <row r="27" spans="1:5" ht="15" hidden="1">
      <c r="A27" s="9" t="str">
        <f>CONCATENATE(Labor!C$9,Labor!C$10)</f>
        <v>Principal</v>
      </c>
      <c r="B27" s="10"/>
      <c r="C27" s="11">
        <f>Labor!C40</f>
        <v>0</v>
      </c>
      <c r="D27" s="12">
        <v>36.22</v>
      </c>
      <c r="E27" s="90">
        <f t="shared" si="0"/>
        <v>0</v>
      </c>
    </row>
    <row r="28" spans="1:5" ht="15" hidden="1">
      <c r="A28" s="9" t="str">
        <f>CONCATENATE(Labor!C$9,Labor!C$10)</f>
        <v>Principal</v>
      </c>
      <c r="B28" s="10"/>
      <c r="C28" s="11">
        <f>Labor!C41</f>
        <v>0</v>
      </c>
      <c r="D28" s="12">
        <v>25.77</v>
      </c>
      <c r="E28" s="90">
        <f t="shared" si="0"/>
        <v>0</v>
      </c>
    </row>
    <row r="29" spans="1:5" ht="15" hidden="1">
      <c r="A29" s="9" t="str">
        <f>CONCATENATE(Labor!C$9,Labor!C$10)</f>
        <v>Principal</v>
      </c>
      <c r="B29" s="10"/>
      <c r="C29" s="11">
        <f>Labor!C42</f>
        <v>0</v>
      </c>
      <c r="D29" s="12">
        <v>13.85</v>
      </c>
      <c r="E29" s="90">
        <f aca="true" t="shared" si="1" ref="E29:E43">ROUND(C29*D29,2)</f>
        <v>0</v>
      </c>
    </row>
    <row r="30" spans="1:5" ht="15" hidden="1">
      <c r="A30" s="9" t="str">
        <f>CONCATENATE(Labor!C$9,Labor!C$10)</f>
        <v>Principal</v>
      </c>
      <c r="B30" s="10"/>
      <c r="C30" s="11">
        <f>Labor!C43</f>
        <v>0</v>
      </c>
      <c r="D30" s="12">
        <v>42.54</v>
      </c>
      <c r="E30" s="90">
        <f t="shared" si="1"/>
        <v>0</v>
      </c>
    </row>
    <row r="31" spans="1:5" ht="15" hidden="1">
      <c r="A31" s="9" t="str">
        <f>CONCATENATE(Labor!C$9,Labor!C$10)</f>
        <v>Principal</v>
      </c>
      <c r="B31" s="10"/>
      <c r="C31" s="11">
        <f>Labor!C44</f>
        <v>0</v>
      </c>
      <c r="D31" s="12">
        <v>23.23</v>
      </c>
      <c r="E31" s="90">
        <f t="shared" si="1"/>
        <v>0</v>
      </c>
    </row>
    <row r="32" spans="1:5" ht="15" hidden="1">
      <c r="A32" s="9" t="str">
        <f>CONCATENATE(Labor!C$9,Labor!C$10)</f>
        <v>Principal</v>
      </c>
      <c r="B32" s="10"/>
      <c r="C32" s="11">
        <f>Labor!C45</f>
        <v>0</v>
      </c>
      <c r="D32" s="12">
        <v>23.12</v>
      </c>
      <c r="E32" s="90">
        <f t="shared" si="1"/>
        <v>0</v>
      </c>
    </row>
    <row r="33" spans="1:5" ht="15" hidden="1">
      <c r="A33" s="9" t="str">
        <f>CONCATENATE(Labor!C$9,Labor!C$10)</f>
        <v>Principal</v>
      </c>
      <c r="B33" s="10"/>
      <c r="C33" s="11">
        <f>Labor!C46</f>
        <v>0</v>
      </c>
      <c r="D33" s="12">
        <v>36.22</v>
      </c>
      <c r="E33" s="90">
        <f t="shared" si="1"/>
        <v>0</v>
      </c>
    </row>
    <row r="34" spans="1:5" ht="15" hidden="1">
      <c r="A34" s="9" t="str">
        <f>CONCATENATE(Labor!C$9,Labor!C$10)</f>
        <v>Principal</v>
      </c>
      <c r="B34" s="10"/>
      <c r="C34" s="11">
        <f>Labor!C47</f>
        <v>0</v>
      </c>
      <c r="D34" s="12">
        <v>32.86</v>
      </c>
      <c r="E34" s="90">
        <f t="shared" si="1"/>
        <v>0</v>
      </c>
    </row>
    <row r="35" spans="1:5" ht="15" hidden="1">
      <c r="A35" s="9" t="str">
        <f>CONCATENATE(Labor!C$9,Labor!C$10)</f>
        <v>Principal</v>
      </c>
      <c r="B35" s="10"/>
      <c r="C35" s="11">
        <f>Labor!C48</f>
        <v>0</v>
      </c>
      <c r="D35" s="12">
        <v>18.03</v>
      </c>
      <c r="E35" s="90">
        <f t="shared" si="1"/>
        <v>0</v>
      </c>
    </row>
    <row r="36" spans="1:5" ht="15">
      <c r="A36" s="9" t="str">
        <f>CONCATENATE(Labor!G$9," ",Labor!G$10)</f>
        <v>Contract Specialist</v>
      </c>
      <c r="B36" s="10"/>
      <c r="C36" s="11">
        <f>Labor!G24</f>
        <v>24</v>
      </c>
      <c r="D36" s="12">
        <f>Labor!G11</f>
        <v>18</v>
      </c>
      <c r="E36" s="90">
        <f t="shared" si="1"/>
        <v>432</v>
      </c>
    </row>
    <row r="37" spans="1:5" ht="15" hidden="1">
      <c r="A37" s="9" t="str">
        <f>CONCATENATE(Labor!C$9,Labor!C$10)</f>
        <v>Principal</v>
      </c>
      <c r="B37" s="10"/>
      <c r="C37" s="11">
        <f>Labor!C50</f>
        <v>0</v>
      </c>
      <c r="D37" s="12">
        <v>18.03</v>
      </c>
      <c r="E37" s="90">
        <f t="shared" si="1"/>
        <v>0</v>
      </c>
    </row>
    <row r="38" spans="1:5" ht="15" hidden="1">
      <c r="A38" s="9" t="str">
        <f>CONCATENATE(Labor!C$9,Labor!C$10)</f>
        <v>Principal</v>
      </c>
      <c r="B38" s="10"/>
      <c r="C38" s="11">
        <f>Labor!C51</f>
        <v>0</v>
      </c>
      <c r="D38" s="12">
        <v>22.26</v>
      </c>
      <c r="E38" s="90">
        <f t="shared" si="1"/>
        <v>0</v>
      </c>
    </row>
    <row r="39" spans="1:5" ht="15" hidden="1">
      <c r="A39" s="9" t="str">
        <f>CONCATENATE(Labor!C$9,Labor!C$10)</f>
        <v>Principal</v>
      </c>
      <c r="B39" s="10"/>
      <c r="C39" s="11">
        <f>Labor!C52</f>
        <v>0</v>
      </c>
      <c r="D39" s="12">
        <v>18.03</v>
      </c>
      <c r="E39" s="90">
        <f t="shared" si="1"/>
        <v>0</v>
      </c>
    </row>
    <row r="40" spans="1:5" ht="15" hidden="1">
      <c r="A40" s="9" t="str">
        <f>CONCATENATE(Labor!C$9,Labor!C$10)</f>
        <v>Principal</v>
      </c>
      <c r="B40" s="10"/>
      <c r="C40" s="11">
        <f>Labor!C53</f>
        <v>0</v>
      </c>
      <c r="D40" s="12">
        <v>42.95</v>
      </c>
      <c r="E40" s="90">
        <f t="shared" si="1"/>
        <v>0</v>
      </c>
    </row>
    <row r="41" spans="1:5" ht="15" hidden="1">
      <c r="A41" s="9" t="str">
        <f>CONCATENATE(Labor!C$9,Labor!C$10)</f>
        <v>Principal</v>
      </c>
      <c r="B41" s="10"/>
      <c r="C41" s="11">
        <f>Labor!C54</f>
        <v>0</v>
      </c>
      <c r="D41" s="12">
        <v>18.03</v>
      </c>
      <c r="E41" s="90">
        <f t="shared" si="1"/>
        <v>0</v>
      </c>
    </row>
    <row r="42" spans="1:5" ht="15" hidden="1">
      <c r="A42" s="9" t="str">
        <f>CONCATENATE(Labor!C$9,Labor!C$10)</f>
        <v>Principal</v>
      </c>
      <c r="B42" s="10"/>
      <c r="C42" s="11">
        <f>Labor!C55</f>
        <v>0</v>
      </c>
      <c r="D42" s="12">
        <v>37.08</v>
      </c>
      <c r="E42" s="90">
        <f t="shared" si="1"/>
        <v>0</v>
      </c>
    </row>
    <row r="43" spans="1:5" ht="15" hidden="1">
      <c r="A43" s="9" t="str">
        <f>CONCATENATE(Labor!C$9,Labor!C$10)</f>
        <v>Principal</v>
      </c>
      <c r="B43" s="10"/>
      <c r="C43" s="11">
        <f>Labor!C56</f>
        <v>0</v>
      </c>
      <c r="D43" s="12">
        <v>23.23</v>
      </c>
      <c r="E43" s="90">
        <f t="shared" si="1"/>
        <v>0</v>
      </c>
    </row>
    <row r="44" spans="1:5" ht="15" hidden="1">
      <c r="A44" s="9" t="str">
        <f>CONCATENATE(Labor!C$9,Labor!C$10)</f>
        <v>Principal</v>
      </c>
      <c r="B44" s="10"/>
      <c r="C44" s="11">
        <f>Labor!C58</f>
        <v>0</v>
      </c>
      <c r="D44" s="12">
        <v>11.04</v>
      </c>
      <c r="E44" s="90">
        <f>ROUND(C44*D44,2)</f>
        <v>0</v>
      </c>
    </row>
    <row r="45" spans="1:5" ht="15">
      <c r="A45" s="9" t="str">
        <f>CONCATENATE(Labor!H$9," ",Labor!H$10)</f>
        <v>Technical Editor</v>
      </c>
      <c r="B45" s="10"/>
      <c r="C45" s="11">
        <f>Labor!H24</f>
        <v>0</v>
      </c>
      <c r="D45" s="12">
        <f>Labor!H11</f>
        <v>22.05</v>
      </c>
      <c r="E45" s="90">
        <f>ROUND(C45*D45,2)</f>
        <v>0</v>
      </c>
    </row>
    <row r="46" spans="1:5" ht="15.75" thickBot="1">
      <c r="A46" s="87" t="str">
        <f>CONCATENATE(Labor!I$9,Labor!I$10)</f>
        <v>Clerical</v>
      </c>
      <c r="B46" s="16"/>
      <c r="C46" s="17">
        <f>Labor!I24</f>
        <v>24</v>
      </c>
      <c r="D46" s="18">
        <f>Labor!I11</f>
        <v>14.5</v>
      </c>
      <c r="E46" s="91">
        <f>ROUND(C46*D46,2)</f>
        <v>348</v>
      </c>
    </row>
    <row r="47" spans="1:5" s="5" customFormat="1" ht="15.75" thickBot="1" thickTop="1">
      <c r="A47" s="88" t="s">
        <v>34</v>
      </c>
      <c r="B47" s="21"/>
      <c r="C47" s="22">
        <f>SUM(C11:C46)</f>
        <v>804</v>
      </c>
      <c r="D47" s="23"/>
      <c r="E47" s="92">
        <f>SUM(E11:E46)</f>
        <v>24846.12</v>
      </c>
    </row>
    <row r="48" spans="1:6" s="5" customFormat="1" ht="15" thickTop="1">
      <c r="A48" s="25" t="s">
        <v>35</v>
      </c>
      <c r="B48" s="7"/>
      <c r="C48" s="83">
        <f>Rates!A1</f>
        <v>0.4</v>
      </c>
      <c r="D48" s="27"/>
      <c r="E48" s="93">
        <f>ROUND($E$47*C48,2)</f>
        <v>9938.45</v>
      </c>
      <c r="F48" s="121" t="s">
        <v>123</v>
      </c>
    </row>
    <row r="49" spans="1:6" s="5" customFormat="1" ht="14.25">
      <c r="A49" s="25" t="s">
        <v>115</v>
      </c>
      <c r="B49" s="7"/>
      <c r="C49" s="83">
        <f>Rates!A2</f>
        <v>0.425</v>
      </c>
      <c r="D49" s="27"/>
      <c r="E49" s="93">
        <f>ROUND($E$47*C49,2)</f>
        <v>10559.6</v>
      </c>
      <c r="F49" s="121"/>
    </row>
    <row r="50" spans="1:8" s="5" customFormat="1" ht="14.25">
      <c r="A50" s="25" t="s">
        <v>36</v>
      </c>
      <c r="B50" s="7"/>
      <c r="C50" s="28"/>
      <c r="D50" s="27"/>
      <c r="E50" s="93">
        <f>SumP2!C16</f>
        <v>10800</v>
      </c>
      <c r="F50" s="121">
        <f>(E50*(1+$C$53)*(1+$C$55))</f>
        <v>12699.72</v>
      </c>
      <c r="H50" s="33"/>
    </row>
    <row r="51" spans="1:6" s="5" customFormat="1" ht="15" thickBot="1">
      <c r="A51" s="20" t="s">
        <v>37</v>
      </c>
      <c r="B51" s="21"/>
      <c r="C51" s="29"/>
      <c r="D51" s="23"/>
      <c r="E51" s="92">
        <f>SumP2!C26</f>
        <v>2178.96</v>
      </c>
      <c r="F51" s="121">
        <f>(E51*(1+$C$53)*(1+$C$55))</f>
        <v>2562.239064</v>
      </c>
    </row>
    <row r="52" spans="1:5" s="5" customFormat="1" ht="15" thickTop="1">
      <c r="A52" s="25" t="s">
        <v>38</v>
      </c>
      <c r="B52" s="7"/>
      <c r="C52" s="28"/>
      <c r="D52" s="27"/>
      <c r="E52" s="93">
        <f>ROUND(SUM(E47:E51),2)</f>
        <v>58323.13</v>
      </c>
    </row>
    <row r="53" spans="1:5" s="5" customFormat="1" ht="15" thickBot="1">
      <c r="A53" s="20" t="s">
        <v>39</v>
      </c>
      <c r="B53" s="21"/>
      <c r="C53" s="30">
        <f>Rates!A3</f>
        <v>0.069</v>
      </c>
      <c r="D53" s="23"/>
      <c r="E53" s="92">
        <f>ROUND(E52*C53,2)</f>
        <v>4024.3</v>
      </c>
    </row>
    <row r="54" spans="1:5" s="5" customFormat="1" ht="15" thickTop="1">
      <c r="A54" s="25" t="s">
        <v>40</v>
      </c>
      <c r="B54" s="7"/>
      <c r="C54" s="28"/>
      <c r="D54" s="27"/>
      <c r="E54" s="93">
        <f>SUM(E52:E53)</f>
        <v>62347.43</v>
      </c>
    </row>
    <row r="55" spans="1:5" s="5" customFormat="1" ht="15" thickBot="1">
      <c r="A55" s="20" t="s">
        <v>41</v>
      </c>
      <c r="B55" s="21"/>
      <c r="C55" s="86">
        <f>Rates!C4</f>
        <v>0.1</v>
      </c>
      <c r="D55" s="23"/>
      <c r="E55" s="92">
        <f>ROUND(E54*C55,2)</f>
        <v>6234.74</v>
      </c>
    </row>
    <row r="56" spans="1:5" s="5" customFormat="1" ht="15" thickTop="1">
      <c r="A56" s="25" t="s">
        <v>42</v>
      </c>
      <c r="B56" s="7"/>
      <c r="C56" s="28"/>
      <c r="D56" s="27">
        <f>Dsum!H24</f>
        <v>0</v>
      </c>
      <c r="E56" s="93"/>
    </row>
    <row r="57" spans="1:5" s="5" customFormat="1" ht="14.25">
      <c r="A57" s="25" t="s">
        <v>39</v>
      </c>
      <c r="B57" s="7"/>
      <c r="C57" s="236">
        <f>C53</f>
        <v>0.069</v>
      </c>
      <c r="D57" s="31">
        <f>ROUND(D56*C57,2)</f>
        <v>0</v>
      </c>
      <c r="E57" s="237"/>
    </row>
    <row r="58" spans="1:5" s="5" customFormat="1" ht="14.25">
      <c r="A58" s="25" t="s">
        <v>43</v>
      </c>
      <c r="B58" s="7"/>
      <c r="C58" s="28"/>
      <c r="D58" s="27">
        <f>SUM(D56:D57)</f>
        <v>0</v>
      </c>
      <c r="E58" s="93"/>
    </row>
    <row r="59" spans="1:5" s="5" customFormat="1" ht="14.25">
      <c r="A59" s="25" t="s">
        <v>41</v>
      </c>
      <c r="B59" s="7"/>
      <c r="C59" s="26">
        <f>Rates!A5</f>
        <v>0.05</v>
      </c>
      <c r="D59" s="27">
        <f>ROUND(D58*C59,2)</f>
        <v>0</v>
      </c>
      <c r="E59" s="93"/>
    </row>
    <row r="60" spans="1:5" s="5" customFormat="1" ht="15" thickBot="1">
      <c r="A60" s="20" t="s">
        <v>44</v>
      </c>
      <c r="B60" s="21"/>
      <c r="C60" s="29"/>
      <c r="D60" s="23"/>
      <c r="E60" s="92">
        <f>SUM(D58:D59)</f>
        <v>0</v>
      </c>
    </row>
    <row r="61" spans="1:5" s="5" customFormat="1" ht="15.75" thickBot="1" thickTop="1">
      <c r="A61" s="20" t="s">
        <v>142</v>
      </c>
      <c r="B61" s="21"/>
      <c r="C61" s="29"/>
      <c r="D61" s="23"/>
      <c r="E61" s="92">
        <f>SUM(E54:E60)</f>
        <v>68582.17</v>
      </c>
    </row>
    <row r="62" spans="1:5" s="5" customFormat="1" ht="15.75" thickBot="1" thickTop="1">
      <c r="A62" s="116"/>
      <c r="B62" s="117"/>
      <c r="C62" s="118"/>
      <c r="D62" s="119"/>
      <c r="E62" s="120"/>
    </row>
    <row r="63" spans="1:5" ht="16.5" thickBot="1" thickTop="1">
      <c r="A63" s="108"/>
      <c r="B63" s="102"/>
      <c r="C63" s="109"/>
      <c r="D63" s="211"/>
      <c r="E63" s="110"/>
    </row>
    <row r="64" spans="1:5" ht="16.5" thickBot="1" thickTop="1">
      <c r="A64" s="111" t="s">
        <v>132</v>
      </c>
      <c r="B64" s="112"/>
      <c r="C64" s="113" t="s">
        <v>124</v>
      </c>
      <c r="D64" s="114" t="s">
        <v>122</v>
      </c>
      <c r="E64" s="115" t="s">
        <v>34</v>
      </c>
    </row>
    <row r="65" spans="1:7" ht="16.5" thickBot="1" thickTop="1">
      <c r="A65" s="96" t="s">
        <v>126</v>
      </c>
      <c r="B65" s="97"/>
      <c r="C65" s="94">
        <v>0</v>
      </c>
      <c r="D65" s="214">
        <v>200</v>
      </c>
      <c r="E65" s="95">
        <f aca="true" t="shared" si="2" ref="E65:E72">C65*D65</f>
        <v>0</v>
      </c>
      <c r="G65" s="107">
        <v>18</v>
      </c>
    </row>
    <row r="66" spans="1:7" ht="16.5" thickBot="1" thickTop="1">
      <c r="A66" s="96" t="s">
        <v>127</v>
      </c>
      <c r="B66" s="97"/>
      <c r="C66" s="94">
        <v>0</v>
      </c>
      <c r="D66" s="214">
        <v>350</v>
      </c>
      <c r="E66" s="95">
        <f t="shared" si="2"/>
        <v>0</v>
      </c>
      <c r="G66" s="107"/>
    </row>
    <row r="67" spans="1:7" ht="16.5" thickBot="1" thickTop="1">
      <c r="A67" s="96" t="s">
        <v>128</v>
      </c>
      <c r="B67" s="97"/>
      <c r="C67" s="94">
        <v>0</v>
      </c>
      <c r="D67" s="214">
        <v>75</v>
      </c>
      <c r="E67" s="95">
        <f t="shared" si="2"/>
        <v>0</v>
      </c>
      <c r="G67" s="107"/>
    </row>
    <row r="68" spans="1:7" ht="16.5" thickBot="1" thickTop="1">
      <c r="A68" s="96" t="s">
        <v>131</v>
      </c>
      <c r="B68" s="97"/>
      <c r="C68" s="106">
        <v>0</v>
      </c>
      <c r="D68" s="214">
        <v>271</v>
      </c>
      <c r="E68" s="95">
        <f t="shared" si="2"/>
        <v>0</v>
      </c>
      <c r="G68" s="107">
        <v>1125</v>
      </c>
    </row>
    <row r="69" spans="1:7" ht="16.5" thickBot="1" thickTop="1">
      <c r="A69" s="96" t="s">
        <v>129</v>
      </c>
      <c r="B69" s="97"/>
      <c r="C69" s="94">
        <v>0</v>
      </c>
      <c r="D69" s="214">
        <v>91</v>
      </c>
      <c r="E69" s="95">
        <f t="shared" si="2"/>
        <v>0</v>
      </c>
      <c r="G69" s="107">
        <v>85</v>
      </c>
    </row>
    <row r="70" spans="1:7" ht="16.5" thickBot="1" thickTop="1">
      <c r="A70" s="96" t="s">
        <v>136</v>
      </c>
      <c r="B70" s="97"/>
      <c r="C70" s="94">
        <v>0</v>
      </c>
      <c r="D70" s="214">
        <v>175</v>
      </c>
      <c r="E70" s="95">
        <f t="shared" si="2"/>
        <v>0</v>
      </c>
      <c r="G70" s="107"/>
    </row>
    <row r="71" spans="1:7" ht="16.5" thickBot="1" thickTop="1">
      <c r="A71" s="96" t="s">
        <v>130</v>
      </c>
      <c r="B71" s="97"/>
      <c r="C71" s="94">
        <v>0</v>
      </c>
      <c r="D71" s="214">
        <v>150</v>
      </c>
      <c r="E71" s="95">
        <f t="shared" si="2"/>
        <v>0</v>
      </c>
      <c r="G71" s="107"/>
    </row>
    <row r="72" spans="1:7" ht="16.5" thickBot="1" thickTop="1">
      <c r="A72" s="96" t="s">
        <v>133</v>
      </c>
      <c r="B72" s="97"/>
      <c r="C72" s="94">
        <v>0</v>
      </c>
      <c r="D72" s="214">
        <v>1000</v>
      </c>
      <c r="E72" s="95">
        <f t="shared" si="2"/>
        <v>0</v>
      </c>
      <c r="G72" s="107">
        <v>100</v>
      </c>
    </row>
    <row r="73" spans="3:7" ht="16.5" thickBot="1" thickTop="1">
      <c r="C73" s="238" t="s">
        <v>135</v>
      </c>
      <c r="D73" s="239"/>
      <c r="E73" s="99">
        <f>SUM(E65:E72)</f>
        <v>0</v>
      </c>
      <c r="G73" s="107"/>
    </row>
    <row r="74" spans="4:7" ht="15" customHeight="1" thickTop="1">
      <c r="D74" s="100"/>
      <c r="E74" s="101"/>
      <c r="G74" s="107">
        <f>E61+E73</f>
        <v>68582.17</v>
      </c>
    </row>
  </sheetData>
  <mergeCells count="1">
    <mergeCell ref="C73:D73"/>
  </mergeCells>
  <printOptions horizontalCentered="1"/>
  <pageMargins left="1" right="1" top="1" bottom="1" header="0.5" footer="0.5"/>
  <pageSetup fitToHeight="1" fitToWidth="1" horizontalDpi="300" verticalDpi="300" orientation="portrait" scale="92" r:id="rId1"/>
  <headerFooter alignWithMargins="0">
    <oddFooter>&amp;L&amp;"CG Times,Regular"&amp;11&amp;F&amp;R&amp;"Arial,Bold"CONFIDENTIAL - For NOAA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Zeros="0" zoomScale="75" zoomScaleNormal="75" workbookViewId="0" topLeftCell="A14">
      <selection activeCell="H39" sqref="H39"/>
    </sheetView>
  </sheetViews>
  <sheetFormatPr defaultColWidth="9.140625" defaultRowHeight="12.75"/>
  <cols>
    <col min="1" max="1" width="22.28125" style="14" customWidth="1"/>
    <col min="2" max="2" width="39.8515625" style="14" customWidth="1"/>
    <col min="3" max="3" width="14.00390625" style="35" customWidth="1"/>
    <col min="4" max="4" width="13.00390625" style="14" customWidth="1"/>
    <col min="5" max="16384" width="9.140625" style="14" customWidth="1"/>
  </cols>
  <sheetData>
    <row r="1" spans="1:3" s="5" customFormat="1" ht="14.25">
      <c r="A1" s="4" t="s">
        <v>137</v>
      </c>
      <c r="B1" s="4"/>
      <c r="C1" s="32"/>
    </row>
    <row r="2" spans="1:3" s="5" customFormat="1" ht="14.25">
      <c r="A2" s="4"/>
      <c r="B2" s="4"/>
      <c r="C2" s="32"/>
    </row>
    <row r="3" spans="1:3" s="5" customFormat="1" ht="14.25">
      <c r="A3" s="4" t="s">
        <v>0</v>
      </c>
      <c r="B3" s="4"/>
      <c r="C3" s="32"/>
    </row>
    <row r="4" spans="1:3" s="5" customFormat="1" ht="14.25">
      <c r="A4" s="4" t="s">
        <v>45</v>
      </c>
      <c r="B4" s="4"/>
      <c r="C4" s="32"/>
    </row>
    <row r="5" spans="1:3" s="5" customFormat="1" ht="14.25">
      <c r="A5" s="4"/>
      <c r="B5" s="4"/>
      <c r="C5" s="32"/>
    </row>
    <row r="6" s="5" customFormat="1" ht="14.25">
      <c r="C6" s="33"/>
    </row>
    <row r="7" spans="1:3" s="5" customFormat="1" ht="16.5" customHeight="1">
      <c r="A7" s="5" t="str">
        <f>'Sum P1'!A7</f>
        <v>Project:</v>
      </c>
      <c r="B7" s="34" t="str">
        <f>'Sum P1'!B7</f>
        <v>NWS Southern Region Facilities SPCC Plans</v>
      </c>
      <c r="C7" s="33"/>
    </row>
    <row r="8" ht="15.75" thickBot="1"/>
    <row r="9" spans="1:3" s="8" customFormat="1" ht="17.25" customHeight="1" thickBot="1" thickTop="1">
      <c r="A9" s="132" t="s">
        <v>145</v>
      </c>
      <c r="B9" s="133"/>
      <c r="C9" s="134" t="s">
        <v>6</v>
      </c>
    </row>
    <row r="10" spans="1:3" s="39" customFormat="1" ht="18.75" customHeight="1" thickTop="1">
      <c r="A10" s="36" t="s">
        <v>46</v>
      </c>
      <c r="B10" s="37"/>
      <c r="C10" s="38">
        <f>Trav!E24</f>
        <v>6000</v>
      </c>
    </row>
    <row r="11" spans="1:3" s="39" customFormat="1" ht="15" customHeight="1">
      <c r="A11" s="36" t="s">
        <v>119</v>
      </c>
      <c r="B11" s="37"/>
      <c r="C11" s="38">
        <f>Trav!G24</f>
        <v>1200</v>
      </c>
    </row>
    <row r="12" spans="1:3" s="39" customFormat="1" ht="15">
      <c r="A12" s="36" t="s">
        <v>118</v>
      </c>
      <c r="B12" s="37"/>
      <c r="C12" s="38">
        <f>Trav!I24</f>
        <v>1200</v>
      </c>
    </row>
    <row r="13" spans="1:3" s="39" customFormat="1" ht="15">
      <c r="A13" s="36" t="s">
        <v>47</v>
      </c>
      <c r="B13" s="37"/>
      <c r="C13" s="38">
        <f>Trav!K24</f>
        <v>2400</v>
      </c>
    </row>
    <row r="14" spans="1:3" s="39" customFormat="1" ht="15">
      <c r="A14" s="36" t="s">
        <v>48</v>
      </c>
      <c r="B14" s="37"/>
      <c r="C14" s="38">
        <f>Trav!M24</f>
        <v>0</v>
      </c>
    </row>
    <row r="15" spans="1:3" s="39" customFormat="1" ht="15.75" thickBot="1">
      <c r="A15" s="40" t="s">
        <v>49</v>
      </c>
      <c r="B15" s="41"/>
      <c r="C15" s="42">
        <f>Trav!N24</f>
        <v>0</v>
      </c>
    </row>
    <row r="16" spans="1:3" s="5" customFormat="1" ht="18.75" customHeight="1" thickBot="1" thickTop="1">
      <c r="A16" s="43" t="s">
        <v>34</v>
      </c>
      <c r="B16" s="29"/>
      <c r="C16" s="24">
        <f>SUM(C10:C15)</f>
        <v>10800</v>
      </c>
    </row>
    <row r="17" ht="15.75" thickTop="1"/>
    <row r="18" ht="15.75" thickBot="1"/>
    <row r="19" spans="1:3" s="8" customFormat="1" ht="17.25" customHeight="1" thickBot="1" thickTop="1">
      <c r="A19" s="132" t="s">
        <v>64</v>
      </c>
      <c r="B19" s="133"/>
      <c r="C19" s="134" t="s">
        <v>6</v>
      </c>
    </row>
    <row r="20" spans="1:3" ht="18.75" customHeight="1" thickTop="1">
      <c r="A20" s="44" t="s">
        <v>50</v>
      </c>
      <c r="B20" s="45"/>
      <c r="C20" s="13">
        <f>ODC!D24</f>
        <v>42</v>
      </c>
    </row>
    <row r="21" spans="1:3" ht="15">
      <c r="A21" s="44" t="s">
        <v>120</v>
      </c>
      <c r="B21" s="45"/>
      <c r="C21" s="13">
        <f>ODC!F24</f>
        <v>120</v>
      </c>
    </row>
    <row r="22" spans="1:3" ht="15">
      <c r="A22" s="44" t="s">
        <v>51</v>
      </c>
      <c r="B22" s="45"/>
      <c r="C22" s="13">
        <f>ODC!H24</f>
        <v>1416.9599999999998</v>
      </c>
    </row>
    <row r="23" spans="1:3" ht="15">
      <c r="A23" s="44" t="s">
        <v>52</v>
      </c>
      <c r="B23" s="45"/>
      <c r="C23" s="13">
        <f>ODC!J24</f>
        <v>600</v>
      </c>
    </row>
    <row r="24" spans="1:3" ht="15">
      <c r="A24" s="44" t="s">
        <v>53</v>
      </c>
      <c r="B24" s="45"/>
      <c r="C24" s="13">
        <f>ODC!K24</f>
        <v>0</v>
      </c>
    </row>
    <row r="25" spans="1:3" ht="15.75" thickBot="1">
      <c r="A25" s="46"/>
      <c r="B25" s="47"/>
      <c r="C25" s="19"/>
    </row>
    <row r="26" spans="1:3" s="5" customFormat="1" ht="18.75" customHeight="1" thickBot="1" thickTop="1">
      <c r="A26" s="43" t="s">
        <v>34</v>
      </c>
      <c r="B26" s="29"/>
      <c r="C26" s="24">
        <f>SUM(C20:C25)</f>
        <v>2178.96</v>
      </c>
    </row>
    <row r="27" ht="15.75" thickTop="1"/>
    <row r="28" ht="15.75" thickBot="1"/>
    <row r="29" spans="1:3" s="8" customFormat="1" ht="17.25" customHeight="1" thickBot="1" thickTop="1">
      <c r="A29" s="132" t="s">
        <v>54</v>
      </c>
      <c r="B29" s="133"/>
      <c r="C29" s="134" t="s">
        <v>6</v>
      </c>
    </row>
    <row r="30" spans="1:3" s="39" customFormat="1" ht="15.75" thickTop="1">
      <c r="A30" s="231"/>
      <c r="B30" s="234"/>
      <c r="C30" s="212"/>
    </row>
    <row r="31" spans="1:3" s="39" customFormat="1" ht="15">
      <c r="A31" s="233"/>
      <c r="B31" s="235"/>
      <c r="C31" s="212"/>
    </row>
    <row r="32" spans="1:3" s="39" customFormat="1" ht="15">
      <c r="A32" s="233"/>
      <c r="B32" s="235"/>
      <c r="C32" s="212"/>
    </row>
    <row r="33" spans="1:3" s="39" customFormat="1" ht="15">
      <c r="A33" s="233"/>
      <c r="B33" s="235"/>
      <c r="C33" s="212"/>
    </row>
    <row r="34" spans="1:3" s="39" customFormat="1" ht="15">
      <c r="A34" s="233"/>
      <c r="B34" s="235"/>
      <c r="C34" s="212"/>
    </row>
    <row r="35" spans="1:3" s="39" customFormat="1" ht="15">
      <c r="A35" s="233"/>
      <c r="B35" s="235"/>
      <c r="C35" s="212"/>
    </row>
    <row r="36" spans="1:3" s="39" customFormat="1" ht="15">
      <c r="A36" s="233"/>
      <c r="B36" s="235"/>
      <c r="C36" s="212"/>
    </row>
    <row r="37" spans="1:3" s="39" customFormat="1" ht="15.75" thickBot="1">
      <c r="A37" s="232"/>
      <c r="B37" s="235"/>
      <c r="C37" s="212"/>
    </row>
    <row r="38" spans="1:3" s="5" customFormat="1" ht="18.75" customHeight="1" thickBot="1" thickTop="1">
      <c r="A38" s="43" t="s">
        <v>34</v>
      </c>
      <c r="B38" s="29"/>
      <c r="C38" s="213">
        <f>SUM(C30:C37)</f>
        <v>0</v>
      </c>
    </row>
    <row r="39" ht="15.75" thickTop="1"/>
    <row r="65" spans="3:5" ht="15">
      <c r="C65" s="224"/>
      <c r="D65" s="81"/>
      <c r="E65" s="81"/>
    </row>
    <row r="66" spans="3:5" ht="15">
      <c r="C66" s="225"/>
      <c r="D66" s="226"/>
      <c r="E66" s="227"/>
    </row>
    <row r="67" spans="3:5" ht="15">
      <c r="C67" s="224"/>
      <c r="D67" s="228"/>
      <c r="E67" s="81"/>
    </row>
    <row r="68" spans="3:5" ht="15">
      <c r="C68" s="224"/>
      <c r="D68" s="228"/>
      <c r="E68" s="81"/>
    </row>
    <row r="69" spans="3:5" ht="15">
      <c r="C69" s="224"/>
      <c r="D69" s="228"/>
      <c r="E69" s="81"/>
    </row>
    <row r="70" spans="3:5" ht="15">
      <c r="C70" s="224"/>
      <c r="D70" s="228"/>
      <c r="E70" s="81"/>
    </row>
  </sheetData>
  <printOptions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&amp;L&amp;"CG Times,Regular"&amp;11&amp;F&amp;R&amp;"Arial,Bold"CONFIDENTIAL - For NOAA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Zeros="0" zoomScale="75" zoomScaleNormal="75" workbookViewId="0" topLeftCell="A1">
      <selection activeCell="E32" sqref="E32"/>
    </sheetView>
  </sheetViews>
  <sheetFormatPr defaultColWidth="9.140625" defaultRowHeight="12.75"/>
  <cols>
    <col min="1" max="1" width="12.57421875" style="49" customWidth="1"/>
    <col min="2" max="2" width="35.8515625" style="14" customWidth="1"/>
    <col min="3" max="3" width="13.140625" style="14" customWidth="1"/>
    <col min="4" max="4" width="11.140625" style="14" customWidth="1"/>
    <col min="5" max="5" width="10.140625" style="14" customWidth="1"/>
    <col min="6" max="6" width="15.00390625" style="14" customWidth="1"/>
    <col min="7" max="7" width="14.8515625" style="14" bestFit="1" customWidth="1"/>
    <col min="8" max="9" width="14.8515625" style="14" customWidth="1"/>
    <col min="10" max="10" width="14.7109375" style="14" customWidth="1"/>
    <col min="11" max="11" width="14.140625" style="14" customWidth="1"/>
    <col min="12" max="12" width="11.00390625" style="14" customWidth="1"/>
    <col min="13" max="16384" width="9.140625" style="14" customWidth="1"/>
  </cols>
  <sheetData>
    <row r="1" spans="1:11" s="5" customFormat="1" ht="14.25">
      <c r="A1" s="48" t="s">
        <v>138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8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8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8"/>
      <c r="B5" s="4"/>
      <c r="C5" s="4"/>
      <c r="D5" s="4"/>
      <c r="E5" s="4"/>
      <c r="F5" s="4"/>
      <c r="G5" s="4"/>
      <c r="H5" s="4"/>
      <c r="I5" s="4"/>
      <c r="J5" s="4"/>
      <c r="K5" s="4"/>
    </row>
    <row r="6" ht="13.5" customHeight="1"/>
    <row r="7" spans="1:11" s="5" customFormat="1" ht="14.25">
      <c r="A7" s="56" t="str">
        <f>'Sum P1'!A7</f>
        <v>Project:</v>
      </c>
      <c r="B7" s="57" t="str">
        <f>'Sum P1'!B7</f>
        <v>NWS Southern Region Facilities SPCC Plans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s="5" customFormat="1" ht="15.75" customHeight="1" thickBot="1">
      <c r="A8" s="56"/>
      <c r="B8" s="57"/>
      <c r="C8" s="58"/>
      <c r="D8" s="58"/>
      <c r="E8" s="58"/>
      <c r="F8" s="58"/>
      <c r="G8" s="58"/>
      <c r="H8" s="58"/>
      <c r="I8" s="58"/>
      <c r="J8" s="58"/>
      <c r="K8" s="58"/>
    </row>
    <row r="9" spans="1:11" s="8" customFormat="1" ht="15" thickTop="1">
      <c r="A9" s="151"/>
      <c r="B9" s="123"/>
      <c r="C9" s="135" t="s">
        <v>56</v>
      </c>
      <c r="D9" s="135"/>
      <c r="E9" s="136"/>
      <c r="F9" s="135" t="s">
        <v>147</v>
      </c>
      <c r="G9" s="136" t="s">
        <v>146</v>
      </c>
      <c r="H9" s="135"/>
      <c r="I9" s="135" t="s">
        <v>57</v>
      </c>
      <c r="J9" s="136" t="s">
        <v>58</v>
      </c>
      <c r="K9" s="137"/>
    </row>
    <row r="10" spans="1:11" s="8" customFormat="1" ht="14.25">
      <c r="A10" s="152"/>
      <c r="B10" s="138"/>
      <c r="C10" s="139" t="s">
        <v>116</v>
      </c>
      <c r="D10" s="139"/>
      <c r="E10" s="140"/>
      <c r="F10" s="139" t="s">
        <v>59</v>
      </c>
      <c r="G10" s="140" t="s">
        <v>59</v>
      </c>
      <c r="H10" s="139"/>
      <c r="I10" s="139" t="s">
        <v>59</v>
      </c>
      <c r="J10" s="140" t="s">
        <v>57</v>
      </c>
      <c r="K10" s="141" t="s">
        <v>60</v>
      </c>
    </row>
    <row r="11" spans="1:11" s="8" customFormat="1" ht="14.25">
      <c r="A11" s="153" t="s">
        <v>61</v>
      </c>
      <c r="B11" s="142" t="s">
        <v>62</v>
      </c>
      <c r="C11" s="143" t="s">
        <v>117</v>
      </c>
      <c r="D11" s="143" t="s">
        <v>63</v>
      </c>
      <c r="E11" s="144" t="s">
        <v>64</v>
      </c>
      <c r="F11" s="145" t="s">
        <v>65</v>
      </c>
      <c r="G11" s="146">
        <f>Rates!C4</f>
        <v>0.1</v>
      </c>
      <c r="H11" s="147" t="s">
        <v>57</v>
      </c>
      <c r="I11" s="148" t="s">
        <v>65</v>
      </c>
      <c r="J11" s="149">
        <f>Rates!A5</f>
        <v>0.05</v>
      </c>
      <c r="K11" s="150" t="s">
        <v>66</v>
      </c>
    </row>
    <row r="12" spans="1:12" ht="15">
      <c r="A12" s="216" t="s">
        <v>67</v>
      </c>
      <c r="B12" s="198" t="s">
        <v>153</v>
      </c>
      <c r="C12" s="13">
        <f>ROUND(Labor!K12*(1+Rates!$A$1+Rates!$A$2),2)</f>
        <v>3778.68</v>
      </c>
      <c r="D12" s="13">
        <f>Trav!O12</f>
        <v>900</v>
      </c>
      <c r="E12" s="50">
        <f>ODC!L12</f>
        <v>181.57999999999998</v>
      </c>
      <c r="F12" s="13">
        <f>ROUND(SUM(C12:E12)*(1+Rates!$A$3),2)</f>
        <v>5195.62</v>
      </c>
      <c r="G12" s="50">
        <f aca="true" t="shared" si="0" ref="G12:G23">ROUND(F12*$G$11,2)</f>
        <v>519.56</v>
      </c>
      <c r="H12" s="38">
        <f>SumP2!C30</f>
        <v>0</v>
      </c>
      <c r="I12" s="13">
        <f>ROUND(H12*(1+Rates!$A$3),2)</f>
        <v>0</v>
      </c>
      <c r="J12" s="50">
        <f>ROUND(I12*$J$11,2)</f>
        <v>0</v>
      </c>
      <c r="K12" s="15">
        <f aca="true" t="shared" si="1" ref="K12:K23">F12+G12+I12+J12</f>
        <v>5715.18</v>
      </c>
      <c r="L12" s="98"/>
    </row>
    <row r="13" spans="1:12" ht="15">
      <c r="A13" s="216">
        <f aca="true" t="shared" si="2" ref="A13:A19">(A12+1)</f>
        <v>2</v>
      </c>
      <c r="B13" s="215" t="s">
        <v>154</v>
      </c>
      <c r="C13" s="13">
        <f>ROUND(Labor!K13*(1+Rates!$A$1+Rates!$A$2),2)</f>
        <v>3778.68</v>
      </c>
      <c r="D13" s="13">
        <f>Trav!O13</f>
        <v>900</v>
      </c>
      <c r="E13" s="50">
        <f>ODC!L13</f>
        <v>181.57999999999998</v>
      </c>
      <c r="F13" s="13">
        <f>ROUND(SUM(C13:E13)*(1+Rates!$A$3),2)</f>
        <v>5195.62</v>
      </c>
      <c r="G13" s="50">
        <f t="shared" si="0"/>
        <v>519.56</v>
      </c>
      <c r="H13" s="38">
        <f>SumP2!C31</f>
        <v>0</v>
      </c>
      <c r="I13" s="13">
        <f>ROUND(H13*(1+Rates!$A$3),2)</f>
        <v>0</v>
      </c>
      <c r="J13" s="50">
        <f aca="true" t="shared" si="3" ref="J13:J23">ROUND(I13*$J$11,2)</f>
        <v>0</v>
      </c>
      <c r="K13" s="15">
        <f t="shared" si="1"/>
        <v>5715.18</v>
      </c>
      <c r="L13" s="98"/>
    </row>
    <row r="14" spans="1:11" ht="15">
      <c r="A14" s="216">
        <f t="shared" si="2"/>
        <v>3</v>
      </c>
      <c r="B14" s="215" t="s">
        <v>155</v>
      </c>
      <c r="C14" s="13">
        <f>ROUND(Labor!K14*(1+Rates!$A$1+Rates!$A$2),2)</f>
        <v>3778.68</v>
      </c>
      <c r="D14" s="13">
        <f>Trav!O14</f>
        <v>900</v>
      </c>
      <c r="E14" s="50">
        <f>ODC!L14</f>
        <v>181.57999999999998</v>
      </c>
      <c r="F14" s="13">
        <f>ROUND(SUM(C14:E14)*(1+Rates!$A$3),2)</f>
        <v>5195.62</v>
      </c>
      <c r="G14" s="50">
        <f t="shared" si="0"/>
        <v>519.56</v>
      </c>
      <c r="H14" s="38">
        <f>SumP2!C32</f>
        <v>0</v>
      </c>
      <c r="I14" s="13">
        <f>ROUND(H14*(1+Rates!$A$3),2)</f>
        <v>0</v>
      </c>
      <c r="J14" s="50">
        <f t="shared" si="3"/>
        <v>0</v>
      </c>
      <c r="K14" s="15">
        <f t="shared" si="1"/>
        <v>5715.18</v>
      </c>
    </row>
    <row r="15" spans="1:11" ht="15">
      <c r="A15" s="216">
        <f t="shared" si="2"/>
        <v>4</v>
      </c>
      <c r="B15" s="223" t="s">
        <v>156</v>
      </c>
      <c r="C15" s="13">
        <f>ROUND(Labor!K15*(1+Rates!$A$1+Rates!$A$2),2)</f>
        <v>3778.68</v>
      </c>
      <c r="D15" s="13">
        <f>Trav!O15</f>
        <v>900</v>
      </c>
      <c r="E15" s="50">
        <f>ODC!L15</f>
        <v>181.57999999999998</v>
      </c>
      <c r="F15" s="13">
        <f>ROUND(SUM(C15:E15)*(1+Rates!$A$3),2)</f>
        <v>5195.62</v>
      </c>
      <c r="G15" s="50">
        <f t="shared" si="0"/>
        <v>519.56</v>
      </c>
      <c r="H15" s="38">
        <f>SumP2!C33</f>
        <v>0</v>
      </c>
      <c r="I15" s="13">
        <f>ROUND(H15*(1+Rates!$A$3),2)</f>
        <v>0</v>
      </c>
      <c r="J15" s="50">
        <f t="shared" si="3"/>
        <v>0</v>
      </c>
      <c r="K15" s="15">
        <f t="shared" si="1"/>
        <v>5715.18</v>
      </c>
    </row>
    <row r="16" spans="1:11" ht="15">
      <c r="A16" s="216">
        <f t="shared" si="2"/>
        <v>5</v>
      </c>
      <c r="B16" s="223" t="s">
        <v>157</v>
      </c>
      <c r="C16" s="13">
        <f>ROUND(Labor!K16*(1+Rates!$A$1+Rates!$A$2),2)</f>
        <v>3778.68</v>
      </c>
      <c r="D16" s="13">
        <f>Trav!O16</f>
        <v>900</v>
      </c>
      <c r="E16" s="50">
        <f>ODC!L16</f>
        <v>181.57999999999998</v>
      </c>
      <c r="F16" s="13">
        <f>ROUND(SUM(C16:E16)*(1+Rates!$A$3),2)</f>
        <v>5195.62</v>
      </c>
      <c r="G16" s="50">
        <f t="shared" si="0"/>
        <v>519.56</v>
      </c>
      <c r="H16" s="38">
        <f>SumP2!C34</f>
        <v>0</v>
      </c>
      <c r="I16" s="13">
        <f>ROUND(H16*(1+Rates!$A$3),2)</f>
        <v>0</v>
      </c>
      <c r="J16" s="50">
        <f t="shared" si="3"/>
        <v>0</v>
      </c>
      <c r="K16" s="15">
        <f t="shared" si="1"/>
        <v>5715.18</v>
      </c>
    </row>
    <row r="17" spans="1:11" ht="15">
      <c r="A17" s="216">
        <f t="shared" si="2"/>
        <v>6</v>
      </c>
      <c r="B17" s="223" t="s">
        <v>158</v>
      </c>
      <c r="C17" s="13">
        <f>ROUND(Labor!K17*(1+Rates!$A$1+Rates!$A$2),2)</f>
        <v>3778.68</v>
      </c>
      <c r="D17" s="13">
        <f>Trav!O20</f>
        <v>900</v>
      </c>
      <c r="E17" s="50">
        <f>ODC!L20</f>
        <v>181.57999999999998</v>
      </c>
      <c r="F17" s="13">
        <f>ROUND(SUM(C17:E17)*(1+Rates!$A$3),2)</f>
        <v>5195.62</v>
      </c>
      <c r="G17" s="50">
        <f t="shared" si="0"/>
        <v>519.56</v>
      </c>
      <c r="H17" s="38">
        <f>SumP2!C35</f>
        <v>0</v>
      </c>
      <c r="I17" s="13">
        <f>ROUND(H17*(1+Rates!$A$3),2)</f>
        <v>0</v>
      </c>
      <c r="J17" s="50">
        <f t="shared" si="3"/>
        <v>0</v>
      </c>
      <c r="K17" s="15">
        <f t="shared" si="1"/>
        <v>5715.18</v>
      </c>
    </row>
    <row r="18" spans="1:11" ht="15">
      <c r="A18" s="216">
        <f t="shared" si="2"/>
        <v>7</v>
      </c>
      <c r="B18" s="223" t="s">
        <v>159</v>
      </c>
      <c r="C18" s="13">
        <f>ROUND(Labor!K18*(1+Rates!$A$1+Rates!$A$2),2)</f>
        <v>3778.68</v>
      </c>
      <c r="D18" s="13">
        <f>Trav!O21</f>
        <v>900</v>
      </c>
      <c r="E18" s="50">
        <f>ODC!L21</f>
        <v>181.57999999999998</v>
      </c>
      <c r="F18" s="13">
        <f>ROUND(SUM(C18:E18)*(1+Rates!$A$3),2)</f>
        <v>5195.62</v>
      </c>
      <c r="G18" s="50">
        <f t="shared" si="0"/>
        <v>519.56</v>
      </c>
      <c r="H18" s="38">
        <f>SumP2!C36</f>
        <v>0</v>
      </c>
      <c r="I18" s="13">
        <f>ROUND(H18*(1+Rates!$A$3),2)</f>
        <v>0</v>
      </c>
      <c r="J18" s="50">
        <f t="shared" si="3"/>
        <v>0</v>
      </c>
      <c r="K18" s="15">
        <f t="shared" si="1"/>
        <v>5715.18</v>
      </c>
    </row>
    <row r="19" spans="1:11" ht="15">
      <c r="A19" s="216">
        <f t="shared" si="2"/>
        <v>8</v>
      </c>
      <c r="B19" s="223" t="s">
        <v>160</v>
      </c>
      <c r="C19" s="13">
        <f>ROUND(Labor!K19*(1+Rates!$A$1+Rates!$A$2),2)</f>
        <v>3778.68</v>
      </c>
      <c r="D19" s="13">
        <f>Trav!O22</f>
        <v>900</v>
      </c>
      <c r="E19" s="50">
        <f>ODC!L22</f>
        <v>181.57999999999998</v>
      </c>
      <c r="F19" s="13">
        <f>ROUND(SUM(C19:E19)*(1+Rates!$A$3),2)</f>
        <v>5195.62</v>
      </c>
      <c r="G19" s="50">
        <f t="shared" si="0"/>
        <v>519.56</v>
      </c>
      <c r="H19" s="38">
        <f>SumP2!C37</f>
        <v>0</v>
      </c>
      <c r="I19" s="13">
        <f>ROUND(H19*(1+Rates!$A$3),2)</f>
        <v>0</v>
      </c>
      <c r="J19" s="50">
        <f t="shared" si="3"/>
        <v>0</v>
      </c>
      <c r="K19" s="15">
        <f t="shared" si="1"/>
        <v>5715.18</v>
      </c>
    </row>
    <row r="20" spans="1:11" ht="15">
      <c r="A20" s="216">
        <v>9</v>
      </c>
      <c r="B20" s="223" t="s">
        <v>164</v>
      </c>
      <c r="C20" s="13">
        <f>ROUND(Labor!K20*(1+Rates!$A$1+Rates!$A$2),2)</f>
        <v>3778.68</v>
      </c>
      <c r="D20" s="13">
        <f>Trav!O23</f>
        <v>900</v>
      </c>
      <c r="E20" s="50">
        <f>ODC!L23</f>
        <v>181.57999999999998</v>
      </c>
      <c r="F20" s="13">
        <f>ROUND(SUM(C20:E20)*(1+Rates!$A$3),2)</f>
        <v>5195.62</v>
      </c>
      <c r="G20" s="50">
        <f t="shared" si="0"/>
        <v>519.56</v>
      </c>
      <c r="H20" s="38">
        <f>SumP2!C38</f>
        <v>0</v>
      </c>
      <c r="I20" s="13">
        <f>ROUND(H20*(1+Rates!$A$3),2)</f>
        <v>0</v>
      </c>
      <c r="J20" s="50">
        <f t="shared" si="3"/>
        <v>0</v>
      </c>
      <c r="K20" s="15">
        <f>F20+G20+I20+J20</f>
        <v>5715.18</v>
      </c>
    </row>
    <row r="21" spans="1:11" ht="15">
      <c r="A21" s="216">
        <v>10</v>
      </c>
      <c r="B21" s="223" t="s">
        <v>161</v>
      </c>
      <c r="C21" s="13">
        <f>ROUND(Labor!K21*(1+Rates!$A$1+Rates!$A$2),2)</f>
        <v>3778.68</v>
      </c>
      <c r="D21" s="13">
        <f>Trav!O21</f>
        <v>900</v>
      </c>
      <c r="E21" s="50">
        <f>ODC!L21</f>
        <v>181.57999999999998</v>
      </c>
      <c r="F21" s="13">
        <f>ROUND(SUM(C21:E21)*(1+Rates!$A$3),2)</f>
        <v>5195.62</v>
      </c>
      <c r="G21" s="50">
        <f t="shared" si="0"/>
        <v>519.56</v>
      </c>
      <c r="H21" s="38">
        <f>SumP2!C39</f>
        <v>0</v>
      </c>
      <c r="I21" s="13">
        <f>ROUND(H21*(1+Rates!$A$3),2)</f>
        <v>0</v>
      </c>
      <c r="J21" s="50">
        <f t="shared" si="3"/>
        <v>0</v>
      </c>
      <c r="K21" s="15">
        <f>F21+G21+I21+J21</f>
        <v>5715.18</v>
      </c>
    </row>
    <row r="22" spans="1:11" ht="15">
      <c r="A22" s="216">
        <v>11</v>
      </c>
      <c r="B22" s="223" t="s">
        <v>162</v>
      </c>
      <c r="C22" s="13">
        <f>ROUND(Labor!K22*(1+Rates!$A$1+Rates!$A$2),2)</f>
        <v>3778.68</v>
      </c>
      <c r="D22" s="13">
        <f>Trav!O22</f>
        <v>900</v>
      </c>
      <c r="E22" s="50">
        <f>ODC!L22</f>
        <v>181.57999999999998</v>
      </c>
      <c r="F22" s="13">
        <f>ROUND(SUM(C22:E22)*(1+Rates!$A$3),2)</f>
        <v>5195.62</v>
      </c>
      <c r="G22" s="50">
        <f t="shared" si="0"/>
        <v>519.56</v>
      </c>
      <c r="H22" s="38">
        <f>SumP2!C40</f>
        <v>0</v>
      </c>
      <c r="I22" s="13">
        <f>ROUND(H22*(1+Rates!$A$3),2)</f>
        <v>0</v>
      </c>
      <c r="J22" s="50">
        <f t="shared" si="3"/>
        <v>0</v>
      </c>
      <c r="K22" s="15">
        <f>F22+G22+I22+J22</f>
        <v>5715.18</v>
      </c>
    </row>
    <row r="23" spans="1:11" ht="15.75" thickBot="1">
      <c r="A23" s="216">
        <v>12</v>
      </c>
      <c r="B23" s="200" t="s">
        <v>163</v>
      </c>
      <c r="C23" s="13">
        <f>ROUND(Labor!K23*(1+Rates!$A$1+Rates!$A$2),2)</f>
        <v>3778.68</v>
      </c>
      <c r="D23" s="13">
        <f>Trav!O23</f>
        <v>900</v>
      </c>
      <c r="E23" s="50">
        <f>ODC!L23</f>
        <v>181.57999999999998</v>
      </c>
      <c r="F23" s="13">
        <f>ROUND(SUM(C23:E23)*(1+Rates!$A$3),2)</f>
        <v>5195.62</v>
      </c>
      <c r="G23" s="50">
        <f t="shared" si="0"/>
        <v>519.56</v>
      </c>
      <c r="H23" s="38">
        <f>SumP2!C41</f>
        <v>0</v>
      </c>
      <c r="I23" s="13">
        <f>ROUND(H23*(1+Rates!$A$3),2)</f>
        <v>0</v>
      </c>
      <c r="J23" s="50">
        <f t="shared" si="3"/>
        <v>0</v>
      </c>
      <c r="K23" s="15">
        <f>F23+G23+I23+J23</f>
        <v>5715.18</v>
      </c>
    </row>
    <row r="24" spans="1:11" s="5" customFormat="1" ht="34.5" customHeight="1" thickBot="1">
      <c r="A24" s="154"/>
      <c r="B24" s="51" t="s">
        <v>68</v>
      </c>
      <c r="C24" s="52">
        <f>SUM(C12:C23)</f>
        <v>45344.159999999996</v>
      </c>
      <c r="D24" s="52">
        <f>SUM(D12:D23)</f>
        <v>10800</v>
      </c>
      <c r="E24" s="53">
        <f>SUM(E12:E23)</f>
        <v>2178.9599999999996</v>
      </c>
      <c r="F24" s="52">
        <f>SUM(F12:F23)</f>
        <v>62347.44000000001</v>
      </c>
      <c r="G24" s="53">
        <f>SUM(G12:G23)</f>
        <v>6234.7199999999975</v>
      </c>
      <c r="H24" s="52">
        <f>SUM(H12:H23)</f>
        <v>0</v>
      </c>
      <c r="I24" s="52">
        <f>SUM(I12:I23)</f>
        <v>0</v>
      </c>
      <c r="J24" s="53">
        <f>SUM(J12:J23)</f>
        <v>0</v>
      </c>
      <c r="K24" s="54">
        <f>SUM(K12:K23)</f>
        <v>68582.16</v>
      </c>
    </row>
    <row r="25" ht="15.75" thickTop="1">
      <c r="G25" s="67"/>
    </row>
    <row r="68" spans="3:5" ht="15">
      <c r="C68" s="67"/>
      <c r="D68" s="104"/>
      <c r="E68" s="103"/>
    </row>
    <row r="69" ht="15">
      <c r="D69" s="105"/>
    </row>
    <row r="70" ht="15">
      <c r="D70" s="105"/>
    </row>
    <row r="71" ht="15">
      <c r="D71" s="105"/>
    </row>
    <row r="72" ht="15">
      <c r="D72" s="105"/>
    </row>
  </sheetData>
  <printOptions horizontalCentered="1"/>
  <pageMargins left="1" right="1" top="1" bottom="1" header="0.5" footer="0.5"/>
  <pageSetup fitToHeight="1" fitToWidth="1" horizontalDpi="300" verticalDpi="300" orientation="landscape" scale="68" r:id="rId1"/>
  <headerFooter alignWithMargins="0">
    <oddFooter>&amp;L&amp;F&amp;R&amp;"Arial,Bold"CONFIDENTIAL - For NOAA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Zeros="0" zoomScale="75" zoomScaleNormal="75" workbookViewId="0" topLeftCell="A1">
      <selection activeCell="D31" sqref="D31"/>
    </sheetView>
  </sheetViews>
  <sheetFormatPr defaultColWidth="9.140625" defaultRowHeight="12.75"/>
  <cols>
    <col min="1" max="1" width="12.7109375" style="49" customWidth="1"/>
    <col min="2" max="2" width="33.28125" style="14" customWidth="1"/>
    <col min="3" max="3" width="10.8515625" style="14" customWidth="1"/>
    <col min="4" max="4" width="11.57421875" style="14" customWidth="1"/>
    <col min="5" max="5" width="16.00390625" style="14" customWidth="1"/>
    <col min="6" max="6" width="12.7109375" style="14" customWidth="1"/>
    <col min="7" max="7" width="12.57421875" style="14" customWidth="1"/>
    <col min="8" max="8" width="11.8515625" style="14" customWidth="1"/>
    <col min="9" max="9" width="10.28125" style="14" customWidth="1"/>
    <col min="10" max="10" width="9.421875" style="14" customWidth="1"/>
    <col min="11" max="11" width="13.421875" style="35" customWidth="1"/>
    <col min="12" max="12" width="12.421875" style="14" customWidth="1"/>
    <col min="13" max="16384" width="9.140625" style="14" customWidth="1"/>
  </cols>
  <sheetData>
    <row r="1" spans="1:11" s="5" customFormat="1" ht="14.25">
      <c r="A1" s="48" t="s">
        <v>139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8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8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8"/>
      <c r="B5" s="4"/>
      <c r="C5" s="4"/>
      <c r="D5" s="4"/>
      <c r="E5" s="4"/>
      <c r="F5" s="4"/>
      <c r="G5" s="4"/>
      <c r="H5" s="4"/>
      <c r="I5" s="4"/>
      <c r="J5" s="4"/>
      <c r="K5" s="4"/>
    </row>
    <row r="6" ht="13.5" customHeight="1"/>
    <row r="7" spans="1:11" s="5" customFormat="1" ht="14.25">
      <c r="A7" s="56" t="str">
        <f>'Sum P1'!A7</f>
        <v>Project:</v>
      </c>
      <c r="B7" s="57" t="str">
        <f>'Sum P1'!B7</f>
        <v>NWS Southern Region Facilities SPCC Plans</v>
      </c>
      <c r="C7" s="57"/>
      <c r="D7" s="57"/>
      <c r="E7" s="57"/>
      <c r="F7" s="57"/>
      <c r="G7" s="57"/>
      <c r="H7" s="57"/>
      <c r="I7" s="57"/>
      <c r="J7" s="57"/>
      <c r="K7" s="27"/>
    </row>
    <row r="8" spans="1:11" s="5" customFormat="1" ht="15" thickBot="1">
      <c r="A8" s="59"/>
      <c r="B8" s="57"/>
      <c r="C8" s="57"/>
      <c r="D8" s="57"/>
      <c r="E8" s="57"/>
      <c r="F8" s="57"/>
      <c r="G8" s="57"/>
      <c r="H8" s="57"/>
      <c r="I8" s="57"/>
      <c r="J8" s="57"/>
      <c r="K8" s="27"/>
    </row>
    <row r="9" spans="1:12" s="8" customFormat="1" ht="15" thickTop="1">
      <c r="A9" s="171"/>
      <c r="B9" s="156"/>
      <c r="C9" s="157"/>
      <c r="D9" s="157" t="s">
        <v>69</v>
      </c>
      <c r="E9" s="158" t="s">
        <v>165</v>
      </c>
      <c r="F9" s="158" t="s">
        <v>143</v>
      </c>
      <c r="G9" s="158" t="s">
        <v>150</v>
      </c>
      <c r="H9" s="157" t="s">
        <v>70</v>
      </c>
      <c r="I9" s="159"/>
      <c r="J9" s="160" t="s">
        <v>34</v>
      </c>
      <c r="K9" s="161" t="s">
        <v>60</v>
      </c>
      <c r="L9" s="155" t="s">
        <v>123</v>
      </c>
    </row>
    <row r="10" spans="1:12" s="8" customFormat="1" ht="14.25">
      <c r="A10" s="172"/>
      <c r="B10" s="162"/>
      <c r="C10" s="163" t="s">
        <v>7</v>
      </c>
      <c r="D10" s="163" t="s">
        <v>71</v>
      </c>
      <c r="E10" s="164" t="s">
        <v>166</v>
      </c>
      <c r="F10" s="164" t="s">
        <v>144</v>
      </c>
      <c r="G10" s="164" t="s">
        <v>148</v>
      </c>
      <c r="H10" s="163" t="s">
        <v>72</v>
      </c>
      <c r="I10" s="165" t="s">
        <v>33</v>
      </c>
      <c r="J10" s="166" t="s">
        <v>3</v>
      </c>
      <c r="K10" s="167" t="s">
        <v>73</v>
      </c>
      <c r="L10" s="155" t="s">
        <v>81</v>
      </c>
    </row>
    <row r="11" spans="1:12" s="8" customFormat="1" ht="14.25">
      <c r="A11" s="173" t="s">
        <v>61</v>
      </c>
      <c r="B11" s="168" t="s">
        <v>62</v>
      </c>
      <c r="C11" s="163">
        <f>VLOOKUP(C10,Rates!$F$3:$G$39,2,FALSE)</f>
        <v>35.83</v>
      </c>
      <c r="D11" s="163">
        <f>VLOOKUP((CONCATENATE(D9," ",D10)),Rates!$F$3:$G$39,2,FALSE)</f>
        <v>31.67</v>
      </c>
      <c r="E11" s="163">
        <f>VLOOKUP((CONCATENATE(E9," ",E10)),Rates!$F$3:$G$39,2,FALSE)</f>
        <v>33.66</v>
      </c>
      <c r="F11" s="163">
        <f>VLOOKUP((CONCATENATE(F9," ",F10)),Rates!$F$3:$G$39,2,FALSE)</f>
        <v>20</v>
      </c>
      <c r="G11" s="163">
        <f>VLOOKUP((CONCATENATE(G9," ",G10)),Rates!$F$3:$G$39,2,FALSE)</f>
        <v>18</v>
      </c>
      <c r="H11" s="163">
        <f>VLOOKUP((CONCATENATE(H9," ",H10)),Rates!$F$3:$G$39,2,FALSE)</f>
        <v>22.05</v>
      </c>
      <c r="I11" s="163">
        <f>VLOOKUP(I10,Rates!$F$3:$G$39,2,FALSE)</f>
        <v>14.5</v>
      </c>
      <c r="J11" s="169" t="s">
        <v>5</v>
      </c>
      <c r="K11" s="170" t="s">
        <v>74</v>
      </c>
      <c r="L11" s="155"/>
    </row>
    <row r="12" spans="1:12" ht="15">
      <c r="A12" s="197" t="str">
        <f>Dsum!A12</f>
        <v>1</v>
      </c>
      <c r="B12" s="217" t="str">
        <f>Dsum!B12</f>
        <v>Lubbock</v>
      </c>
      <c r="C12" s="218">
        <v>1</v>
      </c>
      <c r="D12" s="218">
        <v>4</v>
      </c>
      <c r="E12" s="218">
        <v>50</v>
      </c>
      <c r="F12" s="218">
        <v>8</v>
      </c>
      <c r="G12" s="218">
        <v>2</v>
      </c>
      <c r="H12" s="218">
        <v>0</v>
      </c>
      <c r="I12" s="218">
        <v>2</v>
      </c>
      <c r="J12" s="219">
        <f>SUM(C12:I12)</f>
        <v>67</v>
      </c>
      <c r="K12" s="15">
        <f>ROUND($C$11*C12,2)+ROUND($D$11*D12,2)+ROUND($E$11*E12,2)+ROUND($F$11*F12,2)+ROUND($G$11*G12,2)+ROUND($H$11*H12,2)+ROUND($I$11*I12,2)</f>
        <v>2070.51</v>
      </c>
      <c r="L12" s="107">
        <f>(K12*(1+Rates!$A$1+Rates!$A$2)*(1+Rates!$A$3)*(1+Rates!$C$4))</f>
        <v>4443.350693925001</v>
      </c>
    </row>
    <row r="13" spans="1:12" ht="15">
      <c r="A13" s="197">
        <f>Dsum!A13</f>
        <v>2</v>
      </c>
      <c r="B13" s="217" t="str">
        <f>Dsum!B13</f>
        <v>San Angelo</v>
      </c>
      <c r="C13" s="218">
        <v>1</v>
      </c>
      <c r="D13" s="218">
        <v>4</v>
      </c>
      <c r="E13" s="218">
        <v>50</v>
      </c>
      <c r="F13" s="218">
        <v>8</v>
      </c>
      <c r="G13" s="218">
        <v>2</v>
      </c>
      <c r="H13" s="218">
        <v>0</v>
      </c>
      <c r="I13" s="218">
        <v>2</v>
      </c>
      <c r="J13" s="219">
        <f>SUM(C13:I13)</f>
        <v>67</v>
      </c>
      <c r="K13" s="15">
        <f>ROUND($C$11*C13,2)+ROUND($D$11*D13,2)+ROUND($E$11*E13,2)+ROUND($F$11*F13,2)+ROUND($G$11*G13,2)+ROUND($H$11*H13,2)+ROUND($I$11*I13,2)</f>
        <v>2070.51</v>
      </c>
      <c r="L13" s="107">
        <f>(K13*(1+Rates!$A$1+Rates!$A$2)*(1+Rates!$A$3)*(1+Rates!$C$4))</f>
        <v>4443.350693925001</v>
      </c>
    </row>
    <row r="14" spans="1:12" ht="15">
      <c r="A14" s="197">
        <f>Dsum!A14</f>
        <v>3</v>
      </c>
      <c r="B14" s="217" t="str">
        <f>Dsum!B14</f>
        <v>Tulsa</v>
      </c>
      <c r="C14" s="218">
        <v>1</v>
      </c>
      <c r="D14" s="218">
        <v>4</v>
      </c>
      <c r="E14" s="218">
        <v>50</v>
      </c>
      <c r="F14" s="218">
        <v>8</v>
      </c>
      <c r="G14" s="218">
        <v>2</v>
      </c>
      <c r="H14" s="218"/>
      <c r="I14" s="218">
        <v>2</v>
      </c>
      <c r="J14" s="219">
        <f>SUM(C14:I14)</f>
        <v>67</v>
      </c>
      <c r="K14" s="15">
        <f>ROUND($C$11*C14,2)+ROUND($D$11*D14,2)+ROUND($E$11*E14,2)+ROUND($F$11*F14,2)+ROUND($G$11*G14,2)+ROUND($H$11*H14,2)+ROUND($I$11*I14,2)</f>
        <v>2070.51</v>
      </c>
      <c r="L14" s="107"/>
    </row>
    <row r="15" spans="1:12" ht="15">
      <c r="A15" s="197">
        <f>Dsum!A15</f>
        <v>4</v>
      </c>
      <c r="B15" s="217" t="str">
        <f>Dsum!B15</f>
        <v>Norman</v>
      </c>
      <c r="C15" s="218">
        <v>1</v>
      </c>
      <c r="D15" s="218">
        <v>4</v>
      </c>
      <c r="E15" s="218">
        <v>50</v>
      </c>
      <c r="F15" s="218">
        <v>8</v>
      </c>
      <c r="G15" s="218">
        <v>2</v>
      </c>
      <c r="H15" s="218"/>
      <c r="I15" s="218">
        <v>2</v>
      </c>
      <c r="J15" s="219">
        <f>SUM(C15:I15)</f>
        <v>67</v>
      </c>
      <c r="K15" s="15">
        <f>ROUND($C$11*C15,2)+ROUND($D$11*D15,2)+ROUND($E$11*E15,2)+ROUND($F$11*F15,2)+ROUND($G$11*G15,2)+ROUND($H$11*H15,2)+ROUND($I$11*I15,2)</f>
        <v>2070.51</v>
      </c>
      <c r="L15" s="107"/>
    </row>
    <row r="16" spans="1:12" ht="15">
      <c r="A16" s="197">
        <f>Dsum!A16</f>
        <v>5</v>
      </c>
      <c r="B16" s="217" t="str">
        <f>Dsum!B16</f>
        <v>Memphis</v>
      </c>
      <c r="C16" s="218">
        <v>1</v>
      </c>
      <c r="D16" s="218">
        <v>4</v>
      </c>
      <c r="E16" s="218">
        <v>50</v>
      </c>
      <c r="F16" s="218">
        <v>8</v>
      </c>
      <c r="G16" s="218">
        <v>2</v>
      </c>
      <c r="H16" s="218"/>
      <c r="I16" s="218">
        <v>2</v>
      </c>
      <c r="J16" s="219">
        <f>SUM(C16:I16)</f>
        <v>67</v>
      </c>
      <c r="K16" s="15">
        <f>ROUND($C$11*C16,2)+ROUND($D$11*D16,2)+ROUND($E$11*E16,2)+ROUND($F$11*F16,2)+ROUND($G$11*G16,2)+ROUND($H$11*H16,2)+ROUND($I$11*I16,2)</f>
        <v>2070.51</v>
      </c>
      <c r="L16" s="107"/>
    </row>
    <row r="17" spans="1:11" ht="15">
      <c r="A17" s="197">
        <f>Dsum!A17</f>
        <v>6</v>
      </c>
      <c r="B17" s="217" t="str">
        <f>Dsum!B17</f>
        <v>San Juan Huntsville</v>
      </c>
      <c r="C17" s="218">
        <v>1</v>
      </c>
      <c r="D17" s="218">
        <v>4</v>
      </c>
      <c r="E17" s="218">
        <v>50</v>
      </c>
      <c r="F17" s="218">
        <v>8</v>
      </c>
      <c r="G17" s="218">
        <v>2</v>
      </c>
      <c r="H17" s="218">
        <v>0</v>
      </c>
      <c r="I17" s="218">
        <v>2</v>
      </c>
      <c r="J17" s="219">
        <f>SUM(C17:I17)</f>
        <v>67</v>
      </c>
      <c r="K17" s="15">
        <f>ROUND($C$11*C17,2)+ROUND($D$11*D17,2)+ROUND($E$11*E17,2)+ROUND($F$11*F17,2)+ROUND($G$11*G17,2)+ROUND($H$11*H17,2)+ROUND($I$11*I17,2)</f>
        <v>2070.51</v>
      </c>
    </row>
    <row r="18" spans="1:11" ht="15">
      <c r="A18" s="197">
        <f>Dsum!A18</f>
        <v>7</v>
      </c>
      <c r="B18" s="217" t="str">
        <f>Dsum!B18</f>
        <v>Melbourne</v>
      </c>
      <c r="C18" s="218">
        <v>1</v>
      </c>
      <c r="D18" s="218">
        <v>4</v>
      </c>
      <c r="E18" s="218">
        <v>50</v>
      </c>
      <c r="F18" s="218">
        <v>8</v>
      </c>
      <c r="G18" s="218">
        <v>2</v>
      </c>
      <c r="H18" s="218"/>
      <c r="I18" s="218">
        <v>2</v>
      </c>
      <c r="J18" s="219">
        <f>SUM(C18:I18)</f>
        <v>67</v>
      </c>
      <c r="K18" s="15">
        <f>ROUND($C$11*C18,2)+ROUND($D$11*D18,2)+ROUND($E$11*E18,2)+ROUND($F$11*F18,2)+ROUND($G$11*G18,2)+ROUND($H$11*H18,2)+ROUND($I$11*I18,2)</f>
        <v>2070.51</v>
      </c>
    </row>
    <row r="19" spans="1:11" ht="15">
      <c r="A19" s="197">
        <f>Dsum!A19</f>
        <v>8</v>
      </c>
      <c r="B19" s="217" t="str">
        <f>Dsum!B19</f>
        <v>Amarillo</v>
      </c>
      <c r="C19" s="218">
        <v>1</v>
      </c>
      <c r="D19" s="218">
        <v>4</v>
      </c>
      <c r="E19" s="218">
        <v>50</v>
      </c>
      <c r="F19" s="218">
        <v>8</v>
      </c>
      <c r="G19" s="218">
        <v>2</v>
      </c>
      <c r="H19" s="218"/>
      <c r="I19" s="218">
        <v>2</v>
      </c>
      <c r="J19" s="219">
        <f>SUM(C19:I19)</f>
        <v>67</v>
      </c>
      <c r="K19" s="15">
        <f>ROUND($C$11*C19,2)+ROUND($D$11*D19,2)+ROUND($E$11*E19,2)+ROUND($F$11*F19,2)+ROUND($G$11*G19,2)+ROUND($H$11*H19,2)+ROUND($I$11*I19,2)</f>
        <v>2070.51</v>
      </c>
    </row>
    <row r="20" spans="1:11" ht="15">
      <c r="A20" s="197">
        <f>Dsum!A20</f>
        <v>9</v>
      </c>
      <c r="B20" s="217" t="str">
        <f>Dsum!B20</f>
        <v>Nashville</v>
      </c>
      <c r="C20" s="218">
        <v>1</v>
      </c>
      <c r="D20" s="218">
        <v>4</v>
      </c>
      <c r="E20" s="218">
        <v>50</v>
      </c>
      <c r="F20" s="218">
        <v>8</v>
      </c>
      <c r="G20" s="218">
        <v>2</v>
      </c>
      <c r="H20" s="218"/>
      <c r="I20" s="218">
        <v>2</v>
      </c>
      <c r="J20" s="219">
        <f>SUM(C20:I20)</f>
        <v>67</v>
      </c>
      <c r="K20" s="15">
        <f>ROUND($C$11*C20,2)+ROUND($D$11*D20,2)+ROUND($E$11*E20,2)+ROUND($F$11*F20,2)+ROUND($G$11*G20,2)+ROUND($H$11*H20,2)+ROUND($I$11*I20,2)</f>
        <v>2070.51</v>
      </c>
    </row>
    <row r="21" spans="1:11" ht="15">
      <c r="A21" s="197">
        <f>Dsum!A21</f>
        <v>10</v>
      </c>
      <c r="B21" s="217" t="str">
        <f>Dsum!B21</f>
        <v>Mobile</v>
      </c>
      <c r="C21" s="218">
        <v>1</v>
      </c>
      <c r="D21" s="218">
        <v>4</v>
      </c>
      <c r="E21" s="218">
        <v>50</v>
      </c>
      <c r="F21" s="218">
        <v>8</v>
      </c>
      <c r="G21" s="218">
        <v>2</v>
      </c>
      <c r="H21" s="218"/>
      <c r="I21" s="218">
        <v>2</v>
      </c>
      <c r="J21" s="219">
        <f>SUM(C21:I21)</f>
        <v>67</v>
      </c>
      <c r="K21" s="15">
        <f>ROUND($C$11*C21,2)+ROUND($D$11*D21,2)+ROUND($E$11*E21,2)+ROUND($F$11*F21,2)+ROUND($G$11*G21,2)+ROUND($H$11*H21,2)+ROUND($I$11*I21,2)</f>
        <v>2070.51</v>
      </c>
    </row>
    <row r="22" spans="1:11" ht="15">
      <c r="A22" s="197">
        <f>Dsum!A22</f>
        <v>11</v>
      </c>
      <c r="B22" s="217" t="str">
        <f>Dsum!B22</f>
        <v>Austin/San Antonio</v>
      </c>
      <c r="C22" s="218">
        <v>1</v>
      </c>
      <c r="D22" s="218">
        <v>4</v>
      </c>
      <c r="E22" s="218">
        <v>50</v>
      </c>
      <c r="F22" s="218">
        <v>8</v>
      </c>
      <c r="G22" s="218">
        <v>2</v>
      </c>
      <c r="H22" s="218"/>
      <c r="I22" s="218">
        <v>2</v>
      </c>
      <c r="J22" s="219">
        <f>SUM(C22:I22)</f>
        <v>67</v>
      </c>
      <c r="K22" s="15">
        <f>ROUND($C$11*C22,2)+ROUND($D$11*D22,2)+ROUND($E$11*E22,2)+ROUND($F$11*F22,2)+ROUND($G$11*G22,2)+ROUND($H$11*H22,2)+ROUND($I$11*I22,2)</f>
        <v>2070.51</v>
      </c>
    </row>
    <row r="23" spans="1:11" ht="15.75" thickBot="1">
      <c r="A23" s="197">
        <f>Dsum!A23</f>
        <v>12</v>
      </c>
      <c r="B23" s="217" t="str">
        <f>Dsum!B23</f>
        <v>Shreveport</v>
      </c>
      <c r="C23" s="218">
        <v>1</v>
      </c>
      <c r="D23" s="218">
        <v>4</v>
      </c>
      <c r="E23" s="218">
        <v>50</v>
      </c>
      <c r="F23" s="218">
        <v>8</v>
      </c>
      <c r="G23" s="218">
        <v>2</v>
      </c>
      <c r="H23" s="218"/>
      <c r="I23" s="218">
        <v>2</v>
      </c>
      <c r="J23" s="219">
        <f>SUM(C23:I23)</f>
        <v>67</v>
      </c>
      <c r="K23" s="15">
        <f>ROUND($C$11*C23,2)+ROUND($D$11*D23,2)+ROUND($E$11*E23,2)+ROUND($F$11*F23,2)+ROUND($G$11*G23,2)+ROUND($H$11*H23,2)+ROUND($I$11*I23,2)</f>
        <v>2070.51</v>
      </c>
    </row>
    <row r="24" spans="1:11" ht="29.25" customHeight="1" thickBot="1">
      <c r="A24" s="154"/>
      <c r="B24" s="51" t="s">
        <v>68</v>
      </c>
      <c r="C24" s="220">
        <f aca="true" t="shared" si="0" ref="C24:K24">SUM(C12:C23)</f>
        <v>12</v>
      </c>
      <c r="D24" s="220">
        <f t="shared" si="0"/>
        <v>48</v>
      </c>
      <c r="E24" s="220">
        <f t="shared" si="0"/>
        <v>600</v>
      </c>
      <c r="F24" s="220">
        <f t="shared" si="0"/>
        <v>96</v>
      </c>
      <c r="G24" s="220">
        <f t="shared" si="0"/>
        <v>24</v>
      </c>
      <c r="H24" s="220">
        <f t="shared" si="0"/>
        <v>0</v>
      </c>
      <c r="I24" s="221">
        <f t="shared" si="0"/>
        <v>24</v>
      </c>
      <c r="J24" s="222">
        <f t="shared" si="0"/>
        <v>804</v>
      </c>
      <c r="K24" s="54">
        <f t="shared" si="0"/>
        <v>24846.12000000001</v>
      </c>
    </row>
    <row r="25" ht="15.75" thickTop="1"/>
    <row r="29" ht="15">
      <c r="B29" s="240"/>
    </row>
    <row r="30" ht="15">
      <c r="B30" s="240"/>
    </row>
    <row r="31" ht="15">
      <c r="B31" s="240"/>
    </row>
    <row r="68" spans="3:5" ht="15">
      <c r="C68" s="67"/>
      <c r="D68" s="104"/>
      <c r="E68" s="103"/>
    </row>
    <row r="69" ht="15">
      <c r="D69" s="105"/>
    </row>
    <row r="70" ht="15">
      <c r="D70" s="105"/>
    </row>
    <row r="71" ht="15">
      <c r="D71" s="105"/>
    </row>
    <row r="72" ht="15">
      <c r="D72" s="105"/>
    </row>
  </sheetData>
  <printOptions horizontalCentered="1"/>
  <pageMargins left="0.5" right="0.5" top="1" bottom="1" header="0.5" footer="0.5"/>
  <pageSetup fitToHeight="1" fitToWidth="1" horizontalDpi="300" verticalDpi="300" orientation="landscape" scale="84" r:id="rId1"/>
  <headerFooter alignWithMargins="0">
    <oddFooter>&amp;L&amp;"CG Times,Regular"&amp;11&amp;F&amp;R&amp;"Arial,Bold"CONFIDENTIAL - For NOAA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Zeros="0" zoomScale="75" zoomScaleNormal="75" workbookViewId="0" topLeftCell="A1">
      <selection activeCell="D31" sqref="D31"/>
    </sheetView>
  </sheetViews>
  <sheetFormatPr defaultColWidth="9.140625" defaultRowHeight="12.75"/>
  <cols>
    <col min="1" max="1" width="13.140625" style="14" customWidth="1"/>
    <col min="2" max="2" width="35.7109375" style="14" customWidth="1"/>
    <col min="3" max="3" width="6.421875" style="14" customWidth="1"/>
    <col min="4" max="4" width="9.57421875" style="14" customWidth="1"/>
    <col min="5" max="5" width="9.140625" style="14" customWidth="1"/>
    <col min="6" max="6" width="5.421875" style="14" customWidth="1"/>
    <col min="7" max="7" width="13.00390625" style="14" customWidth="1"/>
    <col min="8" max="8" width="5.7109375" style="14" customWidth="1"/>
    <col min="9" max="9" width="15.421875" style="14" customWidth="1"/>
    <col min="10" max="10" width="10.00390625" style="14" customWidth="1"/>
    <col min="11" max="11" width="11.7109375" style="14" customWidth="1"/>
    <col min="12" max="12" width="6.7109375" style="14" customWidth="1"/>
    <col min="13" max="13" width="10.28125" style="14" customWidth="1"/>
    <col min="14" max="14" width="10.140625" style="14" customWidth="1"/>
    <col min="15" max="15" width="11.140625" style="14" customWidth="1"/>
    <col min="16" max="16384" width="9.140625" style="14" customWidth="1"/>
  </cols>
  <sheetData>
    <row r="1" spans="1:11" s="5" customFormat="1" ht="14.25">
      <c r="A1" s="48" t="s">
        <v>140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 ht="14.25">
      <c r="A2" s="48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14.25">
      <c r="A3" s="48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5" customFormat="1" ht="14.25">
      <c r="A4" s="48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5" customFormat="1" ht="14.25">
      <c r="A5" s="48"/>
      <c r="B5" s="4"/>
      <c r="C5" s="4"/>
      <c r="D5" s="4"/>
      <c r="E5" s="4"/>
      <c r="F5" s="4"/>
      <c r="G5" s="4"/>
      <c r="H5" s="4"/>
      <c r="I5" s="4"/>
      <c r="J5" s="4"/>
      <c r="K5" s="4"/>
    </row>
    <row r="6" ht="15">
      <c r="A6" s="49"/>
    </row>
    <row r="7" spans="1:15" ht="15">
      <c r="A7" s="56" t="str">
        <f>'Sum P1'!A7</f>
        <v>Project:</v>
      </c>
      <c r="B7" s="77" t="str">
        <f>'Sum P1'!B7</f>
        <v>NWS Southern Region Facilities SPCC Plans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 ht="15.75" thickBot="1">
      <c r="A8" s="59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 ht="20.25" customHeight="1" thickTop="1">
      <c r="A9" s="151"/>
      <c r="B9" s="123"/>
      <c r="C9" s="174" t="s">
        <v>107</v>
      </c>
      <c r="D9" s="174"/>
      <c r="E9" s="175"/>
      <c r="F9" s="174" t="s">
        <v>109</v>
      </c>
      <c r="G9" s="175"/>
      <c r="H9" s="174" t="s">
        <v>110</v>
      </c>
      <c r="I9" s="175"/>
      <c r="J9" s="174" t="s">
        <v>75</v>
      </c>
      <c r="K9" s="175"/>
      <c r="L9" s="174" t="s">
        <v>76</v>
      </c>
      <c r="M9" s="175"/>
      <c r="N9" s="176"/>
      <c r="O9" s="126" t="s">
        <v>34</v>
      </c>
    </row>
    <row r="10" spans="1:15" ht="16.5" customHeight="1">
      <c r="A10" s="152"/>
      <c r="B10" s="138"/>
      <c r="C10" s="177"/>
      <c r="D10" s="177" t="s">
        <v>77</v>
      </c>
      <c r="E10" s="138"/>
      <c r="F10" s="177"/>
      <c r="G10" s="138" t="s">
        <v>34</v>
      </c>
      <c r="H10" s="178"/>
      <c r="I10" s="138" t="s">
        <v>34</v>
      </c>
      <c r="J10" s="177" t="s">
        <v>78</v>
      </c>
      <c r="K10" s="138" t="s">
        <v>34</v>
      </c>
      <c r="L10" s="177"/>
      <c r="M10" s="138" t="s">
        <v>34</v>
      </c>
      <c r="N10" s="138" t="s">
        <v>79</v>
      </c>
      <c r="O10" s="179" t="s">
        <v>63</v>
      </c>
    </row>
    <row r="11" spans="1:15" ht="17.25">
      <c r="A11" s="153" t="s">
        <v>61</v>
      </c>
      <c r="B11" s="142" t="s">
        <v>62</v>
      </c>
      <c r="C11" s="180" t="s">
        <v>94</v>
      </c>
      <c r="D11" s="180" t="s">
        <v>81</v>
      </c>
      <c r="E11" s="181" t="s">
        <v>34</v>
      </c>
      <c r="F11" s="180" t="s">
        <v>94</v>
      </c>
      <c r="G11" s="182">
        <f>Rates!A11</f>
        <v>100</v>
      </c>
      <c r="H11" s="183" t="s">
        <v>94</v>
      </c>
      <c r="I11" s="184">
        <f>Rates!A12</f>
        <v>50</v>
      </c>
      <c r="J11" s="185" t="s">
        <v>82</v>
      </c>
      <c r="K11" s="184">
        <f>Rates!A13</f>
        <v>100</v>
      </c>
      <c r="L11" s="185" t="s">
        <v>80</v>
      </c>
      <c r="M11" s="186">
        <f>Rates!A10</f>
        <v>0.365</v>
      </c>
      <c r="N11" s="187" t="s">
        <v>111</v>
      </c>
      <c r="O11" s="188" t="s">
        <v>59</v>
      </c>
    </row>
    <row r="12" spans="1:15" ht="15">
      <c r="A12" s="197" t="str">
        <f>Dsum!A12</f>
        <v>1</v>
      </c>
      <c r="B12" s="202" t="str">
        <f>Dsum!B12</f>
        <v>Lubbock</v>
      </c>
      <c r="C12" s="60">
        <v>1</v>
      </c>
      <c r="D12" s="38">
        <v>500</v>
      </c>
      <c r="E12" s="61">
        <f>ROUND(C12*D12,2)</f>
        <v>500</v>
      </c>
      <c r="F12" s="60">
        <v>1</v>
      </c>
      <c r="G12" s="61">
        <f>ROUND($G$11*F12,2)</f>
        <v>100</v>
      </c>
      <c r="H12" s="82">
        <v>2</v>
      </c>
      <c r="I12" s="61">
        <f>ROUND($I$11*H12,2)</f>
        <v>100</v>
      </c>
      <c r="J12" s="60">
        <v>2</v>
      </c>
      <c r="K12" s="61">
        <f>ROUND($K$11*J12,2)</f>
        <v>200</v>
      </c>
      <c r="L12" s="60">
        <v>0</v>
      </c>
      <c r="M12" s="61">
        <f>ROUND(L12*$M$11,2)</f>
        <v>0</v>
      </c>
      <c r="N12" s="62"/>
      <c r="O12" s="15">
        <f>E12+G12+I12+K12+M12+N12</f>
        <v>900</v>
      </c>
    </row>
    <row r="13" spans="1:15" ht="15">
      <c r="A13" s="197">
        <f>Dsum!A13</f>
        <v>2</v>
      </c>
      <c r="B13" s="202" t="str">
        <f>Dsum!B13</f>
        <v>San Angelo</v>
      </c>
      <c r="C13" s="60">
        <v>1</v>
      </c>
      <c r="D13" s="38">
        <v>500</v>
      </c>
      <c r="E13" s="61">
        <f>ROUND(C13*D13,2)</f>
        <v>500</v>
      </c>
      <c r="F13" s="60">
        <v>1</v>
      </c>
      <c r="G13" s="61">
        <f aca="true" t="shared" si="0" ref="G13:G23">ROUND($G$11*F13,2)</f>
        <v>100</v>
      </c>
      <c r="H13" s="82">
        <v>2</v>
      </c>
      <c r="I13" s="61">
        <f aca="true" t="shared" si="1" ref="I13:I23">ROUND($I$11*H13,2)</f>
        <v>100</v>
      </c>
      <c r="J13" s="60">
        <v>2</v>
      </c>
      <c r="K13" s="61">
        <f>ROUND($K$11*J13,2)</f>
        <v>200</v>
      </c>
      <c r="L13" s="60">
        <v>0</v>
      </c>
      <c r="M13" s="61">
        <f aca="true" t="shared" si="2" ref="M13:M23">ROUND(L13*$M$11,2)</f>
        <v>0</v>
      </c>
      <c r="N13" s="62">
        <v>0</v>
      </c>
      <c r="O13" s="15">
        <f>E13+G13+I13+K13+M13+N13</f>
        <v>900</v>
      </c>
    </row>
    <row r="14" spans="1:15" ht="15">
      <c r="A14" s="197">
        <f>Dsum!A14</f>
        <v>3</v>
      </c>
      <c r="B14" s="202" t="str">
        <f>Dsum!B14</f>
        <v>Tulsa</v>
      </c>
      <c r="C14" s="60">
        <v>1</v>
      </c>
      <c r="D14" s="38">
        <v>500</v>
      </c>
      <c r="E14" s="61">
        <f>ROUND(C14*D14,2)</f>
        <v>500</v>
      </c>
      <c r="F14" s="60">
        <v>1</v>
      </c>
      <c r="G14" s="61">
        <f t="shared" si="0"/>
        <v>100</v>
      </c>
      <c r="H14" s="82">
        <v>2</v>
      </c>
      <c r="I14" s="61">
        <f t="shared" si="1"/>
        <v>100</v>
      </c>
      <c r="J14" s="60">
        <v>2</v>
      </c>
      <c r="K14" s="61">
        <f aca="true" t="shared" si="3" ref="K14:K23">ROUND($K$11*J14,2)</f>
        <v>200</v>
      </c>
      <c r="L14" s="60">
        <v>0</v>
      </c>
      <c r="M14" s="61">
        <f t="shared" si="2"/>
        <v>0</v>
      </c>
      <c r="N14" s="62"/>
      <c r="O14" s="15">
        <f>E14+G14+I14+K14+M14+N14</f>
        <v>900</v>
      </c>
    </row>
    <row r="15" spans="1:15" ht="15">
      <c r="A15" s="197">
        <f>Dsum!A15</f>
        <v>4</v>
      </c>
      <c r="B15" s="202" t="str">
        <f>Dsum!B15</f>
        <v>Norman</v>
      </c>
      <c r="C15" s="60">
        <v>1</v>
      </c>
      <c r="D15" s="38">
        <v>500</v>
      </c>
      <c r="E15" s="61">
        <f>ROUND(C15*D15,2)</f>
        <v>500</v>
      </c>
      <c r="F15" s="60">
        <v>1</v>
      </c>
      <c r="G15" s="61">
        <f t="shared" si="0"/>
        <v>100</v>
      </c>
      <c r="H15" s="82">
        <v>2</v>
      </c>
      <c r="I15" s="61">
        <f t="shared" si="1"/>
        <v>100</v>
      </c>
      <c r="J15" s="60">
        <v>2</v>
      </c>
      <c r="K15" s="61">
        <f t="shared" si="3"/>
        <v>200</v>
      </c>
      <c r="L15" s="60">
        <v>0</v>
      </c>
      <c r="M15" s="61">
        <f t="shared" si="2"/>
        <v>0</v>
      </c>
      <c r="N15" s="62"/>
      <c r="O15" s="15">
        <f>E15+G15+I15+K15+M15+N15</f>
        <v>900</v>
      </c>
    </row>
    <row r="16" spans="1:15" ht="15">
      <c r="A16" s="197">
        <f>Dsum!A16</f>
        <v>5</v>
      </c>
      <c r="B16" s="202" t="str">
        <f>Dsum!B16</f>
        <v>Memphis</v>
      </c>
      <c r="C16" s="60">
        <v>1</v>
      </c>
      <c r="D16" s="38">
        <v>500</v>
      </c>
      <c r="E16" s="61">
        <f>ROUND(C16*D16,2)</f>
        <v>500</v>
      </c>
      <c r="F16" s="60">
        <v>1</v>
      </c>
      <c r="G16" s="61">
        <f t="shared" si="0"/>
        <v>100</v>
      </c>
      <c r="H16" s="82">
        <v>2</v>
      </c>
      <c r="I16" s="61">
        <f t="shared" si="1"/>
        <v>100</v>
      </c>
      <c r="J16" s="60">
        <v>2</v>
      </c>
      <c r="K16" s="61">
        <f t="shared" si="3"/>
        <v>200</v>
      </c>
      <c r="L16" s="60">
        <v>0</v>
      </c>
      <c r="M16" s="61">
        <f t="shared" si="2"/>
        <v>0</v>
      </c>
      <c r="N16" s="62"/>
      <c r="O16" s="15">
        <f>E16+G16+I16+K16+M16+N16</f>
        <v>900</v>
      </c>
    </row>
    <row r="17" spans="1:15" ht="15">
      <c r="A17" s="197">
        <f>Dsum!A17</f>
        <v>6</v>
      </c>
      <c r="B17" s="202" t="str">
        <f>Dsum!B17</f>
        <v>San Juan Huntsville</v>
      </c>
      <c r="C17" s="60">
        <v>1</v>
      </c>
      <c r="D17" s="38">
        <v>500</v>
      </c>
      <c r="E17" s="61">
        <f aca="true" t="shared" si="4" ref="E17:E23">ROUND(C17*D17,2)</f>
        <v>500</v>
      </c>
      <c r="F17" s="60">
        <v>1</v>
      </c>
      <c r="G17" s="61">
        <f t="shared" si="0"/>
        <v>100</v>
      </c>
      <c r="H17" s="82">
        <v>2</v>
      </c>
      <c r="I17" s="61">
        <f t="shared" si="1"/>
        <v>100</v>
      </c>
      <c r="J17" s="60">
        <v>2</v>
      </c>
      <c r="K17" s="61">
        <f t="shared" si="3"/>
        <v>200</v>
      </c>
      <c r="L17" s="60">
        <v>0</v>
      </c>
      <c r="M17" s="61">
        <f t="shared" si="2"/>
        <v>0</v>
      </c>
      <c r="N17" s="62"/>
      <c r="O17" s="15">
        <f aca="true" t="shared" si="5" ref="O17:O23">E17+G17+I17+K17+M17+N17</f>
        <v>900</v>
      </c>
    </row>
    <row r="18" spans="1:15" ht="15">
      <c r="A18" s="197">
        <f>Dsum!A18</f>
        <v>7</v>
      </c>
      <c r="B18" s="202" t="str">
        <f>Dsum!B18</f>
        <v>Melbourne</v>
      </c>
      <c r="C18" s="60">
        <v>1</v>
      </c>
      <c r="D18" s="38">
        <v>500</v>
      </c>
      <c r="E18" s="61">
        <f t="shared" si="4"/>
        <v>500</v>
      </c>
      <c r="F18" s="60">
        <v>1</v>
      </c>
      <c r="G18" s="61">
        <f t="shared" si="0"/>
        <v>100</v>
      </c>
      <c r="H18" s="82">
        <v>2</v>
      </c>
      <c r="I18" s="61">
        <f t="shared" si="1"/>
        <v>100</v>
      </c>
      <c r="J18" s="60">
        <v>2</v>
      </c>
      <c r="K18" s="61">
        <f t="shared" si="3"/>
        <v>200</v>
      </c>
      <c r="L18" s="60">
        <v>0</v>
      </c>
      <c r="M18" s="61">
        <f t="shared" si="2"/>
        <v>0</v>
      </c>
      <c r="N18" s="62"/>
      <c r="O18" s="15">
        <f t="shared" si="5"/>
        <v>900</v>
      </c>
    </row>
    <row r="19" spans="1:15" ht="15">
      <c r="A19" s="197">
        <f>Dsum!A19</f>
        <v>8</v>
      </c>
      <c r="B19" s="202" t="str">
        <f>Dsum!B19</f>
        <v>Amarillo</v>
      </c>
      <c r="C19" s="60">
        <v>1</v>
      </c>
      <c r="D19" s="38">
        <v>500</v>
      </c>
      <c r="E19" s="61">
        <f t="shared" si="4"/>
        <v>500</v>
      </c>
      <c r="F19" s="60">
        <v>1</v>
      </c>
      <c r="G19" s="61">
        <f t="shared" si="0"/>
        <v>100</v>
      </c>
      <c r="H19" s="82">
        <v>2</v>
      </c>
      <c r="I19" s="61">
        <f t="shared" si="1"/>
        <v>100</v>
      </c>
      <c r="J19" s="60">
        <v>2</v>
      </c>
      <c r="K19" s="61">
        <f t="shared" si="3"/>
        <v>200</v>
      </c>
      <c r="L19" s="60">
        <v>0</v>
      </c>
      <c r="M19" s="61">
        <f t="shared" si="2"/>
        <v>0</v>
      </c>
      <c r="N19" s="62"/>
      <c r="O19" s="15">
        <f t="shared" si="5"/>
        <v>900</v>
      </c>
    </row>
    <row r="20" spans="1:15" ht="15">
      <c r="A20" s="197">
        <f>Dsum!A20</f>
        <v>9</v>
      </c>
      <c r="B20" s="202" t="str">
        <f>Dsum!B20</f>
        <v>Nashville</v>
      </c>
      <c r="C20" s="60">
        <v>1</v>
      </c>
      <c r="D20" s="38">
        <v>500</v>
      </c>
      <c r="E20" s="61">
        <f t="shared" si="4"/>
        <v>500</v>
      </c>
      <c r="F20" s="60">
        <v>1</v>
      </c>
      <c r="G20" s="61">
        <f t="shared" si="0"/>
        <v>100</v>
      </c>
      <c r="H20" s="82">
        <v>2</v>
      </c>
      <c r="I20" s="61">
        <f t="shared" si="1"/>
        <v>100</v>
      </c>
      <c r="J20" s="60">
        <v>2</v>
      </c>
      <c r="K20" s="61">
        <f t="shared" si="3"/>
        <v>200</v>
      </c>
      <c r="L20" s="60">
        <v>0</v>
      </c>
      <c r="M20" s="61">
        <f t="shared" si="2"/>
        <v>0</v>
      </c>
      <c r="N20" s="62"/>
      <c r="O20" s="15">
        <f t="shared" si="5"/>
        <v>900</v>
      </c>
    </row>
    <row r="21" spans="1:15" ht="15">
      <c r="A21" s="197">
        <f>Dsum!A21</f>
        <v>10</v>
      </c>
      <c r="B21" s="202" t="str">
        <f>Dsum!B21</f>
        <v>Mobile</v>
      </c>
      <c r="C21" s="60">
        <v>1</v>
      </c>
      <c r="D21" s="38">
        <v>500</v>
      </c>
      <c r="E21" s="61">
        <f t="shared" si="4"/>
        <v>500</v>
      </c>
      <c r="F21" s="60">
        <v>1</v>
      </c>
      <c r="G21" s="61">
        <f t="shared" si="0"/>
        <v>100</v>
      </c>
      <c r="H21" s="82">
        <v>2</v>
      </c>
      <c r="I21" s="61">
        <f t="shared" si="1"/>
        <v>100</v>
      </c>
      <c r="J21" s="60">
        <v>2</v>
      </c>
      <c r="K21" s="61">
        <f t="shared" si="3"/>
        <v>200</v>
      </c>
      <c r="L21" s="60">
        <v>0</v>
      </c>
      <c r="M21" s="61">
        <f t="shared" si="2"/>
        <v>0</v>
      </c>
      <c r="N21" s="62"/>
      <c r="O21" s="15">
        <f t="shared" si="5"/>
        <v>900</v>
      </c>
    </row>
    <row r="22" spans="1:15" ht="15">
      <c r="A22" s="197">
        <f>Dsum!A22</f>
        <v>11</v>
      </c>
      <c r="B22" s="202" t="str">
        <f>Dsum!B22</f>
        <v>Austin/San Antonio</v>
      </c>
      <c r="C22" s="60">
        <v>1</v>
      </c>
      <c r="D22" s="38">
        <v>500</v>
      </c>
      <c r="E22" s="61">
        <f t="shared" si="4"/>
        <v>500</v>
      </c>
      <c r="F22" s="60">
        <v>1</v>
      </c>
      <c r="G22" s="61">
        <f t="shared" si="0"/>
        <v>100</v>
      </c>
      <c r="H22" s="82">
        <v>2</v>
      </c>
      <c r="I22" s="61">
        <f t="shared" si="1"/>
        <v>100</v>
      </c>
      <c r="J22" s="60">
        <v>2</v>
      </c>
      <c r="K22" s="61">
        <f t="shared" si="3"/>
        <v>200</v>
      </c>
      <c r="L22" s="60">
        <v>0</v>
      </c>
      <c r="M22" s="61">
        <f t="shared" si="2"/>
        <v>0</v>
      </c>
      <c r="N22" s="62"/>
      <c r="O22" s="15">
        <f t="shared" si="5"/>
        <v>900</v>
      </c>
    </row>
    <row r="23" spans="1:15" ht="15.75" thickBot="1">
      <c r="A23" s="197">
        <f>Dsum!A23</f>
        <v>12</v>
      </c>
      <c r="B23" s="202" t="str">
        <f>Dsum!B23</f>
        <v>Shreveport</v>
      </c>
      <c r="C23" s="60">
        <v>1</v>
      </c>
      <c r="D23" s="38">
        <v>500</v>
      </c>
      <c r="E23" s="61">
        <f t="shared" si="4"/>
        <v>500</v>
      </c>
      <c r="F23" s="60">
        <v>1</v>
      </c>
      <c r="G23" s="61">
        <f t="shared" si="0"/>
        <v>100</v>
      </c>
      <c r="H23" s="82">
        <v>2</v>
      </c>
      <c r="I23" s="61">
        <f t="shared" si="1"/>
        <v>100</v>
      </c>
      <c r="J23" s="60">
        <v>2</v>
      </c>
      <c r="K23" s="61">
        <f t="shared" si="3"/>
        <v>200</v>
      </c>
      <c r="L23" s="60">
        <v>0</v>
      </c>
      <c r="M23" s="61">
        <f t="shared" si="2"/>
        <v>0</v>
      </c>
      <c r="N23" s="62"/>
      <c r="O23" s="15">
        <f t="shared" si="5"/>
        <v>900</v>
      </c>
    </row>
    <row r="24" spans="1:15" ht="34.5" customHeight="1" thickBot="1">
      <c r="A24" s="154"/>
      <c r="B24" s="51" t="s">
        <v>68</v>
      </c>
      <c r="C24" s="63">
        <f>SUM(C12:C23)</f>
        <v>12</v>
      </c>
      <c r="D24" s="52"/>
      <c r="E24" s="53">
        <f aca="true" t="shared" si="6" ref="E24:O24">SUM(E12:E23)</f>
        <v>6000</v>
      </c>
      <c r="F24" s="63">
        <f t="shared" si="6"/>
        <v>12</v>
      </c>
      <c r="G24" s="53">
        <f t="shared" si="6"/>
        <v>1200</v>
      </c>
      <c r="H24" s="63">
        <f t="shared" si="6"/>
        <v>24</v>
      </c>
      <c r="I24" s="53">
        <f t="shared" si="6"/>
        <v>1200</v>
      </c>
      <c r="J24" s="63">
        <f t="shared" si="6"/>
        <v>24</v>
      </c>
      <c r="K24" s="53">
        <f t="shared" si="6"/>
        <v>2400</v>
      </c>
      <c r="L24" s="63">
        <f t="shared" si="6"/>
        <v>0</v>
      </c>
      <c r="M24" s="53">
        <f t="shared" si="6"/>
        <v>0</v>
      </c>
      <c r="N24" s="53">
        <f t="shared" si="6"/>
        <v>0</v>
      </c>
      <c r="O24" s="54">
        <f t="shared" si="6"/>
        <v>10800</v>
      </c>
    </row>
    <row r="25" spans="1:3" ht="15.75" thickTop="1">
      <c r="A25" s="49"/>
      <c r="C25" s="55"/>
    </row>
    <row r="26" ht="15">
      <c r="A26" s="14" t="s">
        <v>113</v>
      </c>
    </row>
    <row r="28" spans="1:15" ht="18">
      <c r="A28" s="80" t="s">
        <v>112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ht="18">
      <c r="A29" s="80" t="s">
        <v>114</v>
      </c>
    </row>
    <row r="32" spans="2:6" ht="15">
      <c r="B32" s="229"/>
      <c r="C32" s="81"/>
      <c r="F32" s="67"/>
    </row>
    <row r="33" spans="2:6" ht="15">
      <c r="B33" s="230"/>
      <c r="C33" s="81"/>
      <c r="F33" s="67"/>
    </row>
    <row r="34" spans="2:6" ht="15">
      <c r="B34" s="230"/>
      <c r="C34" s="81"/>
      <c r="F34" s="67"/>
    </row>
    <row r="35" spans="2:6" ht="15">
      <c r="B35" s="230"/>
      <c r="C35" s="81"/>
      <c r="F35" s="67"/>
    </row>
    <row r="36" spans="2:6" ht="15">
      <c r="B36" s="230"/>
      <c r="C36" s="81"/>
      <c r="F36" s="67"/>
    </row>
    <row r="37" spans="2:6" ht="15">
      <c r="B37" s="230"/>
      <c r="C37" s="81"/>
      <c r="F37" s="67"/>
    </row>
    <row r="38" spans="2:6" ht="15">
      <c r="B38" s="230"/>
      <c r="C38" s="81"/>
      <c r="F38" s="67"/>
    </row>
    <row r="39" spans="2:6" ht="15">
      <c r="B39" s="230"/>
      <c r="C39" s="81"/>
      <c r="F39" s="67"/>
    </row>
    <row r="68" spans="3:5" ht="15">
      <c r="C68" s="67"/>
      <c r="D68" s="104"/>
      <c r="E68" s="103"/>
    </row>
    <row r="69" ht="15">
      <c r="D69" s="105"/>
    </row>
    <row r="70" ht="15">
      <c r="D70" s="105"/>
    </row>
    <row r="71" ht="15">
      <c r="D71" s="105"/>
    </row>
    <row r="72" ht="15">
      <c r="D72" s="105"/>
    </row>
  </sheetData>
  <printOptions horizontalCentered="1"/>
  <pageMargins left="1" right="1" top="1" bottom="1" header="0.5" footer="0.5"/>
  <pageSetup fitToHeight="1" fitToWidth="1" horizontalDpi="300" verticalDpi="300" orientation="landscape" scale="67" r:id="rId1"/>
  <headerFooter alignWithMargins="0">
    <oddFooter>&amp;L&amp;"CG Times,Regular"&amp;11&amp;F&amp;R&amp;"Arial,Bold"CONFIDENTIAL - For NOAA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Zeros="0" zoomScale="75" zoomScaleNormal="75" workbookViewId="0" topLeftCell="A1">
      <selection activeCell="I28" sqref="I28"/>
    </sheetView>
  </sheetViews>
  <sheetFormatPr defaultColWidth="9.140625" defaultRowHeight="12.75"/>
  <cols>
    <col min="1" max="1" width="12.8515625" style="14" customWidth="1"/>
    <col min="2" max="2" width="33.7109375" style="14" customWidth="1"/>
    <col min="3" max="3" width="8.140625" style="14" customWidth="1"/>
    <col min="4" max="4" width="7.57421875" style="14" customWidth="1"/>
    <col min="5" max="5" width="9.140625" style="14" customWidth="1"/>
    <col min="6" max="6" width="11.140625" style="14" customWidth="1"/>
    <col min="7" max="7" width="8.421875" style="14" customWidth="1"/>
    <col min="8" max="8" width="11.140625" style="14" customWidth="1"/>
    <col min="9" max="9" width="9.140625" style="14" customWidth="1"/>
    <col min="10" max="10" width="10.421875" style="14" customWidth="1"/>
    <col min="11" max="11" width="17.140625" style="203" customWidth="1"/>
    <col min="12" max="12" width="13.7109375" style="14" customWidth="1"/>
    <col min="13" max="16384" width="9.140625" style="14" customWidth="1"/>
  </cols>
  <sheetData>
    <row r="1" spans="1:11" s="5" customFormat="1" ht="14.25">
      <c r="A1" s="48" t="s">
        <v>141</v>
      </c>
      <c r="B1" s="4"/>
      <c r="C1" s="4"/>
      <c r="D1" s="4"/>
      <c r="E1" s="4"/>
      <c r="F1" s="4"/>
      <c r="G1" s="4"/>
      <c r="H1" s="4"/>
      <c r="I1" s="4"/>
      <c r="J1" s="4"/>
      <c r="K1" s="204"/>
    </row>
    <row r="2" spans="1:11" s="5" customFormat="1" ht="14.25">
      <c r="A2" s="48"/>
      <c r="B2" s="4"/>
      <c r="C2" s="4"/>
      <c r="D2" s="4"/>
      <c r="E2" s="4"/>
      <c r="F2" s="4"/>
      <c r="G2" s="4"/>
      <c r="H2" s="4"/>
      <c r="I2" s="4"/>
      <c r="J2" s="4"/>
      <c r="K2" s="204"/>
    </row>
    <row r="3" spans="1:11" s="5" customFormat="1" ht="14.25">
      <c r="A3" s="48" t="s">
        <v>55</v>
      </c>
      <c r="B3" s="4"/>
      <c r="C3" s="4"/>
      <c r="D3" s="4"/>
      <c r="E3" s="4"/>
      <c r="F3" s="4"/>
      <c r="G3" s="4"/>
      <c r="H3" s="4"/>
      <c r="I3" s="4"/>
      <c r="J3" s="4"/>
      <c r="K3" s="204"/>
    </row>
    <row r="4" spans="1:11" s="5" customFormat="1" ht="14.25">
      <c r="A4" s="48" t="s">
        <v>45</v>
      </c>
      <c r="B4" s="4"/>
      <c r="C4" s="4"/>
      <c r="D4" s="4"/>
      <c r="E4" s="4"/>
      <c r="F4" s="4"/>
      <c r="G4" s="4"/>
      <c r="H4" s="4"/>
      <c r="I4" s="4"/>
      <c r="J4" s="4"/>
      <c r="K4" s="204"/>
    </row>
    <row r="5" spans="1:11" s="5" customFormat="1" ht="14.25">
      <c r="A5" s="48"/>
      <c r="B5" s="4"/>
      <c r="C5" s="4"/>
      <c r="D5" s="4"/>
      <c r="E5" s="4"/>
      <c r="F5" s="4"/>
      <c r="G5" s="4"/>
      <c r="H5" s="4"/>
      <c r="I5" s="4"/>
      <c r="J5" s="4"/>
      <c r="K5" s="204"/>
    </row>
    <row r="6" ht="15">
      <c r="A6" s="49"/>
    </row>
    <row r="7" spans="1:12" ht="15">
      <c r="A7" s="56" t="str">
        <f>'Sum P1'!A7</f>
        <v>Project:</v>
      </c>
      <c r="B7" s="78" t="str">
        <f>'Sum P1'!B7</f>
        <v>NWS Southern Region Facilities SPCC Plans</v>
      </c>
      <c r="C7" s="57"/>
      <c r="D7" s="57"/>
      <c r="E7" s="57"/>
      <c r="F7" s="57"/>
      <c r="G7" s="57"/>
      <c r="H7" s="57"/>
      <c r="I7" s="57"/>
      <c r="J7" s="57"/>
      <c r="K7" s="205"/>
      <c r="L7" s="57"/>
    </row>
    <row r="8" spans="1:12" ht="15.75" thickBot="1">
      <c r="A8" s="59"/>
      <c r="B8" s="57"/>
      <c r="C8" s="57"/>
      <c r="D8" s="57"/>
      <c r="E8" s="57"/>
      <c r="F8" s="57"/>
      <c r="G8" s="57"/>
      <c r="H8" s="57"/>
      <c r="I8" s="57"/>
      <c r="J8" s="57"/>
      <c r="K8" s="205"/>
      <c r="L8" s="57"/>
    </row>
    <row r="9" spans="1:12" ht="34.5" customHeight="1" thickTop="1">
      <c r="A9" s="151"/>
      <c r="B9" s="123"/>
      <c r="C9" s="174" t="s">
        <v>83</v>
      </c>
      <c r="D9" s="175"/>
      <c r="E9" s="174" t="s">
        <v>95</v>
      </c>
      <c r="F9" s="175"/>
      <c r="G9" s="189" t="s">
        <v>84</v>
      </c>
      <c r="H9" s="175"/>
      <c r="I9" s="174" t="s">
        <v>85</v>
      </c>
      <c r="J9" s="175"/>
      <c r="K9" s="206" t="s">
        <v>86</v>
      </c>
      <c r="L9" s="190" t="s">
        <v>34</v>
      </c>
    </row>
    <row r="10" spans="1:12" ht="16.5" customHeight="1">
      <c r="A10" s="152"/>
      <c r="B10" s="138"/>
      <c r="C10" s="191">
        <f>Rates!A6</f>
        <v>0.07</v>
      </c>
      <c r="D10" s="138" t="s">
        <v>97</v>
      </c>
      <c r="E10" s="191">
        <f>Rates!A7</f>
        <v>5</v>
      </c>
      <c r="F10" s="138" t="s">
        <v>97</v>
      </c>
      <c r="G10" s="191">
        <f>Rates!A8</f>
        <v>4.92</v>
      </c>
      <c r="H10" s="138" t="s">
        <v>96</v>
      </c>
      <c r="I10" s="191">
        <f>Rates!A9</f>
        <v>10</v>
      </c>
      <c r="J10" s="138" t="s">
        <v>97</v>
      </c>
      <c r="K10" s="207" t="s">
        <v>87</v>
      </c>
      <c r="L10" s="192" t="s">
        <v>88</v>
      </c>
    </row>
    <row r="11" spans="1:12" ht="15">
      <c r="A11" s="153" t="s">
        <v>61</v>
      </c>
      <c r="B11" s="142" t="s">
        <v>62</v>
      </c>
      <c r="C11" s="193" t="s">
        <v>94</v>
      </c>
      <c r="D11" s="194" t="s">
        <v>81</v>
      </c>
      <c r="E11" s="193" t="s">
        <v>94</v>
      </c>
      <c r="F11" s="194" t="s">
        <v>81</v>
      </c>
      <c r="G11" s="193" t="s">
        <v>94</v>
      </c>
      <c r="H11" s="194" t="s">
        <v>81</v>
      </c>
      <c r="I11" s="193" t="s">
        <v>94</v>
      </c>
      <c r="J11" s="194" t="s">
        <v>81</v>
      </c>
      <c r="K11" s="208" t="s">
        <v>89</v>
      </c>
      <c r="L11" s="195" t="s">
        <v>59</v>
      </c>
    </row>
    <row r="12" spans="1:12" ht="15">
      <c r="A12" s="199" t="str">
        <f>Dsum!A12</f>
        <v>1</v>
      </c>
      <c r="B12" s="201" t="str">
        <f>Dsum!B12</f>
        <v>Lubbock</v>
      </c>
      <c r="C12" s="60">
        <v>50</v>
      </c>
      <c r="D12" s="50">
        <f aca="true" t="shared" si="0" ref="D12:D23">ROUND(C12*$C$10,2)</f>
        <v>3.5</v>
      </c>
      <c r="E12" s="60">
        <v>2</v>
      </c>
      <c r="F12" s="50">
        <f aca="true" t="shared" si="1" ref="F12:F23">ROUND(E12*$E$10,2)</f>
        <v>10</v>
      </c>
      <c r="G12" s="218">
        <v>24</v>
      </c>
      <c r="H12" s="50">
        <f aca="true" t="shared" si="2" ref="H12:H23">ROUND(G12*$G$10,2)</f>
        <v>118.08</v>
      </c>
      <c r="I12" s="60">
        <v>5</v>
      </c>
      <c r="J12" s="50">
        <f>ROUND(I12*$I$10,2)</f>
        <v>50</v>
      </c>
      <c r="K12" s="209">
        <v>0</v>
      </c>
      <c r="L12" s="64">
        <f>D12+F12+H12+J12+K12</f>
        <v>181.57999999999998</v>
      </c>
    </row>
    <row r="13" spans="1:12" ht="15">
      <c r="A13" s="199">
        <f>Dsum!A13</f>
        <v>2</v>
      </c>
      <c r="B13" s="201" t="str">
        <f>Dsum!B13</f>
        <v>San Angelo</v>
      </c>
      <c r="C13" s="60">
        <v>50</v>
      </c>
      <c r="D13" s="50">
        <f t="shared" si="0"/>
        <v>3.5</v>
      </c>
      <c r="E13" s="60">
        <v>2</v>
      </c>
      <c r="F13" s="50">
        <f t="shared" si="1"/>
        <v>10</v>
      </c>
      <c r="G13" s="218">
        <v>24</v>
      </c>
      <c r="H13" s="50">
        <f t="shared" si="2"/>
        <v>118.08</v>
      </c>
      <c r="I13" s="60">
        <v>5</v>
      </c>
      <c r="J13" s="50">
        <f>ROUND(I13*$I$10,2)</f>
        <v>50</v>
      </c>
      <c r="K13" s="209">
        <v>0</v>
      </c>
      <c r="L13" s="64">
        <f>D13+F13+H13+J13+K13</f>
        <v>181.57999999999998</v>
      </c>
    </row>
    <row r="14" spans="1:12" ht="15">
      <c r="A14" s="199">
        <f>Dsum!A14</f>
        <v>3</v>
      </c>
      <c r="B14" s="201" t="str">
        <f>Dsum!B14</f>
        <v>Tulsa</v>
      </c>
      <c r="C14" s="60">
        <v>50</v>
      </c>
      <c r="D14" s="50">
        <f t="shared" si="0"/>
        <v>3.5</v>
      </c>
      <c r="E14" s="60">
        <v>2</v>
      </c>
      <c r="F14" s="50">
        <f t="shared" si="1"/>
        <v>10</v>
      </c>
      <c r="G14" s="218">
        <v>24</v>
      </c>
      <c r="H14" s="50">
        <f t="shared" si="2"/>
        <v>118.08</v>
      </c>
      <c r="I14" s="60">
        <v>5</v>
      </c>
      <c r="J14" s="50">
        <f>ROUND(I14*$I$10,2)</f>
        <v>50</v>
      </c>
      <c r="K14" s="209">
        <v>0</v>
      </c>
      <c r="L14" s="64">
        <f>D14+F14+H14+J14+K14</f>
        <v>181.57999999999998</v>
      </c>
    </row>
    <row r="15" spans="1:12" ht="15">
      <c r="A15" s="199">
        <f>Dsum!A15</f>
        <v>4</v>
      </c>
      <c r="B15" s="201" t="str">
        <f>Dsum!B15</f>
        <v>Norman</v>
      </c>
      <c r="C15" s="60">
        <v>50</v>
      </c>
      <c r="D15" s="50">
        <f t="shared" si="0"/>
        <v>3.5</v>
      </c>
      <c r="E15" s="60">
        <v>2</v>
      </c>
      <c r="F15" s="50">
        <f t="shared" si="1"/>
        <v>10</v>
      </c>
      <c r="G15" s="218">
        <v>24</v>
      </c>
      <c r="H15" s="50">
        <f t="shared" si="2"/>
        <v>118.08</v>
      </c>
      <c r="I15" s="60">
        <v>5</v>
      </c>
      <c r="J15" s="50">
        <f>ROUND(I15*$I$10,2)</f>
        <v>50</v>
      </c>
      <c r="K15" s="209">
        <v>0</v>
      </c>
      <c r="L15" s="64">
        <f>D15+F15+H15+J15+K15</f>
        <v>181.57999999999998</v>
      </c>
    </row>
    <row r="16" spans="1:12" ht="15">
      <c r="A16" s="199">
        <f>Dsum!A16</f>
        <v>5</v>
      </c>
      <c r="B16" s="201" t="str">
        <f>Dsum!B16</f>
        <v>Memphis</v>
      </c>
      <c r="C16" s="60">
        <v>50</v>
      </c>
      <c r="D16" s="50">
        <f t="shared" si="0"/>
        <v>3.5</v>
      </c>
      <c r="E16" s="60">
        <v>2</v>
      </c>
      <c r="F16" s="50">
        <f t="shared" si="1"/>
        <v>10</v>
      </c>
      <c r="G16" s="218">
        <v>24</v>
      </c>
      <c r="H16" s="50">
        <f t="shared" si="2"/>
        <v>118.08</v>
      </c>
      <c r="I16" s="60">
        <v>5</v>
      </c>
      <c r="J16" s="50">
        <f>ROUND(I16*Rates!$A$9,2)</f>
        <v>50</v>
      </c>
      <c r="K16" s="209">
        <v>0</v>
      </c>
      <c r="L16" s="64">
        <f>D16+F16+H16+J16+K16</f>
        <v>181.57999999999998</v>
      </c>
    </row>
    <row r="17" spans="1:12" ht="15">
      <c r="A17" s="199">
        <f>Dsum!A17</f>
        <v>6</v>
      </c>
      <c r="B17" s="201" t="str">
        <f>Dsum!B17</f>
        <v>San Juan Huntsville</v>
      </c>
      <c r="C17" s="60">
        <v>50</v>
      </c>
      <c r="D17" s="50">
        <f t="shared" si="0"/>
        <v>3.5</v>
      </c>
      <c r="E17" s="60">
        <v>2</v>
      </c>
      <c r="F17" s="50">
        <f t="shared" si="1"/>
        <v>10</v>
      </c>
      <c r="G17" s="218">
        <v>24</v>
      </c>
      <c r="H17" s="50">
        <f t="shared" si="2"/>
        <v>118.08</v>
      </c>
      <c r="I17" s="60">
        <v>5</v>
      </c>
      <c r="J17" s="50">
        <f>ROUND(I17*Rates!$A$9,2)</f>
        <v>50</v>
      </c>
      <c r="K17" s="209">
        <v>0</v>
      </c>
      <c r="L17" s="64">
        <f aca="true" t="shared" si="3" ref="L17:L23">D17+F17+H17+J17+K17</f>
        <v>181.57999999999998</v>
      </c>
    </row>
    <row r="18" spans="1:12" ht="15">
      <c r="A18" s="199">
        <f>Dsum!A18</f>
        <v>7</v>
      </c>
      <c r="B18" s="201" t="str">
        <f>Dsum!B18</f>
        <v>Melbourne</v>
      </c>
      <c r="C18" s="60">
        <v>50</v>
      </c>
      <c r="D18" s="50">
        <f t="shared" si="0"/>
        <v>3.5</v>
      </c>
      <c r="E18" s="60">
        <v>2</v>
      </c>
      <c r="F18" s="50">
        <f t="shared" si="1"/>
        <v>10</v>
      </c>
      <c r="G18" s="218">
        <v>24</v>
      </c>
      <c r="H18" s="50">
        <f t="shared" si="2"/>
        <v>118.08</v>
      </c>
      <c r="I18" s="60">
        <v>5</v>
      </c>
      <c r="J18" s="50">
        <f>ROUND(I18*Rates!$A$9,2)</f>
        <v>50</v>
      </c>
      <c r="K18" s="209">
        <v>0</v>
      </c>
      <c r="L18" s="64">
        <f t="shared" si="3"/>
        <v>181.57999999999998</v>
      </c>
    </row>
    <row r="19" spans="1:12" ht="15">
      <c r="A19" s="199">
        <f>Dsum!A19</f>
        <v>8</v>
      </c>
      <c r="B19" s="201" t="str">
        <f>Dsum!B19</f>
        <v>Amarillo</v>
      </c>
      <c r="C19" s="60">
        <v>50</v>
      </c>
      <c r="D19" s="50">
        <f t="shared" si="0"/>
        <v>3.5</v>
      </c>
      <c r="E19" s="60">
        <v>2</v>
      </c>
      <c r="F19" s="50">
        <f t="shared" si="1"/>
        <v>10</v>
      </c>
      <c r="G19" s="218">
        <v>24</v>
      </c>
      <c r="H19" s="50">
        <f t="shared" si="2"/>
        <v>118.08</v>
      </c>
      <c r="I19" s="60">
        <v>5</v>
      </c>
      <c r="J19" s="50">
        <f>ROUND(I19*Rates!$A$9,2)</f>
        <v>50</v>
      </c>
      <c r="K19" s="209">
        <v>0</v>
      </c>
      <c r="L19" s="64">
        <f t="shared" si="3"/>
        <v>181.57999999999998</v>
      </c>
    </row>
    <row r="20" spans="1:12" ht="15">
      <c r="A20" s="199">
        <f>Dsum!A20</f>
        <v>9</v>
      </c>
      <c r="B20" s="201" t="str">
        <f>Dsum!B20</f>
        <v>Nashville</v>
      </c>
      <c r="C20" s="60">
        <v>50</v>
      </c>
      <c r="D20" s="50">
        <f t="shared" si="0"/>
        <v>3.5</v>
      </c>
      <c r="E20" s="60">
        <v>2</v>
      </c>
      <c r="F20" s="50">
        <f t="shared" si="1"/>
        <v>10</v>
      </c>
      <c r="G20" s="218">
        <v>24</v>
      </c>
      <c r="H20" s="50">
        <f t="shared" si="2"/>
        <v>118.08</v>
      </c>
      <c r="I20" s="60">
        <v>5</v>
      </c>
      <c r="J20" s="50">
        <f>ROUND(I20*Rates!$A$9,2)</f>
        <v>50</v>
      </c>
      <c r="K20" s="209">
        <v>0</v>
      </c>
      <c r="L20" s="64">
        <f t="shared" si="3"/>
        <v>181.57999999999998</v>
      </c>
    </row>
    <row r="21" spans="1:12" ht="15">
      <c r="A21" s="199">
        <f>Dsum!A21</f>
        <v>10</v>
      </c>
      <c r="B21" s="201" t="str">
        <f>Dsum!B21</f>
        <v>Mobile</v>
      </c>
      <c r="C21" s="60">
        <v>50</v>
      </c>
      <c r="D21" s="50">
        <f t="shared" si="0"/>
        <v>3.5</v>
      </c>
      <c r="E21" s="60">
        <v>2</v>
      </c>
      <c r="F21" s="50">
        <f t="shared" si="1"/>
        <v>10</v>
      </c>
      <c r="G21" s="218">
        <v>24</v>
      </c>
      <c r="H21" s="50">
        <f t="shared" si="2"/>
        <v>118.08</v>
      </c>
      <c r="I21" s="60">
        <v>5</v>
      </c>
      <c r="J21" s="50">
        <f>ROUND(I21*Rates!$A$9,2)</f>
        <v>50</v>
      </c>
      <c r="K21" s="209">
        <v>0</v>
      </c>
      <c r="L21" s="64">
        <f t="shared" si="3"/>
        <v>181.57999999999998</v>
      </c>
    </row>
    <row r="22" spans="1:12" ht="15">
      <c r="A22" s="199">
        <f>Dsum!A22</f>
        <v>11</v>
      </c>
      <c r="B22" s="201" t="str">
        <f>Dsum!B22</f>
        <v>Austin/San Antonio</v>
      </c>
      <c r="C22" s="60">
        <v>50</v>
      </c>
      <c r="D22" s="50">
        <f t="shared" si="0"/>
        <v>3.5</v>
      </c>
      <c r="E22" s="60">
        <v>2</v>
      </c>
      <c r="F22" s="50">
        <f t="shared" si="1"/>
        <v>10</v>
      </c>
      <c r="G22" s="218">
        <v>24</v>
      </c>
      <c r="H22" s="50">
        <f t="shared" si="2"/>
        <v>118.08</v>
      </c>
      <c r="I22" s="60">
        <v>5</v>
      </c>
      <c r="J22" s="50">
        <f>ROUND(I22*Rates!$A$9,2)</f>
        <v>50</v>
      </c>
      <c r="K22" s="209">
        <v>0</v>
      </c>
      <c r="L22" s="64">
        <f t="shared" si="3"/>
        <v>181.57999999999998</v>
      </c>
    </row>
    <row r="23" spans="1:12" ht="15.75" thickBot="1">
      <c r="A23" s="199">
        <f>Dsum!A23</f>
        <v>12</v>
      </c>
      <c r="B23" s="201" t="str">
        <f>Dsum!B23</f>
        <v>Shreveport</v>
      </c>
      <c r="C23" s="60">
        <v>50</v>
      </c>
      <c r="D23" s="50">
        <f t="shared" si="0"/>
        <v>3.5</v>
      </c>
      <c r="E23" s="60">
        <v>2</v>
      </c>
      <c r="F23" s="50">
        <f t="shared" si="1"/>
        <v>10</v>
      </c>
      <c r="G23" s="218">
        <v>24</v>
      </c>
      <c r="H23" s="50">
        <f t="shared" si="2"/>
        <v>118.08</v>
      </c>
      <c r="I23" s="60">
        <v>5</v>
      </c>
      <c r="J23" s="50">
        <f>ROUND(I23*Rates!$A$9,2)</f>
        <v>50</v>
      </c>
      <c r="K23" s="209">
        <v>0</v>
      </c>
      <c r="L23" s="64">
        <f t="shared" si="3"/>
        <v>181.57999999999998</v>
      </c>
    </row>
    <row r="24" spans="1:12" ht="34.5" customHeight="1" thickBot="1">
      <c r="A24" s="154"/>
      <c r="B24" s="51" t="s">
        <v>68</v>
      </c>
      <c r="C24" s="63">
        <f aca="true" t="shared" si="4" ref="C24:L24">SUM(C12:C23)</f>
        <v>600</v>
      </c>
      <c r="D24" s="53">
        <f t="shared" si="4"/>
        <v>42</v>
      </c>
      <c r="E24" s="63">
        <f t="shared" si="4"/>
        <v>24</v>
      </c>
      <c r="F24" s="53">
        <f t="shared" si="4"/>
        <v>120</v>
      </c>
      <c r="G24" s="63">
        <f t="shared" si="4"/>
        <v>288</v>
      </c>
      <c r="H24" s="53">
        <f t="shared" si="4"/>
        <v>1416.9599999999998</v>
      </c>
      <c r="I24" s="63">
        <f t="shared" si="4"/>
        <v>60</v>
      </c>
      <c r="J24" s="53">
        <f t="shared" si="4"/>
        <v>600</v>
      </c>
      <c r="K24" s="210">
        <f t="shared" si="4"/>
        <v>0</v>
      </c>
      <c r="L24" s="65">
        <f t="shared" si="4"/>
        <v>2178.9599999999996</v>
      </c>
    </row>
    <row r="25" ht="15.75" thickTop="1">
      <c r="A25" s="49"/>
    </row>
    <row r="60" spans="3:5" ht="15">
      <c r="C60" s="67"/>
      <c r="D60" s="104"/>
      <c r="E60" s="103"/>
    </row>
    <row r="61" ht="15">
      <c r="D61" s="105"/>
    </row>
    <row r="62" ht="15">
      <c r="D62" s="105"/>
    </row>
    <row r="63" ht="15">
      <c r="D63" s="105"/>
    </row>
    <row r="64" ht="15">
      <c r="D64" s="105"/>
    </row>
  </sheetData>
  <printOptions horizontalCentered="1"/>
  <pageMargins left="1" right="1" top="1" bottom="1" header="0.5" footer="0.5"/>
  <pageSetup fitToHeight="1" fitToWidth="1" horizontalDpi="300" verticalDpi="300" orientation="landscape" scale="76" r:id="rId1"/>
  <headerFooter alignWithMargins="0">
    <oddFooter>&amp;L&amp;"CG Times,Regular"&amp;11&amp;F&amp;R&amp;"Arial,Bold"CONFIDENTIAL - For NOAA Official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C13" sqref="C13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8.140625" style="1" customWidth="1"/>
    <col min="4" max="5" width="9.140625" style="1" customWidth="1"/>
    <col min="6" max="7" width="29.00390625" style="1" customWidth="1"/>
    <col min="8" max="16384" width="9.140625" style="1" customWidth="1"/>
  </cols>
  <sheetData>
    <row r="1" spans="1:7" ht="15" thickTop="1">
      <c r="A1" s="66">
        <v>0.4</v>
      </c>
      <c r="B1" s="2" t="s">
        <v>35</v>
      </c>
      <c r="F1" s="71"/>
      <c r="G1" s="68" t="s">
        <v>2</v>
      </c>
    </row>
    <row r="2" spans="1:7" ht="15" thickBot="1">
      <c r="A2" s="66">
        <v>0.425</v>
      </c>
      <c r="B2" s="1" t="s">
        <v>115</v>
      </c>
      <c r="F2" s="72" t="s">
        <v>4</v>
      </c>
      <c r="G2" s="69" t="s">
        <v>93</v>
      </c>
    </row>
    <row r="3" spans="1:7" ht="15.75" thickTop="1">
      <c r="A3" s="66">
        <v>0.069</v>
      </c>
      <c r="B3" s="1" t="s">
        <v>90</v>
      </c>
      <c r="F3" s="73" t="s">
        <v>99</v>
      </c>
      <c r="G3" s="15">
        <v>20</v>
      </c>
    </row>
    <row r="4" spans="1:7" ht="15">
      <c r="A4" s="84">
        <v>0.08</v>
      </c>
      <c r="B4" s="79" t="s">
        <v>91</v>
      </c>
      <c r="C4" s="84">
        <v>0.1</v>
      </c>
      <c r="D4" s="79" t="s">
        <v>91</v>
      </c>
      <c r="F4" s="73" t="s">
        <v>12</v>
      </c>
      <c r="G4" s="15">
        <v>26.08</v>
      </c>
    </row>
    <row r="5" spans="1:7" ht="15">
      <c r="A5" s="66">
        <v>0.05</v>
      </c>
      <c r="B5" s="1" t="s">
        <v>92</v>
      </c>
      <c r="F5" s="73" t="s">
        <v>11</v>
      </c>
      <c r="G5" s="15">
        <v>22.83</v>
      </c>
    </row>
    <row r="6" spans="1:7" ht="15">
      <c r="A6" s="3">
        <v>0.07</v>
      </c>
      <c r="B6" s="1" t="s">
        <v>83</v>
      </c>
      <c r="F6" s="73" t="s">
        <v>14</v>
      </c>
      <c r="G6" s="15">
        <v>22.8</v>
      </c>
    </row>
    <row r="7" spans="1:7" ht="15">
      <c r="A7" s="3">
        <v>5</v>
      </c>
      <c r="B7" s="1" t="s">
        <v>95</v>
      </c>
      <c r="F7" s="73" t="s">
        <v>33</v>
      </c>
      <c r="G7" s="15">
        <v>14.5</v>
      </c>
    </row>
    <row r="8" spans="1:7" ht="15">
      <c r="A8" s="3">
        <v>4.92</v>
      </c>
      <c r="B8" s="1" t="s">
        <v>84</v>
      </c>
      <c r="F8" s="73" t="s">
        <v>149</v>
      </c>
      <c r="G8" s="15">
        <v>18</v>
      </c>
    </row>
    <row r="9" spans="1:7" ht="15">
      <c r="A9" s="3">
        <v>10</v>
      </c>
      <c r="B9" s="1" t="s">
        <v>85</v>
      </c>
      <c r="F9" s="73" t="s">
        <v>9</v>
      </c>
      <c r="G9" s="15">
        <v>26.98</v>
      </c>
    </row>
    <row r="10" spans="1:7" ht="15">
      <c r="A10" s="85">
        <v>0.365</v>
      </c>
      <c r="B10" s="1" t="s">
        <v>76</v>
      </c>
      <c r="F10" s="73" t="s">
        <v>32</v>
      </c>
      <c r="G10" s="15">
        <v>11.5</v>
      </c>
    </row>
    <row r="11" spans="1:7" ht="15">
      <c r="A11" s="75">
        <v>100</v>
      </c>
      <c r="B11" s="79" t="s">
        <v>106</v>
      </c>
      <c r="F11" s="73" t="s">
        <v>16</v>
      </c>
      <c r="G11" s="15">
        <v>18.87</v>
      </c>
    </row>
    <row r="12" spans="1:7" ht="15">
      <c r="A12" s="75">
        <v>50</v>
      </c>
      <c r="B12" s="79" t="s">
        <v>108</v>
      </c>
      <c r="C12" s="76"/>
      <c r="D12" s="3"/>
      <c r="F12" s="73" t="s">
        <v>19</v>
      </c>
      <c r="G12" s="15">
        <v>19</v>
      </c>
    </row>
    <row r="13" spans="1:7" ht="15">
      <c r="A13" s="75">
        <v>100</v>
      </c>
      <c r="B13" s="76" t="s">
        <v>75</v>
      </c>
      <c r="C13" s="76"/>
      <c r="F13" s="73" t="s">
        <v>18</v>
      </c>
      <c r="G13" s="15">
        <v>27.21</v>
      </c>
    </row>
    <row r="14" spans="1:7" ht="15">
      <c r="A14" s="1"/>
      <c r="F14" s="73" t="s">
        <v>17</v>
      </c>
      <c r="G14" s="15">
        <v>22</v>
      </c>
    </row>
    <row r="15" spans="1:7" ht="15">
      <c r="A15" s="2" t="s">
        <v>106</v>
      </c>
      <c r="B15" s="1" t="s">
        <v>108</v>
      </c>
      <c r="C15" s="1" t="s">
        <v>151</v>
      </c>
      <c r="F15" s="73" t="s">
        <v>21</v>
      </c>
      <c r="G15" s="15">
        <v>22.66</v>
      </c>
    </row>
    <row r="16" spans="1:7" ht="15">
      <c r="A16" s="203"/>
      <c r="B16" s="203"/>
      <c r="C16" s="241" t="s">
        <v>153</v>
      </c>
      <c r="F16" s="73" t="s">
        <v>22</v>
      </c>
      <c r="G16" s="15">
        <v>20.99</v>
      </c>
    </row>
    <row r="17" spans="1:7" ht="15">
      <c r="A17" s="203"/>
      <c r="B17" s="203"/>
      <c r="C17" s="242" t="s">
        <v>154</v>
      </c>
      <c r="F17" s="73" t="s">
        <v>105</v>
      </c>
      <c r="G17" s="15">
        <v>20.91</v>
      </c>
    </row>
    <row r="18" spans="1:7" ht="15">
      <c r="A18" s="203"/>
      <c r="B18" s="203"/>
      <c r="C18" s="242" t="s">
        <v>155</v>
      </c>
      <c r="F18" s="73" t="s">
        <v>24</v>
      </c>
      <c r="G18" s="15">
        <v>20</v>
      </c>
    </row>
    <row r="19" spans="1:7" ht="15">
      <c r="A19" s="203"/>
      <c r="B19" s="203"/>
      <c r="C19" s="242" t="s">
        <v>156</v>
      </c>
      <c r="F19" s="73" t="s">
        <v>26</v>
      </c>
      <c r="G19" s="15">
        <v>29.44</v>
      </c>
    </row>
    <row r="20" spans="1:7" ht="15">
      <c r="A20" s="203"/>
      <c r="B20" s="203"/>
      <c r="C20" s="242" t="s">
        <v>157</v>
      </c>
      <c r="F20" s="73" t="s">
        <v>102</v>
      </c>
      <c r="G20" s="15">
        <v>28.81</v>
      </c>
    </row>
    <row r="21" spans="1:7" ht="15">
      <c r="A21" s="203"/>
      <c r="B21" s="203"/>
      <c r="C21" s="242" t="s">
        <v>158</v>
      </c>
      <c r="F21" s="73" t="s">
        <v>10</v>
      </c>
      <c r="G21" s="15">
        <v>25.72</v>
      </c>
    </row>
    <row r="22" spans="1:7" ht="15">
      <c r="A22" s="203"/>
      <c r="B22" s="203"/>
      <c r="C22" s="242" t="s">
        <v>159</v>
      </c>
      <c r="F22" s="73" t="s">
        <v>13</v>
      </c>
      <c r="G22" s="15">
        <v>33.66</v>
      </c>
    </row>
    <row r="23" spans="1:7" ht="15">
      <c r="A23" s="203"/>
      <c r="B23" s="203"/>
      <c r="C23" s="242" t="s">
        <v>160</v>
      </c>
      <c r="F23" s="73" t="s">
        <v>15</v>
      </c>
      <c r="G23" s="15">
        <v>45.79</v>
      </c>
    </row>
    <row r="24" spans="3:7" ht="15">
      <c r="C24" s="1" t="s">
        <v>164</v>
      </c>
      <c r="F24" s="73" t="s">
        <v>100</v>
      </c>
      <c r="G24" s="15">
        <v>24.04</v>
      </c>
    </row>
    <row r="25" spans="3:7" ht="15">
      <c r="C25" s="1" t="s">
        <v>161</v>
      </c>
      <c r="F25" s="73" t="s">
        <v>101</v>
      </c>
      <c r="G25" s="15">
        <v>27.86</v>
      </c>
    </row>
    <row r="26" spans="3:7" ht="15">
      <c r="C26" s="1" t="s">
        <v>162</v>
      </c>
      <c r="F26" s="73" t="s">
        <v>98</v>
      </c>
      <c r="G26" s="15">
        <v>43.11</v>
      </c>
    </row>
    <row r="27" spans="3:7" ht="15">
      <c r="C27" s="1" t="s">
        <v>163</v>
      </c>
      <c r="F27" s="73" t="s">
        <v>20</v>
      </c>
      <c r="G27" s="15">
        <v>34.86</v>
      </c>
    </row>
    <row r="28" spans="6:7" ht="15">
      <c r="F28" s="73" t="s">
        <v>104</v>
      </c>
      <c r="G28" s="15">
        <v>35.98</v>
      </c>
    </row>
    <row r="29" spans="6:7" ht="15">
      <c r="F29" s="73" t="s">
        <v>103</v>
      </c>
      <c r="G29" s="15">
        <v>20.94</v>
      </c>
    </row>
    <row r="30" spans="6:7" ht="15">
      <c r="F30" s="73" t="s">
        <v>23</v>
      </c>
      <c r="G30" s="15">
        <v>26</v>
      </c>
    </row>
    <row r="31" spans="6:7" ht="15">
      <c r="F31" s="73" t="s">
        <v>25</v>
      </c>
      <c r="G31" s="15">
        <v>43.89</v>
      </c>
    </row>
    <row r="32" spans="6:7" ht="15">
      <c r="F32" s="73" t="s">
        <v>27</v>
      </c>
      <c r="G32" s="15">
        <v>22.62</v>
      </c>
    </row>
    <row r="33" spans="6:7" ht="15">
      <c r="F33" s="73" t="s">
        <v>29</v>
      </c>
      <c r="G33" s="15">
        <v>31.7</v>
      </c>
    </row>
    <row r="34" spans="6:7" ht="15">
      <c r="F34" s="73" t="s">
        <v>28</v>
      </c>
      <c r="G34" s="15">
        <v>21.28</v>
      </c>
    </row>
    <row r="35" spans="6:7" ht="15">
      <c r="F35" s="73" t="s">
        <v>30</v>
      </c>
      <c r="G35" s="15">
        <v>33.49</v>
      </c>
    </row>
    <row r="36" spans="6:7" ht="15">
      <c r="F36" s="73" t="s">
        <v>30</v>
      </c>
      <c r="G36" s="15">
        <v>33.49</v>
      </c>
    </row>
    <row r="37" spans="6:7" ht="15">
      <c r="F37" s="73" t="s">
        <v>7</v>
      </c>
      <c r="G37" s="15">
        <v>35.83</v>
      </c>
    </row>
    <row r="38" spans="6:7" ht="15">
      <c r="F38" s="73" t="s">
        <v>8</v>
      </c>
      <c r="G38" s="15">
        <v>31.67</v>
      </c>
    </row>
    <row r="39" spans="6:7" ht="15.75" thickBot="1">
      <c r="F39" s="74" t="s">
        <v>31</v>
      </c>
      <c r="G39" s="70">
        <v>22.05</v>
      </c>
    </row>
    <row r="40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F. Bollinger</dc:creator>
  <cp:keywords/>
  <dc:description/>
  <cp:lastModifiedBy>Thanh Minh Trinh</cp:lastModifiedBy>
  <cp:lastPrinted>2002-07-25T18:38:23Z</cp:lastPrinted>
  <dcterms:created xsi:type="dcterms:W3CDTF">1997-05-13T00:13:06Z</dcterms:created>
  <dcterms:modified xsi:type="dcterms:W3CDTF">2002-08-12T22:13:12Z</dcterms:modified>
  <cp:category/>
  <cp:version/>
  <cp:contentType/>
  <cp:contentStatus/>
</cp:coreProperties>
</file>