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00" windowHeight="4440" activeTab="0"/>
  </bookViews>
  <sheets>
    <sheet name="Sum P1" sheetId="1" r:id="rId1"/>
    <sheet name="SumP2" sheetId="2" r:id="rId2"/>
    <sheet name="Dsum" sheetId="3" r:id="rId3"/>
    <sheet name="Labor" sheetId="4" r:id="rId4"/>
    <sheet name="Trav" sheetId="5" r:id="rId5"/>
    <sheet name="ODC" sheetId="6" r:id="rId6"/>
    <sheet name="Rates" sheetId="7" r:id="rId7"/>
  </sheets>
  <definedNames>
    <definedName name="_xlnm.Print_Area" localSheetId="2">'Dsum'!$A$1:$K$18</definedName>
    <definedName name="_xlnm.Print_Area" localSheetId="3">'Labor'!$A$1:$K$18</definedName>
    <definedName name="_xlnm.Print_Area" localSheetId="5">'ODC'!$A$1:$L$18</definedName>
    <definedName name="_xlnm.Print_Area" localSheetId="0">'Sum P1'!$A$1:$E$76</definedName>
    <definedName name="_xlnm.Print_Area" localSheetId="1">'SumP2'!$A$1:$C$37</definedName>
    <definedName name="_xlnm.Print_Area" localSheetId="4">'Trav'!$A$1:$O$22</definedName>
  </definedNames>
  <calcPr fullCalcOnLoad="1"/>
</workbook>
</file>

<file path=xl/sharedStrings.xml><?xml version="1.0" encoding="utf-8"?>
<sst xmlns="http://schemas.openxmlformats.org/spreadsheetml/2006/main" count="240" uniqueCount="161">
  <si>
    <t>ENVIRONMENTAL ADVISORY AND ASSISTANCE SERVICES CONTRACT</t>
  </si>
  <si>
    <t>NATIONAL OCEANIC AND ATMOSPHERIC ADMINISTRATION CONTRACT</t>
  </si>
  <si>
    <t>Hourly Labor Rates</t>
  </si>
  <si>
    <t>Labor</t>
  </si>
  <si>
    <t>Direct Labor Classification</t>
  </si>
  <si>
    <t>Hours</t>
  </si>
  <si>
    <t>Cost ($)</t>
  </si>
  <si>
    <t>Principal</t>
  </si>
  <si>
    <t>Project Manager</t>
  </si>
  <si>
    <t>Deputy Project Manager</t>
  </si>
  <si>
    <t>Lead Chemist</t>
  </si>
  <si>
    <t>Chemist</t>
  </si>
  <si>
    <t>Chemical Engineer</t>
  </si>
  <si>
    <t>Lead Civil Engineer</t>
  </si>
  <si>
    <t>Civil Engineer</t>
  </si>
  <si>
    <t>Lead Ecologist</t>
  </si>
  <si>
    <t>Ecologist</t>
  </si>
  <si>
    <t>Environmental Estimator</t>
  </si>
  <si>
    <t>Environmental Engineer</t>
  </si>
  <si>
    <t>Environmental Attorney</t>
  </si>
  <si>
    <t>Lead Geologist</t>
  </si>
  <si>
    <t>Geologist</t>
  </si>
  <si>
    <t>Geotechnical Engineer</t>
  </si>
  <si>
    <t>Lead Hydrologist</t>
  </si>
  <si>
    <t>Hydrologist</t>
  </si>
  <si>
    <t>Lead Industrial Hygienist</t>
  </si>
  <si>
    <t>Industrial Hygienist</t>
  </si>
  <si>
    <t>Lead Life Safety Specialist</t>
  </si>
  <si>
    <t>Life Safety Specialist</t>
  </si>
  <si>
    <t>Lead Marine Biologist</t>
  </si>
  <si>
    <t>Marine Biologist</t>
  </si>
  <si>
    <t>Technical Editor</t>
  </si>
  <si>
    <t>Draftsperson</t>
  </si>
  <si>
    <t>Clerical</t>
  </si>
  <si>
    <t>Total</t>
  </si>
  <si>
    <t>Overhead Rate</t>
  </si>
  <si>
    <t>Travel (see supporting schedule)</t>
  </si>
  <si>
    <t>ODCs (see supporting schedule)</t>
  </si>
  <si>
    <t>Total Costs Exclusive of G &amp; A</t>
  </si>
  <si>
    <t>G &amp; A Rate</t>
  </si>
  <si>
    <t>Total Costs Exclusive of Fee</t>
  </si>
  <si>
    <t>Fee</t>
  </si>
  <si>
    <t>Subcontractors (see supporting schedule)</t>
  </si>
  <si>
    <t>Subcontractor Costs Exclusive of Fee</t>
  </si>
  <si>
    <t>Total Subcontractor Cost</t>
  </si>
  <si>
    <t>NATIONAL OCEANIC AND ATMOSPHERIC ADMINISTRATION</t>
  </si>
  <si>
    <t xml:space="preserve">    Airfare</t>
  </si>
  <si>
    <t xml:space="preserve">    Vehicle Rental</t>
  </si>
  <si>
    <t xml:space="preserve">    Mileage</t>
  </si>
  <si>
    <t xml:space="preserve">    Miscellaneous Auto</t>
  </si>
  <si>
    <t xml:space="preserve">    Reproduction</t>
  </si>
  <si>
    <t xml:space="preserve">    Computer</t>
  </si>
  <si>
    <t xml:space="preserve">    Shipping</t>
  </si>
  <si>
    <t xml:space="preserve">    Field Equipment &amp; Supplies</t>
  </si>
  <si>
    <t>Subcontractor Costs</t>
  </si>
  <si>
    <t>ENVIRONMENTAL ADVISORY AND ASSISTANCE SERVICES</t>
  </si>
  <si>
    <t>Total Labor</t>
  </si>
  <si>
    <t>Subcontractor</t>
  </si>
  <si>
    <t>Fee on</t>
  </si>
  <si>
    <t>Costs</t>
  </si>
  <si>
    <t>Total Project</t>
  </si>
  <si>
    <t>TASK</t>
  </si>
  <si>
    <t>DESCRIPTION</t>
  </si>
  <si>
    <t>Travel</t>
  </si>
  <si>
    <t>ODCs</t>
  </si>
  <si>
    <t>with G&amp;A</t>
  </si>
  <si>
    <t>Estimate</t>
  </si>
  <si>
    <t>1</t>
  </si>
  <si>
    <t>TOTAL</t>
  </si>
  <si>
    <t>Project</t>
  </si>
  <si>
    <t>Lead Env.</t>
  </si>
  <si>
    <t>Technical</t>
  </si>
  <si>
    <t>Manager</t>
  </si>
  <si>
    <t>Engineer</t>
  </si>
  <si>
    <t>Estimator</t>
  </si>
  <si>
    <t>Editor</t>
  </si>
  <si>
    <t>Unloaded</t>
  </si>
  <si>
    <t>Labor Costs</t>
  </si>
  <si>
    <t>Vehicle Rental</t>
  </si>
  <si>
    <t>Mileage</t>
  </si>
  <si>
    <t>Unit</t>
  </si>
  <si>
    <t>No. of</t>
  </si>
  <si>
    <t xml:space="preserve">Misc. </t>
  </si>
  <si>
    <t>No.</t>
  </si>
  <si>
    <t>Cost</t>
  </si>
  <si>
    <t>Days</t>
  </si>
  <si>
    <t>Reproduction</t>
  </si>
  <si>
    <t>Computer</t>
  </si>
  <si>
    <t>Shipping</t>
  </si>
  <si>
    <t>Field Supplies &amp; Analytical</t>
  </si>
  <si>
    <t>Lump</t>
  </si>
  <si>
    <t>Other Direct</t>
  </si>
  <si>
    <t>Sum</t>
  </si>
  <si>
    <t>G &amp; A</t>
  </si>
  <si>
    <t>PRC Fee</t>
  </si>
  <si>
    <t>Subcontractor Fee</t>
  </si>
  <si>
    <t>Base Year (1999) Unloaded</t>
  </si>
  <si>
    <t>Qty</t>
  </si>
  <si>
    <t>Telecommunication</t>
  </si>
  <si>
    <t>Hour</t>
  </si>
  <si>
    <t>Each</t>
  </si>
  <si>
    <t>Lead Env. Estimator</t>
  </si>
  <si>
    <t>CADD Operator</t>
  </si>
  <si>
    <t>Lead Env. Attorney</t>
  </si>
  <si>
    <t>Lead Env. Engineer</t>
  </si>
  <si>
    <t>Lead Chem. Engineer</t>
  </si>
  <si>
    <t>Lead Haz. Waste Spec.</t>
  </si>
  <si>
    <t>Lead Geotech. Engineer</t>
  </si>
  <si>
    <t>Haz. Waste Specialist</t>
  </si>
  <si>
    <t>Lodging</t>
  </si>
  <si>
    <t>Air Travel</t>
  </si>
  <si>
    <t>M&amp;I</t>
  </si>
  <si>
    <r>
      <t>Lodging</t>
    </r>
    <r>
      <rPr>
        <b/>
        <vertAlign val="superscript"/>
        <sz val="11"/>
        <rFont val="Times New Roman"/>
        <family val="1"/>
      </rPr>
      <t>a</t>
    </r>
  </si>
  <si>
    <r>
      <t>Meals &amp; Incidentals</t>
    </r>
    <r>
      <rPr>
        <b/>
        <vertAlign val="superscript"/>
        <sz val="11"/>
        <rFont val="Times New Roman"/>
        <family val="1"/>
      </rPr>
      <t>a</t>
    </r>
  </si>
  <si>
    <r>
      <t>Auto</t>
    </r>
    <r>
      <rPr>
        <b/>
        <vertAlign val="superscript"/>
        <sz val="11"/>
        <rFont val="Times New Roman"/>
        <family val="1"/>
      </rPr>
      <t>b</t>
    </r>
  </si>
  <si>
    <r>
      <t>a</t>
    </r>
    <r>
      <rPr>
        <sz val="11"/>
        <rFont val="Times New Roman"/>
        <family val="1"/>
      </rPr>
      <t xml:space="preserve">     Lodging, meals &amp; incidentals, and mileage are in accordance with the Federal Joint Travel Regulations (JTR)</t>
    </r>
  </si>
  <si>
    <t>Notes:</t>
  </si>
  <si>
    <r>
      <t>b</t>
    </r>
    <r>
      <rPr>
        <sz val="11"/>
        <rFont val="Times New Roman"/>
        <family val="1"/>
      </rPr>
      <t xml:space="preserve">    Misc Auto incudes expenses for parking, tolls, and shuttles to and from Airports</t>
    </r>
  </si>
  <si>
    <t>Fringe Benefits</t>
  </si>
  <si>
    <t>Lead Civil</t>
  </si>
  <si>
    <t>Plus Fringe</t>
  </si>
  <si>
    <t>&amp; Overhead</t>
  </si>
  <si>
    <t xml:space="preserve">    Meals &amp; Incidentals</t>
  </si>
  <si>
    <t xml:space="preserve">    Lodging</t>
  </si>
  <si>
    <t xml:space="preserve">    Telcommunications</t>
  </si>
  <si>
    <t>CONTRACT NUMBER 50WCNA906018</t>
  </si>
  <si>
    <t>Base Period Unloaded</t>
  </si>
  <si>
    <t>Cost Each</t>
  </si>
  <si>
    <t>Loaded</t>
  </si>
  <si>
    <t>Estimated Qty</t>
  </si>
  <si>
    <t>Independent Government Cost Estimate</t>
  </si>
  <si>
    <t>VOC</t>
  </si>
  <si>
    <t>Semi-VOC</t>
  </si>
  <si>
    <t>PCB</t>
  </si>
  <si>
    <t>RCRA Metals</t>
  </si>
  <si>
    <t>WET</t>
  </si>
  <si>
    <t>Targeted Metals</t>
  </si>
  <si>
    <t>ANALYTICAL COSTS (Included)</t>
  </si>
  <si>
    <t>GPS and miscellaneous equipment</t>
  </si>
  <si>
    <t>Project:</t>
  </si>
  <si>
    <t>Estimated Analytical Costs</t>
  </si>
  <si>
    <t>Pesticides</t>
  </si>
  <si>
    <t xml:space="preserve">OPTIONAL TASKS COST SUMMARY (Page 1 of 2) </t>
  </si>
  <si>
    <t xml:space="preserve">OPTIONAL TASKS COST SUMMARY (Page 2 of 2) </t>
  </si>
  <si>
    <t>OPTIONAL TASKS COST BACKUP SHEETS (1 of 4)</t>
  </si>
  <si>
    <t>OPTIONAL TASKS COST BACKUP SHEETS (2 of 4)</t>
  </si>
  <si>
    <t>OPTIONAL TASKS COST BACKUP SHEETS (3 of 4)</t>
  </si>
  <si>
    <t>OPTIONAL TASKS COST BACKUP SHEETS (4 of 4)</t>
  </si>
  <si>
    <t>Total Optional Cost Estimate</t>
  </si>
  <si>
    <t>Project Coordiation</t>
  </si>
  <si>
    <t>Review Exisitng SPCC Plans</t>
  </si>
  <si>
    <t>Site Visits</t>
  </si>
  <si>
    <t>Revised or Develop SPCC Plans</t>
  </si>
  <si>
    <t>Incorporate NOAA Comments</t>
  </si>
  <si>
    <t>Issue Final SPCC Plans</t>
  </si>
  <si>
    <t>CADD</t>
  </si>
  <si>
    <t>Operator</t>
  </si>
  <si>
    <t>2001 NWS SPCC for 18 sites</t>
  </si>
  <si>
    <t>Travel Costs</t>
  </si>
  <si>
    <t>Fee on Prime</t>
  </si>
  <si>
    <t>Prime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</si>
</sst>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%"/>
    <numFmt numFmtId="167" formatCode="&quot;$&quot;#,##0.000"/>
    <numFmt numFmtId="168" formatCode="#######"/>
    <numFmt numFmtId="169" formatCode=";;;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color indexed="12"/>
      <name val="CG Times"/>
      <family val="1"/>
    </font>
    <font>
      <b/>
      <sz val="11"/>
      <color indexed="39"/>
      <name val="Times New Roman"/>
      <family val="1"/>
    </font>
    <font>
      <sz val="10"/>
      <color indexed="39"/>
      <name val="CG Times"/>
      <family val="1"/>
    </font>
    <font>
      <b/>
      <sz val="10"/>
      <color indexed="3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65" fontId="6" fillId="0" borderId="4" xfId="0" applyNumberFormat="1" applyFont="1" applyBorder="1" applyAlignment="1" applyProtection="1">
      <alignment/>
      <protection locked="0"/>
    </xf>
    <xf numFmtId="4" fontId="6" fillId="0" borderId="5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165" fontId="6" fillId="0" borderId="8" xfId="0" applyNumberFormat="1" applyFont="1" applyBorder="1" applyAlignment="1" applyProtection="1">
      <alignment/>
      <protection locked="0"/>
    </xf>
    <xf numFmtId="4" fontId="6" fillId="0" borderId="9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165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0" fontId="5" fillId="0" borderId="11" xfId="0" applyFont="1" applyBorder="1" applyAlignment="1">
      <alignment/>
    </xf>
    <xf numFmtId="9" fontId="5" fillId="0" borderId="12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10" fontId="5" fillId="0" borderId="8" xfId="0" applyNumberFormat="1" applyFont="1" applyBorder="1" applyAlignment="1">
      <alignment/>
    </xf>
    <xf numFmtId="10" fontId="5" fillId="0" borderId="12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6" fillId="0" borderId="13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4" fontId="6" fillId="0" borderId="4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4" fontId="6" fillId="0" borderId="8" xfId="0" applyNumberFormat="1" applyFont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8" xfId="0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/>
    </xf>
    <xf numFmtId="4" fontId="6" fillId="0" borderId="3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4" fontId="5" fillId="0" borderId="16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/>
    </xf>
    <xf numFmtId="3" fontId="6" fillId="0" borderId="4" xfId="0" applyNumberFormat="1" applyFont="1" applyBorder="1" applyAlignment="1" applyProtection="1">
      <alignment/>
      <protection locked="0"/>
    </xf>
    <xf numFmtId="4" fontId="6" fillId="0" borderId="3" xfId="0" applyNumberFormat="1" applyFont="1" applyBorder="1" applyAlignment="1" applyProtection="1">
      <alignment/>
      <protection/>
    </xf>
    <xf numFmtId="4" fontId="6" fillId="0" borderId="3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2" borderId="20" xfId="0" applyFont="1" applyFill="1" applyBorder="1" applyAlignment="1">
      <alignment horizontal="centerContinuous"/>
    </xf>
    <xf numFmtId="0" fontId="5" fillId="2" borderId="21" xfId="0" applyFont="1" applyFill="1" applyBorder="1" applyAlignment="1">
      <alignment horizontal="centerContinuous"/>
    </xf>
    <xf numFmtId="4" fontId="6" fillId="0" borderId="21" xfId="0" applyNumberFormat="1" applyFont="1" applyBorder="1" applyAlignment="1">
      <alignment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25" xfId="0" applyNumberFormat="1" applyFont="1" applyBorder="1" applyAlignment="1" applyProtection="1">
      <alignment/>
      <protection/>
    </xf>
    <xf numFmtId="166" fontId="5" fillId="0" borderId="12" xfId="0" applyNumberFormat="1" applyFont="1" applyBorder="1" applyAlignment="1">
      <alignment/>
    </xf>
    <xf numFmtId="166" fontId="1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9" fontId="13" fillId="0" borderId="8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5" fillId="0" borderId="26" xfId="0" applyFont="1" applyBorder="1" applyAlignment="1">
      <alignment/>
    </xf>
    <xf numFmtId="4" fontId="6" fillId="0" borderId="27" xfId="0" applyNumberFormat="1" applyFont="1" applyBorder="1" applyAlignment="1" applyProtection="1">
      <alignment/>
      <protection hidden="1"/>
    </xf>
    <xf numFmtId="4" fontId="6" fillId="0" borderId="28" xfId="0" applyNumberFormat="1" applyFont="1" applyBorder="1" applyAlignment="1" applyProtection="1">
      <alignment/>
      <protection hidden="1"/>
    </xf>
    <xf numFmtId="4" fontId="6" fillId="0" borderId="29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0" fontId="6" fillId="0" borderId="31" xfId="0" applyFont="1" applyBorder="1" applyAlignment="1">
      <alignment/>
    </xf>
    <xf numFmtId="164" fontId="6" fillId="0" borderId="32" xfId="0" applyNumberFormat="1" applyFont="1" applyBorder="1" applyAlignment="1">
      <alignment/>
    </xf>
    <xf numFmtId="0" fontId="16" fillId="0" borderId="26" xfId="0" applyFont="1" applyBorder="1" applyAlignment="1">
      <alignment/>
    </xf>
    <xf numFmtId="0" fontId="6" fillId="0" borderId="33" xfId="0" applyFont="1" applyBorder="1" applyAlignment="1">
      <alignment/>
    </xf>
    <xf numFmtId="164" fontId="6" fillId="0" borderId="0" xfId="0" applyNumberFormat="1" applyFont="1" applyAlignment="1">
      <alignment/>
    </xf>
    <xf numFmtId="164" fontId="5" fillId="0" borderId="34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/>
    </xf>
    <xf numFmtId="0" fontId="17" fillId="0" borderId="33" xfId="0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35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/>
    </xf>
    <xf numFmtId="0" fontId="6" fillId="0" borderId="31" xfId="0" applyFont="1" applyBorder="1" applyAlignment="1">
      <alignment horizontal="right"/>
    </xf>
    <xf numFmtId="169" fontId="6" fillId="0" borderId="0" xfId="0" applyNumberFormat="1" applyFont="1" applyAlignment="1">
      <alignment/>
    </xf>
    <xf numFmtId="0" fontId="17" fillId="0" borderId="26" xfId="0" applyFont="1" applyBorder="1" applyAlignment="1">
      <alignment/>
    </xf>
    <xf numFmtId="0" fontId="17" fillId="0" borderId="31" xfId="0" applyFont="1" applyBorder="1" applyAlignment="1">
      <alignment/>
    </xf>
    <xf numFmtId="164" fontId="17" fillId="0" borderId="32" xfId="0" applyNumberFormat="1" applyFont="1" applyBorder="1" applyAlignment="1">
      <alignment/>
    </xf>
    <xf numFmtId="0" fontId="5" fillId="3" borderId="26" xfId="0" applyFont="1" applyFill="1" applyBorder="1" applyAlignment="1">
      <alignment/>
    </xf>
    <xf numFmtId="0" fontId="6" fillId="3" borderId="33" xfId="0" applyFont="1" applyFill="1" applyBorder="1" applyAlignment="1">
      <alignment/>
    </xf>
    <xf numFmtId="0" fontId="5" fillId="3" borderId="31" xfId="0" applyFont="1" applyFill="1" applyBorder="1" applyAlignment="1">
      <alignment horizontal="right"/>
    </xf>
    <xf numFmtId="2" fontId="5" fillId="3" borderId="36" xfId="0" applyNumberFormat="1" applyFont="1" applyFill="1" applyBorder="1" applyAlignment="1">
      <alignment horizontal="right"/>
    </xf>
    <xf numFmtId="164" fontId="5" fillId="3" borderId="32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5" fillId="3" borderId="31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4" fontId="5" fillId="3" borderId="9" xfId="0" applyNumberFormat="1" applyFont="1" applyFill="1" applyBorder="1" applyAlignment="1">
      <alignment/>
    </xf>
    <xf numFmtId="4" fontId="5" fillId="3" borderId="29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Continuous"/>
    </xf>
    <xf numFmtId="0" fontId="5" fillId="3" borderId="2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Continuous"/>
    </xf>
    <xf numFmtId="0" fontId="5" fillId="3" borderId="8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Continuous"/>
    </xf>
    <xf numFmtId="0" fontId="5" fillId="3" borderId="21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42" xfId="0" applyFont="1" applyFill="1" applyBorder="1" applyAlignment="1">
      <alignment horizontal="left"/>
    </xf>
    <xf numFmtId="4" fontId="5" fillId="3" borderId="43" xfId="0" applyNumberFormat="1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0" fontId="8" fillId="3" borderId="4" xfId="0" applyNumberFormat="1" applyFont="1" applyFill="1" applyBorder="1" applyAlignment="1">
      <alignment horizontal="center"/>
    </xf>
    <xf numFmtId="9" fontId="15" fillId="3" borderId="3" xfId="0" applyNumberFormat="1" applyFont="1" applyFill="1" applyBorder="1" applyAlignment="1" applyProtection="1">
      <alignment horizontal="center"/>
      <protection locked="0"/>
    </xf>
    <xf numFmtId="9" fontId="15" fillId="3" borderId="4" xfId="0" applyNumberFormat="1" applyFont="1" applyFill="1" applyBorder="1" applyAlignment="1">
      <alignment horizontal="center"/>
    </xf>
    <xf numFmtId="9" fontId="8" fillId="3" borderId="4" xfId="0" applyNumberFormat="1" applyFont="1" applyFill="1" applyBorder="1" applyAlignment="1">
      <alignment horizontal="center"/>
    </xf>
    <xf numFmtId="9" fontId="8" fillId="3" borderId="3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9" fontId="5" fillId="3" borderId="22" xfId="0" applyNumberFormat="1" applyFont="1" applyFill="1" applyBorder="1" applyAlignment="1">
      <alignment horizontal="center"/>
    </xf>
    <xf numFmtId="49" fontId="5" fillId="3" borderId="45" xfId="0" applyNumberFormat="1" applyFont="1" applyFill="1" applyBorder="1" applyAlignment="1">
      <alignment horizontal="center"/>
    </xf>
    <xf numFmtId="49" fontId="5" fillId="3" borderId="24" xfId="0" applyNumberFormat="1" applyFont="1" applyFill="1" applyBorder="1" applyAlignment="1">
      <alignment horizontal="left"/>
    </xf>
    <xf numFmtId="49" fontId="5" fillId="0" borderId="46" xfId="0" applyNumberFormat="1" applyFont="1" applyBorder="1" applyAlignment="1">
      <alignment/>
    </xf>
    <xf numFmtId="169" fontId="5" fillId="0" borderId="0" xfId="0" applyNumberFormat="1" applyFont="1" applyAlignment="1">
      <alignment horizontal="center"/>
    </xf>
    <xf numFmtId="0" fontId="5" fillId="3" borderId="38" xfId="0" applyNumberFormat="1" applyFont="1" applyFill="1" applyBorder="1" applyAlignment="1">
      <alignment horizontal="center"/>
    </xf>
    <xf numFmtId="0" fontId="5" fillId="3" borderId="39" xfId="0" applyNumberFormat="1" applyFont="1" applyFill="1" applyBorder="1" applyAlignment="1" applyProtection="1">
      <alignment horizontal="center"/>
      <protection locked="0"/>
    </xf>
    <xf numFmtId="0" fontId="13" fillId="3" borderId="39" xfId="0" applyNumberFormat="1" applyFont="1" applyFill="1" applyBorder="1" applyAlignment="1" applyProtection="1">
      <alignment horizontal="center"/>
      <protection locked="0"/>
    </xf>
    <xf numFmtId="0" fontId="5" fillId="3" borderId="47" xfId="0" applyNumberFormat="1" applyFont="1" applyFill="1" applyBorder="1" applyAlignment="1" applyProtection="1">
      <alignment horizontal="center"/>
      <protection locked="0"/>
    </xf>
    <xf numFmtId="0" fontId="5" fillId="3" borderId="48" xfId="0" applyNumberFormat="1" applyFont="1" applyFill="1" applyBorder="1" applyAlignment="1">
      <alignment horizontal="center"/>
    </xf>
    <xf numFmtId="0" fontId="5" fillId="3" borderId="20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 applyProtection="1">
      <alignment horizontal="center"/>
      <protection locked="0"/>
    </xf>
    <xf numFmtId="0" fontId="13" fillId="3" borderId="4" xfId="0" applyNumberFormat="1" applyFont="1" applyFill="1" applyBorder="1" applyAlignment="1" applyProtection="1">
      <alignment horizontal="center"/>
      <protection locked="0"/>
    </xf>
    <xf numFmtId="0" fontId="5" fillId="3" borderId="5" xfId="0" applyNumberFormat="1" applyFont="1" applyFill="1" applyBorder="1" applyAlignment="1" applyProtection="1">
      <alignment horizontal="center"/>
      <protection locked="0"/>
    </xf>
    <xf numFmtId="0" fontId="5" fillId="3" borderId="49" xfId="0" applyNumberFormat="1" applyFont="1" applyFill="1" applyBorder="1" applyAlignment="1">
      <alignment horizontal="center"/>
    </xf>
    <xf numFmtId="0" fontId="5" fillId="3" borderId="44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left"/>
    </xf>
    <xf numFmtId="0" fontId="5" fillId="3" borderId="50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5" fillId="3" borderId="22" xfId="0" applyNumberFormat="1" applyFont="1" applyFill="1" applyBorder="1" applyAlignment="1">
      <alignment horizontal="center"/>
    </xf>
    <xf numFmtId="0" fontId="5" fillId="3" borderId="45" xfId="0" applyNumberFormat="1" applyFont="1" applyFill="1" applyBorder="1" applyAlignment="1">
      <alignment horizontal="center"/>
    </xf>
    <xf numFmtId="0" fontId="5" fillId="3" borderId="24" xfId="0" applyNumberFormat="1" applyFont="1" applyFill="1" applyBorder="1" applyAlignment="1">
      <alignment horizontal="left"/>
    </xf>
    <xf numFmtId="0" fontId="5" fillId="3" borderId="51" xfId="0" applyFont="1" applyFill="1" applyBorder="1" applyAlignment="1">
      <alignment horizontal="centerContinuous"/>
    </xf>
    <xf numFmtId="0" fontId="5" fillId="3" borderId="52" xfId="0" applyFont="1" applyFill="1" applyBorder="1" applyAlignment="1">
      <alignment horizontal="centerContinuous"/>
    </xf>
    <xf numFmtId="0" fontId="5" fillId="3" borderId="38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5" fillId="3" borderId="3" xfId="0" applyNumberFormat="1" applyFont="1" applyFill="1" applyBorder="1" applyAlignment="1" applyProtection="1">
      <alignment horizontal="center"/>
      <protection locked="0"/>
    </xf>
    <xf numFmtId="4" fontId="5" fillId="3" borderId="25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 applyProtection="1">
      <alignment horizontal="center"/>
      <protection locked="0"/>
    </xf>
    <xf numFmtId="9" fontId="5" fillId="3" borderId="4" xfId="0" applyNumberFormat="1" applyFont="1" applyFill="1" applyBorder="1" applyAlignment="1">
      <alignment horizontal="center"/>
    </xf>
    <xf numFmtId="8" fontId="5" fillId="3" borderId="3" xfId="0" applyNumberFormat="1" applyFont="1" applyFill="1" applyBorder="1" applyAlignment="1" applyProtection="1">
      <alignment horizontal="center"/>
      <protection locked="0"/>
    </xf>
    <xf numFmtId="9" fontId="5" fillId="3" borderId="3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Continuous" wrapText="1"/>
    </xf>
    <xf numFmtId="0" fontId="5" fillId="3" borderId="54" xfId="0" applyFont="1" applyFill="1" applyBorder="1" applyAlignment="1">
      <alignment horizontal="center"/>
    </xf>
    <xf numFmtId="164" fontId="5" fillId="3" borderId="55" xfId="0" applyNumberFormat="1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4" fontId="5" fillId="3" borderId="57" xfId="0" applyNumberFormat="1" applyFont="1" applyFill="1" applyBorder="1" applyAlignment="1">
      <alignment horizontal="center"/>
    </xf>
    <xf numFmtId="4" fontId="5" fillId="3" borderId="58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>
      <alignment horizontal="center"/>
    </xf>
    <xf numFmtId="0" fontId="18" fillId="0" borderId="0" xfId="0" applyFont="1" applyAlignment="1">
      <alignment horizontal="centerContinuous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4" fontId="6" fillId="0" borderId="0" xfId="17" applyFont="1" applyAlignment="1">
      <alignment/>
    </xf>
    <xf numFmtId="44" fontId="5" fillId="0" borderId="0" xfId="17" applyFont="1" applyAlignment="1">
      <alignment horizontal="centerContinuous"/>
    </xf>
    <xf numFmtId="44" fontId="5" fillId="0" borderId="0" xfId="17" applyFont="1" applyBorder="1" applyAlignment="1">
      <alignment/>
    </xf>
    <xf numFmtId="44" fontId="5" fillId="3" borderId="51" xfId="17" applyFont="1" applyFill="1" applyBorder="1" applyAlignment="1">
      <alignment horizontal="center" wrapText="1"/>
    </xf>
    <xf numFmtId="44" fontId="5" fillId="3" borderId="0" xfId="17" applyFont="1" applyFill="1" applyBorder="1" applyAlignment="1">
      <alignment horizontal="center"/>
    </xf>
    <xf numFmtId="44" fontId="5" fillId="3" borderId="5" xfId="17" applyFont="1" applyFill="1" applyBorder="1" applyAlignment="1">
      <alignment horizontal="center"/>
    </xf>
    <xf numFmtId="44" fontId="6" fillId="0" borderId="5" xfId="17" applyFont="1" applyBorder="1" applyAlignment="1" applyProtection="1">
      <alignment/>
      <protection locked="0"/>
    </xf>
    <xf numFmtId="44" fontId="5" fillId="0" borderId="60" xfId="17" applyFont="1" applyBorder="1" applyAlignment="1">
      <alignment/>
    </xf>
    <xf numFmtId="0" fontId="17" fillId="0" borderId="61" xfId="0" applyFont="1" applyBorder="1" applyAlignment="1">
      <alignment/>
    </xf>
    <xf numFmtId="44" fontId="6" fillId="0" borderId="4" xfId="17" applyFont="1" applyBorder="1" applyAlignment="1" applyProtection="1">
      <alignment/>
      <protection locked="0"/>
    </xf>
    <xf numFmtId="44" fontId="6" fillId="0" borderId="8" xfId="17" applyFont="1" applyBorder="1" applyAlignment="1" applyProtection="1">
      <alignment/>
      <protection locked="0"/>
    </xf>
    <xf numFmtId="44" fontId="5" fillId="0" borderId="8" xfId="17" applyFont="1" applyBorder="1" applyAlignment="1">
      <alignment/>
    </xf>
    <xf numFmtId="44" fontId="6" fillId="0" borderId="36" xfId="17" applyFont="1" applyBorder="1" applyAlignment="1">
      <alignment/>
    </xf>
    <xf numFmtId="0" fontId="5" fillId="0" borderId="62" xfId="0" applyFont="1" applyBorder="1" applyAlignment="1">
      <alignment vertical="center" wrapText="1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 applyProtection="1">
      <alignment horizontal="center"/>
      <protection locked="0"/>
    </xf>
    <xf numFmtId="165" fontId="6" fillId="0" borderId="50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60" xfId="0" applyNumberFormat="1" applyFont="1" applyBorder="1" applyAlignment="1">
      <alignment horizontal="center"/>
    </xf>
    <xf numFmtId="165" fontId="5" fillId="0" borderId="63" xfId="0" applyNumberFormat="1" applyFont="1" applyBorder="1" applyAlignment="1">
      <alignment horizontal="center"/>
    </xf>
    <xf numFmtId="0" fontId="5" fillId="0" borderId="58" xfId="0" applyFont="1" applyBorder="1" applyAlignment="1">
      <alignment vertical="center" wrapText="1"/>
    </xf>
    <xf numFmtId="0" fontId="5" fillId="0" borderId="26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66" xfId="0" applyFont="1" applyBorder="1" applyAlignment="1" applyProtection="1">
      <alignment horizontal="left"/>
      <protection locked="0"/>
    </xf>
    <xf numFmtId="0" fontId="6" fillId="0" borderId="67" xfId="0" applyFont="1" applyBorder="1" applyAlignment="1" applyProtection="1">
      <alignment horizontal="left"/>
      <protection locked="0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Zeros="0" tabSelected="1" zoomScale="75" zoomScaleNormal="75" workbookViewId="0" topLeftCell="A7">
      <selection activeCell="B9" sqref="B9"/>
    </sheetView>
  </sheetViews>
  <sheetFormatPr defaultColWidth="9.140625" defaultRowHeight="12.75"/>
  <cols>
    <col min="1" max="1" width="13.00390625" style="14" customWidth="1"/>
    <col min="2" max="2" width="29.00390625" style="14" customWidth="1"/>
    <col min="3" max="3" width="15.140625" style="14" customWidth="1"/>
    <col min="4" max="4" width="22.28125" style="14" customWidth="1"/>
    <col min="5" max="5" width="11.8515625" style="14" customWidth="1"/>
    <col min="6" max="6" width="9.28125" style="14" bestFit="1" customWidth="1"/>
    <col min="7" max="7" width="11.57421875" style="14" bestFit="1" customWidth="1"/>
    <col min="8" max="8" width="9.28125" style="14" bestFit="1" customWidth="1"/>
    <col min="9" max="16384" width="9.140625" style="14" customWidth="1"/>
  </cols>
  <sheetData>
    <row r="1" spans="1:5" s="5" customFormat="1" ht="20.25">
      <c r="A1" s="197" t="s">
        <v>130</v>
      </c>
      <c r="B1" s="4"/>
      <c r="C1" s="4"/>
      <c r="D1" s="4"/>
      <c r="E1" s="4"/>
    </row>
    <row r="2" spans="1:5" s="5" customFormat="1" ht="14.25">
      <c r="A2" s="4"/>
      <c r="B2" s="4"/>
      <c r="C2" s="4"/>
      <c r="D2" s="4"/>
      <c r="E2" s="4"/>
    </row>
    <row r="3" spans="1:5" s="5" customFormat="1" ht="14.25">
      <c r="A3" s="4" t="s">
        <v>142</v>
      </c>
      <c r="B3" s="4"/>
      <c r="C3" s="4"/>
      <c r="D3" s="4"/>
      <c r="E3" s="4"/>
    </row>
    <row r="4" s="5" customFormat="1" ht="14.25"/>
    <row r="5" spans="1:5" s="5" customFormat="1" ht="14.25">
      <c r="A5" s="4" t="s">
        <v>0</v>
      </c>
      <c r="B5" s="4"/>
      <c r="C5" s="4"/>
      <c r="D5" s="4"/>
      <c r="E5" s="4"/>
    </row>
    <row r="6" spans="1:5" s="5" customFormat="1" ht="14.25">
      <c r="A6" s="4" t="s">
        <v>1</v>
      </c>
      <c r="B6" s="4"/>
      <c r="C6" s="4"/>
      <c r="D6" s="4"/>
      <c r="E6" s="4"/>
    </row>
    <row r="7" spans="1:5" s="5" customFormat="1" ht="14.25">
      <c r="A7" s="4" t="s">
        <v>125</v>
      </c>
      <c r="B7" s="4"/>
      <c r="C7" s="4"/>
      <c r="D7" s="4"/>
      <c r="E7" s="4"/>
    </row>
    <row r="8" s="5" customFormat="1" ht="14.25"/>
    <row r="9" spans="1:2" s="6" customFormat="1" ht="14.25">
      <c r="A9" s="58" t="s">
        <v>139</v>
      </c>
      <c r="B9" s="58" t="s">
        <v>157</v>
      </c>
    </row>
    <row r="10" s="6" customFormat="1" ht="15" thickBot="1"/>
    <row r="11" spans="1:5" s="8" customFormat="1" ht="15" thickTop="1">
      <c r="A11" s="123"/>
      <c r="B11" s="124"/>
      <c r="C11" s="125"/>
      <c r="D11" s="126" t="s">
        <v>2</v>
      </c>
      <c r="E11" s="127" t="s">
        <v>3</v>
      </c>
    </row>
    <row r="12" spans="1:5" s="8" customFormat="1" ht="15" thickBot="1">
      <c r="A12" s="128" t="s">
        <v>4</v>
      </c>
      <c r="B12" s="129"/>
      <c r="C12" s="130" t="s">
        <v>5</v>
      </c>
      <c r="D12" s="131" t="s">
        <v>126</v>
      </c>
      <c r="E12" s="132" t="s">
        <v>6</v>
      </c>
    </row>
    <row r="13" spans="1:5" ht="15.75" thickTop="1">
      <c r="A13" s="9" t="str">
        <f>CONCATENATE(Labor!C$9,Labor!C$10)</f>
        <v>Principal</v>
      </c>
      <c r="B13" s="10"/>
      <c r="C13" s="11">
        <f>Labor!C18</f>
        <v>22</v>
      </c>
      <c r="D13" s="12">
        <f>Labor!C11</f>
        <v>35.83</v>
      </c>
      <c r="E13" s="90">
        <f>ROUND(C13*D13,2)</f>
        <v>788.26</v>
      </c>
    </row>
    <row r="14" spans="1:5" ht="15">
      <c r="A14" s="9" t="str">
        <f>CONCATENATE(Labor!D$9," ",Labor!D$10)</f>
        <v>Project Manager</v>
      </c>
      <c r="B14" s="10"/>
      <c r="C14" s="11">
        <f>Labor!D18</f>
        <v>71</v>
      </c>
      <c r="D14" s="12">
        <f>Labor!D11</f>
        <v>31.67</v>
      </c>
      <c r="E14" s="91">
        <f>ROUND(C14*D14,2)</f>
        <v>2248.57</v>
      </c>
    </row>
    <row r="15" spans="1:5" ht="15" hidden="1">
      <c r="A15" s="9" t="str">
        <f>CONCATENATE(Labor!C$9,Labor!C$10)</f>
        <v>Principal</v>
      </c>
      <c r="B15" s="10"/>
      <c r="C15" s="11">
        <f>Labor!C20</f>
        <v>0</v>
      </c>
      <c r="D15" s="12">
        <v>28.84</v>
      </c>
      <c r="E15" s="91">
        <f aca="true" t="shared" si="0" ref="E15:E30">ROUND(C15*D15,2)</f>
        <v>0</v>
      </c>
    </row>
    <row r="16" spans="1:5" ht="15" hidden="1">
      <c r="A16" s="9" t="str">
        <f>CONCATENATE(Labor!C$9,Labor!C$10)</f>
        <v>Principal</v>
      </c>
      <c r="B16" s="10"/>
      <c r="C16" s="11">
        <f>Labor!C21</f>
        <v>0</v>
      </c>
      <c r="D16" s="12">
        <v>20.95</v>
      </c>
      <c r="E16" s="91">
        <f t="shared" si="0"/>
        <v>0</v>
      </c>
    </row>
    <row r="17" spans="1:5" ht="15" hidden="1">
      <c r="A17" s="9" t="str">
        <f>CONCATENATE(Labor!C$9,Labor!C$10)</f>
        <v>Principal</v>
      </c>
      <c r="B17" s="10"/>
      <c r="C17" s="11">
        <f>Labor!C22</f>
        <v>0</v>
      </c>
      <c r="D17" s="12">
        <v>18.03</v>
      </c>
      <c r="E17" s="91">
        <f t="shared" si="0"/>
        <v>0</v>
      </c>
    </row>
    <row r="18" spans="1:5" ht="15" hidden="1">
      <c r="A18" s="9" t="str">
        <f>CONCATENATE(Labor!C$9,Labor!C$10)</f>
        <v>Principal</v>
      </c>
      <c r="B18" s="10"/>
      <c r="C18" s="11">
        <f>Labor!C23</f>
        <v>0</v>
      </c>
      <c r="D18" s="12">
        <v>39.85</v>
      </c>
      <c r="E18" s="91">
        <f t="shared" si="0"/>
        <v>0</v>
      </c>
    </row>
    <row r="19" spans="1:5" ht="15" hidden="1">
      <c r="A19" s="9" t="str">
        <f>CONCATENATE(Labor!C$9,Labor!C$10)</f>
        <v>Principal</v>
      </c>
      <c r="B19" s="10"/>
      <c r="C19" s="11">
        <f>Labor!C24</f>
        <v>0</v>
      </c>
      <c r="D19" s="12">
        <v>36.22</v>
      </c>
      <c r="E19" s="91">
        <f t="shared" si="0"/>
        <v>0</v>
      </c>
    </row>
    <row r="20" spans="1:5" ht="15" hidden="1">
      <c r="A20" s="9" t="str">
        <f>CONCATENATE(Labor!C$9,Labor!C$10)</f>
        <v>Principal</v>
      </c>
      <c r="B20" s="10"/>
      <c r="C20" s="11">
        <f>Labor!C25</f>
        <v>0</v>
      </c>
      <c r="D20" s="12">
        <v>35.24</v>
      </c>
      <c r="E20" s="91">
        <f t="shared" si="0"/>
        <v>0</v>
      </c>
    </row>
    <row r="21" spans="1:5" ht="15">
      <c r="A21" s="9" t="str">
        <f>CONCATENATE(Labor!E$9," ",Labor!E$10)</f>
        <v>Lead Civil Engineer</v>
      </c>
      <c r="B21" s="10"/>
      <c r="C21" s="11">
        <f>Labor!E18</f>
        <v>736</v>
      </c>
      <c r="D21" s="12">
        <f>Labor!E11</f>
        <v>33.66</v>
      </c>
      <c r="E21" s="91">
        <f t="shared" si="0"/>
        <v>24773.76</v>
      </c>
    </row>
    <row r="22" spans="1:5" ht="15" hidden="1">
      <c r="A22" s="9" t="str">
        <f>CONCATENATE(Labor!C$9,Labor!C$10)</f>
        <v>Principal</v>
      </c>
      <c r="B22" s="10"/>
      <c r="C22" s="11">
        <f>Labor!C27</f>
        <v>0</v>
      </c>
      <c r="D22" s="12">
        <v>22.51</v>
      </c>
      <c r="E22" s="91">
        <f t="shared" si="0"/>
        <v>0</v>
      </c>
    </row>
    <row r="23" spans="1:5" ht="15" hidden="1">
      <c r="A23" s="9" t="str">
        <f>CONCATENATE(Labor!C$9,Labor!C$10)</f>
        <v>Principal</v>
      </c>
      <c r="B23" s="10"/>
      <c r="C23" s="11">
        <f>Labor!C28</f>
        <v>0</v>
      </c>
      <c r="D23" s="12">
        <v>23.23</v>
      </c>
      <c r="E23" s="91">
        <f t="shared" si="0"/>
        <v>0</v>
      </c>
    </row>
    <row r="24" spans="1:5" ht="15">
      <c r="A24" s="9" t="str">
        <f>CONCATENATE(Labor!F$9," ",Labor!F$10)</f>
        <v>CADD Operator</v>
      </c>
      <c r="B24" s="10"/>
      <c r="C24" s="11">
        <f>Labor!F18</f>
        <v>198</v>
      </c>
      <c r="D24" s="12">
        <f>Labor!F11</f>
        <v>20</v>
      </c>
      <c r="E24" s="91">
        <f t="shared" si="0"/>
        <v>3960</v>
      </c>
    </row>
    <row r="25" spans="1:5" ht="15" hidden="1">
      <c r="A25" s="9" t="str">
        <f>CONCATENATE(Labor!C$9,Labor!C$10)</f>
        <v>Principal</v>
      </c>
      <c r="B25" s="10"/>
      <c r="C25" s="11">
        <f>Labor!C30</f>
        <v>0</v>
      </c>
      <c r="D25" s="12">
        <v>23.23</v>
      </c>
      <c r="E25" s="91">
        <f t="shared" si="0"/>
        <v>0</v>
      </c>
    </row>
    <row r="26" spans="1:5" ht="15" hidden="1">
      <c r="A26" s="9" t="str">
        <f>CONCATENATE(Labor!C$9,Labor!C$10)</f>
        <v>Principal</v>
      </c>
      <c r="B26" s="10"/>
      <c r="C26" s="11">
        <f>Labor!C31</f>
        <v>0</v>
      </c>
      <c r="D26" s="12">
        <v>37.85</v>
      </c>
      <c r="E26" s="91">
        <f t="shared" si="0"/>
        <v>0</v>
      </c>
    </row>
    <row r="27" spans="1:5" ht="15" hidden="1">
      <c r="A27" s="9" t="str">
        <f>CONCATENATE(Labor!C$9,Labor!C$10)</f>
        <v>Principal</v>
      </c>
      <c r="B27" s="10"/>
      <c r="C27" s="11">
        <f>Labor!C32</f>
        <v>0</v>
      </c>
      <c r="D27" s="12">
        <v>18.03</v>
      </c>
      <c r="E27" s="91">
        <f t="shared" si="0"/>
        <v>0</v>
      </c>
    </row>
    <row r="28" spans="1:5" ht="15" hidden="1">
      <c r="A28" s="9" t="str">
        <f>CONCATENATE(Labor!C$9,Labor!C$10)</f>
        <v>Principal</v>
      </c>
      <c r="B28" s="10"/>
      <c r="C28" s="11">
        <f>Labor!C33</f>
        <v>0</v>
      </c>
      <c r="D28" s="12">
        <v>26.49</v>
      </c>
      <c r="E28" s="91">
        <f t="shared" si="0"/>
        <v>0</v>
      </c>
    </row>
    <row r="29" spans="1:5" ht="15" hidden="1">
      <c r="A29" s="9" t="str">
        <f>CONCATENATE(Labor!C$9,Labor!C$10)</f>
        <v>Principal</v>
      </c>
      <c r="B29" s="10"/>
      <c r="C29" s="11">
        <f>Labor!C34</f>
        <v>0</v>
      </c>
      <c r="D29" s="12">
        <v>36.22</v>
      </c>
      <c r="E29" s="91">
        <f t="shared" si="0"/>
        <v>0</v>
      </c>
    </row>
    <row r="30" spans="1:5" ht="15" hidden="1">
      <c r="A30" s="9" t="str">
        <f>CONCATENATE(Labor!C$9,Labor!C$10)</f>
        <v>Principal</v>
      </c>
      <c r="B30" s="10"/>
      <c r="C30" s="11">
        <f>Labor!C35</f>
        <v>0</v>
      </c>
      <c r="D30" s="12">
        <v>25.77</v>
      </c>
      <c r="E30" s="91">
        <f t="shared" si="0"/>
        <v>0</v>
      </c>
    </row>
    <row r="31" spans="1:5" ht="15" hidden="1">
      <c r="A31" s="9" t="str">
        <f>CONCATENATE(Labor!C$9,Labor!C$10)</f>
        <v>Principal</v>
      </c>
      <c r="B31" s="10"/>
      <c r="C31" s="11">
        <f>Labor!C36</f>
        <v>0</v>
      </c>
      <c r="D31" s="12">
        <v>13.85</v>
      </c>
      <c r="E31" s="91">
        <f aca="true" t="shared" si="1" ref="E31:E45">ROUND(C31*D31,2)</f>
        <v>0</v>
      </c>
    </row>
    <row r="32" spans="1:5" ht="15" hidden="1">
      <c r="A32" s="9" t="str">
        <f>CONCATENATE(Labor!C$9,Labor!C$10)</f>
        <v>Principal</v>
      </c>
      <c r="B32" s="10"/>
      <c r="C32" s="11">
        <f>Labor!C37</f>
        <v>0</v>
      </c>
      <c r="D32" s="12">
        <v>42.54</v>
      </c>
      <c r="E32" s="91">
        <f t="shared" si="1"/>
        <v>0</v>
      </c>
    </row>
    <row r="33" spans="1:5" ht="15" hidden="1">
      <c r="A33" s="9" t="str">
        <f>CONCATENATE(Labor!C$9,Labor!C$10)</f>
        <v>Principal</v>
      </c>
      <c r="B33" s="10"/>
      <c r="C33" s="11">
        <f>Labor!C38</f>
        <v>0</v>
      </c>
      <c r="D33" s="12">
        <v>23.23</v>
      </c>
      <c r="E33" s="91">
        <f t="shared" si="1"/>
        <v>0</v>
      </c>
    </row>
    <row r="34" spans="1:5" ht="15" hidden="1">
      <c r="A34" s="9" t="str">
        <f>CONCATENATE(Labor!C$9,Labor!C$10)</f>
        <v>Principal</v>
      </c>
      <c r="B34" s="10"/>
      <c r="C34" s="11">
        <f>Labor!C39</f>
        <v>0</v>
      </c>
      <c r="D34" s="12">
        <v>23.12</v>
      </c>
      <c r="E34" s="91">
        <f t="shared" si="1"/>
        <v>0</v>
      </c>
    </row>
    <row r="35" spans="1:5" ht="15" hidden="1">
      <c r="A35" s="9" t="str">
        <f>CONCATENATE(Labor!C$9,Labor!C$10)</f>
        <v>Principal</v>
      </c>
      <c r="B35" s="10"/>
      <c r="C35" s="11">
        <f>Labor!C40</f>
        <v>0</v>
      </c>
      <c r="D35" s="12">
        <v>36.22</v>
      </c>
      <c r="E35" s="91">
        <f t="shared" si="1"/>
        <v>0</v>
      </c>
    </row>
    <row r="36" spans="1:5" ht="15" hidden="1">
      <c r="A36" s="9" t="str">
        <f>CONCATENATE(Labor!C$9,Labor!C$10)</f>
        <v>Principal</v>
      </c>
      <c r="B36" s="10"/>
      <c r="C36" s="11">
        <f>Labor!C41</f>
        <v>0</v>
      </c>
      <c r="D36" s="12">
        <v>32.86</v>
      </c>
      <c r="E36" s="91">
        <f t="shared" si="1"/>
        <v>0</v>
      </c>
    </row>
    <row r="37" spans="1:5" ht="15" hidden="1">
      <c r="A37" s="9" t="str">
        <f>CONCATENATE(Labor!C$9,Labor!C$10)</f>
        <v>Principal</v>
      </c>
      <c r="B37" s="10"/>
      <c r="C37" s="11">
        <f>Labor!C42</f>
        <v>0</v>
      </c>
      <c r="D37" s="12">
        <v>18.03</v>
      </c>
      <c r="E37" s="91">
        <f t="shared" si="1"/>
        <v>0</v>
      </c>
    </row>
    <row r="38" spans="1:5" ht="15">
      <c r="A38" s="9" t="str">
        <f>CONCATENATE(Labor!G$9," ",Labor!G$10)</f>
        <v>Lead Env. Estimator</v>
      </c>
      <c r="B38" s="10"/>
      <c r="C38" s="11">
        <f>Labor!G18</f>
        <v>0</v>
      </c>
      <c r="D38" s="12">
        <f>Labor!G11</f>
        <v>43.11</v>
      </c>
      <c r="E38" s="91">
        <f t="shared" si="1"/>
        <v>0</v>
      </c>
    </row>
    <row r="39" spans="1:5" ht="15" hidden="1">
      <c r="A39" s="9" t="str">
        <f>CONCATENATE(Labor!C$9,Labor!C$10)</f>
        <v>Principal</v>
      </c>
      <c r="B39" s="10"/>
      <c r="C39" s="11">
        <f>Labor!C44</f>
        <v>0</v>
      </c>
      <c r="D39" s="12">
        <v>18.03</v>
      </c>
      <c r="E39" s="91">
        <f t="shared" si="1"/>
        <v>0</v>
      </c>
    </row>
    <row r="40" spans="1:5" ht="15" hidden="1">
      <c r="A40" s="9" t="str">
        <f>CONCATENATE(Labor!C$9,Labor!C$10)</f>
        <v>Principal</v>
      </c>
      <c r="B40" s="10"/>
      <c r="C40" s="11">
        <f>Labor!C45</f>
        <v>0</v>
      </c>
      <c r="D40" s="12">
        <v>22.26</v>
      </c>
      <c r="E40" s="91">
        <f t="shared" si="1"/>
        <v>0</v>
      </c>
    </row>
    <row r="41" spans="1:5" ht="15" hidden="1">
      <c r="A41" s="9" t="str">
        <f>CONCATENATE(Labor!C$9,Labor!C$10)</f>
        <v>Principal</v>
      </c>
      <c r="B41" s="10"/>
      <c r="C41" s="11">
        <f>Labor!C46</f>
        <v>0</v>
      </c>
      <c r="D41" s="12">
        <v>18.03</v>
      </c>
      <c r="E41" s="91">
        <f t="shared" si="1"/>
        <v>0</v>
      </c>
    </row>
    <row r="42" spans="1:5" ht="15" hidden="1">
      <c r="A42" s="9" t="str">
        <f>CONCATENATE(Labor!C$9,Labor!C$10)</f>
        <v>Principal</v>
      </c>
      <c r="B42" s="10"/>
      <c r="C42" s="11">
        <f>Labor!C47</f>
        <v>0</v>
      </c>
      <c r="D42" s="12">
        <v>42.95</v>
      </c>
      <c r="E42" s="91">
        <f t="shared" si="1"/>
        <v>0</v>
      </c>
    </row>
    <row r="43" spans="1:5" ht="15" hidden="1">
      <c r="A43" s="9" t="str">
        <f>CONCATENATE(Labor!C$9,Labor!C$10)</f>
        <v>Principal</v>
      </c>
      <c r="B43" s="10"/>
      <c r="C43" s="11">
        <f>Labor!C48</f>
        <v>0</v>
      </c>
      <c r="D43" s="12">
        <v>18.03</v>
      </c>
      <c r="E43" s="91">
        <f t="shared" si="1"/>
        <v>0</v>
      </c>
    </row>
    <row r="44" spans="1:5" ht="15" hidden="1">
      <c r="A44" s="9" t="str">
        <f>CONCATENATE(Labor!C$9,Labor!C$10)</f>
        <v>Principal</v>
      </c>
      <c r="B44" s="10"/>
      <c r="C44" s="11">
        <f>Labor!C49</f>
        <v>0</v>
      </c>
      <c r="D44" s="12">
        <v>37.08</v>
      </c>
      <c r="E44" s="91">
        <f t="shared" si="1"/>
        <v>0</v>
      </c>
    </row>
    <row r="45" spans="1:5" ht="15" hidden="1">
      <c r="A45" s="9" t="str">
        <f>CONCATENATE(Labor!C$9,Labor!C$10)</f>
        <v>Principal</v>
      </c>
      <c r="B45" s="10"/>
      <c r="C45" s="11">
        <f>Labor!C50</f>
        <v>0</v>
      </c>
      <c r="D45" s="12">
        <v>23.23</v>
      </c>
      <c r="E45" s="91">
        <f t="shared" si="1"/>
        <v>0</v>
      </c>
    </row>
    <row r="46" spans="1:5" ht="15" hidden="1">
      <c r="A46" s="9" t="str">
        <f>CONCATENATE(Labor!C$9,Labor!C$10)</f>
        <v>Principal</v>
      </c>
      <c r="B46" s="10"/>
      <c r="C46" s="11">
        <f>Labor!C52</f>
        <v>0</v>
      </c>
      <c r="D46" s="12">
        <v>11.04</v>
      </c>
      <c r="E46" s="91">
        <f>ROUND(C46*D46,2)</f>
        <v>0</v>
      </c>
    </row>
    <row r="47" spans="1:5" ht="15">
      <c r="A47" s="9" t="str">
        <f>CONCATENATE(Labor!H$9," ",Labor!H$10)</f>
        <v>Technical Editor</v>
      </c>
      <c r="B47" s="10"/>
      <c r="C47" s="11">
        <f>Labor!H18</f>
        <v>198</v>
      </c>
      <c r="D47" s="12">
        <f>Labor!H11</f>
        <v>22.05</v>
      </c>
      <c r="E47" s="91">
        <f>ROUND(C47*D47,2)</f>
        <v>4365.9</v>
      </c>
    </row>
    <row r="48" spans="1:5" ht="15.75" thickBot="1">
      <c r="A48" s="88" t="str">
        <f>CONCATENATE(Labor!I$9,Labor!I$10)</f>
        <v>Clerical</v>
      </c>
      <c r="B48" s="16"/>
      <c r="C48" s="17">
        <f>Labor!I18</f>
        <v>24</v>
      </c>
      <c r="D48" s="18">
        <f>Labor!I11</f>
        <v>14.5</v>
      </c>
      <c r="E48" s="92">
        <f>ROUND(C48*D48,2)</f>
        <v>348</v>
      </c>
    </row>
    <row r="49" spans="1:5" s="5" customFormat="1" ht="15.75" thickBot="1" thickTop="1">
      <c r="A49" s="89" t="s">
        <v>34</v>
      </c>
      <c r="B49" s="21"/>
      <c r="C49" s="22">
        <f>SUM(C13:C48)</f>
        <v>1249</v>
      </c>
      <c r="D49" s="23"/>
      <c r="E49" s="93">
        <f>SUM(E13:E48)</f>
        <v>36484.49</v>
      </c>
    </row>
    <row r="50" spans="1:6" s="5" customFormat="1" ht="15" thickTop="1">
      <c r="A50" s="25" t="s">
        <v>35</v>
      </c>
      <c r="B50" s="7"/>
      <c r="C50" s="84">
        <f>Rates!A1</f>
        <v>0.4</v>
      </c>
      <c r="D50" s="27"/>
      <c r="E50" s="94">
        <f>ROUND($E$49*C50,2)</f>
        <v>14593.8</v>
      </c>
      <c r="F50" s="122" t="s">
        <v>128</v>
      </c>
    </row>
    <row r="51" spans="1:6" s="5" customFormat="1" ht="14.25">
      <c r="A51" s="25" t="s">
        <v>118</v>
      </c>
      <c r="B51" s="7"/>
      <c r="C51" s="84">
        <f>Rates!A2</f>
        <v>0.425</v>
      </c>
      <c r="D51" s="27"/>
      <c r="E51" s="94">
        <f>ROUND($E$49*C51,2)</f>
        <v>15505.91</v>
      </c>
      <c r="F51" s="122"/>
    </row>
    <row r="52" spans="1:8" s="5" customFormat="1" ht="14.25">
      <c r="A52" s="25" t="s">
        <v>36</v>
      </c>
      <c r="B52" s="7"/>
      <c r="C52" s="28"/>
      <c r="D52" s="27"/>
      <c r="E52" s="94">
        <f>SumP2!C16</f>
        <v>11520</v>
      </c>
      <c r="F52" s="122">
        <f>(E52*(1+$C$55)*(1+$C$57))</f>
        <v>13546.368</v>
      </c>
      <c r="H52" s="34"/>
    </row>
    <row r="53" spans="1:6" s="5" customFormat="1" ht="15" thickBot="1">
      <c r="A53" s="20" t="s">
        <v>37</v>
      </c>
      <c r="B53" s="21"/>
      <c r="C53" s="29"/>
      <c r="D53" s="23"/>
      <c r="E53" s="93">
        <f>SumP2!C26</f>
        <v>4669.44</v>
      </c>
      <c r="F53" s="122">
        <f>(E53*(1+$C$55)*(1+$C$57))</f>
        <v>5490.7944959999995</v>
      </c>
    </row>
    <row r="54" spans="1:5" s="5" customFormat="1" ht="15" thickTop="1">
      <c r="A54" s="25" t="s">
        <v>38</v>
      </c>
      <c r="B54" s="7"/>
      <c r="C54" s="28"/>
      <c r="D54" s="27"/>
      <c r="E54" s="94">
        <f>ROUND(SUM(E49:E53),2)</f>
        <v>82773.64</v>
      </c>
    </row>
    <row r="55" spans="1:5" s="5" customFormat="1" ht="15" thickBot="1">
      <c r="A55" s="20" t="s">
        <v>39</v>
      </c>
      <c r="B55" s="21"/>
      <c r="C55" s="30">
        <f>Rates!A3</f>
        <v>0.069</v>
      </c>
      <c r="D55" s="23"/>
      <c r="E55" s="93">
        <f>ROUND(E54*C55,2)</f>
        <v>5711.38</v>
      </c>
    </row>
    <row r="56" spans="1:5" s="5" customFormat="1" ht="15" thickTop="1">
      <c r="A56" s="25" t="s">
        <v>40</v>
      </c>
      <c r="B56" s="7"/>
      <c r="C56" s="28"/>
      <c r="D56" s="27"/>
      <c r="E56" s="94">
        <f>SUM(E54:E55)</f>
        <v>88485.02</v>
      </c>
    </row>
    <row r="57" spans="1:5" s="5" customFormat="1" ht="15" thickBot="1">
      <c r="A57" s="20" t="s">
        <v>41</v>
      </c>
      <c r="B57" s="21"/>
      <c r="C57" s="87">
        <f>Rates!C4</f>
        <v>0.1</v>
      </c>
      <c r="D57" s="23"/>
      <c r="E57" s="93">
        <f>ROUND(E56*C57,2)</f>
        <v>8848.5</v>
      </c>
    </row>
    <row r="58" spans="1:5" s="5" customFormat="1" ht="15" thickTop="1">
      <c r="A58" s="25" t="s">
        <v>42</v>
      </c>
      <c r="B58" s="7"/>
      <c r="C58" s="28"/>
      <c r="D58" s="27">
        <f>Dsum!H18</f>
        <v>0</v>
      </c>
      <c r="E58" s="94"/>
    </row>
    <row r="59" spans="1:5" s="5" customFormat="1" ht="14.25">
      <c r="A59" s="25" t="s">
        <v>39</v>
      </c>
      <c r="B59" s="7"/>
      <c r="C59" s="31">
        <f>C55</f>
        <v>0.069</v>
      </c>
      <c r="D59" s="32">
        <f>ROUND(D58*C59,2)</f>
        <v>0</v>
      </c>
      <c r="E59" s="94"/>
    </row>
    <row r="60" spans="1:5" s="5" customFormat="1" ht="14.25">
      <c r="A60" s="25" t="s">
        <v>43</v>
      </c>
      <c r="B60" s="7"/>
      <c r="C60" s="28"/>
      <c r="D60" s="27">
        <f>SUM(D58:D59)</f>
        <v>0</v>
      </c>
      <c r="E60" s="94"/>
    </row>
    <row r="61" spans="1:5" s="5" customFormat="1" ht="14.25">
      <c r="A61" s="25" t="s">
        <v>41</v>
      </c>
      <c r="B61" s="7"/>
      <c r="C61" s="26">
        <f>Rates!A5</f>
        <v>0.05</v>
      </c>
      <c r="D61" s="27">
        <f>ROUND(D60*C61,2)</f>
        <v>0</v>
      </c>
      <c r="E61" s="94"/>
    </row>
    <row r="62" spans="1:5" s="5" customFormat="1" ht="15" thickBot="1">
      <c r="A62" s="20" t="s">
        <v>44</v>
      </c>
      <c r="B62" s="21"/>
      <c r="C62" s="29"/>
      <c r="D62" s="23"/>
      <c r="E62" s="93">
        <f>SUM(D60:D61)</f>
        <v>0</v>
      </c>
    </row>
    <row r="63" spans="1:5" s="5" customFormat="1" ht="15.75" thickBot="1" thickTop="1">
      <c r="A63" s="20" t="s">
        <v>148</v>
      </c>
      <c r="B63" s="21"/>
      <c r="C63" s="29"/>
      <c r="D63" s="23"/>
      <c r="E63" s="93">
        <f>SUM(E56:E62)</f>
        <v>97333.52</v>
      </c>
    </row>
    <row r="64" spans="1:5" s="5" customFormat="1" ht="15.75" thickBot="1" thickTop="1">
      <c r="A64" s="117"/>
      <c r="B64" s="118"/>
      <c r="C64" s="119"/>
      <c r="D64" s="120"/>
      <c r="E64" s="121"/>
    </row>
    <row r="65" spans="1:5" ht="16.5" thickBot="1" thickTop="1">
      <c r="A65" s="109"/>
      <c r="B65" s="103"/>
      <c r="C65" s="110"/>
      <c r="D65" s="212"/>
      <c r="E65" s="111"/>
    </row>
    <row r="66" spans="1:5" ht="16.5" thickBot="1" thickTop="1">
      <c r="A66" s="112" t="s">
        <v>137</v>
      </c>
      <c r="B66" s="113"/>
      <c r="C66" s="114" t="s">
        <v>129</v>
      </c>
      <c r="D66" s="115" t="s">
        <v>127</v>
      </c>
      <c r="E66" s="116" t="s">
        <v>34</v>
      </c>
    </row>
    <row r="67" spans="1:7" ht="16.5" thickBot="1" thickTop="1">
      <c r="A67" s="97" t="s">
        <v>131</v>
      </c>
      <c r="B67" s="98"/>
      <c r="C67" s="95">
        <v>0</v>
      </c>
      <c r="D67" s="216">
        <v>200</v>
      </c>
      <c r="E67" s="96">
        <f aca="true" t="shared" si="2" ref="E67:E74">C67*D67</f>
        <v>0</v>
      </c>
      <c r="G67" s="108">
        <v>18</v>
      </c>
    </row>
    <row r="68" spans="1:7" ht="16.5" thickBot="1" thickTop="1">
      <c r="A68" s="97" t="s">
        <v>132</v>
      </c>
      <c r="B68" s="98"/>
      <c r="C68" s="95">
        <v>0</v>
      </c>
      <c r="D68" s="216">
        <v>350</v>
      </c>
      <c r="E68" s="96">
        <f t="shared" si="2"/>
        <v>0</v>
      </c>
      <c r="G68" s="108"/>
    </row>
    <row r="69" spans="1:7" ht="16.5" thickBot="1" thickTop="1">
      <c r="A69" s="97" t="s">
        <v>133</v>
      </c>
      <c r="B69" s="98"/>
      <c r="C69" s="95">
        <v>0</v>
      </c>
      <c r="D69" s="216">
        <v>75</v>
      </c>
      <c r="E69" s="96">
        <f t="shared" si="2"/>
        <v>0</v>
      </c>
      <c r="G69" s="108"/>
    </row>
    <row r="70" spans="1:7" ht="16.5" thickBot="1" thickTop="1">
      <c r="A70" s="97" t="s">
        <v>136</v>
      </c>
      <c r="B70" s="98"/>
      <c r="C70" s="107">
        <v>0</v>
      </c>
      <c r="D70" s="216">
        <v>271</v>
      </c>
      <c r="E70" s="96">
        <f t="shared" si="2"/>
        <v>0</v>
      </c>
      <c r="G70" s="108">
        <v>1125</v>
      </c>
    </row>
    <row r="71" spans="1:7" ht="16.5" thickBot="1" thickTop="1">
      <c r="A71" s="97" t="s">
        <v>134</v>
      </c>
      <c r="B71" s="98"/>
      <c r="C71" s="95">
        <v>0</v>
      </c>
      <c r="D71" s="216">
        <v>91</v>
      </c>
      <c r="E71" s="96">
        <f t="shared" si="2"/>
        <v>0</v>
      </c>
      <c r="G71" s="108">
        <v>85</v>
      </c>
    </row>
    <row r="72" spans="1:7" ht="16.5" thickBot="1" thickTop="1">
      <c r="A72" s="97" t="s">
        <v>141</v>
      </c>
      <c r="B72" s="98"/>
      <c r="C72" s="95">
        <v>0</v>
      </c>
      <c r="D72" s="216">
        <v>175</v>
      </c>
      <c r="E72" s="96">
        <f t="shared" si="2"/>
        <v>0</v>
      </c>
      <c r="G72" s="108"/>
    </row>
    <row r="73" spans="1:7" ht="16.5" thickBot="1" thickTop="1">
      <c r="A73" s="97" t="s">
        <v>135</v>
      </c>
      <c r="B73" s="98"/>
      <c r="C73" s="95">
        <v>0</v>
      </c>
      <c r="D73" s="216">
        <v>150</v>
      </c>
      <c r="E73" s="96">
        <f t="shared" si="2"/>
        <v>0</v>
      </c>
      <c r="G73" s="108"/>
    </row>
    <row r="74" spans="1:7" ht="16.5" thickBot="1" thickTop="1">
      <c r="A74" s="97" t="s">
        <v>138</v>
      </c>
      <c r="B74" s="98"/>
      <c r="C74" s="95">
        <v>0</v>
      </c>
      <c r="D74" s="216">
        <v>1000</v>
      </c>
      <c r="E74" s="96">
        <f t="shared" si="2"/>
        <v>0</v>
      </c>
      <c r="G74" s="108">
        <v>100</v>
      </c>
    </row>
    <row r="75" spans="3:7" ht="16.5" thickBot="1" thickTop="1">
      <c r="C75" s="226" t="s">
        <v>140</v>
      </c>
      <c r="D75" s="227"/>
      <c r="E75" s="100">
        <f>SUM(E67:E74)</f>
        <v>0</v>
      </c>
      <c r="G75" s="108"/>
    </row>
    <row r="76" spans="4:7" ht="15" customHeight="1" thickTop="1">
      <c r="D76" s="101"/>
      <c r="E76" s="102"/>
      <c r="G76" s="108">
        <f>E63+E75</f>
        <v>97333.52</v>
      </c>
    </row>
  </sheetData>
  <mergeCells count="1">
    <mergeCell ref="C75:D75"/>
  </mergeCells>
  <printOptions horizontalCentered="1"/>
  <pageMargins left="1" right="1" top="1" bottom="1" header="0.5" footer="0.5"/>
  <pageSetup fitToHeight="1" fitToWidth="1" horizontalDpi="300" verticalDpi="300" orientation="portrait" scale="92" r:id="rId1"/>
  <headerFooter alignWithMargins="0">
    <oddFooter>&amp;L&amp;"CG Times,Regular"&amp;11&amp;F&amp;R&amp;"Arial,Bold"CONFIDENTIAL - For NOAA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showZeros="0" zoomScale="75" zoomScaleNormal="75" workbookViewId="0" topLeftCell="A26">
      <selection activeCell="A19" sqref="A19"/>
    </sheetView>
  </sheetViews>
  <sheetFormatPr defaultColWidth="9.140625" defaultRowHeight="12.75"/>
  <cols>
    <col min="1" max="1" width="22.28125" style="14" customWidth="1"/>
    <col min="2" max="2" width="39.8515625" style="14" customWidth="1"/>
    <col min="3" max="3" width="14.00390625" style="36" customWidth="1"/>
    <col min="4" max="4" width="13.00390625" style="14" customWidth="1"/>
    <col min="5" max="16384" width="9.140625" style="14" customWidth="1"/>
  </cols>
  <sheetData>
    <row r="1" spans="1:3" s="5" customFormat="1" ht="14.25">
      <c r="A1" s="4" t="s">
        <v>143</v>
      </c>
      <c r="B1" s="4"/>
      <c r="C1" s="33"/>
    </row>
    <row r="2" spans="1:3" s="5" customFormat="1" ht="14.25">
      <c r="A2" s="4"/>
      <c r="B2" s="4"/>
      <c r="C2" s="33"/>
    </row>
    <row r="3" spans="1:3" s="5" customFormat="1" ht="14.25">
      <c r="A3" s="4" t="s">
        <v>0</v>
      </c>
      <c r="B3" s="4"/>
      <c r="C3" s="33"/>
    </row>
    <row r="4" spans="1:3" s="5" customFormat="1" ht="14.25">
      <c r="A4" s="4" t="s">
        <v>45</v>
      </c>
      <c r="B4" s="4"/>
      <c r="C4" s="33"/>
    </row>
    <row r="5" spans="1:3" s="5" customFormat="1" ht="14.25">
      <c r="A5" s="4" t="s">
        <v>125</v>
      </c>
      <c r="B5" s="4"/>
      <c r="C5" s="33"/>
    </row>
    <row r="6" s="5" customFormat="1" ht="14.25">
      <c r="C6" s="34"/>
    </row>
    <row r="7" spans="1:3" s="5" customFormat="1" ht="16.5" customHeight="1">
      <c r="A7" s="5" t="str">
        <f>'Sum P1'!A9</f>
        <v>Project:</v>
      </c>
      <c r="B7" s="35" t="str">
        <f>'Sum P1'!B9</f>
        <v>2001 NWS SPCC for 18 sites</v>
      </c>
      <c r="C7" s="34"/>
    </row>
    <row r="8" ht="15.75" thickBot="1"/>
    <row r="9" spans="1:3" s="8" customFormat="1" ht="17.25" customHeight="1" thickBot="1" thickTop="1">
      <c r="A9" s="133" t="s">
        <v>158</v>
      </c>
      <c r="B9" s="134"/>
      <c r="C9" s="135" t="s">
        <v>6</v>
      </c>
    </row>
    <row r="10" spans="1:3" s="40" customFormat="1" ht="18.75" customHeight="1" thickTop="1">
      <c r="A10" s="37" t="s">
        <v>46</v>
      </c>
      <c r="B10" s="38"/>
      <c r="C10" s="39">
        <f>Trav!E18</f>
        <v>5400</v>
      </c>
    </row>
    <row r="11" spans="1:3" s="40" customFormat="1" ht="15" customHeight="1">
      <c r="A11" s="37" t="s">
        <v>123</v>
      </c>
      <c r="B11" s="38"/>
      <c r="C11" s="39">
        <f>Trav!G18</f>
        <v>2880</v>
      </c>
    </row>
    <row r="12" spans="1:3" s="40" customFormat="1" ht="15">
      <c r="A12" s="37" t="s">
        <v>122</v>
      </c>
      <c r="B12" s="38"/>
      <c r="C12" s="39">
        <f>Trav!I18</f>
        <v>1800</v>
      </c>
    </row>
    <row r="13" spans="1:3" s="40" customFormat="1" ht="15">
      <c r="A13" s="37" t="s">
        <v>47</v>
      </c>
      <c r="B13" s="38"/>
      <c r="C13" s="39">
        <f>Trav!K18</f>
        <v>1440</v>
      </c>
    </row>
    <row r="14" spans="1:3" s="40" customFormat="1" ht="15">
      <c r="A14" s="37" t="s">
        <v>48</v>
      </c>
      <c r="B14" s="38"/>
      <c r="C14" s="39">
        <f>Trav!M18</f>
        <v>0</v>
      </c>
    </row>
    <row r="15" spans="1:3" s="40" customFormat="1" ht="15.75" thickBot="1">
      <c r="A15" s="41" t="s">
        <v>49</v>
      </c>
      <c r="B15" s="42"/>
      <c r="C15" s="43">
        <f>Trav!N18</f>
        <v>0</v>
      </c>
    </row>
    <row r="16" spans="1:3" s="5" customFormat="1" ht="18.75" customHeight="1" thickBot="1" thickTop="1">
      <c r="A16" s="44" t="s">
        <v>34</v>
      </c>
      <c r="B16" s="29"/>
      <c r="C16" s="24">
        <f>SUM(C10:C15)</f>
        <v>11520</v>
      </c>
    </row>
    <row r="17" ht="15.75" thickTop="1"/>
    <row r="18" ht="15.75" thickBot="1"/>
    <row r="19" spans="1:3" s="8" customFormat="1" ht="17.25" customHeight="1" thickBot="1" thickTop="1">
      <c r="A19" s="133" t="s">
        <v>64</v>
      </c>
      <c r="B19" s="134"/>
      <c r="C19" s="135" t="s">
        <v>6</v>
      </c>
    </row>
    <row r="20" spans="1:3" ht="18.75" customHeight="1" thickTop="1">
      <c r="A20" s="45" t="s">
        <v>50</v>
      </c>
      <c r="B20" s="46"/>
      <c r="C20" s="13">
        <f>ODC!D18</f>
        <v>357</v>
      </c>
    </row>
    <row r="21" spans="1:3" ht="15">
      <c r="A21" s="45" t="s">
        <v>124</v>
      </c>
      <c r="B21" s="46"/>
      <c r="C21" s="13">
        <f>ODC!F18</f>
        <v>150</v>
      </c>
    </row>
    <row r="22" spans="1:3" ht="15">
      <c r="A22" s="45" t="s">
        <v>51</v>
      </c>
      <c r="B22" s="46"/>
      <c r="C22" s="13">
        <f>ODC!H18</f>
        <v>2002.4399999999998</v>
      </c>
    </row>
    <row r="23" spans="1:3" ht="15">
      <c r="A23" s="45" t="s">
        <v>52</v>
      </c>
      <c r="B23" s="46"/>
      <c r="C23" s="13">
        <f>ODC!J18</f>
        <v>2160</v>
      </c>
    </row>
    <row r="24" spans="1:3" ht="15">
      <c r="A24" s="45" t="s">
        <v>53</v>
      </c>
      <c r="B24" s="46"/>
      <c r="C24" s="13">
        <f>ODC!K18</f>
        <v>0</v>
      </c>
    </row>
    <row r="25" spans="1:3" ht="15.75" thickBot="1">
      <c r="A25" s="47"/>
      <c r="B25" s="48"/>
      <c r="C25" s="19"/>
    </row>
    <row r="26" spans="1:3" s="5" customFormat="1" ht="18.75" customHeight="1" thickBot="1" thickTop="1">
      <c r="A26" s="44" t="s">
        <v>34</v>
      </c>
      <c r="B26" s="29"/>
      <c r="C26" s="24">
        <f>SUM(C20:C25)</f>
        <v>4669.44</v>
      </c>
    </row>
    <row r="27" ht="15.75" thickTop="1"/>
    <row r="28" ht="15.75" thickBot="1"/>
    <row r="29" spans="1:3" s="8" customFormat="1" ht="17.25" customHeight="1" thickBot="1" thickTop="1">
      <c r="A29" s="133" t="s">
        <v>54</v>
      </c>
      <c r="B29" s="134"/>
      <c r="C29" s="135" t="s">
        <v>6</v>
      </c>
    </row>
    <row r="30" spans="1:3" s="40" customFormat="1" ht="27.75" customHeight="1" thickBot="1" thickTop="1">
      <c r="A30" s="228"/>
      <c r="B30" s="229"/>
      <c r="C30" s="213"/>
    </row>
    <row r="31" spans="1:7" s="40" customFormat="1" ht="42" customHeight="1" thickTop="1">
      <c r="A31" s="228"/>
      <c r="B31" s="229"/>
      <c r="C31" s="213"/>
      <c r="E31" s="40">
        <v>30</v>
      </c>
      <c r="F31" s="40">
        <v>120</v>
      </c>
      <c r="G31" s="40">
        <f>E31*F31</f>
        <v>3600</v>
      </c>
    </row>
    <row r="32" spans="1:7" s="40" customFormat="1" ht="15">
      <c r="A32" s="230"/>
      <c r="B32" s="231"/>
      <c r="C32" s="213"/>
      <c r="E32" s="40">
        <v>1600</v>
      </c>
      <c r="F32" s="40">
        <v>2</v>
      </c>
      <c r="G32" s="40">
        <f>E32*F32</f>
        <v>3200</v>
      </c>
    </row>
    <row r="33" spans="1:7" s="40" customFormat="1" ht="15">
      <c r="A33" s="230"/>
      <c r="B33" s="231"/>
      <c r="C33" s="213"/>
      <c r="G33" s="40">
        <v>271</v>
      </c>
    </row>
    <row r="34" spans="1:7" s="40" customFormat="1" ht="15">
      <c r="A34" s="37"/>
      <c r="B34" s="38"/>
      <c r="C34" s="213"/>
      <c r="G34" s="40">
        <v>20</v>
      </c>
    </row>
    <row r="35" spans="1:7" s="40" customFormat="1" ht="15.75" thickBot="1">
      <c r="A35" s="41"/>
      <c r="B35" s="42"/>
      <c r="C35" s="214"/>
      <c r="G35" s="40">
        <f>G33*G34</f>
        <v>5420</v>
      </c>
    </row>
    <row r="36" spans="1:3" s="5" customFormat="1" ht="18.75" customHeight="1" thickBot="1" thickTop="1">
      <c r="A36" s="44" t="s">
        <v>34</v>
      </c>
      <c r="B36" s="29"/>
      <c r="C36" s="215">
        <f>SUM(C30:C35)</f>
        <v>0</v>
      </c>
    </row>
    <row r="37" ht="15.75" thickTop="1"/>
    <row r="63" spans="3:5" ht="15">
      <c r="C63" s="232"/>
      <c r="D63" s="82"/>
      <c r="E63" s="82"/>
    </row>
    <row r="64" spans="3:5" ht="15">
      <c r="C64" s="233"/>
      <c r="D64" s="234"/>
      <c r="E64" s="235"/>
    </row>
    <row r="65" spans="3:5" ht="15">
      <c r="C65" s="232"/>
      <c r="D65" s="236"/>
      <c r="E65" s="82"/>
    </row>
    <row r="66" spans="3:5" ht="15">
      <c r="C66" s="232"/>
      <c r="D66" s="236"/>
      <c r="E66" s="82"/>
    </row>
    <row r="67" spans="3:5" ht="15">
      <c r="C67" s="232"/>
      <c r="D67" s="236"/>
      <c r="E67" s="82"/>
    </row>
    <row r="68" spans="3:5" ht="15">
      <c r="C68" s="232"/>
      <c r="D68" s="236"/>
      <c r="E68" s="82"/>
    </row>
  </sheetData>
  <mergeCells count="4">
    <mergeCell ref="A30:B30"/>
    <mergeCell ref="A31:B31"/>
    <mergeCell ref="A32:B32"/>
    <mergeCell ref="A33:B33"/>
  </mergeCells>
  <printOptions horizontalCentered="1"/>
  <pageMargins left="1" right="1" top="1" bottom="1" header="0.5" footer="0.5"/>
  <pageSetup fitToHeight="1" fitToWidth="1" horizontalDpi="300" verticalDpi="300" orientation="portrait" r:id="rId1"/>
  <headerFooter alignWithMargins="0">
    <oddFooter>&amp;L&amp;"CG Times,Regular"&amp;11&amp;F&amp;R&amp;"Arial,Bold"CONFIDENTIAL - For NOAA Official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Zeros="0" zoomScale="75" zoomScaleNormal="75" workbookViewId="0" topLeftCell="A1">
      <selection activeCell="H20" sqref="H20"/>
    </sheetView>
  </sheetViews>
  <sheetFormatPr defaultColWidth="9.140625" defaultRowHeight="12.75"/>
  <cols>
    <col min="1" max="1" width="12.57421875" style="50" customWidth="1"/>
    <col min="2" max="2" width="35.8515625" style="14" customWidth="1"/>
    <col min="3" max="3" width="13.140625" style="14" customWidth="1"/>
    <col min="4" max="4" width="11.140625" style="14" customWidth="1"/>
    <col min="5" max="5" width="10.140625" style="14" customWidth="1"/>
    <col min="6" max="6" width="15.00390625" style="14" customWidth="1"/>
    <col min="7" max="7" width="14.8515625" style="14" bestFit="1" customWidth="1"/>
    <col min="8" max="9" width="14.8515625" style="14" customWidth="1"/>
    <col min="10" max="10" width="14.7109375" style="14" customWidth="1"/>
    <col min="11" max="11" width="14.140625" style="14" customWidth="1"/>
    <col min="12" max="12" width="11.00390625" style="14" customWidth="1"/>
    <col min="13" max="16384" width="9.140625" style="14" customWidth="1"/>
  </cols>
  <sheetData>
    <row r="1" spans="1:11" s="5" customFormat="1" ht="14.25">
      <c r="A1" s="49" t="s">
        <v>144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14.25">
      <c r="A2" s="49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5" customFormat="1" ht="14.25">
      <c r="A3" s="49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14.25">
      <c r="A4" s="49" t="s">
        <v>45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5" customFormat="1" ht="14.25">
      <c r="A5" s="49" t="s">
        <v>125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ht="13.5" customHeight="1"/>
    <row r="7" spans="1:11" s="5" customFormat="1" ht="14.25">
      <c r="A7" s="57" t="str">
        <f>'Sum P1'!A9</f>
        <v>Project:</v>
      </c>
      <c r="B7" s="58" t="str">
        <f>'Sum P1'!B9</f>
        <v>2001 NWS SPCC for 18 sites</v>
      </c>
      <c r="C7" s="58"/>
      <c r="D7" s="58"/>
      <c r="E7" s="58"/>
      <c r="F7" s="58"/>
      <c r="G7" s="58"/>
      <c r="H7" s="58"/>
      <c r="I7" s="58"/>
      <c r="J7" s="58"/>
      <c r="K7" s="58"/>
    </row>
    <row r="8" spans="1:11" s="5" customFormat="1" ht="15.75" customHeight="1" thickBot="1">
      <c r="A8" s="57"/>
      <c r="B8" s="58"/>
      <c r="C8" s="59"/>
      <c r="D8" s="59"/>
      <c r="E8" s="59"/>
      <c r="F8" s="59"/>
      <c r="G8" s="59"/>
      <c r="H8" s="59"/>
      <c r="I8" s="59"/>
      <c r="J8" s="59"/>
      <c r="K8" s="59"/>
    </row>
    <row r="9" spans="1:11" s="8" customFormat="1" ht="15" thickTop="1">
      <c r="A9" s="152"/>
      <c r="B9" s="124"/>
      <c r="C9" s="136" t="s">
        <v>56</v>
      </c>
      <c r="D9" s="136"/>
      <c r="E9" s="137"/>
      <c r="F9" s="136" t="s">
        <v>160</v>
      </c>
      <c r="G9" s="137" t="s">
        <v>159</v>
      </c>
      <c r="H9" s="136"/>
      <c r="I9" s="136" t="s">
        <v>57</v>
      </c>
      <c r="J9" s="137" t="s">
        <v>58</v>
      </c>
      <c r="K9" s="138"/>
    </row>
    <row r="10" spans="1:11" s="8" customFormat="1" ht="14.25">
      <c r="A10" s="153"/>
      <c r="B10" s="139"/>
      <c r="C10" s="140" t="s">
        <v>120</v>
      </c>
      <c r="D10" s="140"/>
      <c r="E10" s="141"/>
      <c r="F10" s="140" t="s">
        <v>59</v>
      </c>
      <c r="G10" s="141" t="s">
        <v>59</v>
      </c>
      <c r="H10" s="140"/>
      <c r="I10" s="140" t="s">
        <v>59</v>
      </c>
      <c r="J10" s="141" t="s">
        <v>57</v>
      </c>
      <c r="K10" s="142" t="s">
        <v>60</v>
      </c>
    </row>
    <row r="11" spans="1:11" s="8" customFormat="1" ht="14.25">
      <c r="A11" s="154" t="s">
        <v>61</v>
      </c>
      <c r="B11" s="143" t="s">
        <v>62</v>
      </c>
      <c r="C11" s="144" t="s">
        <v>121</v>
      </c>
      <c r="D11" s="144" t="s">
        <v>63</v>
      </c>
      <c r="E11" s="145" t="s">
        <v>64</v>
      </c>
      <c r="F11" s="146" t="s">
        <v>65</v>
      </c>
      <c r="G11" s="147">
        <f>Rates!C4</f>
        <v>0.1</v>
      </c>
      <c r="H11" s="148" t="s">
        <v>57</v>
      </c>
      <c r="I11" s="149" t="s">
        <v>65</v>
      </c>
      <c r="J11" s="150">
        <f>Rates!A5</f>
        <v>0.05</v>
      </c>
      <c r="K11" s="151" t="s">
        <v>66</v>
      </c>
    </row>
    <row r="12" spans="1:12" ht="15">
      <c r="A12" s="218" t="s">
        <v>67</v>
      </c>
      <c r="B12" s="199" t="s">
        <v>149</v>
      </c>
      <c r="C12" s="13">
        <f>ROUND(Labor!K12*(1+Rates!$A$1+Rates!$A$2),2)</f>
        <v>1918.51</v>
      </c>
      <c r="D12" s="13">
        <f>Trav!O12</f>
        <v>0</v>
      </c>
      <c r="E12" s="51">
        <f>ODC!L12</f>
        <v>41.84</v>
      </c>
      <c r="F12" s="13">
        <f>ROUND(SUM(C12:E12)*(1+Rates!$A$3),2)</f>
        <v>2095.61</v>
      </c>
      <c r="G12" s="51">
        <f aca="true" t="shared" si="0" ref="G12:G17">ROUND(F12*$G$11,2)</f>
        <v>209.56</v>
      </c>
      <c r="H12" s="39">
        <v>0</v>
      </c>
      <c r="I12" s="13">
        <f>ROUND(H12*(1+Rates!$A$3),2)</f>
        <v>0</v>
      </c>
      <c r="J12" s="51">
        <f>ROUND(I12*$J$11,2)</f>
        <v>0</v>
      </c>
      <c r="K12" s="15">
        <f aca="true" t="shared" si="1" ref="K12:K17">F12+G12+I12+J12</f>
        <v>2305.17</v>
      </c>
      <c r="L12" s="99"/>
    </row>
    <row r="13" spans="1:12" ht="15">
      <c r="A13" s="218">
        <f>(A12+1)</f>
        <v>2</v>
      </c>
      <c r="B13" s="217" t="s">
        <v>150</v>
      </c>
      <c r="C13" s="13">
        <f>ROUND(Labor!K13*(1+Rates!$A$1+Rates!$A$2),2)</f>
        <v>2211.46</v>
      </c>
      <c r="D13" s="13">
        <f>Trav!O13</f>
        <v>0</v>
      </c>
      <c r="E13" s="51">
        <f>ODC!L13</f>
        <v>32</v>
      </c>
      <c r="F13" s="13">
        <f>ROUND(SUM(C13:E13)*(1+Rates!$A$3),2)</f>
        <v>2398.26</v>
      </c>
      <c r="G13" s="51">
        <f t="shared" si="0"/>
        <v>239.83</v>
      </c>
      <c r="H13" s="39"/>
      <c r="I13" s="13">
        <f>ROUND(H13*(1+Rates!$A$3),2)</f>
        <v>0</v>
      </c>
      <c r="J13" s="51">
        <f>ROUND(I13*$J$11,2)</f>
        <v>0</v>
      </c>
      <c r="K13" s="15">
        <f t="shared" si="1"/>
        <v>2638.09</v>
      </c>
      <c r="L13" s="99"/>
    </row>
    <row r="14" spans="1:11" ht="15">
      <c r="A14" s="218">
        <f>(A13+1)</f>
        <v>3</v>
      </c>
      <c r="B14" s="217" t="s">
        <v>151</v>
      </c>
      <c r="C14" s="13">
        <f>ROUND(Labor!K14*(1+Rates!$A$1+Rates!$A$2),2)</f>
        <v>8845.85</v>
      </c>
      <c r="D14" s="13">
        <f>Trav!O14</f>
        <v>11520</v>
      </c>
      <c r="E14" s="51">
        <f>ODC!L14</f>
        <v>32</v>
      </c>
      <c r="F14" s="13">
        <f>ROUND(SUM(C14:E14)*(1+Rates!$A$3),2)</f>
        <v>21805.3</v>
      </c>
      <c r="G14" s="51">
        <f t="shared" si="0"/>
        <v>2180.53</v>
      </c>
      <c r="H14" s="39">
        <v>0</v>
      </c>
      <c r="I14" s="13">
        <f>ROUND(H14*(1+Rates!$A$3),2)</f>
        <v>0</v>
      </c>
      <c r="J14" s="51">
        <f>ROUND(I14*$J$11,2)</f>
        <v>0</v>
      </c>
      <c r="K14" s="15">
        <f t="shared" si="1"/>
        <v>23985.829999999998</v>
      </c>
    </row>
    <row r="15" spans="1:11" ht="15">
      <c r="A15" s="218">
        <f>(A14+1)</f>
        <v>4</v>
      </c>
      <c r="B15" s="225" t="s">
        <v>152</v>
      </c>
      <c r="C15" s="13">
        <f>ROUND(Labor!K15*(1+Rates!$A$1+Rates!$A$2),2)</f>
        <v>41057.72</v>
      </c>
      <c r="D15" s="13">
        <f>Trav!O15</f>
        <v>0</v>
      </c>
      <c r="E15" s="51">
        <f>ODC!L15</f>
        <v>2451.08</v>
      </c>
      <c r="F15" s="13">
        <f>ROUND(SUM(C15:E15)*(1+Rates!$A$3),2)</f>
        <v>46510.91</v>
      </c>
      <c r="G15" s="51">
        <f t="shared" si="0"/>
        <v>4651.09</v>
      </c>
      <c r="H15" s="39"/>
      <c r="I15" s="13"/>
      <c r="J15" s="51"/>
      <c r="K15" s="15">
        <f t="shared" si="1"/>
        <v>51162</v>
      </c>
    </row>
    <row r="16" spans="1:11" ht="15">
      <c r="A16" s="218">
        <f>(A15+1)</f>
        <v>5</v>
      </c>
      <c r="B16" s="225" t="s">
        <v>153</v>
      </c>
      <c r="C16" s="13">
        <f>ROUND(Labor!K16*(1+Rates!$A$1+Rates!$A$2),2)</f>
        <v>8225.97</v>
      </c>
      <c r="D16" s="13">
        <f>Trav!O16</f>
        <v>0</v>
      </c>
      <c r="E16" s="51">
        <f>ODC!L16</f>
        <v>1122.68</v>
      </c>
      <c r="F16" s="13">
        <f>ROUND(SUM(C16:E16)*(1+Rates!$A$3),2)</f>
        <v>9993.71</v>
      </c>
      <c r="G16" s="51">
        <f t="shared" si="0"/>
        <v>999.37</v>
      </c>
      <c r="H16" s="39"/>
      <c r="I16" s="13"/>
      <c r="J16" s="51"/>
      <c r="K16" s="15">
        <f t="shared" si="1"/>
        <v>10993.08</v>
      </c>
    </row>
    <row r="17" spans="1:11" ht="15.75" thickBot="1">
      <c r="A17" s="218">
        <f>(A16+1)</f>
        <v>6</v>
      </c>
      <c r="B17" s="201" t="s">
        <v>154</v>
      </c>
      <c r="C17" s="13">
        <f>ROUND(Labor!K17*(1+Rates!$A$1+Rates!$A$2),2)</f>
        <v>4324.68</v>
      </c>
      <c r="D17" s="13">
        <f>Trav!O17</f>
        <v>0</v>
      </c>
      <c r="E17" s="51">
        <f>ODC!L17</f>
        <v>989.84</v>
      </c>
      <c r="F17" s="13">
        <f>ROUND(SUM(C17:E17)*(1+Rates!$A$3),2)</f>
        <v>5681.22</v>
      </c>
      <c r="G17" s="51">
        <f t="shared" si="0"/>
        <v>568.12</v>
      </c>
      <c r="H17" s="39"/>
      <c r="I17" s="13"/>
      <c r="J17" s="51"/>
      <c r="K17" s="15">
        <f t="shared" si="1"/>
        <v>6249.34</v>
      </c>
    </row>
    <row r="18" spans="1:11" s="5" customFormat="1" ht="34.5" customHeight="1" thickBot="1">
      <c r="A18" s="155"/>
      <c r="B18" s="52" t="s">
        <v>68</v>
      </c>
      <c r="C18" s="53">
        <f aca="true" t="shared" si="2" ref="C18:K18">SUM(C12:C17)</f>
        <v>66584.19</v>
      </c>
      <c r="D18" s="53">
        <f t="shared" si="2"/>
        <v>11520</v>
      </c>
      <c r="E18" s="54">
        <f t="shared" si="2"/>
        <v>4669.4400000000005</v>
      </c>
      <c r="F18" s="53">
        <f t="shared" si="2"/>
        <v>88485.01000000001</v>
      </c>
      <c r="G18" s="54">
        <f t="shared" si="2"/>
        <v>8848.500000000002</v>
      </c>
      <c r="H18" s="53">
        <f t="shared" si="2"/>
        <v>0</v>
      </c>
      <c r="I18" s="53">
        <f t="shared" si="2"/>
        <v>0</v>
      </c>
      <c r="J18" s="54">
        <f t="shared" si="2"/>
        <v>0</v>
      </c>
      <c r="K18" s="55">
        <f t="shared" si="2"/>
        <v>97333.51</v>
      </c>
    </row>
    <row r="19" ht="15.75" thickTop="1">
      <c r="G19" s="68"/>
    </row>
    <row r="62" spans="3:5" ht="15">
      <c r="C62" s="68"/>
      <c r="D62" s="105"/>
      <c r="E62" s="104"/>
    </row>
    <row r="63" ht="15">
      <c r="D63" s="106"/>
    </row>
    <row r="64" ht="15">
      <c r="D64" s="106"/>
    </row>
    <row r="65" ht="15">
      <c r="D65" s="106"/>
    </row>
    <row r="66" ht="15">
      <c r="D66" s="106"/>
    </row>
  </sheetData>
  <printOptions horizontalCentered="1"/>
  <pageMargins left="1" right="1" top="1" bottom="1" header="0.5" footer="0.5"/>
  <pageSetup fitToHeight="1" fitToWidth="1" horizontalDpi="300" verticalDpi="300" orientation="landscape" scale="69" r:id="rId1"/>
  <headerFooter alignWithMargins="0">
    <oddFooter>&amp;L&amp;F&amp;R&amp;"Arial,Bold"CONFIDENTIAL - For NOAA Official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Zeros="0" zoomScale="75" zoomScaleNormal="75" workbookViewId="0" topLeftCell="A1">
      <selection activeCell="E15" sqref="E15"/>
    </sheetView>
  </sheetViews>
  <sheetFormatPr defaultColWidth="9.140625" defaultRowHeight="12.75"/>
  <cols>
    <col min="1" max="1" width="12.7109375" style="50" customWidth="1"/>
    <col min="2" max="2" width="33.28125" style="14" customWidth="1"/>
    <col min="3" max="3" width="10.8515625" style="14" customWidth="1"/>
    <col min="4" max="4" width="11.57421875" style="14" customWidth="1"/>
    <col min="5" max="5" width="16.00390625" style="14" customWidth="1"/>
    <col min="6" max="6" width="12.7109375" style="14" customWidth="1"/>
    <col min="7" max="7" width="12.57421875" style="14" customWidth="1"/>
    <col min="8" max="8" width="11.8515625" style="14" customWidth="1"/>
    <col min="9" max="9" width="10.28125" style="14" customWidth="1"/>
    <col min="10" max="10" width="9.421875" style="14" customWidth="1"/>
    <col min="11" max="11" width="13.421875" style="36" customWidth="1"/>
    <col min="12" max="12" width="12.421875" style="14" customWidth="1"/>
    <col min="13" max="16384" width="9.140625" style="14" customWidth="1"/>
  </cols>
  <sheetData>
    <row r="1" spans="1:11" s="5" customFormat="1" ht="14.25">
      <c r="A1" s="49" t="s">
        <v>145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14.25">
      <c r="A2" s="49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5" customFormat="1" ht="14.25">
      <c r="A3" s="49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14.25">
      <c r="A4" s="49" t="s">
        <v>45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5" customFormat="1" ht="14.25">
      <c r="A5" s="49" t="s">
        <v>125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ht="13.5" customHeight="1"/>
    <row r="7" spans="1:11" s="5" customFormat="1" ht="14.25">
      <c r="A7" s="57" t="str">
        <f>'Sum P1'!A9</f>
        <v>Project:</v>
      </c>
      <c r="B7" s="58" t="str">
        <f>'Sum P1'!B9</f>
        <v>2001 NWS SPCC for 18 sites</v>
      </c>
      <c r="C7" s="58"/>
      <c r="D7" s="58"/>
      <c r="E7" s="58"/>
      <c r="F7" s="58"/>
      <c r="G7" s="58"/>
      <c r="H7" s="58"/>
      <c r="I7" s="58"/>
      <c r="J7" s="58"/>
      <c r="K7" s="27"/>
    </row>
    <row r="8" spans="1:11" s="5" customFormat="1" ht="15" thickBot="1">
      <c r="A8" s="60"/>
      <c r="B8" s="58"/>
      <c r="C8" s="58"/>
      <c r="D8" s="58"/>
      <c r="E8" s="58"/>
      <c r="F8" s="58"/>
      <c r="G8" s="58"/>
      <c r="H8" s="58"/>
      <c r="I8" s="58"/>
      <c r="J8" s="58"/>
      <c r="K8" s="27"/>
    </row>
    <row r="9" spans="1:12" s="8" customFormat="1" ht="15" thickTop="1">
      <c r="A9" s="172"/>
      <c r="B9" s="157"/>
      <c r="C9" s="158"/>
      <c r="D9" s="158" t="s">
        <v>69</v>
      </c>
      <c r="E9" s="159" t="s">
        <v>119</v>
      </c>
      <c r="F9" s="159" t="s">
        <v>155</v>
      </c>
      <c r="G9" s="159" t="s">
        <v>70</v>
      </c>
      <c r="H9" s="158" t="s">
        <v>71</v>
      </c>
      <c r="I9" s="160"/>
      <c r="J9" s="161" t="s">
        <v>34</v>
      </c>
      <c r="K9" s="162" t="s">
        <v>60</v>
      </c>
      <c r="L9" s="156" t="s">
        <v>128</v>
      </c>
    </row>
    <row r="10" spans="1:12" s="8" customFormat="1" ht="14.25">
      <c r="A10" s="173"/>
      <c r="B10" s="163"/>
      <c r="C10" s="164" t="s">
        <v>7</v>
      </c>
      <c r="D10" s="164" t="s">
        <v>72</v>
      </c>
      <c r="E10" s="165" t="s">
        <v>73</v>
      </c>
      <c r="F10" s="165" t="s">
        <v>156</v>
      </c>
      <c r="G10" s="165" t="s">
        <v>74</v>
      </c>
      <c r="H10" s="164" t="s">
        <v>75</v>
      </c>
      <c r="I10" s="166" t="s">
        <v>33</v>
      </c>
      <c r="J10" s="167" t="s">
        <v>3</v>
      </c>
      <c r="K10" s="168" t="s">
        <v>76</v>
      </c>
      <c r="L10" s="156" t="s">
        <v>84</v>
      </c>
    </row>
    <row r="11" spans="1:12" s="8" customFormat="1" ht="14.25">
      <c r="A11" s="174" t="s">
        <v>61</v>
      </c>
      <c r="B11" s="169" t="s">
        <v>62</v>
      </c>
      <c r="C11" s="164">
        <f>VLOOKUP(C10,Rates!$F$3:$G$38,2,FALSE)</f>
        <v>35.83</v>
      </c>
      <c r="D11" s="164">
        <f>VLOOKUP((CONCATENATE(D9," ",D10)),Rates!$F$3:$G$38,2,FALSE)</f>
        <v>31.67</v>
      </c>
      <c r="E11" s="164">
        <f>VLOOKUP((CONCATENATE(E9," ",E10)),Rates!$F$3:$G$38,2,FALSE)</f>
        <v>33.66</v>
      </c>
      <c r="F11" s="164">
        <f>VLOOKUP((CONCATENATE(F9," ",F10)),Rates!$F$3:$G$38,2,FALSE)</f>
        <v>20</v>
      </c>
      <c r="G11" s="164">
        <f>VLOOKUP((CONCATENATE(G9," ",G10)),Rates!$F$3:$G$38,2,FALSE)</f>
        <v>43.11</v>
      </c>
      <c r="H11" s="164">
        <f>VLOOKUP((CONCATENATE(H9," ",H10)),Rates!$F$3:$G$38,2,FALSE)</f>
        <v>22.05</v>
      </c>
      <c r="I11" s="164">
        <f>VLOOKUP(I10,Rates!$F$3:$G$38,2,FALSE)</f>
        <v>14.5</v>
      </c>
      <c r="J11" s="170" t="s">
        <v>5</v>
      </c>
      <c r="K11" s="171" t="s">
        <v>77</v>
      </c>
      <c r="L11" s="156"/>
    </row>
    <row r="12" spans="1:12" ht="15">
      <c r="A12" s="198" t="str">
        <f>Dsum!A12</f>
        <v>1</v>
      </c>
      <c r="B12" s="219" t="str">
        <f>Dsum!B12</f>
        <v>Project Coordiation</v>
      </c>
      <c r="C12" s="220">
        <v>4</v>
      </c>
      <c r="D12" s="220">
        <v>8</v>
      </c>
      <c r="E12" s="220">
        <v>16</v>
      </c>
      <c r="F12" s="220"/>
      <c r="G12" s="220">
        <v>0</v>
      </c>
      <c r="H12" s="220">
        <v>0</v>
      </c>
      <c r="I12" s="220">
        <v>8</v>
      </c>
      <c r="J12" s="221">
        <f aca="true" t="shared" si="0" ref="J12:J17">SUM(C12:I12)</f>
        <v>36</v>
      </c>
      <c r="K12" s="15">
        <f aca="true" t="shared" si="1" ref="K12:K17">ROUND($C$11*C12,2)+ROUND($D$11*D12,2)+ROUND($E$11*E12,2)+ROUND($F$11*F12,2)+ROUND($G$11*G12,2)+ROUND($H$11*H12,2)+ROUND($I$11*I12,2)</f>
        <v>1051.24</v>
      </c>
      <c r="L12" s="108">
        <f>(K12*(1+Rates!$A$1+Rates!$A$2)*(1+Rates!$A$3)*(1+Rates!$C$4))</f>
        <v>2255.9794367</v>
      </c>
    </row>
    <row r="13" spans="1:12" ht="15">
      <c r="A13" s="198">
        <f>Dsum!A13</f>
        <v>2</v>
      </c>
      <c r="B13" s="219" t="str">
        <f>Dsum!B13</f>
        <v>Review Exisitng SPCC Plans</v>
      </c>
      <c r="C13" s="220">
        <v>0</v>
      </c>
      <c r="D13" s="220"/>
      <c r="E13" s="220">
        <v>36</v>
      </c>
      <c r="F13" s="220"/>
      <c r="G13" s="220"/>
      <c r="H13" s="220">
        <v>0</v>
      </c>
      <c r="I13" s="220">
        <v>0</v>
      </c>
      <c r="J13" s="221">
        <f t="shared" si="0"/>
        <v>36</v>
      </c>
      <c r="K13" s="15">
        <f t="shared" si="1"/>
        <v>1211.76</v>
      </c>
      <c r="L13" s="108">
        <f>(K13*(1+Rates!$A$1+Rates!$A$2)*(1+Rates!$A$3)*(1+Rates!$C$4))</f>
        <v>2600.4581658</v>
      </c>
    </row>
    <row r="14" spans="1:11" ht="15">
      <c r="A14" s="198">
        <f>Dsum!A14</f>
        <v>3</v>
      </c>
      <c r="B14" s="219" t="str">
        <f>Dsum!B14</f>
        <v>Site Visits</v>
      </c>
      <c r="C14" s="220">
        <v>0</v>
      </c>
      <c r="D14" s="220"/>
      <c r="E14" s="220">
        <v>144</v>
      </c>
      <c r="F14" s="220"/>
      <c r="G14" s="220"/>
      <c r="H14" s="220">
        <v>0</v>
      </c>
      <c r="I14" s="220"/>
      <c r="J14" s="221">
        <f t="shared" si="0"/>
        <v>144</v>
      </c>
      <c r="K14" s="15">
        <f t="shared" si="1"/>
        <v>4847.04</v>
      </c>
    </row>
    <row r="15" spans="1:11" ht="15">
      <c r="A15" s="198">
        <f>Dsum!A15</f>
        <v>4</v>
      </c>
      <c r="B15" s="219" t="str">
        <f>Dsum!B15</f>
        <v>Revised or Develop SPCC Plans</v>
      </c>
      <c r="C15" s="220">
        <v>18</v>
      </c>
      <c r="D15" s="220">
        <v>36</v>
      </c>
      <c r="E15" s="220">
        <v>432</v>
      </c>
      <c r="F15" s="220">
        <v>144</v>
      </c>
      <c r="G15" s="220"/>
      <c r="H15" s="220">
        <v>144</v>
      </c>
      <c r="I15" s="220">
        <v>8</v>
      </c>
      <c r="J15" s="221">
        <f t="shared" si="0"/>
        <v>782</v>
      </c>
      <c r="K15" s="15">
        <f t="shared" si="1"/>
        <v>22497.38</v>
      </c>
    </row>
    <row r="16" spans="1:11" ht="15">
      <c r="A16" s="198">
        <f>Dsum!A16</f>
        <v>5</v>
      </c>
      <c r="B16" s="219" t="str">
        <f>Dsum!B16</f>
        <v>Incorporate NOAA Comments</v>
      </c>
      <c r="C16" s="220">
        <v>0</v>
      </c>
      <c r="D16" s="220">
        <v>18</v>
      </c>
      <c r="E16" s="220">
        <v>72</v>
      </c>
      <c r="F16" s="220">
        <v>36</v>
      </c>
      <c r="G16" s="220"/>
      <c r="H16" s="220">
        <v>36</v>
      </c>
      <c r="I16" s="220"/>
      <c r="J16" s="221">
        <f t="shared" si="0"/>
        <v>162</v>
      </c>
      <c r="K16" s="15">
        <f t="shared" si="1"/>
        <v>4507.38</v>
      </c>
    </row>
    <row r="17" spans="1:11" ht="15.75" thickBot="1">
      <c r="A17" s="198">
        <f>Dsum!A17</f>
        <v>6</v>
      </c>
      <c r="B17" s="219" t="str">
        <f>Dsum!B17</f>
        <v>Issue Final SPCC Plans</v>
      </c>
      <c r="C17" s="220">
        <v>0</v>
      </c>
      <c r="D17" s="220">
        <v>9</v>
      </c>
      <c r="E17" s="220">
        <v>36</v>
      </c>
      <c r="F17" s="220">
        <v>18</v>
      </c>
      <c r="G17" s="220">
        <v>0</v>
      </c>
      <c r="H17" s="220">
        <v>18</v>
      </c>
      <c r="I17" s="220">
        <v>8</v>
      </c>
      <c r="J17" s="221">
        <f t="shared" si="0"/>
        <v>89</v>
      </c>
      <c r="K17" s="15">
        <f t="shared" si="1"/>
        <v>2369.69</v>
      </c>
    </row>
    <row r="18" spans="1:11" ht="29.25" customHeight="1" thickBot="1">
      <c r="A18" s="155"/>
      <c r="B18" s="52" t="s">
        <v>68</v>
      </c>
      <c r="C18" s="222">
        <f aca="true" t="shared" si="2" ref="C18:K18">SUM(C12:C17)</f>
        <v>22</v>
      </c>
      <c r="D18" s="222">
        <f t="shared" si="2"/>
        <v>71</v>
      </c>
      <c r="E18" s="222">
        <f t="shared" si="2"/>
        <v>736</v>
      </c>
      <c r="F18" s="222">
        <f t="shared" si="2"/>
        <v>198</v>
      </c>
      <c r="G18" s="222">
        <f t="shared" si="2"/>
        <v>0</v>
      </c>
      <c r="H18" s="222">
        <f t="shared" si="2"/>
        <v>198</v>
      </c>
      <c r="I18" s="223">
        <f t="shared" si="2"/>
        <v>24</v>
      </c>
      <c r="J18" s="224">
        <f t="shared" si="2"/>
        <v>1249</v>
      </c>
      <c r="K18" s="55">
        <f t="shared" si="2"/>
        <v>36484.490000000005</v>
      </c>
    </row>
    <row r="19" ht="15.75" thickTop="1"/>
    <row r="62" spans="3:5" ht="15">
      <c r="C62" s="68"/>
      <c r="D62" s="105"/>
      <c r="E62" s="104"/>
    </row>
    <row r="63" ht="15">
      <c r="D63" s="106"/>
    </row>
    <row r="64" ht="15">
      <c r="D64" s="106"/>
    </row>
    <row r="65" ht="15">
      <c r="D65" s="106"/>
    </row>
    <row r="66" ht="15">
      <c r="D66" s="106"/>
    </row>
  </sheetData>
  <printOptions horizontalCentered="1"/>
  <pageMargins left="0.5" right="0.5" top="1" bottom="1" header="0.5" footer="0.5"/>
  <pageSetup fitToHeight="1" fitToWidth="1" horizontalDpi="300" verticalDpi="300" orientation="landscape" scale="84" r:id="rId1"/>
  <headerFooter alignWithMargins="0">
    <oddFooter>&amp;L&amp;"CG Times,Regular"&amp;11&amp;F&amp;R&amp;"Arial,Bold"CONFIDENTIAL - For NOAA Official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Zeros="0" zoomScale="75" zoomScaleNormal="75" workbookViewId="0" topLeftCell="A1">
      <selection activeCell="I15" sqref="I15"/>
    </sheetView>
  </sheetViews>
  <sheetFormatPr defaultColWidth="9.140625" defaultRowHeight="12.75"/>
  <cols>
    <col min="1" max="1" width="13.140625" style="14" customWidth="1"/>
    <col min="2" max="2" width="35.7109375" style="14" customWidth="1"/>
    <col min="3" max="3" width="6.421875" style="14" customWidth="1"/>
    <col min="4" max="4" width="9.57421875" style="14" customWidth="1"/>
    <col min="5" max="5" width="9.140625" style="14" customWidth="1"/>
    <col min="6" max="6" width="5.421875" style="14" customWidth="1"/>
    <col min="7" max="7" width="13.00390625" style="14" customWidth="1"/>
    <col min="8" max="8" width="5.7109375" style="14" customWidth="1"/>
    <col min="9" max="9" width="15.421875" style="14" customWidth="1"/>
    <col min="10" max="10" width="10.00390625" style="14" customWidth="1"/>
    <col min="11" max="11" width="11.7109375" style="14" customWidth="1"/>
    <col min="12" max="12" width="6.7109375" style="14" customWidth="1"/>
    <col min="13" max="13" width="10.28125" style="14" customWidth="1"/>
    <col min="14" max="14" width="10.140625" style="14" customWidth="1"/>
    <col min="15" max="15" width="11.140625" style="14" customWidth="1"/>
    <col min="16" max="16384" width="9.140625" style="14" customWidth="1"/>
  </cols>
  <sheetData>
    <row r="1" spans="1:11" s="5" customFormat="1" ht="14.25">
      <c r="A1" s="49" t="s">
        <v>146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14.25">
      <c r="A2" s="49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5" customFormat="1" ht="14.25">
      <c r="A3" s="49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14.25">
      <c r="A4" s="49" t="s">
        <v>45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5" customFormat="1" ht="14.25">
      <c r="A5" s="49" t="s">
        <v>125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ht="15">
      <c r="A6" s="50"/>
    </row>
    <row r="7" spans="1:15" ht="15">
      <c r="A7" s="57" t="str">
        <f>'Sum P1'!A9</f>
        <v>Project:</v>
      </c>
      <c r="B7" s="78" t="str">
        <f>'Sum P1'!B9</f>
        <v>2001 NWS SPCC for 18 sites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5.75" thickBot="1">
      <c r="A8" s="60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20.25" customHeight="1" thickTop="1">
      <c r="A9" s="152"/>
      <c r="B9" s="124"/>
      <c r="C9" s="175" t="s">
        <v>110</v>
      </c>
      <c r="D9" s="175"/>
      <c r="E9" s="176"/>
      <c r="F9" s="175" t="s">
        <v>112</v>
      </c>
      <c r="G9" s="176"/>
      <c r="H9" s="175" t="s">
        <v>113</v>
      </c>
      <c r="I9" s="176"/>
      <c r="J9" s="175" t="s">
        <v>78</v>
      </c>
      <c r="K9" s="176"/>
      <c r="L9" s="175" t="s">
        <v>79</v>
      </c>
      <c r="M9" s="176"/>
      <c r="N9" s="177"/>
      <c r="O9" s="127" t="s">
        <v>34</v>
      </c>
    </row>
    <row r="10" spans="1:15" ht="16.5" customHeight="1">
      <c r="A10" s="153"/>
      <c r="B10" s="139"/>
      <c r="C10" s="178"/>
      <c r="D10" s="178" t="s">
        <v>80</v>
      </c>
      <c r="E10" s="139"/>
      <c r="F10" s="178"/>
      <c r="G10" s="139" t="s">
        <v>34</v>
      </c>
      <c r="H10" s="179"/>
      <c r="I10" s="139" t="s">
        <v>34</v>
      </c>
      <c r="J10" s="178" t="s">
        <v>81</v>
      </c>
      <c r="K10" s="139" t="s">
        <v>34</v>
      </c>
      <c r="L10" s="178"/>
      <c r="M10" s="139" t="s">
        <v>34</v>
      </c>
      <c r="N10" s="139" t="s">
        <v>82</v>
      </c>
      <c r="O10" s="180" t="s">
        <v>63</v>
      </c>
    </row>
    <row r="11" spans="1:15" ht="17.25">
      <c r="A11" s="154" t="s">
        <v>61</v>
      </c>
      <c r="B11" s="143" t="s">
        <v>62</v>
      </c>
      <c r="C11" s="181" t="s">
        <v>97</v>
      </c>
      <c r="D11" s="181" t="s">
        <v>84</v>
      </c>
      <c r="E11" s="182" t="s">
        <v>34</v>
      </c>
      <c r="F11" s="181" t="s">
        <v>97</v>
      </c>
      <c r="G11" s="183">
        <f>Rates!A11</f>
        <v>80</v>
      </c>
      <c r="H11" s="184" t="s">
        <v>97</v>
      </c>
      <c r="I11" s="185">
        <f>Rates!A12</f>
        <v>50</v>
      </c>
      <c r="J11" s="186" t="s">
        <v>85</v>
      </c>
      <c r="K11" s="185">
        <f>Rates!A13</f>
        <v>40</v>
      </c>
      <c r="L11" s="186" t="s">
        <v>83</v>
      </c>
      <c r="M11" s="187">
        <f>Rates!A10</f>
        <v>0.325</v>
      </c>
      <c r="N11" s="188" t="s">
        <v>114</v>
      </c>
      <c r="O11" s="189" t="s">
        <v>59</v>
      </c>
    </row>
    <row r="12" spans="1:15" ht="15">
      <c r="A12" s="198" t="str">
        <f>Dsum!A12</f>
        <v>1</v>
      </c>
      <c r="B12" s="203" t="str">
        <f>Dsum!B12</f>
        <v>Project Coordiation</v>
      </c>
      <c r="C12" s="61"/>
      <c r="D12" s="39"/>
      <c r="E12" s="62">
        <f>ROUND(C12*D12,2)</f>
        <v>0</v>
      </c>
      <c r="F12" s="61"/>
      <c r="G12" s="62">
        <f>ROUND($G$11*F12,2)</f>
        <v>0</v>
      </c>
      <c r="H12" s="83"/>
      <c r="I12" s="62">
        <f>ROUND($I$11*H12,2)</f>
        <v>0</v>
      </c>
      <c r="J12" s="61"/>
      <c r="K12" s="62">
        <f>ROUND($K$11*J12,2)</f>
        <v>0</v>
      </c>
      <c r="L12" s="61">
        <v>0</v>
      </c>
      <c r="M12" s="62">
        <f>ROUND(L12*$M$11,2)</f>
        <v>0</v>
      </c>
      <c r="N12" s="63"/>
      <c r="O12" s="15">
        <f>E12+G12+I12+K12+M12+N12</f>
        <v>0</v>
      </c>
    </row>
    <row r="13" spans="1:15" ht="15">
      <c r="A13" s="198">
        <f>Dsum!A13</f>
        <v>2</v>
      </c>
      <c r="B13" s="203" t="str">
        <f>Dsum!B13</f>
        <v>Review Exisitng SPCC Plans</v>
      </c>
      <c r="C13" s="61"/>
      <c r="D13" s="39"/>
      <c r="E13" s="62">
        <f>ROUND(C13*D13,2)</f>
        <v>0</v>
      </c>
      <c r="F13" s="61"/>
      <c r="G13" s="62">
        <f>ROUND($G$11*F13,2)</f>
        <v>0</v>
      </c>
      <c r="H13" s="83"/>
      <c r="I13" s="62">
        <f>ROUND($I$11*H13,2)</f>
        <v>0</v>
      </c>
      <c r="J13" s="61"/>
      <c r="K13" s="62">
        <f>ROUND($K$11*J13,2)</f>
        <v>0</v>
      </c>
      <c r="L13" s="61">
        <v>0</v>
      </c>
      <c r="M13" s="62">
        <f>ROUND(L13*$M$11,2)</f>
        <v>0</v>
      </c>
      <c r="N13" s="63">
        <v>0</v>
      </c>
      <c r="O13" s="15">
        <f>E13+G13+I13+K13+M13+N13</f>
        <v>0</v>
      </c>
    </row>
    <row r="14" spans="1:15" ht="15">
      <c r="A14" s="198">
        <f>Dsum!A14</f>
        <v>3</v>
      </c>
      <c r="B14" s="203" t="str">
        <f>Dsum!B14</f>
        <v>Site Visits</v>
      </c>
      <c r="C14" s="61">
        <v>18</v>
      </c>
      <c r="D14" s="39">
        <v>300</v>
      </c>
      <c r="E14" s="62">
        <f>ROUND(C14*D14,2)</f>
        <v>5400</v>
      </c>
      <c r="F14" s="61">
        <v>36</v>
      </c>
      <c r="G14" s="62">
        <f>ROUND($G$11*F14,2)</f>
        <v>2880</v>
      </c>
      <c r="H14" s="83">
        <v>36</v>
      </c>
      <c r="I14" s="62">
        <f>ROUND($I$11*H14,2)</f>
        <v>1800</v>
      </c>
      <c r="J14" s="61">
        <v>36</v>
      </c>
      <c r="K14" s="62">
        <f>ROUND($K$11*J14,2)</f>
        <v>1440</v>
      </c>
      <c r="L14" s="61">
        <v>0</v>
      </c>
      <c r="M14" s="62">
        <f>ROUND(L14*$M$11,2)</f>
        <v>0</v>
      </c>
      <c r="N14" s="63">
        <v>0</v>
      </c>
      <c r="O14" s="15">
        <f>E14+G14+I14+K14+M14+N14</f>
        <v>11520</v>
      </c>
    </row>
    <row r="15" spans="1:15" ht="15">
      <c r="A15" s="198">
        <f>Dsum!A15</f>
        <v>4</v>
      </c>
      <c r="B15" s="203" t="str">
        <f>Dsum!B15</f>
        <v>Revised or Develop SPCC Plans</v>
      </c>
      <c r="C15" s="61"/>
      <c r="D15" s="39"/>
      <c r="E15" s="62"/>
      <c r="F15" s="61"/>
      <c r="G15" s="62"/>
      <c r="H15" s="83"/>
      <c r="I15" s="62"/>
      <c r="J15" s="61"/>
      <c r="K15" s="62"/>
      <c r="L15" s="61"/>
      <c r="M15" s="62"/>
      <c r="N15" s="63"/>
      <c r="O15" s="15"/>
    </row>
    <row r="16" spans="1:15" ht="15">
      <c r="A16" s="198">
        <f>Dsum!A16</f>
        <v>5</v>
      </c>
      <c r="B16" s="203" t="str">
        <f>Dsum!B16</f>
        <v>Incorporate NOAA Comments</v>
      </c>
      <c r="C16" s="61"/>
      <c r="D16" s="39"/>
      <c r="E16" s="62"/>
      <c r="F16" s="61"/>
      <c r="G16" s="62"/>
      <c r="H16" s="83"/>
      <c r="I16" s="62"/>
      <c r="J16" s="61"/>
      <c r="K16" s="62"/>
      <c r="L16" s="61"/>
      <c r="M16" s="62"/>
      <c r="N16" s="63"/>
      <c r="O16" s="15"/>
    </row>
    <row r="17" spans="1:15" ht="15.75" thickBot="1">
      <c r="A17" s="198">
        <f>Dsum!A17</f>
        <v>6</v>
      </c>
      <c r="B17" s="203" t="str">
        <f>Dsum!B17</f>
        <v>Issue Final SPCC Plans</v>
      </c>
      <c r="C17" s="61"/>
      <c r="D17" s="39"/>
      <c r="E17" s="62">
        <f>ROUND(C17*D17,2)</f>
        <v>0</v>
      </c>
      <c r="F17" s="61">
        <v>0</v>
      </c>
      <c r="G17" s="62">
        <f>ROUND($G$11*F17,2)</f>
        <v>0</v>
      </c>
      <c r="H17" s="83">
        <v>0</v>
      </c>
      <c r="I17" s="62">
        <f>ROUND($I$11*H17,2)</f>
        <v>0</v>
      </c>
      <c r="J17" s="61">
        <v>0</v>
      </c>
      <c r="K17" s="62">
        <f>ROUND($K$11*J17,2)</f>
        <v>0</v>
      </c>
      <c r="L17" s="61">
        <v>0</v>
      </c>
      <c r="M17" s="62">
        <f>ROUND(L17*$M$11,2)</f>
        <v>0</v>
      </c>
      <c r="N17" s="63">
        <v>0</v>
      </c>
      <c r="O17" s="15">
        <f>E17+G17+I17+K17+M17+N17</f>
        <v>0</v>
      </c>
    </row>
    <row r="18" spans="1:15" ht="34.5" customHeight="1" thickBot="1">
      <c r="A18" s="155"/>
      <c r="B18" s="52" t="s">
        <v>68</v>
      </c>
      <c r="C18" s="64">
        <f>SUM(C12:C17)</f>
        <v>18</v>
      </c>
      <c r="D18" s="53"/>
      <c r="E18" s="54">
        <f aca="true" t="shared" si="0" ref="E18:O18">SUM(E12:E17)</f>
        <v>5400</v>
      </c>
      <c r="F18" s="64">
        <f t="shared" si="0"/>
        <v>36</v>
      </c>
      <c r="G18" s="54">
        <f t="shared" si="0"/>
        <v>2880</v>
      </c>
      <c r="H18" s="64">
        <f t="shared" si="0"/>
        <v>36</v>
      </c>
      <c r="I18" s="54">
        <f t="shared" si="0"/>
        <v>1800</v>
      </c>
      <c r="J18" s="64">
        <f t="shared" si="0"/>
        <v>36</v>
      </c>
      <c r="K18" s="54">
        <f t="shared" si="0"/>
        <v>1440</v>
      </c>
      <c r="L18" s="64">
        <f t="shared" si="0"/>
        <v>0</v>
      </c>
      <c r="M18" s="54">
        <f t="shared" si="0"/>
        <v>0</v>
      </c>
      <c r="N18" s="54">
        <f t="shared" si="0"/>
        <v>0</v>
      </c>
      <c r="O18" s="55">
        <f t="shared" si="0"/>
        <v>11520</v>
      </c>
    </row>
    <row r="19" spans="1:3" ht="15.75" thickTop="1">
      <c r="A19" s="50"/>
      <c r="C19" s="56"/>
    </row>
    <row r="20" ht="15">
      <c r="A20" s="14" t="s">
        <v>116</v>
      </c>
    </row>
    <row r="22" spans="1:15" ht="18">
      <c r="A22" s="81" t="s">
        <v>115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ht="18">
      <c r="A23" s="81" t="s">
        <v>117</v>
      </c>
    </row>
    <row r="62" spans="3:5" ht="15">
      <c r="C62" s="68"/>
      <c r="D62" s="105"/>
      <c r="E62" s="104"/>
    </row>
    <row r="63" ht="15">
      <c r="D63" s="106"/>
    </row>
    <row r="64" ht="15">
      <c r="D64" s="106"/>
    </row>
    <row r="65" ht="15">
      <c r="D65" s="106"/>
    </row>
    <row r="66" ht="15">
      <c r="D66" s="106"/>
    </row>
  </sheetData>
  <printOptions horizontalCentered="1"/>
  <pageMargins left="1" right="1" top="1" bottom="1" header="0.5" footer="0.5"/>
  <pageSetup fitToHeight="1" fitToWidth="1" horizontalDpi="300" verticalDpi="300" orientation="landscape" scale="67" r:id="rId1"/>
  <headerFooter alignWithMargins="0">
    <oddFooter>&amp;L&amp;"CG Times,Regular"&amp;11&amp;F&amp;R&amp;"Arial,Bold"CONFIDENTIAL - For NOAA Official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Zeros="0" zoomScale="75" zoomScaleNormal="75" workbookViewId="0" topLeftCell="A1">
      <selection activeCell="J23" sqref="J23"/>
    </sheetView>
  </sheetViews>
  <sheetFormatPr defaultColWidth="9.140625" defaultRowHeight="12.75"/>
  <cols>
    <col min="1" max="1" width="12.8515625" style="14" customWidth="1"/>
    <col min="2" max="2" width="33.7109375" style="14" customWidth="1"/>
    <col min="3" max="3" width="8.140625" style="14" customWidth="1"/>
    <col min="4" max="4" width="7.57421875" style="14" customWidth="1"/>
    <col min="5" max="5" width="9.140625" style="14" customWidth="1"/>
    <col min="6" max="6" width="11.140625" style="14" customWidth="1"/>
    <col min="7" max="7" width="8.421875" style="14" customWidth="1"/>
    <col min="8" max="8" width="11.140625" style="14" customWidth="1"/>
    <col min="9" max="9" width="9.140625" style="14" customWidth="1"/>
    <col min="10" max="10" width="10.421875" style="14" customWidth="1"/>
    <col min="11" max="11" width="17.140625" style="204" customWidth="1"/>
    <col min="12" max="12" width="13.7109375" style="14" customWidth="1"/>
    <col min="13" max="16384" width="9.140625" style="14" customWidth="1"/>
  </cols>
  <sheetData>
    <row r="1" spans="1:11" s="5" customFormat="1" ht="14.25">
      <c r="A1" s="49" t="s">
        <v>147</v>
      </c>
      <c r="B1" s="4"/>
      <c r="C1" s="4"/>
      <c r="D1" s="4"/>
      <c r="E1" s="4"/>
      <c r="F1" s="4"/>
      <c r="G1" s="4"/>
      <c r="H1" s="4"/>
      <c r="I1" s="4"/>
      <c r="J1" s="4"/>
      <c r="K1" s="205"/>
    </row>
    <row r="2" spans="1:11" s="5" customFormat="1" ht="14.25">
      <c r="A2" s="49"/>
      <c r="B2" s="4"/>
      <c r="C2" s="4"/>
      <c r="D2" s="4"/>
      <c r="E2" s="4"/>
      <c r="F2" s="4"/>
      <c r="G2" s="4"/>
      <c r="H2" s="4"/>
      <c r="I2" s="4"/>
      <c r="J2" s="4"/>
      <c r="K2" s="205"/>
    </row>
    <row r="3" spans="1:11" s="5" customFormat="1" ht="14.25">
      <c r="A3" s="49" t="s">
        <v>55</v>
      </c>
      <c r="B3" s="4"/>
      <c r="C3" s="4"/>
      <c r="D3" s="4"/>
      <c r="E3" s="4"/>
      <c r="F3" s="4"/>
      <c r="G3" s="4"/>
      <c r="H3" s="4"/>
      <c r="I3" s="4"/>
      <c r="J3" s="4"/>
      <c r="K3" s="205"/>
    </row>
    <row r="4" spans="1:11" s="5" customFormat="1" ht="14.25">
      <c r="A4" s="49" t="s">
        <v>45</v>
      </c>
      <c r="B4" s="4"/>
      <c r="C4" s="4"/>
      <c r="D4" s="4"/>
      <c r="E4" s="4"/>
      <c r="F4" s="4"/>
      <c r="G4" s="4"/>
      <c r="H4" s="4"/>
      <c r="I4" s="4"/>
      <c r="J4" s="4"/>
      <c r="K4" s="205"/>
    </row>
    <row r="5" spans="1:11" s="5" customFormat="1" ht="14.25">
      <c r="A5" s="49" t="s">
        <v>125</v>
      </c>
      <c r="B5" s="4"/>
      <c r="C5" s="4"/>
      <c r="D5" s="4"/>
      <c r="E5" s="4"/>
      <c r="F5" s="4"/>
      <c r="G5" s="4"/>
      <c r="H5" s="4"/>
      <c r="I5" s="4"/>
      <c r="J5" s="4"/>
      <c r="K5" s="205"/>
    </row>
    <row r="6" ht="15">
      <c r="A6" s="50"/>
    </row>
    <row r="7" spans="1:12" ht="15">
      <c r="A7" s="57" t="str">
        <f>'Sum P1'!A9</f>
        <v>Project:</v>
      </c>
      <c r="B7" s="79" t="str">
        <f>'Sum P1'!B9</f>
        <v>2001 NWS SPCC for 18 sites</v>
      </c>
      <c r="C7" s="58"/>
      <c r="D7" s="58"/>
      <c r="E7" s="58"/>
      <c r="F7" s="58"/>
      <c r="G7" s="58"/>
      <c r="H7" s="58"/>
      <c r="I7" s="58"/>
      <c r="J7" s="58"/>
      <c r="K7" s="206"/>
      <c r="L7" s="58"/>
    </row>
    <row r="8" spans="1:12" ht="15.75" thickBot="1">
      <c r="A8" s="60"/>
      <c r="B8" s="58"/>
      <c r="C8" s="58"/>
      <c r="D8" s="58"/>
      <c r="E8" s="58"/>
      <c r="F8" s="58"/>
      <c r="G8" s="58"/>
      <c r="H8" s="58"/>
      <c r="I8" s="58"/>
      <c r="J8" s="58"/>
      <c r="K8" s="206"/>
      <c r="L8" s="58"/>
    </row>
    <row r="9" spans="1:12" ht="34.5" customHeight="1" thickTop="1">
      <c r="A9" s="152"/>
      <c r="B9" s="124"/>
      <c r="C9" s="175" t="s">
        <v>86</v>
      </c>
      <c r="D9" s="176"/>
      <c r="E9" s="175" t="s">
        <v>98</v>
      </c>
      <c r="F9" s="176"/>
      <c r="G9" s="190" t="s">
        <v>87</v>
      </c>
      <c r="H9" s="176"/>
      <c r="I9" s="175" t="s">
        <v>88</v>
      </c>
      <c r="J9" s="176"/>
      <c r="K9" s="207" t="s">
        <v>89</v>
      </c>
      <c r="L9" s="191" t="s">
        <v>34</v>
      </c>
    </row>
    <row r="10" spans="1:12" ht="16.5" customHeight="1">
      <c r="A10" s="153"/>
      <c r="B10" s="139"/>
      <c r="C10" s="192">
        <f>Rates!A6</f>
        <v>0.07</v>
      </c>
      <c r="D10" s="139" t="s">
        <v>100</v>
      </c>
      <c r="E10" s="192">
        <f>Rates!A7</f>
        <v>5</v>
      </c>
      <c r="F10" s="139" t="s">
        <v>100</v>
      </c>
      <c r="G10" s="192">
        <f>Rates!A8</f>
        <v>4.92</v>
      </c>
      <c r="H10" s="139" t="s">
        <v>99</v>
      </c>
      <c r="I10" s="192">
        <f>Rates!A9</f>
        <v>10</v>
      </c>
      <c r="J10" s="139" t="s">
        <v>100</v>
      </c>
      <c r="K10" s="208" t="s">
        <v>90</v>
      </c>
      <c r="L10" s="193" t="s">
        <v>91</v>
      </c>
    </row>
    <row r="11" spans="1:12" ht="15">
      <c r="A11" s="154" t="s">
        <v>61</v>
      </c>
      <c r="B11" s="143" t="s">
        <v>62</v>
      </c>
      <c r="C11" s="194" t="s">
        <v>97</v>
      </c>
      <c r="D11" s="195" t="s">
        <v>84</v>
      </c>
      <c r="E11" s="194" t="s">
        <v>97</v>
      </c>
      <c r="F11" s="195" t="s">
        <v>84</v>
      </c>
      <c r="G11" s="194" t="s">
        <v>97</v>
      </c>
      <c r="H11" s="195" t="s">
        <v>84</v>
      </c>
      <c r="I11" s="194" t="s">
        <v>97</v>
      </c>
      <c r="J11" s="195" t="s">
        <v>84</v>
      </c>
      <c r="K11" s="209" t="s">
        <v>92</v>
      </c>
      <c r="L11" s="196" t="s">
        <v>59</v>
      </c>
    </row>
    <row r="12" spans="1:12" ht="15">
      <c r="A12" s="200" t="str">
        <f>Dsum!A12</f>
        <v>1</v>
      </c>
      <c r="B12" s="202" t="str">
        <f>Dsum!B12</f>
        <v>Project Coordiation</v>
      </c>
      <c r="C12" s="61">
        <v>100</v>
      </c>
      <c r="D12" s="51">
        <f aca="true" t="shared" si="0" ref="D12:D17">ROUND(C12*$C$10,2)</f>
        <v>7</v>
      </c>
      <c r="E12" s="61">
        <v>5</v>
      </c>
      <c r="F12" s="51">
        <f aca="true" t="shared" si="1" ref="F12:F17">ROUND(E12*$E$10,2)</f>
        <v>25</v>
      </c>
      <c r="G12" s="61">
        <v>2</v>
      </c>
      <c r="H12" s="51">
        <f aca="true" t="shared" si="2" ref="H12:H17">ROUND(G12*$G$10,2)</f>
        <v>9.84</v>
      </c>
      <c r="I12" s="61"/>
      <c r="J12" s="51">
        <f>ROUND(I12*$I$10,2)</f>
        <v>0</v>
      </c>
      <c r="K12" s="210">
        <v>0</v>
      </c>
      <c r="L12" s="65">
        <f aca="true" t="shared" si="3" ref="L12:L17">D12+F12+H12+J12+K12</f>
        <v>41.84</v>
      </c>
    </row>
    <row r="13" spans="1:12" ht="15">
      <c r="A13" s="200">
        <f>Dsum!A13</f>
        <v>2</v>
      </c>
      <c r="B13" s="202" t="str">
        <f>Dsum!B13</f>
        <v>Review Exisitng SPCC Plans</v>
      </c>
      <c r="C13" s="61">
        <v>100</v>
      </c>
      <c r="D13" s="51">
        <f t="shared" si="0"/>
        <v>7</v>
      </c>
      <c r="E13" s="61">
        <v>5</v>
      </c>
      <c r="F13" s="51">
        <f t="shared" si="1"/>
        <v>25</v>
      </c>
      <c r="G13" s="61">
        <v>0</v>
      </c>
      <c r="H13" s="51">
        <f t="shared" si="2"/>
        <v>0</v>
      </c>
      <c r="I13" s="61"/>
      <c r="J13" s="51">
        <f>ROUND(I13*Rates!$A$9,2)</f>
        <v>0</v>
      </c>
      <c r="K13" s="210">
        <f>SumP2!C30</f>
        <v>0</v>
      </c>
      <c r="L13" s="65">
        <f t="shared" si="3"/>
        <v>32</v>
      </c>
    </row>
    <row r="14" spans="1:12" ht="15">
      <c r="A14" s="200">
        <f>Dsum!A14</f>
        <v>3</v>
      </c>
      <c r="B14" s="202" t="str">
        <f>Dsum!B14</f>
        <v>Site Visits</v>
      </c>
      <c r="C14" s="61">
        <v>100</v>
      </c>
      <c r="D14" s="51">
        <f t="shared" si="0"/>
        <v>7</v>
      </c>
      <c r="E14" s="61">
        <v>5</v>
      </c>
      <c r="F14" s="51">
        <f t="shared" si="1"/>
        <v>25</v>
      </c>
      <c r="G14" s="61">
        <v>0</v>
      </c>
      <c r="H14" s="51">
        <f t="shared" si="2"/>
        <v>0</v>
      </c>
      <c r="I14" s="61"/>
      <c r="J14" s="51">
        <f>ROUND(I14*Rates!$A$9,2)</f>
        <v>0</v>
      </c>
      <c r="K14" s="210">
        <f>SumP2!C31</f>
        <v>0</v>
      </c>
      <c r="L14" s="65">
        <f t="shared" si="3"/>
        <v>32</v>
      </c>
    </row>
    <row r="15" spans="1:12" ht="15">
      <c r="A15" s="200">
        <f>Dsum!A15</f>
        <v>4</v>
      </c>
      <c r="B15" s="202" t="str">
        <f>Dsum!B15</f>
        <v>Revised or Develop SPCC Plans</v>
      </c>
      <c r="C15" s="61">
        <v>1600</v>
      </c>
      <c r="D15" s="51">
        <f t="shared" si="0"/>
        <v>112</v>
      </c>
      <c r="E15" s="61">
        <v>5</v>
      </c>
      <c r="F15" s="51">
        <f t="shared" si="1"/>
        <v>25</v>
      </c>
      <c r="G15" s="61">
        <f>(Labor!E15)*0.75</f>
        <v>324</v>
      </c>
      <c r="H15" s="51">
        <f t="shared" si="2"/>
        <v>1594.08</v>
      </c>
      <c r="I15" s="61">
        <v>72</v>
      </c>
      <c r="J15" s="51">
        <f>ROUND(I15*Rates!$A$9,2)</f>
        <v>720</v>
      </c>
      <c r="K15" s="210"/>
      <c r="L15" s="65">
        <f t="shared" si="3"/>
        <v>2451.08</v>
      </c>
    </row>
    <row r="16" spans="1:12" ht="15">
      <c r="A16" s="200">
        <f>Dsum!A16</f>
        <v>5</v>
      </c>
      <c r="B16" s="202" t="str">
        <f>Dsum!B16</f>
        <v>Incorporate NOAA Comments</v>
      </c>
      <c r="C16" s="61">
        <v>1600</v>
      </c>
      <c r="D16" s="51">
        <f t="shared" si="0"/>
        <v>112</v>
      </c>
      <c r="E16" s="61">
        <v>5</v>
      </c>
      <c r="F16" s="51">
        <f t="shared" si="1"/>
        <v>25</v>
      </c>
      <c r="G16" s="61">
        <f>(Labor!E16)*0.75</f>
        <v>54</v>
      </c>
      <c r="H16" s="51">
        <f t="shared" si="2"/>
        <v>265.68</v>
      </c>
      <c r="I16" s="61">
        <v>72</v>
      </c>
      <c r="J16" s="51">
        <f>ROUND(I16*Rates!$A$9,2)</f>
        <v>720</v>
      </c>
      <c r="K16" s="210"/>
      <c r="L16" s="65">
        <f t="shared" si="3"/>
        <v>1122.68</v>
      </c>
    </row>
    <row r="17" spans="1:12" ht="15.75" thickBot="1">
      <c r="A17" s="200">
        <f>Dsum!A17</f>
        <v>6</v>
      </c>
      <c r="B17" s="202" t="str">
        <f>Dsum!B17</f>
        <v>Issue Final SPCC Plans</v>
      </c>
      <c r="C17" s="61">
        <v>1600</v>
      </c>
      <c r="D17" s="51">
        <f t="shared" si="0"/>
        <v>112</v>
      </c>
      <c r="E17" s="61">
        <v>5</v>
      </c>
      <c r="F17" s="51">
        <f t="shared" si="1"/>
        <v>25</v>
      </c>
      <c r="G17" s="61">
        <f>(Labor!E17)*0.75</f>
        <v>27</v>
      </c>
      <c r="H17" s="51">
        <f t="shared" si="2"/>
        <v>132.84</v>
      </c>
      <c r="I17" s="61">
        <v>72</v>
      </c>
      <c r="J17" s="51">
        <f>ROUND(I17*Rates!$A$9,2)</f>
        <v>720</v>
      </c>
      <c r="K17" s="210">
        <f>SumP2!C32</f>
        <v>0</v>
      </c>
      <c r="L17" s="65">
        <f t="shared" si="3"/>
        <v>989.84</v>
      </c>
    </row>
    <row r="18" spans="1:12" ht="34.5" customHeight="1" thickBot="1">
      <c r="A18" s="155"/>
      <c r="B18" s="52" t="s">
        <v>68</v>
      </c>
      <c r="C18" s="64">
        <f aca="true" t="shared" si="4" ref="C18:L18">SUM(C12:C17)</f>
        <v>5100</v>
      </c>
      <c r="D18" s="54">
        <f t="shared" si="4"/>
        <v>357</v>
      </c>
      <c r="E18" s="64">
        <f t="shared" si="4"/>
        <v>30</v>
      </c>
      <c r="F18" s="54">
        <f t="shared" si="4"/>
        <v>150</v>
      </c>
      <c r="G18" s="64">
        <f t="shared" si="4"/>
        <v>407</v>
      </c>
      <c r="H18" s="54">
        <f t="shared" si="4"/>
        <v>2002.4399999999998</v>
      </c>
      <c r="I18" s="64">
        <f t="shared" si="4"/>
        <v>216</v>
      </c>
      <c r="J18" s="54">
        <f t="shared" si="4"/>
        <v>2160</v>
      </c>
      <c r="K18" s="211">
        <f t="shared" si="4"/>
        <v>0</v>
      </c>
      <c r="L18" s="66">
        <f t="shared" si="4"/>
        <v>4669.4400000000005</v>
      </c>
    </row>
    <row r="19" ht="15.75" thickTop="1">
      <c r="A19" s="50"/>
    </row>
    <row r="54" spans="3:5" ht="15">
      <c r="C54" s="68"/>
      <c r="D54" s="105"/>
      <c r="E54" s="104"/>
    </row>
    <row r="55" ht="15">
      <c r="D55" s="106"/>
    </row>
    <row r="56" ht="15">
      <c r="D56" s="106"/>
    </row>
    <row r="57" ht="15">
      <c r="D57" s="106"/>
    </row>
    <row r="58" ht="15">
      <c r="D58" s="106"/>
    </row>
  </sheetData>
  <printOptions horizontalCentered="1"/>
  <pageMargins left="1" right="1" top="1" bottom="1" header="0.5" footer="0.5"/>
  <pageSetup fitToHeight="1" fitToWidth="1" horizontalDpi="300" verticalDpi="300" orientation="landscape" scale="77" r:id="rId1"/>
  <headerFooter alignWithMargins="0">
    <oddFooter>&amp;L&amp;"CG Times,Regular"&amp;11&amp;F&amp;R&amp;"Arial,Bold"CONFIDENTIAL - For NOAA Official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D26" sqref="D26"/>
    </sheetView>
  </sheetViews>
  <sheetFormatPr defaultColWidth="9.140625" defaultRowHeight="12.75"/>
  <cols>
    <col min="1" max="1" width="9.140625" style="2" customWidth="1"/>
    <col min="2" max="5" width="9.140625" style="1" customWidth="1"/>
    <col min="6" max="7" width="29.00390625" style="1" customWidth="1"/>
    <col min="8" max="16384" width="9.140625" style="1" customWidth="1"/>
  </cols>
  <sheetData>
    <row r="1" spans="1:7" ht="15" thickTop="1">
      <c r="A1" s="67">
        <v>0.4</v>
      </c>
      <c r="B1" s="2" t="s">
        <v>35</v>
      </c>
      <c r="F1" s="72"/>
      <c r="G1" s="69" t="s">
        <v>2</v>
      </c>
    </row>
    <row r="2" spans="1:7" ht="15" thickBot="1">
      <c r="A2" s="67">
        <v>0.425</v>
      </c>
      <c r="B2" s="1" t="s">
        <v>118</v>
      </c>
      <c r="F2" s="73" t="s">
        <v>4</v>
      </c>
      <c r="G2" s="70" t="s">
        <v>96</v>
      </c>
    </row>
    <row r="3" spans="1:7" ht="15.75" thickTop="1">
      <c r="A3" s="67">
        <v>0.069</v>
      </c>
      <c r="B3" s="1" t="s">
        <v>93</v>
      </c>
      <c r="F3" s="74" t="s">
        <v>102</v>
      </c>
      <c r="G3" s="15">
        <v>20</v>
      </c>
    </row>
    <row r="4" spans="1:7" ht="15">
      <c r="A4" s="85">
        <v>0.08</v>
      </c>
      <c r="B4" s="80" t="s">
        <v>94</v>
      </c>
      <c r="C4" s="85">
        <v>0.1</v>
      </c>
      <c r="D4" s="80" t="s">
        <v>94</v>
      </c>
      <c r="F4" s="74" t="s">
        <v>12</v>
      </c>
      <c r="G4" s="15">
        <v>26.08</v>
      </c>
    </row>
    <row r="5" spans="1:7" ht="15">
      <c r="A5" s="67">
        <v>0.05</v>
      </c>
      <c r="B5" s="1" t="s">
        <v>95</v>
      </c>
      <c r="F5" s="74" t="s">
        <v>11</v>
      </c>
      <c r="G5" s="15">
        <v>22.83</v>
      </c>
    </row>
    <row r="6" spans="1:7" ht="15">
      <c r="A6" s="3">
        <v>0.07</v>
      </c>
      <c r="B6" s="1" t="s">
        <v>86</v>
      </c>
      <c r="F6" s="74" t="s">
        <v>14</v>
      </c>
      <c r="G6" s="15">
        <v>22.8</v>
      </c>
    </row>
    <row r="7" spans="1:7" ht="15">
      <c r="A7" s="3">
        <v>5</v>
      </c>
      <c r="B7" s="1" t="s">
        <v>98</v>
      </c>
      <c r="F7" s="74" t="s">
        <v>33</v>
      </c>
      <c r="G7" s="15">
        <v>14.5</v>
      </c>
    </row>
    <row r="8" spans="1:7" ht="15">
      <c r="A8" s="3">
        <v>4.92</v>
      </c>
      <c r="B8" s="1" t="s">
        <v>87</v>
      </c>
      <c r="F8" s="74" t="s">
        <v>9</v>
      </c>
      <c r="G8" s="15">
        <v>26.98</v>
      </c>
    </row>
    <row r="9" spans="1:7" ht="15">
      <c r="A9" s="3">
        <v>10</v>
      </c>
      <c r="B9" s="1" t="s">
        <v>88</v>
      </c>
      <c r="F9" s="74" t="s">
        <v>32</v>
      </c>
      <c r="G9" s="15">
        <v>11.5</v>
      </c>
    </row>
    <row r="10" spans="1:7" ht="15">
      <c r="A10" s="86">
        <v>0.325</v>
      </c>
      <c r="B10" s="1" t="s">
        <v>79</v>
      </c>
      <c r="F10" s="74" t="s">
        <v>16</v>
      </c>
      <c r="G10" s="15">
        <v>18.87</v>
      </c>
    </row>
    <row r="11" spans="1:7" ht="15">
      <c r="A11" s="76">
        <v>80</v>
      </c>
      <c r="B11" s="80" t="s">
        <v>109</v>
      </c>
      <c r="C11" s="77"/>
      <c r="D11" s="3"/>
      <c r="F11" s="74" t="s">
        <v>19</v>
      </c>
      <c r="G11" s="15">
        <v>19</v>
      </c>
    </row>
    <row r="12" spans="1:7" ht="15">
      <c r="A12" s="76">
        <v>50</v>
      </c>
      <c r="B12" s="80" t="s">
        <v>111</v>
      </c>
      <c r="C12" s="77"/>
      <c r="F12" s="74" t="s">
        <v>18</v>
      </c>
      <c r="G12" s="15">
        <v>27.21</v>
      </c>
    </row>
    <row r="13" spans="1:7" ht="15">
      <c r="A13" s="76">
        <v>40</v>
      </c>
      <c r="B13" s="77" t="s">
        <v>78</v>
      </c>
      <c r="F13" s="74" t="s">
        <v>17</v>
      </c>
      <c r="G13" s="15">
        <v>22</v>
      </c>
    </row>
    <row r="14" spans="6:7" ht="15">
      <c r="F14" s="74" t="s">
        <v>21</v>
      </c>
      <c r="G14" s="15">
        <v>22.66</v>
      </c>
    </row>
    <row r="15" spans="6:7" ht="15">
      <c r="F15" s="74" t="s">
        <v>22</v>
      </c>
      <c r="G15" s="15">
        <v>20.99</v>
      </c>
    </row>
    <row r="16" spans="6:7" ht="15">
      <c r="F16" s="74" t="s">
        <v>108</v>
      </c>
      <c r="G16" s="15">
        <v>20.91</v>
      </c>
    </row>
    <row r="17" spans="6:7" ht="15">
      <c r="F17" s="74" t="s">
        <v>24</v>
      </c>
      <c r="G17" s="15">
        <v>20</v>
      </c>
    </row>
    <row r="18" spans="6:7" ht="15">
      <c r="F18" s="74" t="s">
        <v>26</v>
      </c>
      <c r="G18" s="15">
        <v>29.44</v>
      </c>
    </row>
    <row r="19" spans="6:7" ht="15">
      <c r="F19" s="74" t="s">
        <v>105</v>
      </c>
      <c r="G19" s="15">
        <v>28.81</v>
      </c>
    </row>
    <row r="20" spans="6:7" ht="15">
      <c r="F20" s="74" t="s">
        <v>10</v>
      </c>
      <c r="G20" s="15">
        <v>25.72</v>
      </c>
    </row>
    <row r="21" spans="6:7" ht="15">
      <c r="F21" s="74" t="s">
        <v>13</v>
      </c>
      <c r="G21" s="15">
        <v>33.66</v>
      </c>
    </row>
    <row r="22" spans="6:7" ht="15">
      <c r="F22" s="74" t="s">
        <v>15</v>
      </c>
      <c r="G22" s="15">
        <v>45.79</v>
      </c>
    </row>
    <row r="23" spans="6:7" ht="15">
      <c r="F23" s="74" t="s">
        <v>103</v>
      </c>
      <c r="G23" s="15">
        <v>24.04</v>
      </c>
    </row>
    <row r="24" spans="6:7" ht="15">
      <c r="F24" s="74" t="s">
        <v>104</v>
      </c>
      <c r="G24" s="15">
        <v>27.86</v>
      </c>
    </row>
    <row r="25" spans="6:7" ht="15">
      <c r="F25" s="74" t="s">
        <v>101</v>
      </c>
      <c r="G25" s="15">
        <v>43.11</v>
      </c>
    </row>
    <row r="26" spans="6:7" ht="15">
      <c r="F26" s="74" t="s">
        <v>20</v>
      </c>
      <c r="G26" s="15">
        <v>34.86</v>
      </c>
    </row>
    <row r="27" spans="6:7" ht="15">
      <c r="F27" s="74" t="s">
        <v>107</v>
      </c>
      <c r="G27" s="15">
        <v>35.98</v>
      </c>
    </row>
    <row r="28" spans="6:7" ht="15">
      <c r="F28" s="74" t="s">
        <v>106</v>
      </c>
      <c r="G28" s="15">
        <v>20.94</v>
      </c>
    </row>
    <row r="29" spans="6:7" ht="15">
      <c r="F29" s="74" t="s">
        <v>23</v>
      </c>
      <c r="G29" s="15">
        <v>26</v>
      </c>
    </row>
    <row r="30" spans="6:7" ht="15">
      <c r="F30" s="74" t="s">
        <v>25</v>
      </c>
      <c r="G30" s="15">
        <v>43.89</v>
      </c>
    </row>
    <row r="31" spans="6:7" ht="15">
      <c r="F31" s="74" t="s">
        <v>27</v>
      </c>
      <c r="G31" s="15">
        <v>22.62</v>
      </c>
    </row>
    <row r="32" spans="6:7" ht="15">
      <c r="F32" s="74" t="s">
        <v>29</v>
      </c>
      <c r="G32" s="15">
        <v>31.7</v>
      </c>
    </row>
    <row r="33" spans="6:7" ht="15">
      <c r="F33" s="74" t="s">
        <v>28</v>
      </c>
      <c r="G33" s="15">
        <v>21.28</v>
      </c>
    </row>
    <row r="34" spans="6:7" ht="15">
      <c r="F34" s="74" t="s">
        <v>30</v>
      </c>
      <c r="G34" s="15">
        <v>33.49</v>
      </c>
    </row>
    <row r="35" spans="6:7" ht="15">
      <c r="F35" s="74" t="s">
        <v>30</v>
      </c>
      <c r="G35" s="15">
        <v>33.49</v>
      </c>
    </row>
    <row r="36" spans="6:7" ht="15">
      <c r="F36" s="74" t="s">
        <v>7</v>
      </c>
      <c r="G36" s="15">
        <v>35.83</v>
      </c>
    </row>
    <row r="37" spans="6:7" ht="15">
      <c r="F37" s="74" t="s">
        <v>8</v>
      </c>
      <c r="G37" s="15">
        <v>31.67</v>
      </c>
    </row>
    <row r="38" spans="6:7" ht="15.75" thickBot="1">
      <c r="F38" s="75" t="s">
        <v>31</v>
      </c>
      <c r="G38" s="71">
        <v>22.05</v>
      </c>
    </row>
    <row r="39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F. Bollinger</dc:creator>
  <cp:keywords/>
  <dc:description/>
  <cp:lastModifiedBy>Thanh Minh Trinh</cp:lastModifiedBy>
  <cp:lastPrinted>2001-09-05T19:22:34Z</cp:lastPrinted>
  <dcterms:created xsi:type="dcterms:W3CDTF">1997-05-13T00:13:06Z</dcterms:created>
  <dcterms:modified xsi:type="dcterms:W3CDTF">2001-09-05T19:24:55Z</dcterms:modified>
  <cp:category/>
  <cp:version/>
  <cp:contentType/>
  <cp:contentStatus/>
</cp:coreProperties>
</file>