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65456" windowWidth="20540" windowHeight="13260" tabRatio="601" firstSheet="2" activeTab="7"/>
  </bookViews>
  <sheets>
    <sheet name="Lifetime" sheetId="1" r:id="rId1"/>
    <sheet name="Sales &amp; Total Stock" sheetId="2" r:id="rId2"/>
    <sheet name="Stock Split" sheetId="3" r:id="rId3"/>
    <sheet name="Power Requirement" sheetId="4" r:id="rId4"/>
    <sheet name="Usage" sheetId="5" r:id="rId5"/>
    <sheet name="PM Rate" sheetId="6" r:id="rId6"/>
    <sheet name="Paper Allocation" sheetId="7" r:id="rId7"/>
    <sheet name="total" sheetId="8" r:id="rId8"/>
  </sheets>
  <definedNames/>
  <calcPr fullCalcOnLoad="1"/>
</workbook>
</file>

<file path=xl/sharedStrings.xml><?xml version="1.0" encoding="utf-8"?>
<sst xmlns="http://schemas.openxmlformats.org/spreadsheetml/2006/main" count="1150" uniqueCount="561">
  <si>
    <t>(*)By combining the paper consumption by printers, copiers and faxes in 1992(=3192 thousand tons [Pulp&amp;Paper 1995]) and assuming 4% annual growth, paper consumption in 1999 is estimated as 4200 thousands. Then we allocated the paper into each equipment by the ratio that laser printer=45%, inkjet printer=5%, copier=45%, fax=5%.</t>
  </si>
  <si>
    <t>Unit Image Consumption</t>
  </si>
  <si>
    <t>(10e3 images/year)</t>
  </si>
  <si>
    <t xml:space="preserve">Residential Stock </t>
  </si>
  <si>
    <t>(10e3)</t>
  </si>
  <si>
    <t xml:space="preserve">Residential Paper Consumption </t>
  </si>
  <si>
    <t>(10e6 sheets/yr)</t>
  </si>
  <si>
    <t>Total Paper Consumption*</t>
  </si>
  <si>
    <t>(10e3 tons/yr)</t>
  </si>
  <si>
    <t>Total Paper Consumption**</t>
  </si>
  <si>
    <t>C &amp; I Paper Consumption</t>
  </si>
  <si>
    <t>(10e6 sheets/year)</t>
  </si>
  <si>
    <t>C &amp; I Stock</t>
  </si>
  <si>
    <t>(thousand)</t>
  </si>
  <si>
    <t>C &amp; I UPC</t>
  </si>
  <si>
    <t>(sheet/unit•yr)</t>
  </si>
  <si>
    <t>Duplex Rate*</t>
  </si>
  <si>
    <t>(%)</t>
  </si>
  <si>
    <t>C&amp; I Image Consumption</t>
  </si>
  <si>
    <t>(10e6 images/yr)</t>
  </si>
  <si>
    <t>C &amp; I UIC</t>
  </si>
  <si>
    <t>(image/unit•yr)</t>
  </si>
  <si>
    <t>(cpm)</t>
  </si>
  <si>
    <t>Total Stock in 1998</t>
  </si>
  <si>
    <t>(10e3 units)</t>
  </si>
  <si>
    <t xml:space="preserve">Unit Copy Rate </t>
  </si>
  <si>
    <t>(10e3 sheets/unit/yr)</t>
  </si>
  <si>
    <t>Total Annual Copy Rate</t>
  </si>
  <si>
    <t>Duplex Rate</t>
  </si>
  <si>
    <t>Average Duplex Rate</t>
  </si>
  <si>
    <t xml:space="preserve">Residential UIC </t>
  </si>
  <si>
    <t>Based on Nordman ACEEE 2000. We assumed same PM-enabled ratio for terminals as that for monitors.</t>
  </si>
  <si>
    <t>(hr/week)</t>
  </si>
  <si>
    <t>Active Mode</t>
  </si>
  <si>
    <t>Off Mode</t>
  </si>
  <si>
    <t>Low-Power Mode</t>
  </si>
  <si>
    <t>Disconnect</t>
  </si>
  <si>
    <t>Daytime Length (including delay time)</t>
  </si>
  <si>
    <t>1) First, we estimated the night status (on-off).</t>
  </si>
  <si>
    <t>1) Power Requirement for Active Mode of Desktop Computers</t>
  </si>
  <si>
    <t>Results</t>
  </si>
  <si>
    <t>Separating the Stock of Servers from Desktop Computers</t>
  </si>
  <si>
    <t>Input Data (Residential Stock)</t>
  </si>
  <si>
    <t>3. Italic font means estimated.</t>
  </si>
  <si>
    <t>Copier (Single &amp; Multi-Function)</t>
  </si>
  <si>
    <t>1. Stock is estimated from the sales data and lifetime of each equipment.</t>
  </si>
  <si>
    <t>2. Sales of multifunction equipment is allocated into that of laser printer, inkjet/dotmatrix and copier.</t>
  </si>
  <si>
    <t>Average Annual Copied Sheet / Unit (thousand)</t>
  </si>
  <si>
    <t>Annual Energy Consumption in 1999</t>
  </si>
  <si>
    <t>Type of Equipment</t>
  </si>
  <si>
    <t xml:space="preserve">                       Display</t>
  </si>
  <si>
    <t>User</t>
  </si>
  <si>
    <t>C &amp; I</t>
  </si>
  <si>
    <t xml:space="preserve">Residential </t>
  </si>
  <si>
    <t>&lt;8ppm</t>
  </si>
  <si>
    <t>8-12pp,</t>
  </si>
  <si>
    <t>&lt;=20cpm</t>
  </si>
  <si>
    <t>21-44cpm</t>
  </si>
  <si>
    <t>&gt;=45cpm</t>
  </si>
  <si>
    <t>Stock (tousand)</t>
  </si>
  <si>
    <t>Low-Power (W)</t>
  </si>
  <si>
    <t>Off (W)</t>
  </si>
  <si>
    <t>Active (hr/week)</t>
  </si>
  <si>
    <t>Low-Power during Daytime (hr/week)</t>
  </si>
  <si>
    <t>Low-Power during Nights (hr/week)</t>
  </si>
  <si>
    <t>Off (hr/week)</t>
  </si>
  <si>
    <t>Disconnect (hr/week)</t>
  </si>
  <si>
    <t>Active (kWh/yr)</t>
  </si>
  <si>
    <t>Low Power (kWh/yr)</t>
  </si>
  <si>
    <t>Off (kWh/yr)</t>
  </si>
  <si>
    <t>Extra Energy for Copy/Print (kWh/yr)</t>
  </si>
  <si>
    <t>UEC  w/o PM (kWh/yr)</t>
  </si>
  <si>
    <t>UEC in Real Case (kWh/yr)</t>
  </si>
  <si>
    <t>UEC  with PM (kWh/yr)</t>
  </si>
  <si>
    <t>UEC with AutoOff (kWh/yr)</t>
  </si>
  <si>
    <t>UEC with PM &amp; Night-Off (kWh/yr)</t>
  </si>
  <si>
    <t>PM Enabled Rate</t>
  </si>
  <si>
    <t>AutoOff Enabled Rate</t>
  </si>
  <si>
    <t>W/O PM Case (GWh)</t>
  </si>
  <si>
    <t>100%PM Case (GWh)</t>
  </si>
  <si>
    <t>Off at night Case (GWh)</t>
  </si>
  <si>
    <t>Energy Use in Active Mode(GWh/yr)</t>
  </si>
  <si>
    <t>Energy Use in Low-Power Mode(GWh/yr)</t>
  </si>
  <si>
    <t>Energy Use in Off Mode (GWh/yr)</t>
  </si>
  <si>
    <t>Extra Energy for Copy/Print (GWh/yr)</t>
  </si>
  <si>
    <t>Energy Use in Real Case (GWh/year)</t>
  </si>
  <si>
    <t>Real</t>
  </si>
  <si>
    <t>100%PM</t>
  </si>
  <si>
    <t>Main&amp;Mini</t>
  </si>
  <si>
    <t>Desktop/Deskside</t>
  </si>
  <si>
    <t>Copier&amp;Fax</t>
  </si>
  <si>
    <t>Micro</t>
  </si>
  <si>
    <t>Printer</t>
  </si>
  <si>
    <t>Energy Use in 100% PM Case (GWh/year)</t>
  </si>
  <si>
    <t>Comparison of Energy Use by PM Situation (GWh/year)</t>
  </si>
  <si>
    <t>PM&amp;Night Off</t>
  </si>
  <si>
    <t>0% PM</t>
  </si>
  <si>
    <t>Energy Use in Real Case (GWh)</t>
  </si>
  <si>
    <t>Subtotal</t>
  </si>
  <si>
    <t>(**) We assumed paper weight is 5 g/sheet.</t>
  </si>
  <si>
    <t>UIC = Unit Image Consumption (images/year); UPC = Unit Paper Consumption (sheets/year)</t>
  </si>
  <si>
    <t>Speed</t>
  </si>
  <si>
    <t>(*) Based on the table below, we estimated Duplex Rate as 30%. We also assumed same rate for laser printer and 0% for fax and ink printer.</t>
  </si>
  <si>
    <t>We assumed it same as desktp copmuters</t>
  </si>
  <si>
    <t>Low-Power</t>
  </si>
  <si>
    <t>Power Management Enabled Ratio (%) in 1999</t>
  </si>
  <si>
    <t>The power management enabled rate is the percentage of equipment that has power management capabilities whose power management is properly operating.</t>
  </si>
  <si>
    <t>Equipment that has power management capabilities but that has not been correctly enabled is not included in this category.</t>
  </si>
  <si>
    <t>We assumed the power management rate is same among residential, commercial, and industrial.</t>
  </si>
  <si>
    <t>We assumed all "auto-off" enabled copiers are also "low-power" enabled.</t>
  </si>
  <si>
    <t>PM Enabled Ratio (%)</t>
  </si>
  <si>
    <t>Table 1. Night Status for Copiers (Nordman 1998)</t>
  </si>
  <si>
    <t>Based on Nordman ACEEE 2000.</t>
  </si>
  <si>
    <t>Assumed</t>
  </si>
  <si>
    <t>Conventional Copier</t>
  </si>
  <si>
    <t>n=142</t>
  </si>
  <si>
    <t>Displays/Terminals</t>
  </si>
  <si>
    <t>Energy Star Copier</t>
  </si>
  <si>
    <t>n=81</t>
  </si>
  <si>
    <t>Percentage of Energy Star labeled = 97% (CCAP)                           PM enabled ratio of Energy Star labled printers = 83%                            (Nordman night audit at 1996)                                               83%*97% = 80%</t>
  </si>
  <si>
    <t>Copier(only "sleep" is enabled)</t>
  </si>
  <si>
    <t>Estimated by combining night-time status (Nordman 1998 Table1),  Energy Star labeld ratio (CCAP Table 2), and rate of manually off (=10%),.</t>
  </si>
  <si>
    <t>Table 2. Energy Star Labeled Rate in the stock of copiers in 1999</t>
  </si>
  <si>
    <t>Copier("auto-off" &amp; "sleep" are enabled)</t>
  </si>
  <si>
    <t xml:space="preserve">  </t>
  </si>
  <si>
    <t>Unit Image Consumption (UIC) by Printer, Copier and Fax</t>
  </si>
  <si>
    <t xml:space="preserve">Methodology </t>
  </si>
  <si>
    <t>1) We first estimated the UIC for residential equipment assuming the yearly paper use and duplexing rate.</t>
  </si>
  <si>
    <t>2) Second, we estimated the amount of papers consumed for commercial &amp; industrial use by subtracting the paper use for residential use from the total paper use.</t>
  </si>
  <si>
    <t>3) Finally, we estimated the UIC for commercial &amp; industrial equipment by combining the total paper use, stock of equipment, and duplicate rate.</t>
  </si>
  <si>
    <t>Residential UIC</t>
  </si>
  <si>
    <t>Paper Allocation</t>
  </si>
  <si>
    <t>Inkjet/Dotmatrix  Printer</t>
  </si>
  <si>
    <t>Commercial &amp; Industrial UIC</t>
  </si>
  <si>
    <t>Duplexing Rate of Copiers</t>
  </si>
  <si>
    <t>Copier Class</t>
  </si>
  <si>
    <t>PC</t>
  </si>
  <si>
    <t>&lt;10</t>
  </si>
  <si>
    <t>10-19</t>
  </si>
  <si>
    <t>20-30</t>
  </si>
  <si>
    <t>31-45</t>
  </si>
  <si>
    <t>46-69</t>
  </si>
  <si>
    <t>70-90</t>
  </si>
  <si>
    <t>91-</t>
  </si>
  <si>
    <t xml:space="preserve">Because most fax machines do not have specific operating mode for low power, we assume low-power mode is same as ready mode </t>
  </si>
  <si>
    <t>We estimated the power requirement for ready mode based on the following measurement.</t>
  </si>
  <si>
    <t>Energy Star HomePage 1999</t>
  </si>
  <si>
    <t>Average of Energy Star compliant faxes = 11.2</t>
  </si>
  <si>
    <t>Usage</t>
  </si>
  <si>
    <t>Methodology</t>
  </si>
  <si>
    <t>2) Second, we estimated the daytime status (active-low-off) for PM enabled machine.</t>
  </si>
  <si>
    <t>3) Third, we estimated the daytime length in a week (hour/week).</t>
  </si>
  <si>
    <t>4) Finally, by combining 1), 2), 3), we got the usage for each type of equipment.</t>
  </si>
  <si>
    <t>Commercial &amp; Industrial (w/o PM)</t>
  </si>
  <si>
    <t>Commercial &amp; Industrial (PM)</t>
  </si>
  <si>
    <t>Commercial &amp; Industrial (PM+night-off)</t>
  </si>
  <si>
    <t>Residential (w/o PM)</t>
  </si>
  <si>
    <t>Residential (PM)</t>
  </si>
  <si>
    <t>Residential (PM+night-off)</t>
  </si>
  <si>
    <t>Koomey's Forecast(1995)</t>
  </si>
  <si>
    <t>Commercial (Energy Star PM)</t>
  </si>
  <si>
    <t>1) Commercial &amp; Industrial Usage</t>
  </si>
  <si>
    <t>We estimated the usage based on the following parameters.</t>
  </si>
  <si>
    <t xml:space="preserve">Night Status </t>
  </si>
  <si>
    <t>On</t>
  </si>
  <si>
    <t>Nordman (2000)</t>
  </si>
  <si>
    <t>Off</t>
  </si>
  <si>
    <t>Daytime Status for PM Enabled Machine</t>
  </si>
  <si>
    <t>Active</t>
  </si>
  <si>
    <t>Newsham (1994)</t>
  </si>
  <si>
    <t>Low</t>
  </si>
  <si>
    <t>Szydlowski (1994)</t>
  </si>
  <si>
    <t>Daytime Length</t>
  </si>
  <si>
    <t>hr/week</t>
  </si>
  <si>
    <t>Koomey (1995)</t>
  </si>
  <si>
    <t>2) Residential Usage</t>
  </si>
  <si>
    <t>Assumption</t>
  </si>
  <si>
    <t>CEMA (1999)</t>
  </si>
  <si>
    <t>1) Usage of Portable Computers</t>
  </si>
  <si>
    <t>We assumed that usage of portable computers is same as that of desktop computers except that portables are disconnected when not used.</t>
  </si>
  <si>
    <t>ACEEE 2000</t>
  </si>
  <si>
    <t>Server(w/o PM)</t>
  </si>
  <si>
    <t>Server(PM)</t>
  </si>
  <si>
    <t>Server(PM+night-off)</t>
  </si>
  <si>
    <t>1) Usage of Servers</t>
  </si>
  <si>
    <t>We estimated usage based on the following parameters.</t>
  </si>
  <si>
    <t>Night Status for PM enabled machine</t>
  </si>
  <si>
    <t>Daytime(Using Time) Status for PM enabled machine</t>
  </si>
  <si>
    <t>Minicomputer</t>
  </si>
  <si>
    <t>1) Usage of Mainframe and Minicomputers</t>
  </si>
  <si>
    <t xml:space="preserve">We assumed that usage of mainframes and minis is same as that in Koomey(1995). </t>
  </si>
  <si>
    <t>Commercial (Energy Star)</t>
  </si>
  <si>
    <t>1) Usage of Displays and Terminals.</t>
  </si>
  <si>
    <t>We assumed that usage of displays and terminals are same as that of desktop computers.</t>
  </si>
  <si>
    <t>Printer (Laser Printer/Inkjet Printer)</t>
  </si>
  <si>
    <t>Commercial &amp; Industrial Laser (w/o PM)</t>
  </si>
  <si>
    <t>Commercial &amp; Industrial Laser (PM)</t>
  </si>
  <si>
    <t>Commercial &amp; Industrial Laser (PM+Night Off)</t>
  </si>
  <si>
    <t>Residential Laser (w/o PM)</t>
  </si>
  <si>
    <t>Residential Laser (PM)</t>
  </si>
  <si>
    <t>Residential Laser (PM+Night Off)</t>
  </si>
  <si>
    <t>Commercial Inkjet</t>
  </si>
  <si>
    <t>3)</t>
  </si>
  <si>
    <t>Commercial Inkjet (Night Off)</t>
  </si>
  <si>
    <t>Residential Inkjet</t>
  </si>
  <si>
    <t>Residential Inkjet (Night Off)</t>
  </si>
  <si>
    <t xml:space="preserve">Commercial &amp; Industrial Laser </t>
  </si>
  <si>
    <t>Commercial &amp; Industrial Inkjet</t>
  </si>
  <si>
    <t xml:space="preserve">Residential Inkjet </t>
  </si>
  <si>
    <t>1) Commercial &amp; Industrial Usage of Laser Priinters</t>
  </si>
  <si>
    <t>Night Status (All Printers)</t>
  </si>
  <si>
    <t>Nordman's Survey (2000)</t>
  </si>
  <si>
    <t>Daytime Status for PM enabled machine</t>
  </si>
  <si>
    <t>Ready</t>
  </si>
  <si>
    <t>Brown's Survey (1999)</t>
  </si>
  <si>
    <t>2) Residential Usage of Laser Printers</t>
  </si>
  <si>
    <t>We estimated the usage based on the following parameters</t>
  </si>
  <si>
    <t>Night Status</t>
  </si>
  <si>
    <t>using time Status for PM Enabled Machine</t>
  </si>
  <si>
    <t>3) Commercial &amp; Industrial Usage of Inkjet Priinters</t>
  </si>
  <si>
    <t>We assumed that it is same as that of desktop/deskside.</t>
  </si>
  <si>
    <t>Daytime Status</t>
  </si>
  <si>
    <t>4) Residential Usage of Inkjet Printers</t>
  </si>
  <si>
    <t>Using time Status</t>
  </si>
  <si>
    <t>Commercial &amp; Industrial (Low-Power Enabled)</t>
  </si>
  <si>
    <t>Commercial &amp; Industrial (Low-Power &amp; Auto-Off Enabled)</t>
  </si>
  <si>
    <t>Residential (Low-Power Enabled)</t>
  </si>
  <si>
    <t>Residential (Low-Power &amp; Auto-Off Enabled)</t>
  </si>
  <si>
    <t>Energy Star</t>
  </si>
  <si>
    <t>We estimated the usage based on the following assumption.</t>
  </si>
  <si>
    <t>On or Auto-Off</t>
  </si>
  <si>
    <t>Nordman (1998)</t>
  </si>
  <si>
    <t>Manually Off</t>
  </si>
  <si>
    <t>Daytime Status for Low-Power Enabled Machine</t>
  </si>
  <si>
    <t>Low-power</t>
  </si>
  <si>
    <t xml:space="preserve">We assumed 17inch is the average width of screen and estimated power requirement for active mode based on the following study. </t>
  </si>
  <si>
    <t>Measured by Kawamoto</t>
  </si>
  <si>
    <t>17inch = 80-85W</t>
  </si>
  <si>
    <t>75-120W</t>
  </si>
  <si>
    <t>2) Power Requirement for Low-Power Mode of Display</t>
  </si>
  <si>
    <t xml:space="preserve">We estimated power requirement for low-power mode based on the following study. </t>
  </si>
  <si>
    <t>Average of all energy star compliant 17 inch CRT = 5W</t>
  </si>
  <si>
    <t xml:space="preserve">User Guide </t>
  </si>
  <si>
    <t>idle power = 5W</t>
  </si>
  <si>
    <t>3) Power Requirement for Off Mode of Display</t>
  </si>
  <si>
    <t>17inch = 0.3W</t>
  </si>
  <si>
    <t>4) Power Requirement for Active Mode of Terminal</t>
  </si>
  <si>
    <t>Because there are many 15inch or 14inch terminals and white &amp; black terminals, we assumed</t>
  </si>
  <si>
    <t>the average power requirement is same as that for 15 inch display, that is estimated as 75W.</t>
  </si>
  <si>
    <t>5) Power Requirement for Low-Power Mode of Terminal</t>
  </si>
  <si>
    <t>We assumed it is same as that for monitors, because Energy Star Standard for terminal is same as that for monitor.</t>
  </si>
  <si>
    <t>6) Power Requirement for Off Mode of Terminal.</t>
  </si>
  <si>
    <t xml:space="preserve">We assumed it is same as that for monitors. </t>
  </si>
  <si>
    <t>Printer (Laser, Inkjet)</t>
  </si>
  <si>
    <t>Active (W)</t>
  </si>
  <si>
    <t>Laser (&lt;8ppm)</t>
  </si>
  <si>
    <t>Laser ( 8-12ppm)</t>
  </si>
  <si>
    <t>Laser (&gt;12ppm)</t>
  </si>
  <si>
    <t>Residential Laser</t>
  </si>
  <si>
    <t>Industrial &amp; Commercial Laser</t>
  </si>
  <si>
    <t xml:space="preserve">1), 2), 3) </t>
  </si>
  <si>
    <t>Inkjet</t>
  </si>
  <si>
    <t>4), 5)</t>
  </si>
  <si>
    <t>Laser (traditional)</t>
  </si>
  <si>
    <t>Laser (Energy Star)</t>
  </si>
  <si>
    <t>Serial</t>
  </si>
  <si>
    <t>Laser</t>
  </si>
  <si>
    <t>1) Power Requirement for Active Mode of Laser Printers</t>
  </si>
  <si>
    <t xml:space="preserve">We estimated power requirement for active mode by weight averaging the following results of measurement. </t>
  </si>
  <si>
    <t>Measured by R.Brown(1999)</t>
  </si>
  <si>
    <t>Averate black &amp; white laser (6-10ppm) = 43W (N=3)</t>
  </si>
  <si>
    <t>Averate black &amp; white laser (16-18ppm) = 73W (N=8)</t>
  </si>
  <si>
    <t>Averate black &amp; white laser (24-32ppm) = 105W (N=4)</t>
  </si>
  <si>
    <t>2) Power Requirement for Low-Power Mode of Laser Printers</t>
  </si>
  <si>
    <t xml:space="preserve">We estimated power requirement for low-power mode by weight averaging the following results of measurement. </t>
  </si>
  <si>
    <t>Average of Energy Star compliant black white laser (&gt;=8ppm) = 25W</t>
  </si>
  <si>
    <t>Average of Energy Star compliant black &amp; white laser (&lt;8ppm) = 20W</t>
  </si>
  <si>
    <t>3) Power Requirement for Off Mode of Laser Printers</t>
  </si>
  <si>
    <t xml:space="preserve">We estimated power requirement for off mode based on the following study. </t>
  </si>
  <si>
    <t>Meyer&amp;Schaltegger(1999)</t>
  </si>
  <si>
    <t>Laser = 0.9W</t>
  </si>
  <si>
    <t>4) Power Requirement for Active Mode and Low-Power Mode of Inkjet Printers</t>
  </si>
  <si>
    <t xml:space="preserve">Because most Inkjet Printers do not have specific operating mode for low power, we assume low-power mode is same as ready mode </t>
  </si>
  <si>
    <t>and ignored low-power mode.</t>
  </si>
  <si>
    <t xml:space="preserve">We estimated power requirement for active mode based on following measurement. </t>
  </si>
  <si>
    <t>Average of Energy Star compliant inkjet printers = 17W</t>
  </si>
  <si>
    <t>5) Power Requirement for Off Mode of Inkjet Printers</t>
  </si>
  <si>
    <t>Inkjet = 2.8W</t>
  </si>
  <si>
    <t>ACEEE   2000</t>
  </si>
  <si>
    <t>Low Speed (&lt;=20cpm)</t>
  </si>
  <si>
    <t>Middle Speed(21-44cpm)</t>
  </si>
  <si>
    <t>High Speed(&gt;=45cpm)</t>
  </si>
  <si>
    <t>Commercial &amp; Industrial</t>
  </si>
  <si>
    <t>1), 2), 3).</t>
  </si>
  <si>
    <t xml:space="preserve">Koomey's Forecast(1995) </t>
  </si>
  <si>
    <t>Traditional</t>
  </si>
  <si>
    <t>Energy star</t>
  </si>
  <si>
    <t>&lt;=12cpm</t>
  </si>
  <si>
    <t>&lt;=30cpm</t>
  </si>
  <si>
    <t>&lt;=69cpm</t>
  </si>
  <si>
    <t>&gt;=70cpm</t>
  </si>
  <si>
    <t>1) Power Requirement for Ready Mode</t>
  </si>
  <si>
    <t>Nordman 1998</t>
  </si>
  <si>
    <t>Low=115, Middle=180, High=290 (N=37, 53, 40)</t>
  </si>
  <si>
    <t>2) Power Requirement for Low-Power Mode</t>
  </si>
  <si>
    <t>We estimated power requirement for low-power mode by weight averaging the following results of measurement.</t>
  </si>
  <si>
    <t>Middle=75, High97 (N=53, 40)</t>
  </si>
  <si>
    <t>Energy Star Tier2 Staudard</t>
  </si>
  <si>
    <t>Middle, High &lt;= 3.85W*cpm+5W, Low--NA   (Ex,  62W at 15cpm)</t>
  </si>
  <si>
    <t>3) Power Requirement for Off Mode</t>
  </si>
  <si>
    <t>We estimated power requirement for off mode by weight averaging the following results of measurement.</t>
  </si>
  <si>
    <t>Energy Star HomePage 2000</t>
  </si>
  <si>
    <t>Low=1.4 (N= 26), Mid=14.1(N=33), High=11.4(N=30)</t>
  </si>
  <si>
    <t>FAX</t>
  </si>
  <si>
    <t>Ready(W)</t>
  </si>
  <si>
    <t>for Home</t>
  </si>
  <si>
    <t>for Business</t>
  </si>
  <si>
    <t xml:space="preserve">Koomey Forecast (1995) </t>
  </si>
  <si>
    <t>traditional</t>
  </si>
  <si>
    <t>energy star</t>
  </si>
  <si>
    <t>Meyer (1999)</t>
  </si>
  <si>
    <t>Thermofax</t>
  </si>
  <si>
    <t>Ink-Jet Fax</t>
  </si>
  <si>
    <t>Laser Fax</t>
  </si>
  <si>
    <t>Energy Star Model for Commercial Use</t>
  </si>
  <si>
    <t>Meyer(1999)</t>
  </si>
  <si>
    <t>80486 Model</t>
  </si>
  <si>
    <t>Pentium2 Model</t>
  </si>
  <si>
    <t xml:space="preserve">We estimated power requirement for active mode based on the following measurement. </t>
  </si>
  <si>
    <t>IBM HomePage(2000)</t>
  </si>
  <si>
    <t>Average of IBM  Home PC(desktop/deskside 1999model) = 50W</t>
  </si>
  <si>
    <t>Average of IBM  Business PC(desktop/deskside 1999model) = 66W</t>
  </si>
  <si>
    <t>Measured by Nordman(1999)</t>
  </si>
  <si>
    <t>Mac=47W, Pentium PC=54W, pre-Pentium PC=50W (total N = 8)</t>
  </si>
  <si>
    <t>2) Power Requirement for Low-Power Mode of Desktop Computers</t>
  </si>
  <si>
    <t>We estimated power requirement for low-power mode based on the following measurement.</t>
  </si>
  <si>
    <t>Average of IBM PC(desktop/deskside 1999model) = 23W</t>
  </si>
  <si>
    <t>Energy Star HomePage(2000)</t>
  </si>
  <si>
    <t>Average of all new Energy Star compliant desktop/deskside computers = 25W</t>
  </si>
  <si>
    <t>3) Power Requirement for Off-Mode of Desktop Computers</t>
  </si>
  <si>
    <t>We estimated power requirement for off mode based on the following measurement.</t>
  </si>
  <si>
    <t>Measured by Kawamoto(2000)</t>
  </si>
  <si>
    <t>Mac = 2-3W, PC &lt; 1W</t>
  </si>
  <si>
    <t>4)Power Requirement for Server</t>
  </si>
  <si>
    <t>Some servers comsume much more than 100W, but they are high-end machines.</t>
  </si>
  <si>
    <t>We assumed average power requirement for multi CPU servers and single CPU servers are 100W and 50W respectively.</t>
  </si>
  <si>
    <t>Finally we estimated average power requirement for all servers as 75W.</t>
  </si>
  <si>
    <t>We assumed power requiremet for low-power and off mode as same as that of desktop computers.</t>
  </si>
  <si>
    <t>Dell 2300 (2 CPU) = 114W, Dell PowerEdge 6350 (4CPU) = 270W</t>
  </si>
  <si>
    <t>5) Power Requirement for Active Mode of Portable Computers</t>
  </si>
  <si>
    <t>We estimated power requirement for active mode based on the following measurement.</t>
  </si>
  <si>
    <t>12-18W</t>
  </si>
  <si>
    <t xml:space="preserve">Mac = 15W, PC = 22W </t>
  </si>
  <si>
    <t>Norford(????)</t>
  </si>
  <si>
    <t>6-12W, Average = 10W</t>
  </si>
  <si>
    <t>User Guide</t>
  </si>
  <si>
    <t>15W</t>
  </si>
  <si>
    <t>6) Power Requirement for Low-Power Mode of Portable</t>
  </si>
  <si>
    <t>1.5-6W (buttery is fully charged)</t>
  </si>
  <si>
    <t>3W</t>
  </si>
  <si>
    <t>7) Power Requirement for Off Mode of Portable</t>
  </si>
  <si>
    <t>1.5-2W (buttery is fully charged)</t>
  </si>
  <si>
    <t>Mainframe/Minicomputer</t>
  </si>
  <si>
    <t>Mainframe (Including Peripherals)</t>
  </si>
  <si>
    <t>1)</t>
  </si>
  <si>
    <t>Mini (Including Peripherals)</t>
  </si>
  <si>
    <t>2)</t>
  </si>
  <si>
    <t>1) Power Requrement for Mainframe</t>
  </si>
  <si>
    <t>We considerered S/390 Multiprise 2000(1998) as a representative mainframe over the past 4 years.</t>
  </si>
  <si>
    <t>The price of Multiprise2000 is close to the average price of mainframe.</t>
  </si>
  <si>
    <t>This model includes not only CPU but also discs and power requirement is estimated as 2.0kW</t>
  </si>
  <si>
    <t>Assuming power requirement for peripherals like tapes as 2.0kW, total power requrement is estimated to be 4.0kW.</t>
  </si>
  <si>
    <t>On the ohter hand, average power requirement of the stock which are shipped from  1991 to 1995 is estimated as 13.3kW based on Koomey et al. (1995).</t>
  </si>
  <si>
    <t>Finally, by weight-averaging both of the power requirements, average power requirement of all the stock is estimated as 10kW, which is coincidently same as that of Koomey et al. (1995)</t>
  </si>
  <si>
    <t>We assumed the power requirement for low-power is same as that of Koomey (1995).</t>
  </si>
  <si>
    <t>We estimated the power requirement for off as 0 W, because it accounts for diversity of use.</t>
  </si>
  <si>
    <t xml:space="preserve">2) Power Requirement for Mini </t>
  </si>
  <si>
    <t>We considered AS/400 of IBM as a representative minicomputer.</t>
  </si>
  <si>
    <t>According to IBM (1999), the avarage power requirement of AS/400 shipped from 1994 to1997 is about 500W.</t>
  </si>
  <si>
    <t>Considering the power requirement for pepripherals like tapes, we estimated the total power requirement as 1000 W.</t>
  </si>
  <si>
    <t>We assumed the power requirement for low-power is half of active power.</t>
  </si>
  <si>
    <t>We estimated the power requirement for off as 0W, because it accounts for diversity of use.</t>
  </si>
  <si>
    <t>Display/Terminal</t>
  </si>
  <si>
    <t>4), 5), 6)</t>
  </si>
  <si>
    <t xml:space="preserve">Koomey's Forecast (1995) </t>
  </si>
  <si>
    <t>Traditional Display/Terminal</t>
  </si>
  <si>
    <t>Energy Star Display/Terminal</t>
  </si>
  <si>
    <t>17inch Display</t>
  </si>
  <si>
    <t>4.3?</t>
  </si>
  <si>
    <t>1) Power Requirement for Active Mode of Display</t>
  </si>
  <si>
    <t>4. Fourth, we assumed the stock of displays is same as that of desktop computers.</t>
  </si>
  <si>
    <t>5. Finally, we devided non-residential stock into commercial and industrial stock based on the commercial to industrial ratio.</t>
  </si>
  <si>
    <t>Total Stock</t>
  </si>
  <si>
    <t>Residential</t>
  </si>
  <si>
    <t>Commercial</t>
  </si>
  <si>
    <t>Industrial</t>
  </si>
  <si>
    <t>Non-Residential       Commercial &amp; Industrial</t>
  </si>
  <si>
    <t>Desktop Computer</t>
  </si>
  <si>
    <t>Serve</t>
  </si>
  <si>
    <t>Laser Printer (with Multi)</t>
  </si>
  <si>
    <t>Inkjet Printer (with Multi)</t>
  </si>
  <si>
    <t>Copier (with Multi)</t>
  </si>
  <si>
    <t>Residential Stock (Thousands)</t>
  </si>
  <si>
    <t>CEMA(1999, N=1000) says 47.5% of households have at least one desktop computer and 5.7 of households have more than one desktop computer.</t>
  </si>
  <si>
    <t>CEMA(1999, N=1000) says 14.4% of households have at least one portable computer and 1.3 of households have more than one portable computer.</t>
  </si>
  <si>
    <t>Forrester Research says 52 million households have at least one computer.</t>
  </si>
  <si>
    <t>CEMA's results are a little higher than Forrester Research.</t>
  </si>
  <si>
    <t>Because only CEMA separates stock of portable computers from that of desktop, we adopted CEMA's data.</t>
  </si>
  <si>
    <t xml:space="preserve">We estimated average unit of desktop computer per each household as 0.532 by adding 5.7% to 47.5%. </t>
  </si>
  <si>
    <t xml:space="preserve">We evarage average unit of portable computer per each household as 0.157 by adding 1.3% to 14.4%. </t>
  </si>
  <si>
    <t>We then estimated the residential stock by multiplying the # of households (=102500thousands) by average units per household.</t>
  </si>
  <si>
    <t>CEMA(1998) says 16% of households have laser printers. RECS(1997, N=8000) says 12,600 thousands households have laser printers.</t>
  </si>
  <si>
    <t>Because both of the estimates account for more than half of the total stock of laser printers, we believe this result is unrealistic.</t>
  </si>
  <si>
    <t>We concluded that such inaccuracies are caused by the tendency for people to mistake inkjet printers for laser printers.</t>
  </si>
  <si>
    <t>By assuming half of the people made such mistames, we estimated the residential stock as 6,300.</t>
  </si>
  <si>
    <t>Inkjet Printer</t>
  </si>
  <si>
    <t>Assuming 80% of computers at home (not # of computer holding households) have printers, we estimated the residential stock of printers as 56,500.</t>
  </si>
  <si>
    <t>By subtracting the stock of laser printers from the stock of printers, we estimated the stock of inkjet printers as 50,200.</t>
  </si>
  <si>
    <t>RECS (1997, N=8000) says 3,800 households have copiers. We assumed all the residential  copiers are slow speed model.</t>
  </si>
  <si>
    <t>RECS (1997, N=8000) says 6,300 households have faxes.</t>
  </si>
  <si>
    <t>Stock (Thousands)</t>
  </si>
  <si>
    <t>Stock of Servers</t>
  </si>
  <si>
    <t xml:space="preserve">By assuming total stock of servers, minicomputers and mainframes is 10% of commercial &amp; industrial stock of desktop computers, </t>
  </si>
  <si>
    <t xml:space="preserve">total stock of servers, minicomputers,  and mainframes is estimated as 5800. </t>
  </si>
  <si>
    <t>By subtracting the stock of minicomputers and mainframes from the total stock of minicomputers, mainframes, and servers, the stock of servers is estimtated as 3300.</t>
  </si>
  <si>
    <t>Stock of Desktop/Deskside for Commercial and Industrial</t>
  </si>
  <si>
    <t>By subtracting the stock of servers from the commercial &amp; industrial stock of desktop and server computersat, the commercial &amp; industrial stock of desktop computers is estimated.</t>
  </si>
  <si>
    <t>Ratio of Commercial Stock to Industrial Stock</t>
  </si>
  <si>
    <t xml:space="preserve">MECS says industrial conditioned floor space is 8.4bsfs.  </t>
  </si>
  <si>
    <t>Desktop/Deskside Client Computer</t>
  </si>
  <si>
    <t>CBECS says commercial floor space is about 60bsf.</t>
  </si>
  <si>
    <t>We estimated the floor space ratio between industrial and comercial as 1 : 7.</t>
  </si>
  <si>
    <t>Monitor</t>
  </si>
  <si>
    <t>We assumed same ratio as that in Koomey1995.</t>
  </si>
  <si>
    <t>Average Power Requirement for 1999 stock</t>
  </si>
  <si>
    <t>Equipment Type</t>
  </si>
  <si>
    <t>Active(W)</t>
  </si>
  <si>
    <t>Low-Power(W)</t>
  </si>
  <si>
    <t>Off(W)</t>
  </si>
  <si>
    <t>Current Estimate</t>
  </si>
  <si>
    <t xml:space="preserve">Commercial &amp; Industrial Desktop </t>
  </si>
  <si>
    <t>1), 2), 3)</t>
  </si>
  <si>
    <t xml:space="preserve">Residential Desktop </t>
  </si>
  <si>
    <t>4)</t>
  </si>
  <si>
    <t>5), 6), 7)</t>
  </si>
  <si>
    <t>Koomey's Forecast (1995)</t>
  </si>
  <si>
    <t>Traditional Model for Commercial Use</t>
  </si>
  <si>
    <t>Lifetime (year)</t>
  </si>
  <si>
    <t>Lifetime is identical to that in Koomey 1995.</t>
  </si>
  <si>
    <t>Equipment</t>
  </si>
  <si>
    <t>Koomey 1995</t>
  </si>
  <si>
    <t>Notes</t>
  </si>
  <si>
    <t>Desktop/Deskside Computer</t>
  </si>
  <si>
    <t>Internal Revenue Service's Depreciation Tables</t>
  </si>
  <si>
    <t>Portable Computer</t>
  </si>
  <si>
    <t>Server Computer</t>
  </si>
  <si>
    <t>Mini Computer</t>
  </si>
  <si>
    <t>Consistent with ITI</t>
  </si>
  <si>
    <t>Mainframe Computer</t>
  </si>
  <si>
    <t>Laser Printer</t>
  </si>
  <si>
    <t>Inkjet/Dotmatrix Printer</t>
  </si>
  <si>
    <t>Copier</t>
  </si>
  <si>
    <t>Fax Machine</t>
  </si>
  <si>
    <t>Data Source</t>
  </si>
  <si>
    <t>Appliance</t>
  </si>
  <si>
    <t>Average</t>
  </si>
  <si>
    <t>Appliance Magazine</t>
  </si>
  <si>
    <t xml:space="preserve">Desktop </t>
  </si>
  <si>
    <t>*life time of first owner</t>
  </si>
  <si>
    <t>Portable</t>
  </si>
  <si>
    <t>Fax</t>
  </si>
  <si>
    <t>PC CPUs</t>
  </si>
  <si>
    <t>Display</t>
  </si>
  <si>
    <t>Laser Printers</t>
  </si>
  <si>
    <t>Serial Printers</t>
  </si>
  <si>
    <t>ITI</t>
  </si>
  <si>
    <t>Mini</t>
  </si>
  <si>
    <t>Mainframe</t>
  </si>
  <si>
    <t>Nikkei Market Access</t>
  </si>
  <si>
    <t>6--7</t>
  </si>
  <si>
    <t>Sales (Thousands)</t>
  </si>
  <si>
    <t>Lifetime</t>
  </si>
  <si>
    <t>1999(1)</t>
  </si>
  <si>
    <t>stock</t>
  </si>
  <si>
    <t>Desktop, Portable, and Server Computer</t>
  </si>
  <si>
    <t>1994-1998</t>
  </si>
  <si>
    <t>1995-1998</t>
  </si>
  <si>
    <t>1996-1998</t>
  </si>
  <si>
    <t>1997-1998</t>
  </si>
  <si>
    <t xml:space="preserve"> </t>
  </si>
  <si>
    <t>Annual Growth</t>
  </si>
  <si>
    <t>(1) Assuming 15% growth from 1998</t>
  </si>
  <si>
    <t>1999(2)</t>
  </si>
  <si>
    <t>Stock</t>
  </si>
  <si>
    <t>(Notebook)</t>
  </si>
  <si>
    <t>(Subnotebook)</t>
  </si>
  <si>
    <t>(2)Assuming 10% growth from 1998</t>
  </si>
  <si>
    <t>Desktop and Server Computer</t>
  </si>
  <si>
    <t>Estimate (3)</t>
  </si>
  <si>
    <t>(3) Subtracting the sales of portable from the total sales of desktop, portable, and server computers</t>
  </si>
  <si>
    <t>1999(4)</t>
  </si>
  <si>
    <t>(4)Assuming 0% growth from 1998</t>
  </si>
  <si>
    <t>ITI/Appliance</t>
  </si>
  <si>
    <t>Terminal</t>
  </si>
  <si>
    <t>ITI Databook</t>
  </si>
  <si>
    <t>Laser Printer (Single-Function)</t>
  </si>
  <si>
    <t xml:space="preserve"> &lt;8ppm</t>
  </si>
  <si>
    <t xml:space="preserve"> 8-12ppm</t>
  </si>
  <si>
    <t>&gt;12ppm</t>
  </si>
  <si>
    <t>Estimate(5)</t>
  </si>
  <si>
    <t>(5) Subtracting sales of Laser(&lt;12ppm) from total sales of Laser</t>
  </si>
  <si>
    <t>Laser Printer (Multi-Function)</t>
  </si>
  <si>
    <t>Lyra</t>
  </si>
  <si>
    <t>Laser Printer (Single &amp; Multi-Function)</t>
  </si>
  <si>
    <t>Estimate (6)</t>
  </si>
  <si>
    <t xml:space="preserve"> &lt;8pp</t>
  </si>
  <si>
    <t xml:space="preserve"> &gt;12ppm</t>
  </si>
  <si>
    <t>(6) Allocating the sales of multi-function laser printers to each class of single-function laser printers besed on the ratio of single-function's sales.</t>
  </si>
  <si>
    <t>Inkjet Printer (Single-Function)</t>
  </si>
  <si>
    <t>Dotmatrix Printer (Single-Functioni)</t>
  </si>
  <si>
    <t>Inkjet/Dotmatrix (Single-Function)</t>
  </si>
  <si>
    <t>Estimate(7)</t>
  </si>
  <si>
    <t>(7) Add sales of Dotmatrix to that of Inkjet.</t>
  </si>
  <si>
    <t>Inkjet/Dotmatrix Printer (Multi-Function)</t>
  </si>
  <si>
    <t>Inkjet/Dotmatrix Printer (Single &amp; Multi-Function)</t>
  </si>
  <si>
    <t>Estimate (8)</t>
  </si>
  <si>
    <t>(8) Add sales of multi-function to single-function</t>
  </si>
  <si>
    <t>Copier(Single-Function)</t>
  </si>
  <si>
    <t>ITI /Appliance</t>
  </si>
  <si>
    <t>Total</t>
  </si>
  <si>
    <t>Percentage</t>
  </si>
  <si>
    <t>Copier (0-20ppm)</t>
  </si>
  <si>
    <t>CCAP (Estimate)</t>
  </si>
  <si>
    <t>Copier (20-44ppm)</t>
  </si>
  <si>
    <t>Copier (45ppm-)</t>
  </si>
  <si>
    <t>Share of Low-Speed Copier (-19ppm)</t>
  </si>
  <si>
    <t>Share of Mid-Speed Copier (20-44ppm)</t>
  </si>
  <si>
    <t>Share of High-Speed Copier (45ppm-)</t>
  </si>
  <si>
    <t>1998(9)</t>
  </si>
  <si>
    <t>1999(10)</t>
  </si>
  <si>
    <t>Multifunction Devices</t>
  </si>
  <si>
    <t>(9)Assuming 20% growth from 1997.</t>
  </si>
  <si>
    <t>(10)Assuming 20% growth from 1998.</t>
  </si>
  <si>
    <t>Copier (Multi-Function)</t>
  </si>
  <si>
    <t>Estimate(11)</t>
  </si>
  <si>
    <t>(11) The sales of mutlfucntion copiers are estimated by multiplying the sales of multifunction devices by the ratio of copier sales to the total sales of copier and printer.</t>
  </si>
  <si>
    <t>Estimate (12)</t>
  </si>
  <si>
    <t>0-20ppm</t>
  </si>
  <si>
    <t>Estimate</t>
  </si>
  <si>
    <t>21-44ppm</t>
  </si>
  <si>
    <t>45ppm-</t>
  </si>
  <si>
    <t>1999(13)</t>
  </si>
  <si>
    <t>Fax Machine(w/o multi)</t>
  </si>
  <si>
    <t>Annual rowth</t>
  </si>
  <si>
    <t>(11) Assuming 10% growth from 1998.</t>
  </si>
  <si>
    <t>(13) Assuming 10% growth from 1998.</t>
  </si>
  <si>
    <t>Server</t>
  </si>
  <si>
    <t>Residential, Comercial, and Industrial Stock in 1999</t>
  </si>
  <si>
    <t xml:space="preserve">1. First, we estimated the residential stock based on survey data. </t>
  </si>
  <si>
    <t>2. Second, we calculated non-residential stock (i.e. commercial &amp; industrial stock) by subtracting the residential stock from the total stock.</t>
  </si>
  <si>
    <t>3. Third, we separated the non-residential stock of server computers from that of desktop computers.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</si>
</sst>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%"/>
    <numFmt numFmtId="191" formatCode="0.00000000"/>
    <numFmt numFmtId="192" formatCode="#,##0.0;[Red]\-#,##0.0"/>
    <numFmt numFmtId="193" formatCode="0.000%"/>
    <numFmt numFmtId="194" formatCode="0_);[Red]\(0\)"/>
    <numFmt numFmtId="195" formatCode="0.0_);[Red]\(0.0\)"/>
    <numFmt numFmtId="196" formatCode="0_ "/>
    <numFmt numFmtId="197" formatCode="0.00_);[Red]\(0.00\)"/>
    <numFmt numFmtId="198" formatCode="0.0E+00"/>
    <numFmt numFmtId="199" formatCode="0E+00"/>
    <numFmt numFmtId="200" formatCode="0.000E+00"/>
    <numFmt numFmtId="201" formatCode="0.0000E+00"/>
    <numFmt numFmtId="202" formatCode="0.00000E+00"/>
    <numFmt numFmtId="203" formatCode="#,##0.000;[Red]\-#,##0.000"/>
    <numFmt numFmtId="204" formatCode="0.0000%"/>
    <numFmt numFmtId="205" formatCode="0.00000%"/>
    <numFmt numFmtId="206" formatCode="#,##0.0000;[Red]\-#,##0.0000"/>
    <numFmt numFmtId="207" formatCode="#,##0.00000;[Red]\-#,##0.00000"/>
  </numFmts>
  <fonts count="16">
    <font>
      <sz val="11"/>
      <name val="ÇlÇr Ço_x0000_"/>
      <family val="0"/>
    </font>
    <font>
      <b/>
      <sz val="11"/>
      <name val="ÇlÇr Ço_x0000_"/>
      <family val="0"/>
    </font>
    <font>
      <i/>
      <sz val="11"/>
      <name val="ÇlÇr Ço_x0000_"/>
      <family val="0"/>
    </font>
    <font>
      <b/>
      <i/>
      <sz val="11"/>
      <name val="ÇlÇr Ço_x0000_"/>
      <family val="0"/>
    </font>
    <font>
      <b/>
      <sz val="16"/>
      <name val="ÇlÇr Ço_x0000_"/>
      <family val="0"/>
    </font>
    <font>
      <b/>
      <sz val="10"/>
      <name val="ÇlÇr Ço_x0000_"/>
      <family val="3"/>
    </font>
    <font>
      <b/>
      <u val="single"/>
      <sz val="11"/>
      <name val="ÇlÇr Ço_x0000_"/>
      <family val="3"/>
    </font>
    <font>
      <b/>
      <u val="single"/>
      <sz val="14"/>
      <name val="ÇlÇr Ço_x0000_"/>
      <family val="3"/>
    </font>
    <font>
      <u val="single"/>
      <sz val="11"/>
      <name val="ÇlÇr Ço_x0000_"/>
      <family val="0"/>
    </font>
    <font>
      <sz val="12"/>
      <name val="ÇlÇr Ço_x0000_"/>
      <family val="0"/>
    </font>
    <font>
      <b/>
      <u val="single"/>
      <sz val="12"/>
      <name val="ÇlÇr Ço_x0000_"/>
      <family val="0"/>
    </font>
    <font>
      <sz val="11"/>
      <color indexed="12"/>
      <name val="ÇlÇr Ço_x0000_"/>
      <family val="0"/>
    </font>
    <font>
      <b/>
      <sz val="11"/>
      <color indexed="12"/>
      <name val="ÇlÇr Ço_x0000_"/>
      <family val="0"/>
    </font>
    <font>
      <sz val="10"/>
      <name val="ÇlÇr Ço_x0000_"/>
      <family val="0"/>
    </font>
    <font>
      <sz val="11"/>
      <color indexed="8"/>
      <name val="ÇlÇr Ço_x0000_"/>
      <family val="0"/>
    </font>
    <font>
      <b/>
      <i/>
      <sz val="11"/>
      <color indexed="12"/>
      <name val="ÇlÇr Ço_x0000_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3">
    <xf numFmtId="0" fontId="0" fillId="0" borderId="0" xfId="0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84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2" borderId="2" xfId="0" applyFill="1" applyBorder="1" applyAlignment="1">
      <alignment/>
    </xf>
    <xf numFmtId="1" fontId="0" fillId="2" borderId="2" xfId="0" applyNumberFormat="1" applyFill="1" applyBorder="1" applyAlignment="1">
      <alignment/>
    </xf>
    <xf numFmtId="1" fontId="0" fillId="2" borderId="16" xfId="0" applyNumberFormat="1" applyFill="1" applyBorder="1" applyAlignment="1">
      <alignment/>
    </xf>
    <xf numFmtId="38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 horizontal="right"/>
    </xf>
    <xf numFmtId="38" fontId="0" fillId="0" borderId="13" xfId="0" applyNumberFormat="1" applyBorder="1" applyAlignment="1">
      <alignment/>
    </xf>
    <xf numFmtId="0" fontId="0" fillId="0" borderId="0" xfId="16" applyNumberFormat="1" applyFont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9" fontId="0" fillId="0" borderId="13" xfId="0" applyNumberFormat="1" applyBorder="1" applyAlignment="1">
      <alignment/>
    </xf>
    <xf numFmtId="49" fontId="0" fillId="0" borderId="13" xfId="0" applyNumberFormat="1" applyBorder="1" applyAlignment="1">
      <alignment horizontal="right"/>
    </xf>
    <xf numFmtId="9" fontId="0" fillId="0" borderId="5" xfId="0" applyNumberFormat="1" applyBorder="1" applyAlignment="1">
      <alignment/>
    </xf>
    <xf numFmtId="0" fontId="6" fillId="0" borderId="0" xfId="0" applyFont="1" applyAlignment="1">
      <alignment/>
    </xf>
    <xf numFmtId="0" fontId="0" fillId="0" borderId="22" xfId="0" applyBorder="1" applyAlignment="1">
      <alignment wrapText="1"/>
    </xf>
    <xf numFmtId="1" fontId="0" fillId="0" borderId="23" xfId="0" applyNumberFormat="1" applyBorder="1" applyAlignment="1">
      <alignment/>
    </xf>
    <xf numFmtId="0" fontId="1" fillId="0" borderId="22" xfId="0" applyFont="1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38" fontId="0" fillId="0" borderId="24" xfId="16" applyFont="1" applyBorder="1" applyAlignment="1">
      <alignment horizontal="center"/>
    </xf>
    <xf numFmtId="38" fontId="0" fillId="0" borderId="5" xfId="16" applyFont="1" applyBorder="1" applyAlignment="1">
      <alignment horizontal="center"/>
    </xf>
    <xf numFmtId="38" fontId="0" fillId="0" borderId="17" xfId="16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4" xfId="0" applyBorder="1" applyAlignment="1">
      <alignment horizontal="left"/>
    </xf>
    <xf numFmtId="0" fontId="0" fillId="0" borderId="26" xfId="0" applyBorder="1" applyAlignment="1">
      <alignment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left"/>
    </xf>
    <xf numFmtId="0" fontId="1" fillId="2" borderId="5" xfId="0" applyFont="1" applyFill="1" applyBorder="1" applyAlignment="1">
      <alignment/>
    </xf>
    <xf numFmtId="0" fontId="0" fillId="0" borderId="28" xfId="0" applyBorder="1" applyAlignment="1">
      <alignment/>
    </xf>
    <xf numFmtId="0" fontId="0" fillId="2" borderId="5" xfId="0" applyFill="1" applyBorder="1" applyAlignment="1">
      <alignment/>
    </xf>
    <xf numFmtId="0" fontId="0" fillId="0" borderId="14" xfId="0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1" fillId="0" borderId="30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0" fillId="0" borderId="20" xfId="0" applyBorder="1" applyAlignment="1">
      <alignment/>
    </xf>
    <xf numFmtId="0" fontId="1" fillId="0" borderId="23" xfId="0" applyFont="1" applyBorder="1" applyAlignment="1">
      <alignment/>
    </xf>
    <xf numFmtId="0" fontId="0" fillId="0" borderId="8" xfId="0" applyBorder="1" applyAlignment="1">
      <alignment/>
    </xf>
    <xf numFmtId="0" fontId="0" fillId="0" borderId="23" xfId="0" applyBorder="1" applyAlignment="1">
      <alignment/>
    </xf>
    <xf numFmtId="9" fontId="0" fillId="0" borderId="17" xfId="0" applyNumberFormat="1" applyBorder="1" applyAlignment="1">
      <alignment/>
    </xf>
    <xf numFmtId="9" fontId="0" fillId="0" borderId="4" xfId="0" applyNumberFormat="1" applyBorder="1" applyAlignment="1">
      <alignment/>
    </xf>
    <xf numFmtId="0" fontId="0" fillId="0" borderId="33" xfId="0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34" xfId="0" applyBorder="1" applyAlignment="1">
      <alignment/>
    </xf>
    <xf numFmtId="0" fontId="0" fillId="0" borderId="2" xfId="0" applyBorder="1" applyAlignment="1">
      <alignment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5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0" xfId="0" applyFont="1" applyBorder="1" applyAlignment="1">
      <alignment/>
    </xf>
    <xf numFmtId="38" fontId="0" fillId="0" borderId="0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1" fillId="0" borderId="37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31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1" fillId="0" borderId="21" xfId="0" applyFont="1" applyBorder="1" applyAlignment="1">
      <alignment/>
    </xf>
    <xf numFmtId="49" fontId="0" fillId="0" borderId="38" xfId="0" applyNumberFormat="1" applyBorder="1" applyAlignment="1">
      <alignment/>
    </xf>
    <xf numFmtId="192" fontId="0" fillId="0" borderId="0" xfId="0" applyNumberFormat="1" applyAlignment="1">
      <alignment/>
    </xf>
    <xf numFmtId="192" fontId="2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38" fontId="0" fillId="2" borderId="24" xfId="16" applyFont="1" applyFill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37" xfId="0" applyBorder="1" applyAlignment="1">
      <alignment wrapText="1"/>
    </xf>
    <xf numFmtId="0" fontId="0" fillId="0" borderId="38" xfId="0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2" xfId="0" applyBorder="1" applyAlignment="1">
      <alignment horizontal="right"/>
    </xf>
    <xf numFmtId="14" fontId="0" fillId="0" borderId="2" xfId="0" applyNumberFormat="1" applyBorder="1" applyAlignment="1">
      <alignment horizontal="right"/>
    </xf>
    <xf numFmtId="0" fontId="0" fillId="0" borderId="39" xfId="0" applyBorder="1" applyAlignment="1">
      <alignment/>
    </xf>
    <xf numFmtId="0" fontId="0" fillId="0" borderId="14" xfId="0" applyBorder="1" applyAlignment="1">
      <alignment horizontal="center"/>
    </xf>
    <xf numFmtId="38" fontId="1" fillId="0" borderId="0" xfId="0" applyNumberFormat="1" applyFont="1" applyBorder="1" applyAlignment="1">
      <alignment/>
    </xf>
    <xf numFmtId="9" fontId="0" fillId="0" borderId="0" xfId="19" applyBorder="1" applyAlignment="1">
      <alignment/>
    </xf>
    <xf numFmtId="9" fontId="0" fillId="0" borderId="0" xfId="19" applyFont="1" applyBorder="1" applyAlignment="1">
      <alignment/>
    </xf>
    <xf numFmtId="38" fontId="0" fillId="0" borderId="29" xfId="0" applyNumberFormat="1" applyBorder="1" applyAlignment="1">
      <alignment/>
    </xf>
    <xf numFmtId="0" fontId="0" fillId="0" borderId="16" xfId="0" applyBorder="1" applyAlignment="1">
      <alignment horizontal="left"/>
    </xf>
    <xf numFmtId="0" fontId="0" fillId="0" borderId="40" xfId="0" applyBorder="1" applyAlignment="1">
      <alignment/>
    </xf>
    <xf numFmtId="38" fontId="0" fillId="0" borderId="35" xfId="16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36" xfId="0" applyBorder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90" fontId="0" fillId="0" borderId="0" xfId="0" applyNumberFormat="1" applyBorder="1" applyAlignment="1">
      <alignment/>
    </xf>
    <xf numFmtId="2" fontId="1" fillId="0" borderId="0" xfId="19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11" fillId="0" borderId="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2" fontId="0" fillId="0" borderId="0" xfId="19" applyNumberFormat="1" applyBorder="1" applyAlignment="1">
      <alignment/>
    </xf>
    <xf numFmtId="0" fontId="0" fillId="0" borderId="0" xfId="0" applyFont="1" applyBorder="1" applyAlignment="1">
      <alignment/>
    </xf>
    <xf numFmtId="2" fontId="0" fillId="0" borderId="0" xfId="19" applyNumberFormat="1" applyFont="1" applyBorder="1" applyAlignment="1">
      <alignment/>
    </xf>
    <xf numFmtId="38" fontId="0" fillId="0" borderId="0" xfId="16" applyBorder="1" applyAlignment="1">
      <alignment/>
    </xf>
    <xf numFmtId="38" fontId="12" fillId="0" borderId="0" xfId="16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41" xfId="0" applyBorder="1" applyAlignment="1">
      <alignment/>
    </xf>
    <xf numFmtId="190" fontId="0" fillId="0" borderId="41" xfId="0" applyNumberFormat="1" applyBorder="1" applyAlignment="1">
      <alignment/>
    </xf>
    <xf numFmtId="2" fontId="1" fillId="0" borderId="41" xfId="19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38" fontId="1" fillId="0" borderId="43" xfId="16" applyFont="1" applyBorder="1" applyAlignment="1">
      <alignment/>
    </xf>
    <xf numFmtId="38" fontId="1" fillId="0" borderId="36" xfId="0" applyNumberFormat="1" applyFont="1" applyBorder="1" applyAlignment="1">
      <alignment/>
    </xf>
    <xf numFmtId="9" fontId="1" fillId="0" borderId="36" xfId="19" applyFont="1" applyBorder="1" applyAlignment="1">
      <alignment/>
    </xf>
    <xf numFmtId="0" fontId="0" fillId="0" borderId="44" xfId="0" applyBorder="1" applyAlignment="1">
      <alignment/>
    </xf>
    <xf numFmtId="0" fontId="0" fillId="0" borderId="40" xfId="0" applyBorder="1" applyAlignment="1">
      <alignment/>
    </xf>
    <xf numFmtId="2" fontId="0" fillId="0" borderId="41" xfId="19" applyNumberFormat="1" applyFont="1" applyBorder="1" applyAlignment="1">
      <alignment/>
    </xf>
    <xf numFmtId="2" fontId="0" fillId="0" borderId="36" xfId="19" applyNumberFormat="1" applyFont="1" applyBorder="1" applyAlignment="1">
      <alignment/>
    </xf>
    <xf numFmtId="38" fontId="0" fillId="0" borderId="12" xfId="16" applyFont="1" applyBorder="1" applyAlignment="1">
      <alignment/>
    </xf>
    <xf numFmtId="38" fontId="0" fillId="0" borderId="8" xfId="0" applyNumberFormat="1" applyBorder="1" applyAlignment="1">
      <alignment/>
    </xf>
    <xf numFmtId="9" fontId="0" fillId="0" borderId="8" xfId="19" applyBorder="1" applyAlignment="1">
      <alignment/>
    </xf>
    <xf numFmtId="38" fontId="12" fillId="0" borderId="32" xfId="16" applyFont="1" applyFill="1" applyBorder="1" applyAlignment="1">
      <alignment/>
    </xf>
    <xf numFmtId="38" fontId="1" fillId="0" borderId="34" xfId="16" applyFont="1" applyFill="1" applyBorder="1" applyAlignment="1">
      <alignment/>
    </xf>
    <xf numFmtId="38" fontId="0" fillId="0" borderId="33" xfId="16" applyFont="1" applyFill="1" applyBorder="1" applyAlignment="1">
      <alignment/>
    </xf>
    <xf numFmtId="0" fontId="0" fillId="0" borderId="34" xfId="0" applyFill="1" applyBorder="1" applyAlignment="1">
      <alignment/>
    </xf>
    <xf numFmtId="38" fontId="12" fillId="0" borderId="2" xfId="16" applyFont="1" applyFill="1" applyBorder="1" applyAlignment="1">
      <alignment/>
    </xf>
    <xf numFmtId="0" fontId="0" fillId="0" borderId="8" xfId="0" applyBorder="1" applyAlignment="1">
      <alignment wrapText="1"/>
    </xf>
    <xf numFmtId="38" fontId="1" fillId="0" borderId="33" xfId="16" applyFont="1" applyFill="1" applyBorder="1" applyAlignment="1">
      <alignment/>
    </xf>
    <xf numFmtId="9" fontId="12" fillId="0" borderId="2" xfId="0" applyNumberFormat="1" applyFont="1" applyFill="1" applyBorder="1" applyAlignment="1">
      <alignment/>
    </xf>
    <xf numFmtId="0" fontId="0" fillId="0" borderId="40" xfId="0" applyBorder="1" applyAlignment="1">
      <alignment wrapText="1"/>
    </xf>
    <xf numFmtId="38" fontId="12" fillId="0" borderId="40" xfId="0" applyNumberFormat="1" applyFont="1" applyBorder="1" applyAlignment="1">
      <alignment/>
    </xf>
    <xf numFmtId="38" fontId="0" fillId="0" borderId="40" xfId="16" applyFont="1" applyBorder="1" applyAlignment="1">
      <alignment/>
    </xf>
    <xf numFmtId="38" fontId="0" fillId="0" borderId="41" xfId="0" applyNumberFormat="1" applyFont="1" applyBorder="1" applyAlignment="1">
      <alignment/>
    </xf>
    <xf numFmtId="9" fontId="0" fillId="0" borderId="41" xfId="19" applyFont="1" applyBorder="1" applyAlignment="1">
      <alignment/>
    </xf>
    <xf numFmtId="38" fontId="0" fillId="0" borderId="36" xfId="0" applyNumberFormat="1" applyFont="1" applyBorder="1" applyAlignment="1">
      <alignment/>
    </xf>
    <xf numFmtId="9" fontId="0" fillId="0" borderId="36" xfId="19" applyFont="1" applyBorder="1" applyAlignment="1">
      <alignment/>
    </xf>
    <xf numFmtId="0" fontId="0" fillId="0" borderId="12" xfId="0" applyBorder="1" applyAlignment="1">
      <alignment wrapText="1"/>
    </xf>
    <xf numFmtId="38" fontId="12" fillId="0" borderId="12" xfId="0" applyNumberFormat="1" applyFont="1" applyBorder="1" applyAlignment="1">
      <alignment/>
    </xf>
    <xf numFmtId="38" fontId="0" fillId="0" borderId="8" xfId="16" applyBorder="1" applyAlignment="1">
      <alignment/>
    </xf>
    <xf numFmtId="38" fontId="0" fillId="0" borderId="8" xfId="0" applyNumberFormat="1" applyFont="1" applyBorder="1" applyAlignment="1">
      <alignment/>
    </xf>
    <xf numFmtId="9" fontId="0" fillId="0" borderId="8" xfId="19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14" xfId="0" applyFont="1" applyBorder="1" applyAlignment="1">
      <alignment wrapText="1"/>
    </xf>
    <xf numFmtId="38" fontId="0" fillId="0" borderId="45" xfId="0" applyNumberFormat="1" applyBorder="1" applyAlignment="1">
      <alignment/>
    </xf>
    <xf numFmtId="38" fontId="0" fillId="0" borderId="46" xfId="0" applyNumberFormat="1" applyBorder="1" applyAlignment="1">
      <alignment/>
    </xf>
    <xf numFmtId="0" fontId="1" fillId="0" borderId="37" xfId="0" applyFont="1" applyBorder="1" applyAlignment="1">
      <alignment/>
    </xf>
    <xf numFmtId="38" fontId="0" fillId="0" borderId="4" xfId="0" applyNumberFormat="1" applyBorder="1" applyAlignment="1">
      <alignment/>
    </xf>
    <xf numFmtId="9" fontId="12" fillId="0" borderId="2" xfId="0" applyNumberFormat="1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5" xfId="0" applyFont="1" applyBorder="1" applyAlignment="1">
      <alignment/>
    </xf>
    <xf numFmtId="184" fontId="12" fillId="0" borderId="13" xfId="0" applyNumberFormat="1" applyFont="1" applyBorder="1" applyAlignment="1">
      <alignment/>
    </xf>
    <xf numFmtId="9" fontId="12" fillId="0" borderId="5" xfId="0" applyNumberFormat="1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13" xfId="0" applyFont="1" applyBorder="1" applyAlignment="1">
      <alignment/>
    </xf>
    <xf numFmtId="1" fontId="12" fillId="0" borderId="17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0" fontId="1" fillId="0" borderId="19" xfId="0" applyFont="1" applyBorder="1" applyAlignment="1">
      <alignment/>
    </xf>
    <xf numFmtId="1" fontId="12" fillId="0" borderId="16" xfId="0" applyNumberFormat="1" applyFont="1" applyBorder="1" applyAlignment="1">
      <alignment/>
    </xf>
    <xf numFmtId="1" fontId="12" fillId="0" borderId="2" xfId="0" applyNumberFormat="1" applyFont="1" applyBorder="1" applyAlignment="1">
      <alignment/>
    </xf>
    <xf numFmtId="1" fontId="12" fillId="0" borderId="13" xfId="0" applyNumberFormat="1" applyFont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17" xfId="0" applyFont="1" applyBorder="1" applyAlignment="1">
      <alignment/>
    </xf>
    <xf numFmtId="0" fontId="0" fillId="0" borderId="37" xfId="0" applyFill="1" applyBorder="1" applyAlignment="1">
      <alignment horizontal="left"/>
    </xf>
    <xf numFmtId="0" fontId="1" fillId="0" borderId="9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38" fontId="0" fillId="0" borderId="30" xfId="0" applyNumberFormat="1" applyFill="1" applyBorder="1" applyAlignment="1">
      <alignment/>
    </xf>
    <xf numFmtId="38" fontId="0" fillId="0" borderId="49" xfId="0" applyNumberFormat="1" applyFill="1" applyBorder="1" applyAlignment="1">
      <alignment/>
    </xf>
    <xf numFmtId="38" fontId="0" fillId="0" borderId="10" xfId="0" applyNumberFormat="1" applyFill="1" applyBorder="1" applyAlignment="1">
      <alignment/>
    </xf>
    <xf numFmtId="38" fontId="0" fillId="0" borderId="35" xfId="0" applyNumberFormat="1" applyFill="1" applyBorder="1" applyAlignment="1">
      <alignment/>
    </xf>
    <xf numFmtId="38" fontId="0" fillId="0" borderId="21" xfId="0" applyNumberFormat="1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2" xfId="0" applyNumberFormat="1" applyFill="1" applyBorder="1" applyAlignment="1">
      <alignment/>
    </xf>
    <xf numFmtId="38" fontId="0" fillId="0" borderId="20" xfId="0" applyNumberFormat="1" applyFill="1" applyBorder="1" applyAlignment="1">
      <alignment/>
    </xf>
    <xf numFmtId="38" fontId="0" fillId="0" borderId="0" xfId="0" applyNumberFormat="1" applyFill="1" applyBorder="1" applyAlignment="1">
      <alignment/>
    </xf>
    <xf numFmtId="1" fontId="0" fillId="0" borderId="21" xfId="0" applyNumberFormat="1" applyFill="1" applyBorder="1" applyAlignment="1">
      <alignment/>
    </xf>
    <xf numFmtId="0" fontId="0" fillId="0" borderId="35" xfId="0" applyFill="1" applyBorder="1" applyAlignment="1">
      <alignment/>
    </xf>
    <xf numFmtId="1" fontId="0" fillId="0" borderId="35" xfId="0" applyNumberFormat="1" applyFill="1" applyBorder="1" applyAlignment="1">
      <alignment/>
    </xf>
    <xf numFmtId="0" fontId="0" fillId="0" borderId="21" xfId="0" applyFill="1" applyBorder="1" applyAlignment="1">
      <alignment/>
    </xf>
    <xf numFmtId="38" fontId="0" fillId="0" borderId="37" xfId="0" applyNumberFormat="1" applyFill="1" applyBorder="1" applyAlignment="1">
      <alignment/>
    </xf>
    <xf numFmtId="38" fontId="0" fillId="0" borderId="18" xfId="0" applyNumberFormat="1" applyFill="1" applyBorder="1" applyAlignment="1">
      <alignment/>
    </xf>
    <xf numFmtId="38" fontId="0" fillId="0" borderId="5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47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21" xfId="0" applyBorder="1" applyAlignment="1">
      <alignment wrapText="1"/>
    </xf>
    <xf numFmtId="38" fontId="12" fillId="0" borderId="21" xfId="0" applyNumberFormat="1" applyFont="1" applyBorder="1" applyAlignment="1">
      <alignment/>
    </xf>
    <xf numFmtId="38" fontId="0" fillId="0" borderId="21" xfId="16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3" xfId="0" applyFont="1" applyFill="1" applyBorder="1" applyAlignment="1">
      <alignment/>
    </xf>
    <xf numFmtId="0" fontId="0" fillId="0" borderId="51" xfId="0" applyBorder="1" applyAlignment="1">
      <alignment horizontal="center"/>
    </xf>
    <xf numFmtId="9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center"/>
    </xf>
    <xf numFmtId="18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 wrapText="1"/>
    </xf>
    <xf numFmtId="190" fontId="0" fillId="0" borderId="0" xfId="19" applyNumberFormat="1" applyBorder="1" applyAlignment="1">
      <alignment horizontal="right"/>
    </xf>
    <xf numFmtId="0" fontId="1" fillId="0" borderId="14" xfId="0" applyFont="1" applyBorder="1" applyAlignment="1">
      <alignment horizontal="center"/>
    </xf>
    <xf numFmtId="3" fontId="0" fillId="0" borderId="15" xfId="16" applyNumberFormat="1" applyBorder="1" applyAlignment="1">
      <alignment/>
    </xf>
    <xf numFmtId="3" fontId="0" fillId="0" borderId="6" xfId="16" applyNumberFormat="1" applyBorder="1" applyAlignment="1">
      <alignment/>
    </xf>
    <xf numFmtId="3" fontId="0" fillId="0" borderId="14" xfId="16" applyNumberFormat="1" applyBorder="1" applyAlignment="1">
      <alignment/>
    </xf>
    <xf numFmtId="3" fontId="0" fillId="0" borderId="9" xfId="16" applyNumberFormat="1" applyBorder="1" applyAlignment="1">
      <alignment/>
    </xf>
    <xf numFmtId="3" fontId="0" fillId="0" borderId="52" xfId="16" applyNumberFormat="1" applyBorder="1" applyAlignment="1">
      <alignment/>
    </xf>
    <xf numFmtId="3" fontId="0" fillId="0" borderId="48" xfId="16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1" xfId="16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22" xfId="0" applyNumberFormat="1" applyBorder="1" applyAlignment="1">
      <alignment/>
    </xf>
    <xf numFmtId="3" fontId="0" fillId="0" borderId="30" xfId="16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0" fillId="0" borderId="30" xfId="0" applyNumberFormat="1" applyBorder="1" applyAlignment="1">
      <alignment/>
    </xf>
    <xf numFmtId="3" fontId="0" fillId="0" borderId="53" xfId="0" applyNumberFormat="1" applyFill="1" applyBorder="1" applyAlignment="1">
      <alignment/>
    </xf>
    <xf numFmtId="3" fontId="0" fillId="0" borderId="49" xfId="0" applyNumberFormat="1" applyFill="1" applyBorder="1" applyAlignment="1">
      <alignment/>
    </xf>
    <xf numFmtId="3" fontId="0" fillId="0" borderId="47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3" borderId="0" xfId="0" applyNumberFormat="1" applyFill="1" applyAlignment="1">
      <alignment/>
    </xf>
    <xf numFmtId="3" fontId="0" fillId="3" borderId="16" xfId="0" applyNumberFormat="1" applyFill="1" applyBorder="1" applyAlignment="1">
      <alignment/>
    </xf>
    <xf numFmtId="3" fontId="0" fillId="0" borderId="32" xfId="0" applyNumberFormat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55" xfId="0" applyNumberFormat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55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5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57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0" borderId="58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2" borderId="34" xfId="0" applyNumberFormat="1" applyFill="1" applyBorder="1" applyAlignment="1">
      <alignment/>
    </xf>
    <xf numFmtId="3" fontId="0" fillId="2" borderId="58" xfId="0" applyNumberFormat="1" applyFill="1" applyBorder="1" applyAlignment="1">
      <alignment/>
    </xf>
    <xf numFmtId="3" fontId="0" fillId="2" borderId="45" xfId="0" applyNumberFormat="1" applyFill="1" applyBorder="1" applyAlignment="1">
      <alignment/>
    </xf>
    <xf numFmtId="3" fontId="0" fillId="2" borderId="37" xfId="0" applyNumberFormat="1" applyFill="1" applyBorder="1" applyAlignment="1">
      <alignment/>
    </xf>
    <xf numFmtId="3" fontId="0" fillId="2" borderId="59" xfId="0" applyNumberFormat="1" applyFill="1" applyBorder="1" applyAlignment="1">
      <alignment/>
    </xf>
    <xf numFmtId="3" fontId="0" fillId="0" borderId="34" xfId="0" applyNumberFormat="1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58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59" xfId="0" applyNumberFormat="1" applyFill="1" applyBorder="1" applyAlignment="1">
      <alignment/>
    </xf>
    <xf numFmtId="3" fontId="0" fillId="0" borderId="60" xfId="0" applyNumberFormat="1" applyFill="1" applyBorder="1" applyAlignment="1">
      <alignment/>
    </xf>
    <xf numFmtId="3" fontId="2" fillId="2" borderId="2" xfId="19" applyNumberFormat="1" applyFont="1" applyFill="1" applyBorder="1" applyAlignment="1">
      <alignment/>
    </xf>
    <xf numFmtId="3" fontId="2" fillId="2" borderId="16" xfId="19" applyNumberFormat="1" applyFont="1" applyFill="1" applyBorder="1" applyAlignment="1">
      <alignment/>
    </xf>
    <xf numFmtId="3" fontId="2" fillId="2" borderId="13" xfId="19" applyNumberFormat="1" applyFont="1" applyFill="1" applyBorder="1" applyAlignment="1">
      <alignment/>
    </xf>
    <xf numFmtId="3" fontId="2" fillId="2" borderId="10" xfId="19" applyNumberFormat="1" applyFont="1" applyFill="1" applyBorder="1" applyAlignment="1">
      <alignment/>
    </xf>
    <xf numFmtId="3" fontId="2" fillId="2" borderId="7" xfId="19" applyNumberFormat="1" applyFont="1" applyFill="1" applyBorder="1" applyAlignment="1">
      <alignment/>
    </xf>
    <xf numFmtId="3" fontId="0" fillId="0" borderId="16" xfId="19" applyNumberFormat="1" applyFont="1" applyFill="1" applyBorder="1" applyAlignment="1">
      <alignment/>
    </xf>
    <xf numFmtId="3" fontId="0" fillId="0" borderId="61" xfId="19" applyNumberFormat="1" applyFont="1" applyFill="1" applyBorder="1" applyAlignment="1">
      <alignment/>
    </xf>
    <xf numFmtId="3" fontId="0" fillId="2" borderId="2" xfId="19" applyNumberFormat="1" applyFont="1" applyFill="1" applyBorder="1" applyAlignment="1">
      <alignment/>
    </xf>
    <xf numFmtId="3" fontId="0" fillId="0" borderId="5" xfId="16" applyNumberFormat="1" applyFont="1" applyBorder="1" applyAlignment="1">
      <alignment/>
    </xf>
    <xf numFmtId="3" fontId="0" fillId="0" borderId="24" xfId="16" applyNumberFormat="1" applyFont="1" applyBorder="1" applyAlignment="1">
      <alignment/>
    </xf>
    <xf numFmtId="3" fontId="0" fillId="0" borderId="17" xfId="16" applyNumberFormat="1" applyFont="1" applyBorder="1" applyAlignment="1">
      <alignment/>
    </xf>
    <xf numFmtId="3" fontId="0" fillId="0" borderId="18" xfId="16" applyNumberFormat="1" applyFont="1" applyBorder="1" applyAlignment="1">
      <alignment/>
    </xf>
    <xf numFmtId="3" fontId="0" fillId="0" borderId="56" xfId="16" applyNumberFormat="1" applyFont="1" applyBorder="1" applyAlignment="1">
      <alignment/>
    </xf>
    <xf numFmtId="3" fontId="0" fillId="2" borderId="24" xfId="16" applyNumberFormat="1" applyFont="1" applyFill="1" applyBorder="1" applyAlignment="1">
      <alignment/>
    </xf>
    <xf numFmtId="3" fontId="0" fillId="2" borderId="5" xfId="16" applyNumberFormat="1" applyFont="1" applyFill="1" applyBorder="1" applyAlignment="1">
      <alignment/>
    </xf>
    <xf numFmtId="3" fontId="0" fillId="0" borderId="17" xfId="16" applyNumberFormat="1" applyFont="1" applyFill="1" applyBorder="1" applyAlignment="1">
      <alignment/>
    </xf>
    <xf numFmtId="3" fontId="0" fillId="0" borderId="51" xfId="16" applyNumberFormat="1" applyFont="1" applyBorder="1" applyAlignment="1">
      <alignment/>
    </xf>
    <xf numFmtId="3" fontId="0" fillId="0" borderId="62" xfId="16" applyNumberFormat="1" applyFont="1" applyBorder="1" applyAlignment="1">
      <alignment/>
    </xf>
    <xf numFmtId="3" fontId="0" fillId="0" borderId="25" xfId="16" applyNumberFormat="1" applyFont="1" applyBorder="1" applyAlignment="1">
      <alignment/>
    </xf>
    <xf numFmtId="3" fontId="0" fillId="0" borderId="63" xfId="16" applyNumberFormat="1" applyFont="1" applyBorder="1" applyAlignment="1">
      <alignment/>
    </xf>
    <xf numFmtId="3" fontId="0" fillId="0" borderId="22" xfId="16" applyNumberFormat="1" applyFont="1" applyFill="1" applyBorder="1" applyAlignment="1" quotePrefix="1">
      <alignment/>
    </xf>
    <xf numFmtId="3" fontId="0" fillId="0" borderId="22" xfId="16" applyNumberFormat="1" applyFont="1" applyBorder="1" applyAlignment="1">
      <alignment/>
    </xf>
    <xf numFmtId="3" fontId="0" fillId="0" borderId="1" xfId="16" applyNumberFormat="1" applyFont="1" applyBorder="1" applyAlignment="1">
      <alignment/>
    </xf>
    <xf numFmtId="3" fontId="0" fillId="2" borderId="25" xfId="16" applyNumberFormat="1" applyFont="1" applyFill="1" applyBorder="1" applyAlignment="1">
      <alignment/>
    </xf>
    <xf numFmtId="3" fontId="0" fillId="2" borderId="62" xfId="16" applyNumberFormat="1" applyFont="1" applyFill="1" applyBorder="1" applyAlignment="1">
      <alignment/>
    </xf>
    <xf numFmtId="3" fontId="0" fillId="2" borderId="63" xfId="16" applyNumberFormat="1" applyFont="1" applyFill="1" applyBorder="1" applyAlignment="1">
      <alignment/>
    </xf>
    <xf numFmtId="3" fontId="0" fillId="0" borderId="64" xfId="16" applyNumberFormat="1" applyFont="1" applyBorder="1" applyAlignment="1">
      <alignment/>
    </xf>
    <xf numFmtId="3" fontId="0" fillId="2" borderId="17" xfId="16" applyNumberFormat="1" applyFont="1" applyFill="1" applyBorder="1" applyAlignment="1">
      <alignment/>
    </xf>
    <xf numFmtId="3" fontId="0" fillId="2" borderId="18" xfId="16" applyNumberFormat="1" applyFont="1" applyFill="1" applyBorder="1" applyAlignment="1">
      <alignment/>
    </xf>
    <xf numFmtId="3" fontId="0" fillId="2" borderId="56" xfId="16" applyNumberFormat="1" applyFont="1" applyFill="1" applyBorder="1" applyAlignment="1">
      <alignment/>
    </xf>
    <xf numFmtId="3" fontId="0" fillId="0" borderId="3" xfId="16" applyNumberFormat="1" applyFont="1" applyFill="1" applyBorder="1" applyAlignment="1">
      <alignment/>
    </xf>
    <xf numFmtId="3" fontId="0" fillId="0" borderId="47" xfId="16" applyNumberFormat="1" applyFont="1" applyFill="1" applyBorder="1" applyAlignment="1">
      <alignment/>
    </xf>
    <xf numFmtId="3" fontId="0" fillId="0" borderId="4" xfId="16" applyNumberFormat="1" applyFont="1" applyFill="1" applyBorder="1" applyAlignment="1">
      <alignment/>
    </xf>
    <xf numFmtId="3" fontId="0" fillId="0" borderId="30" xfId="16" applyNumberFormat="1" applyFont="1" applyFill="1" applyBorder="1" applyAlignment="1">
      <alignment/>
    </xf>
    <xf numFmtId="3" fontId="0" fillId="0" borderId="53" xfId="16" applyNumberFormat="1" applyFont="1" applyFill="1" applyBorder="1" applyAlignment="1">
      <alignment/>
    </xf>
    <xf numFmtId="3" fontId="0" fillId="2" borderId="3" xfId="16" applyNumberFormat="1" applyFont="1" applyFill="1" applyBorder="1" applyAlignment="1">
      <alignment/>
    </xf>
    <xf numFmtId="3" fontId="0" fillId="0" borderId="65" xfId="16" applyNumberFormat="1" applyFont="1" applyFill="1" applyBorder="1" applyAlignment="1">
      <alignment/>
    </xf>
    <xf numFmtId="3" fontId="0" fillId="0" borderId="34" xfId="16" applyNumberFormat="1" applyFont="1" applyFill="1" applyBorder="1" applyAlignment="1">
      <alignment/>
    </xf>
    <xf numFmtId="3" fontId="0" fillId="0" borderId="58" xfId="16" applyNumberFormat="1" applyFont="1" applyFill="1" applyBorder="1" applyAlignment="1">
      <alignment/>
    </xf>
    <xf numFmtId="3" fontId="0" fillId="0" borderId="45" xfId="16" applyNumberFormat="1" applyFont="1" applyFill="1" applyBorder="1" applyAlignment="1">
      <alignment/>
    </xf>
    <xf numFmtId="3" fontId="0" fillId="0" borderId="37" xfId="16" applyNumberFormat="1" applyFont="1" applyFill="1" applyBorder="1" applyAlignment="1">
      <alignment/>
    </xf>
    <xf numFmtId="3" fontId="0" fillId="0" borderId="59" xfId="16" applyNumberFormat="1" applyFont="1" applyFill="1" applyBorder="1" applyAlignment="1">
      <alignment/>
    </xf>
    <xf numFmtId="3" fontId="0" fillId="2" borderId="34" xfId="16" applyNumberFormat="1" applyFont="1" applyFill="1" applyBorder="1" applyAlignment="1">
      <alignment/>
    </xf>
    <xf numFmtId="3" fontId="0" fillId="0" borderId="60" xfId="16" applyNumberFormat="1" applyFont="1" applyFill="1" applyBorder="1" applyAlignment="1">
      <alignment/>
    </xf>
    <xf numFmtId="3" fontId="0" fillId="0" borderId="2" xfId="16" applyNumberFormat="1" applyFont="1" applyFill="1" applyBorder="1" applyAlignment="1">
      <alignment/>
    </xf>
    <xf numFmtId="3" fontId="0" fillId="0" borderId="16" xfId="16" applyNumberFormat="1" applyFont="1" applyFill="1" applyBorder="1" applyAlignment="1">
      <alignment/>
    </xf>
    <xf numFmtId="3" fontId="0" fillId="0" borderId="13" xfId="16" applyNumberFormat="1" applyFont="1" applyFill="1" applyBorder="1" applyAlignment="1">
      <alignment/>
    </xf>
    <xf numFmtId="3" fontId="0" fillId="0" borderId="10" xfId="16" applyNumberFormat="1" applyFont="1" applyFill="1" applyBorder="1" applyAlignment="1">
      <alignment/>
    </xf>
    <xf numFmtId="3" fontId="0" fillId="0" borderId="7" xfId="16" applyNumberFormat="1" applyFont="1" applyFill="1" applyBorder="1" applyAlignment="1">
      <alignment/>
    </xf>
    <xf numFmtId="3" fontId="0" fillId="2" borderId="2" xfId="16" applyNumberFormat="1" applyFont="1" applyFill="1" applyBorder="1" applyAlignment="1">
      <alignment/>
    </xf>
    <xf numFmtId="3" fontId="0" fillId="0" borderId="61" xfId="16" applyNumberFormat="1" applyFont="1" applyFill="1" applyBorder="1" applyAlignment="1">
      <alignment/>
    </xf>
    <xf numFmtId="3" fontId="0" fillId="0" borderId="5" xfId="16" applyNumberFormat="1" applyFont="1" applyFill="1" applyBorder="1" applyAlignment="1">
      <alignment/>
    </xf>
    <xf numFmtId="3" fontId="0" fillId="0" borderId="24" xfId="16" applyNumberFormat="1" applyFont="1" applyFill="1" applyBorder="1" applyAlignment="1">
      <alignment/>
    </xf>
    <xf numFmtId="3" fontId="0" fillId="0" borderId="18" xfId="16" applyNumberFormat="1" applyFont="1" applyFill="1" applyBorder="1" applyAlignment="1">
      <alignment/>
    </xf>
    <xf numFmtId="3" fontId="0" fillId="0" borderId="56" xfId="16" applyNumberFormat="1" applyFont="1" applyFill="1" applyBorder="1" applyAlignment="1">
      <alignment/>
    </xf>
    <xf numFmtId="3" fontId="0" fillId="0" borderId="51" xfId="16" applyNumberFormat="1" applyFont="1" applyFill="1" applyBorder="1" applyAlignment="1">
      <alignment/>
    </xf>
    <xf numFmtId="3" fontId="0" fillId="4" borderId="3" xfId="16" applyNumberFormat="1" applyFont="1" applyFill="1" applyBorder="1" applyAlignment="1">
      <alignment/>
    </xf>
    <xf numFmtId="3" fontId="0" fillId="4" borderId="2" xfId="16" applyNumberFormat="1" applyFont="1" applyFill="1" applyBorder="1" applyAlignment="1">
      <alignment/>
    </xf>
    <xf numFmtId="3" fontId="0" fillId="4" borderId="2" xfId="0" applyNumberFormat="1" applyFill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7" xfId="16" applyNumberFormat="1" applyFont="1" applyBorder="1" applyAlignment="1">
      <alignment/>
    </xf>
    <xf numFmtId="3" fontId="0" fillId="0" borderId="0" xfId="16" applyNumberFormat="1" applyFont="1" applyBorder="1" applyAlignment="1">
      <alignment/>
    </xf>
    <xf numFmtId="3" fontId="0" fillId="0" borderId="0" xfId="16" applyNumberFormat="1" applyFont="1" applyBorder="1" applyAlignment="1">
      <alignment/>
    </xf>
    <xf numFmtId="3" fontId="0" fillId="2" borderId="44" xfId="0" applyNumberFormat="1" applyFill="1" applyBorder="1" applyAlignment="1">
      <alignment/>
    </xf>
    <xf numFmtId="3" fontId="0" fillId="0" borderId="66" xfId="0" applyNumberFormat="1" applyBorder="1" applyAlignment="1">
      <alignment/>
    </xf>
    <xf numFmtId="3" fontId="0" fillId="0" borderId="44" xfId="0" applyNumberFormat="1" applyFill="1" applyBorder="1" applyAlignment="1">
      <alignment/>
    </xf>
    <xf numFmtId="3" fontId="2" fillId="2" borderId="39" xfId="19" applyNumberFormat="1" applyFont="1" applyFill="1" applyBorder="1" applyAlignment="1">
      <alignment/>
    </xf>
    <xf numFmtId="3" fontId="0" fillId="2" borderId="67" xfId="16" applyNumberFormat="1" applyFont="1" applyFill="1" applyBorder="1" applyAlignment="1">
      <alignment/>
    </xf>
    <xf numFmtId="3" fontId="0" fillId="0" borderId="66" xfId="16" applyNumberFormat="1" applyFont="1" applyFill="1" applyBorder="1" applyAlignment="1">
      <alignment/>
    </xf>
    <xf numFmtId="3" fontId="0" fillId="0" borderId="39" xfId="16" applyNumberFormat="1" applyFont="1" applyFill="1" applyBorder="1" applyAlignment="1">
      <alignment/>
    </xf>
    <xf numFmtId="3" fontId="0" fillId="0" borderId="42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2" borderId="35" xfId="0" applyNumberFormat="1" applyFill="1" applyBorder="1" applyAlignment="1">
      <alignment/>
    </xf>
    <xf numFmtId="3" fontId="0" fillId="0" borderId="49" xfId="0" applyNumberFormat="1" applyBorder="1" applyAlignment="1">
      <alignment/>
    </xf>
    <xf numFmtId="3" fontId="0" fillId="0" borderId="35" xfId="0" applyNumberFormat="1" applyFill="1" applyBorder="1" applyAlignment="1">
      <alignment/>
    </xf>
    <xf numFmtId="3" fontId="2" fillId="2" borderId="12" xfId="19" applyNumberFormat="1" applyFont="1" applyFill="1" applyBorder="1" applyAlignment="1">
      <alignment/>
    </xf>
    <xf numFmtId="3" fontId="0" fillId="0" borderId="57" xfId="16" applyNumberFormat="1" applyFont="1" applyBorder="1" applyAlignment="1">
      <alignment/>
    </xf>
    <xf numFmtId="3" fontId="0" fillId="0" borderId="68" xfId="16" applyNumberFormat="1" applyFont="1" applyBorder="1" applyAlignment="1">
      <alignment/>
    </xf>
    <xf numFmtId="3" fontId="0" fillId="2" borderId="57" xfId="16" applyNumberFormat="1" applyFont="1" applyFill="1" applyBorder="1" applyAlignment="1">
      <alignment/>
    </xf>
    <xf numFmtId="3" fontId="0" fillId="0" borderId="49" xfId="16" applyNumberFormat="1" applyFont="1" applyFill="1" applyBorder="1" applyAlignment="1">
      <alignment/>
    </xf>
    <xf numFmtId="3" fontId="0" fillId="0" borderId="35" xfId="16" applyNumberFormat="1" applyFont="1" applyFill="1" applyBorder="1" applyAlignment="1">
      <alignment/>
    </xf>
    <xf numFmtId="3" fontId="0" fillId="0" borderId="12" xfId="16" applyNumberFormat="1" applyFont="1" applyFill="1" applyBorder="1" applyAlignment="1">
      <alignment/>
    </xf>
    <xf numFmtId="3" fontId="0" fillId="0" borderId="57" xfId="16" applyNumberFormat="1" applyFont="1" applyFill="1" applyBorder="1" applyAlignment="1">
      <alignment/>
    </xf>
    <xf numFmtId="0" fontId="0" fillId="0" borderId="8" xfId="0" applyBorder="1" applyAlignment="1">
      <alignment horizontal="left"/>
    </xf>
    <xf numFmtId="3" fontId="0" fillId="2" borderId="39" xfId="0" applyNumberFormat="1" applyFill="1" applyBorder="1" applyAlignment="1">
      <alignment/>
    </xf>
    <xf numFmtId="3" fontId="0" fillId="2" borderId="66" xfId="0" applyNumberFormat="1" applyFill="1" applyBorder="1" applyAlignment="1">
      <alignment/>
    </xf>
    <xf numFmtId="3" fontId="0" fillId="2" borderId="69" xfId="16" applyNumberFormat="1" applyFont="1" applyFill="1" applyBorder="1" applyAlignment="1">
      <alignment/>
    </xf>
    <xf numFmtId="3" fontId="2" fillId="2" borderId="66" xfId="16" applyNumberFormat="1" applyFont="1" applyFill="1" applyBorder="1" applyAlignment="1">
      <alignment/>
    </xf>
    <xf numFmtId="3" fontId="2" fillId="2" borderId="44" xfId="16" applyNumberFormat="1" applyFont="1" applyFill="1" applyBorder="1" applyAlignment="1">
      <alignment/>
    </xf>
    <xf numFmtId="3" fontId="0" fillId="2" borderId="39" xfId="16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3" fontId="0" fillId="0" borderId="37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 horizontal="left"/>
    </xf>
    <xf numFmtId="0" fontId="1" fillId="0" borderId="53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7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4" xfId="0" applyFont="1" applyBorder="1" applyAlignment="1">
      <alignment/>
    </xf>
    <xf numFmtId="3" fontId="1" fillId="0" borderId="24" xfId="19" applyNumberFormat="1" applyFont="1" applyBorder="1" applyAlignment="1">
      <alignment/>
    </xf>
    <xf numFmtId="3" fontId="1" fillId="0" borderId="5" xfId="19" applyNumberFormat="1" applyFont="1" applyBorder="1" applyAlignment="1">
      <alignment/>
    </xf>
    <xf numFmtId="3" fontId="1" fillId="0" borderId="17" xfId="19" applyNumberFormat="1" applyFont="1" applyBorder="1" applyAlignment="1">
      <alignment/>
    </xf>
    <xf numFmtId="3" fontId="1" fillId="0" borderId="18" xfId="19" applyNumberFormat="1" applyFont="1" applyBorder="1" applyAlignment="1">
      <alignment/>
    </xf>
    <xf numFmtId="3" fontId="1" fillId="0" borderId="57" xfId="19" applyNumberFormat="1" applyFont="1" applyBorder="1" applyAlignment="1">
      <alignment/>
    </xf>
    <xf numFmtId="3" fontId="1" fillId="0" borderId="67" xfId="0" applyNumberFormat="1" applyFont="1" applyBorder="1" applyAlignment="1">
      <alignment/>
    </xf>
    <xf numFmtId="3" fontId="1" fillId="4" borderId="5" xfId="0" applyNumberFormat="1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7" xfId="16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64" xfId="0" applyFont="1" applyBorder="1" applyAlignment="1">
      <alignment horizontal="center"/>
    </xf>
    <xf numFmtId="3" fontId="0" fillId="0" borderId="48" xfId="0" applyNumberFormat="1" applyBorder="1" applyAlignment="1">
      <alignment/>
    </xf>
    <xf numFmtId="3" fontId="0" fillId="2" borderId="12" xfId="0" applyNumberFormat="1" applyFill="1" applyBorder="1" applyAlignment="1">
      <alignment/>
    </xf>
    <xf numFmtId="3" fontId="0" fillId="0" borderId="57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8" fontId="1" fillId="0" borderId="25" xfId="16" applyFont="1" applyBorder="1" applyAlignment="1">
      <alignment horizontal="center"/>
    </xf>
    <xf numFmtId="0" fontId="1" fillId="0" borderId="26" xfId="0" applyFont="1" applyBorder="1" applyAlignment="1">
      <alignment/>
    </xf>
    <xf numFmtId="190" fontId="1" fillId="0" borderId="62" xfId="0" applyNumberFormat="1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47" xfId="0" applyFill="1" applyBorder="1" applyAlignment="1">
      <alignment/>
    </xf>
    <xf numFmtId="184" fontId="0" fillId="2" borderId="3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16" xfId="0" applyFill="1" applyBorder="1" applyAlignment="1">
      <alignment/>
    </xf>
    <xf numFmtId="184" fontId="0" fillId="2" borderId="2" xfId="0" applyNumberFormat="1" applyFill="1" applyBorder="1" applyAlignment="1">
      <alignment/>
    </xf>
    <xf numFmtId="0" fontId="0" fillId="2" borderId="13" xfId="0" applyFill="1" applyBorder="1" applyAlignment="1">
      <alignment/>
    </xf>
    <xf numFmtId="184" fontId="0" fillId="2" borderId="24" xfId="0" applyNumberFormat="1" applyFill="1" applyBorder="1" applyAlignment="1">
      <alignment/>
    </xf>
    <xf numFmtId="184" fontId="0" fillId="2" borderId="5" xfId="0" applyNumberFormat="1" applyFill="1" applyBorder="1" applyAlignment="1">
      <alignment/>
    </xf>
    <xf numFmtId="184" fontId="0" fillId="2" borderId="17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17" xfId="0" applyFill="1" applyBorder="1" applyAlignment="1">
      <alignment/>
    </xf>
    <xf numFmtId="190" fontId="2" fillId="2" borderId="16" xfId="0" applyNumberFormat="1" applyFont="1" applyFill="1" applyBorder="1" applyAlignment="1">
      <alignment/>
    </xf>
    <xf numFmtId="190" fontId="2" fillId="2" borderId="2" xfId="0" applyNumberFormat="1" applyFont="1" applyFill="1" applyBorder="1" applyAlignment="1">
      <alignment/>
    </xf>
    <xf numFmtId="190" fontId="2" fillId="2" borderId="5" xfId="0" applyNumberFormat="1" applyFont="1" applyFill="1" applyBorder="1" applyAlignment="1">
      <alignment/>
    </xf>
    <xf numFmtId="192" fontId="0" fillId="2" borderId="47" xfId="16" applyNumberFormat="1" applyFont="1" applyFill="1" applyBorder="1" applyAlignment="1">
      <alignment/>
    </xf>
    <xf numFmtId="192" fontId="2" fillId="2" borderId="3" xfId="0" applyNumberFormat="1" applyFont="1" applyFill="1" applyBorder="1" applyAlignment="1">
      <alignment/>
    </xf>
    <xf numFmtId="192" fontId="0" fillId="2" borderId="4" xfId="0" applyNumberForma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0" fillId="0" borderId="70" xfId="0" applyBorder="1" applyAlignment="1">
      <alignment horizontal="left" vertical="top" wrapText="1"/>
    </xf>
    <xf numFmtId="0" fontId="0" fillId="0" borderId="70" xfId="0" applyNumberFormat="1" applyBorder="1" applyAlignment="1">
      <alignment horizontal="left" vertical="top" wrapText="1"/>
    </xf>
    <xf numFmtId="0" fontId="0" fillId="0" borderId="58" xfId="0" applyBorder="1" applyAlignment="1">
      <alignment/>
    </xf>
    <xf numFmtId="49" fontId="0" fillId="0" borderId="45" xfId="0" applyNumberFormat="1" applyBorder="1" applyAlignment="1">
      <alignment horizontal="right"/>
    </xf>
    <xf numFmtId="9" fontId="0" fillId="0" borderId="45" xfId="0" applyNumberFormat="1" applyBorder="1" applyAlignment="1">
      <alignment/>
    </xf>
    <xf numFmtId="9" fontId="12" fillId="0" borderId="34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0" fillId="0" borderId="52" xfId="0" applyBorder="1" applyAlignment="1">
      <alignment/>
    </xf>
    <xf numFmtId="9" fontId="1" fillId="0" borderId="74" xfId="19" applyFont="1" applyBorder="1" applyAlignment="1">
      <alignment/>
    </xf>
    <xf numFmtId="0" fontId="13" fillId="0" borderId="23" xfId="0" applyFont="1" applyBorder="1" applyAlignment="1">
      <alignment horizontal="center"/>
    </xf>
    <xf numFmtId="0" fontId="13" fillId="0" borderId="73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23" xfId="0" applyFont="1" applyBorder="1" applyAlignment="1">
      <alignment horizontal="center" wrapText="1"/>
    </xf>
    <xf numFmtId="49" fontId="13" fillId="0" borderId="73" xfId="0" applyNumberFormat="1" applyFont="1" applyBorder="1" applyAlignment="1">
      <alignment horizontal="center" wrapText="1"/>
    </xf>
    <xf numFmtId="0" fontId="13" fillId="0" borderId="73" xfId="0" applyFont="1" applyBorder="1" applyAlignment="1">
      <alignment horizontal="center" wrapText="1"/>
    </xf>
    <xf numFmtId="0" fontId="13" fillId="0" borderId="46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23" xfId="0" applyFont="1" applyBorder="1" applyAlignment="1">
      <alignment/>
    </xf>
    <xf numFmtId="0" fontId="13" fillId="0" borderId="73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184" fontId="14" fillId="0" borderId="34" xfId="0" applyNumberFormat="1" applyFont="1" applyBorder="1" applyAlignment="1">
      <alignment/>
    </xf>
    <xf numFmtId="184" fontId="14" fillId="0" borderId="45" xfId="0" applyNumberFormat="1" applyFont="1" applyBorder="1" applyAlignment="1">
      <alignment/>
    </xf>
    <xf numFmtId="184" fontId="14" fillId="0" borderId="2" xfId="0" applyNumberFormat="1" applyFont="1" applyBorder="1" applyAlignment="1">
      <alignment/>
    </xf>
    <xf numFmtId="184" fontId="14" fillId="0" borderId="13" xfId="0" applyNumberFormat="1" applyFont="1" applyBorder="1" applyAlignment="1">
      <alignment/>
    </xf>
    <xf numFmtId="184" fontId="14" fillId="0" borderId="5" xfId="0" applyNumberFormat="1" applyFont="1" applyBorder="1" applyAlignment="1">
      <alignment/>
    </xf>
    <xf numFmtId="184" fontId="14" fillId="0" borderId="17" xfId="0" applyNumberFormat="1" applyFont="1" applyBorder="1" applyAlignment="1">
      <alignment/>
    </xf>
    <xf numFmtId="3" fontId="12" fillId="0" borderId="34" xfId="16" applyNumberFormat="1" applyFont="1" applyBorder="1" applyAlignment="1">
      <alignment/>
    </xf>
    <xf numFmtId="3" fontId="0" fillId="0" borderId="45" xfId="16" applyNumberFormat="1" applyBorder="1" applyAlignment="1">
      <alignment/>
    </xf>
    <xf numFmtId="3" fontId="12" fillId="0" borderId="2" xfId="0" applyNumberFormat="1" applyFont="1" applyBorder="1" applyAlignment="1">
      <alignment/>
    </xf>
    <xf numFmtId="3" fontId="0" fillId="0" borderId="13" xfId="16" applyNumberFormat="1" applyBorder="1" applyAlignment="1">
      <alignment/>
    </xf>
    <xf numFmtId="3" fontId="12" fillId="0" borderId="2" xfId="16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3" fontId="0" fillId="0" borderId="17" xfId="16" applyNumberFormat="1" applyBorder="1" applyAlignment="1">
      <alignment/>
    </xf>
    <xf numFmtId="3" fontId="12" fillId="0" borderId="34" xfId="16" applyNumberFormat="1" applyFont="1" applyBorder="1" applyAlignment="1">
      <alignment/>
    </xf>
    <xf numFmtId="3" fontId="0" fillId="0" borderId="34" xfId="16" applyNumberFormat="1" applyBorder="1" applyAlignment="1">
      <alignment/>
    </xf>
    <xf numFmtId="3" fontId="0" fillId="0" borderId="2" xfId="16" applyNumberFormat="1" applyBorder="1" applyAlignment="1">
      <alignment/>
    </xf>
    <xf numFmtId="3" fontId="0" fillId="0" borderId="5" xfId="16" applyNumberFormat="1" applyBorder="1" applyAlignment="1">
      <alignment/>
    </xf>
    <xf numFmtId="3" fontId="0" fillId="0" borderId="34" xfId="16" applyNumberFormat="1" applyFont="1" applyBorder="1" applyAlignment="1">
      <alignment/>
    </xf>
    <xf numFmtId="3" fontId="1" fillId="0" borderId="45" xfId="16" applyNumberFormat="1" applyFont="1" applyBorder="1" applyAlignment="1">
      <alignment/>
    </xf>
    <xf numFmtId="3" fontId="0" fillId="0" borderId="2" xfId="16" applyNumberFormat="1" applyFont="1" applyBorder="1" applyAlignment="1">
      <alignment/>
    </xf>
    <xf numFmtId="3" fontId="1" fillId="0" borderId="13" xfId="16" applyNumberFormat="1" applyFont="1" applyBorder="1" applyAlignment="1">
      <alignment/>
    </xf>
    <xf numFmtId="3" fontId="0" fillId="0" borderId="5" xfId="16" applyNumberFormat="1" applyFont="1" applyBorder="1" applyAlignment="1">
      <alignment/>
    </xf>
    <xf numFmtId="3" fontId="1" fillId="0" borderId="17" xfId="16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5" xfId="16" applyNumberFormat="1" applyFont="1" applyBorder="1" applyAlignment="1">
      <alignment/>
    </xf>
    <xf numFmtId="0" fontId="1" fillId="0" borderId="18" xfId="0" applyFont="1" applyBorder="1" applyAlignment="1">
      <alignment/>
    </xf>
    <xf numFmtId="3" fontId="12" fillId="0" borderId="5" xfId="0" applyNumberFormat="1" applyFont="1" applyBorder="1" applyAlignment="1">
      <alignment/>
    </xf>
    <xf numFmtId="9" fontId="12" fillId="0" borderId="2" xfId="0" applyNumberFormat="1" applyFont="1" applyBorder="1" applyAlignment="1">
      <alignment horizontal="center"/>
    </xf>
    <xf numFmtId="9" fontId="12" fillId="0" borderId="76" xfId="0" applyNumberFormat="1" applyFont="1" applyBorder="1" applyAlignment="1">
      <alignment horizontal="center" wrapText="1"/>
    </xf>
    <xf numFmtId="0" fontId="0" fillId="0" borderId="22" xfId="0" applyBorder="1" applyAlignment="1">
      <alignment horizontal="left"/>
    </xf>
    <xf numFmtId="0" fontId="0" fillId="0" borderId="37" xfId="0" applyBorder="1" applyAlignment="1">
      <alignment horizontal="left"/>
    </xf>
    <xf numFmtId="9" fontId="0" fillId="0" borderId="25" xfId="0" applyNumberFormat="1" applyBorder="1" applyAlignment="1">
      <alignment horizontal="right"/>
    </xf>
    <xf numFmtId="9" fontId="0" fillId="0" borderId="58" xfId="0" applyNumberFormat="1" applyBorder="1" applyAlignment="1">
      <alignment horizontal="right"/>
    </xf>
    <xf numFmtId="9" fontId="0" fillId="0" borderId="62" xfId="0" applyNumberFormat="1" applyBorder="1" applyAlignment="1">
      <alignment horizontal="right"/>
    </xf>
    <xf numFmtId="9" fontId="0" fillId="0" borderId="34" xfId="0" applyNumberFormat="1" applyBorder="1" applyAlignment="1">
      <alignment horizontal="right"/>
    </xf>
    <xf numFmtId="9" fontId="0" fillId="0" borderId="63" xfId="0" applyNumberFormat="1" applyBorder="1" applyAlignment="1">
      <alignment horizontal="right"/>
    </xf>
    <xf numFmtId="9" fontId="0" fillId="0" borderId="45" xfId="0" applyNumberFormat="1" applyBorder="1" applyAlignment="1">
      <alignment horizontal="right"/>
    </xf>
    <xf numFmtId="0" fontId="0" fillId="0" borderId="19" xfId="0" applyBorder="1" applyAlignment="1">
      <alignment horizontal="left"/>
    </xf>
    <xf numFmtId="0" fontId="1" fillId="0" borderId="3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9" fontId="1" fillId="0" borderId="40" xfId="0" applyNumberFormat="1" applyFont="1" applyBorder="1" applyAlignment="1">
      <alignment horizontal="center"/>
    </xf>
    <xf numFmtId="9" fontId="1" fillId="0" borderId="21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7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45" xfId="0" applyFont="1" applyBorder="1" applyAlignment="1">
      <alignment horizontal="left"/>
    </xf>
    <xf numFmtId="1" fontId="1" fillId="0" borderId="58" xfId="0" applyNumberFormat="1" applyFont="1" applyBorder="1" applyAlignment="1">
      <alignment/>
    </xf>
    <xf numFmtId="1" fontId="1" fillId="0" borderId="37" xfId="0" applyNumberFormat="1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1" fontId="1" fillId="0" borderId="28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1" fontId="1" fillId="0" borderId="16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27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1" fontId="1" fillId="0" borderId="7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horizontal="left"/>
    </xf>
    <xf numFmtId="1" fontId="0" fillId="0" borderId="15" xfId="0" applyNumberFormat="1" applyFont="1" applyBorder="1" applyAlignment="1">
      <alignment/>
    </xf>
    <xf numFmtId="1" fontId="0" fillId="0" borderId="9" xfId="0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1" fillId="0" borderId="40" xfId="0" applyFont="1" applyBorder="1" applyAlignment="1">
      <alignment/>
    </xf>
    <xf numFmtId="9" fontId="12" fillId="0" borderId="42" xfId="0" applyNumberFormat="1" applyFont="1" applyBorder="1" applyAlignment="1">
      <alignment/>
    </xf>
    <xf numFmtId="9" fontId="0" fillId="0" borderId="41" xfId="0" applyNumberFormat="1" applyFont="1" applyBorder="1" applyAlignment="1">
      <alignment/>
    </xf>
    <xf numFmtId="0" fontId="0" fillId="0" borderId="42" xfId="0" applyFont="1" applyBorder="1" applyAlignment="1">
      <alignment horizontal="center"/>
    </xf>
    <xf numFmtId="0" fontId="1" fillId="0" borderId="35" xfId="0" applyFont="1" applyBorder="1" applyAlignment="1">
      <alignment/>
    </xf>
    <xf numFmtId="9" fontId="12" fillId="0" borderId="43" xfId="0" applyNumberFormat="1" applyFont="1" applyBorder="1" applyAlignment="1">
      <alignment/>
    </xf>
    <xf numFmtId="9" fontId="0" fillId="0" borderId="36" xfId="0" applyNumberFormat="1" applyFont="1" applyBorder="1" applyAlignment="1">
      <alignment/>
    </xf>
    <xf numFmtId="0" fontId="0" fillId="0" borderId="44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1" fillId="0" borderId="12" xfId="0" applyFont="1" applyBorder="1" applyAlignment="1">
      <alignment/>
    </xf>
    <xf numFmtId="184" fontId="12" fillId="0" borderId="39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84" fontId="1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35" xfId="0" applyFont="1" applyBorder="1" applyAlignment="1">
      <alignment horizontal="center"/>
    </xf>
    <xf numFmtId="9" fontId="12" fillId="0" borderId="44" xfId="0" applyNumberFormat="1" applyFont="1" applyBorder="1" applyAlignment="1">
      <alignment/>
    </xf>
    <xf numFmtId="0" fontId="1" fillId="0" borderId="2" xfId="0" applyFont="1" applyBorder="1" applyAlignment="1">
      <alignment/>
    </xf>
    <xf numFmtId="184" fontId="12" fillId="0" borderId="39" xfId="19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30" xfId="0" applyFont="1" applyBorder="1" applyAlignment="1">
      <alignment horizontal="left"/>
    </xf>
    <xf numFmtId="1" fontId="1" fillId="0" borderId="47" xfId="0" applyNumberFormat="1" applyFont="1" applyBorder="1" applyAlignment="1">
      <alignment/>
    </xf>
    <xf numFmtId="0" fontId="1" fillId="0" borderId="3" xfId="0" applyFont="1" applyBorder="1" applyAlignment="1">
      <alignment/>
    </xf>
    <xf numFmtId="1" fontId="1" fillId="0" borderId="4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" fillId="0" borderId="37" xfId="0" applyFont="1" applyBorder="1" applyAlignment="1">
      <alignment horizontal="left"/>
    </xf>
    <xf numFmtId="1" fontId="1" fillId="0" borderId="2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" fontId="1" fillId="0" borderId="5" xfId="0" applyNumberFormat="1" applyFont="1" applyBorder="1" applyAlignment="1">
      <alignment/>
    </xf>
    <xf numFmtId="1" fontId="1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0" fillId="0" borderId="62" xfId="0" applyFont="1" applyBorder="1" applyAlignment="1">
      <alignment/>
    </xf>
    <xf numFmtId="0" fontId="0" fillId="0" borderId="7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40" xfId="0" applyFont="1" applyBorder="1" applyAlignment="1">
      <alignment/>
    </xf>
    <xf numFmtId="0" fontId="1" fillId="0" borderId="2" xfId="0" applyFont="1" applyBorder="1" applyAlignment="1">
      <alignment horizontal="center"/>
    </xf>
    <xf numFmtId="9" fontId="12" fillId="0" borderId="2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 wrapText="1"/>
    </xf>
    <xf numFmtId="0" fontId="12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4" xfId="0" applyFont="1" applyBorder="1" applyAlignment="1">
      <alignment/>
    </xf>
    <xf numFmtId="0" fontId="1" fillId="0" borderId="13" xfId="0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17" xfId="0" applyFont="1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1" fillId="0" borderId="34" xfId="0" applyNumberFormat="1" applyFont="1" applyBorder="1" applyAlignment="1">
      <alignment/>
    </xf>
    <xf numFmtId="0" fontId="0" fillId="0" borderId="38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1" fontId="1" fillId="0" borderId="24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1" fontId="1" fillId="0" borderId="3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184" fontId="1" fillId="0" borderId="2" xfId="0" applyNumberFormat="1" applyFont="1" applyBorder="1" applyAlignment="1">
      <alignment/>
    </xf>
    <xf numFmtId="184" fontId="1" fillId="0" borderId="2" xfId="0" applyNumberFormat="1" applyFont="1" applyFill="1" applyBorder="1" applyAlignment="1">
      <alignment/>
    </xf>
    <xf numFmtId="184" fontId="1" fillId="0" borderId="13" xfId="0" applyNumberFormat="1" applyFont="1" applyBorder="1" applyAlignment="1">
      <alignment/>
    </xf>
    <xf numFmtId="184" fontId="1" fillId="2" borderId="2" xfId="0" applyNumberFormat="1" applyFont="1" applyFill="1" applyBorder="1" applyAlignment="1">
      <alignment/>
    </xf>
    <xf numFmtId="1" fontId="1" fillId="2" borderId="2" xfId="0" applyNumberFormat="1" applyFont="1" applyFill="1" applyBorder="1" applyAlignment="1">
      <alignment/>
    </xf>
    <xf numFmtId="184" fontId="3" fillId="0" borderId="2" xfId="0" applyNumberFormat="1" applyFont="1" applyBorder="1" applyAlignment="1">
      <alignment/>
    </xf>
    <xf numFmtId="184" fontId="3" fillId="2" borderId="2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184" fontId="1" fillId="3" borderId="2" xfId="0" applyNumberFormat="1" applyFont="1" applyFill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left"/>
    </xf>
    <xf numFmtId="0" fontId="0" fillId="2" borderId="43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57" xfId="0" applyFont="1" applyBorder="1" applyAlignment="1">
      <alignment horizontal="right"/>
    </xf>
    <xf numFmtId="0" fontId="0" fillId="2" borderId="67" xfId="0" applyFont="1" applyFill="1" applyBorder="1" applyAlignment="1">
      <alignment/>
    </xf>
    <xf numFmtId="1" fontId="12" fillId="0" borderId="2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/>
    </xf>
    <xf numFmtId="9" fontId="1" fillId="0" borderId="2" xfId="0" applyNumberFormat="1" applyFont="1" applyBorder="1" applyAlignment="1">
      <alignment horizontal="center"/>
    </xf>
    <xf numFmtId="1" fontId="0" fillId="0" borderId="40" xfId="0" applyNumberFormat="1" applyFont="1" applyBorder="1" applyAlignment="1">
      <alignment/>
    </xf>
    <xf numFmtId="0" fontId="0" fillId="0" borderId="34" xfId="0" applyFont="1" applyBorder="1" applyAlignment="1">
      <alignment/>
    </xf>
    <xf numFmtId="1" fontId="0" fillId="0" borderId="35" xfId="0" applyNumberFormat="1" applyFont="1" applyBorder="1" applyAlignment="1">
      <alignment/>
    </xf>
    <xf numFmtId="1" fontId="1" fillId="0" borderId="2" xfId="0" applyNumberFormat="1" applyFont="1" applyBorder="1" applyAlignment="1">
      <alignment horizontal="center"/>
    </xf>
    <xf numFmtId="9" fontId="12" fillId="0" borderId="2" xfId="19" applyFont="1" applyBorder="1" applyAlignment="1">
      <alignment/>
    </xf>
    <xf numFmtId="1" fontId="12" fillId="0" borderId="0" xfId="0" applyNumberFormat="1" applyFont="1" applyBorder="1" applyAlignment="1">
      <alignment/>
    </xf>
    <xf numFmtId="184" fontId="12" fillId="0" borderId="2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37" xfId="0" applyFont="1" applyBorder="1" applyAlignment="1">
      <alignment/>
    </xf>
    <xf numFmtId="1" fontId="1" fillId="0" borderId="45" xfId="0" applyNumberFormat="1" applyFont="1" applyBorder="1" applyAlignment="1">
      <alignment/>
    </xf>
    <xf numFmtId="1" fontId="1" fillId="0" borderId="2" xfId="0" applyNumberFormat="1" applyFont="1" applyFill="1" applyBorder="1" applyAlignment="1">
      <alignment/>
    </xf>
    <xf numFmtId="1" fontId="3" fillId="0" borderId="16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1" fillId="0" borderId="18" xfId="0" applyFont="1" applyBorder="1" applyAlignment="1">
      <alignment horizontal="left"/>
    </xf>
    <xf numFmtId="1" fontId="3" fillId="0" borderId="24" xfId="0" applyNumberFormat="1" applyFont="1" applyBorder="1" applyAlignment="1">
      <alignment/>
    </xf>
    <xf numFmtId="1" fontId="3" fillId="0" borderId="5" xfId="0" applyNumberFormat="1" applyFont="1" applyFill="1" applyBorder="1" applyAlignment="1">
      <alignment/>
    </xf>
    <xf numFmtId="1" fontId="3" fillId="0" borderId="17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0" xfId="0" applyNumberFormat="1" applyFont="1" applyAlignment="1">
      <alignment horizontal="center"/>
    </xf>
    <xf numFmtId="1" fontId="0" fillId="0" borderId="2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31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38" fontId="0" fillId="0" borderId="40" xfId="0" applyNumberFormat="1" applyFont="1" applyBorder="1" applyAlignment="1">
      <alignment/>
    </xf>
    <xf numFmtId="38" fontId="0" fillId="0" borderId="21" xfId="0" applyNumberFormat="1" applyFont="1" applyBorder="1" applyAlignment="1">
      <alignment/>
    </xf>
    <xf numFmtId="38" fontId="0" fillId="0" borderId="35" xfId="0" applyNumberFormat="1" applyFont="1" applyBorder="1" applyAlignment="1">
      <alignment/>
    </xf>
    <xf numFmtId="1" fontId="12" fillId="0" borderId="2" xfId="0" applyNumberFormat="1" applyFont="1" applyBorder="1" applyAlignment="1">
      <alignment horizontal="right"/>
    </xf>
    <xf numFmtId="9" fontId="0" fillId="0" borderId="0" xfId="0" applyNumberFormat="1" applyFont="1" applyBorder="1" applyAlignment="1">
      <alignment/>
    </xf>
    <xf numFmtId="0" fontId="1" fillId="0" borderId="32" xfId="0" applyFont="1" applyBorder="1" applyAlignment="1">
      <alignment horizontal="left" wrapText="1"/>
    </xf>
    <xf numFmtId="0" fontId="1" fillId="0" borderId="34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47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1" fontId="12" fillId="0" borderId="5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4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2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190" fontId="0" fillId="0" borderId="36" xfId="0" applyNumberFormat="1" applyBorder="1" applyAlignment="1">
      <alignment/>
    </xf>
    <xf numFmtId="2" fontId="1" fillId="0" borderId="36" xfId="19" applyNumberFormat="1" applyFont="1" applyBorder="1" applyAlignment="1">
      <alignment/>
    </xf>
    <xf numFmtId="0" fontId="10" fillId="0" borderId="0" xfId="0" applyFont="1" applyBorder="1" applyAlignment="1">
      <alignment/>
    </xf>
    <xf numFmtId="9" fontId="0" fillId="0" borderId="0" xfId="19" applyFont="1" applyAlignment="1">
      <alignment/>
    </xf>
    <xf numFmtId="38" fontId="0" fillId="0" borderId="0" xfId="0" applyNumberFormat="1" applyFont="1" applyAlignment="1">
      <alignment/>
    </xf>
    <xf numFmtId="38" fontId="0" fillId="0" borderId="0" xfId="16" applyFont="1" applyAlignment="1">
      <alignment horizontal="right"/>
    </xf>
    <xf numFmtId="9" fontId="15" fillId="0" borderId="0" xfId="19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33" xfId="0" applyFont="1" applyBorder="1" applyAlignment="1">
      <alignment horizontal="right"/>
    </xf>
    <xf numFmtId="0" fontId="1" fillId="0" borderId="33" xfId="0" applyFont="1" applyBorder="1" applyAlignment="1">
      <alignment/>
    </xf>
    <xf numFmtId="9" fontId="0" fillId="0" borderId="33" xfId="19" applyFont="1" applyBorder="1" applyAlignment="1">
      <alignment/>
    </xf>
    <xf numFmtId="0" fontId="1" fillId="0" borderId="33" xfId="0" applyFont="1" applyBorder="1" applyAlignment="1">
      <alignment horizontal="right"/>
    </xf>
    <xf numFmtId="0" fontId="0" fillId="0" borderId="8" xfId="0" applyFont="1" applyBorder="1" applyAlignment="1">
      <alignment/>
    </xf>
    <xf numFmtId="3" fontId="0" fillId="0" borderId="33" xfId="16" applyNumberFormat="1" applyFont="1" applyBorder="1" applyAlignment="1">
      <alignment/>
    </xf>
    <xf numFmtId="3" fontId="12" fillId="0" borderId="33" xfId="16" applyNumberFormat="1" applyFont="1" applyBorder="1" applyAlignment="1">
      <alignment/>
    </xf>
    <xf numFmtId="3" fontId="15" fillId="0" borderId="33" xfId="16" applyNumberFormat="1" applyFont="1" applyBorder="1" applyAlignment="1">
      <alignment/>
    </xf>
    <xf numFmtId="3" fontId="1" fillId="0" borderId="33" xfId="16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3" xfId="0" applyNumberFormat="1" applyFont="1" applyBorder="1" applyAlignment="1">
      <alignment horizontal="right"/>
    </xf>
    <xf numFmtId="3" fontId="1" fillId="0" borderId="33" xfId="0" applyNumberFormat="1" applyFont="1" applyBorder="1" applyAlignment="1">
      <alignment/>
    </xf>
    <xf numFmtId="3" fontId="0" fillId="0" borderId="33" xfId="19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2" fillId="0" borderId="33" xfId="0" applyNumberFormat="1" applyFont="1" applyBorder="1" applyAlignment="1">
      <alignment/>
    </xf>
    <xf numFmtId="3" fontId="15" fillId="0" borderId="33" xfId="0" applyNumberFormat="1" applyFont="1" applyBorder="1" applyAlignment="1">
      <alignment/>
    </xf>
    <xf numFmtId="3" fontId="12" fillId="0" borderId="33" xfId="0" applyNumberFormat="1" applyFont="1" applyBorder="1" applyAlignment="1">
      <alignment/>
    </xf>
    <xf numFmtId="3" fontId="2" fillId="0" borderId="33" xfId="19" applyNumberFormat="1" applyFont="1" applyBorder="1" applyAlignment="1">
      <alignment/>
    </xf>
    <xf numFmtId="3" fontId="15" fillId="0" borderId="33" xfId="19" applyNumberFormat="1" applyFont="1" applyBorder="1" applyAlignment="1">
      <alignment/>
    </xf>
    <xf numFmtId="3" fontId="12" fillId="0" borderId="33" xfId="19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3" xfId="16" applyNumberFormat="1" applyFont="1" applyBorder="1" applyAlignment="1">
      <alignment/>
    </xf>
    <xf numFmtId="3" fontId="2" fillId="0" borderId="33" xfId="16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15" sqref="A15"/>
    </sheetView>
  </sheetViews>
  <sheetFormatPr defaultColWidth="11.19921875" defaultRowHeight="14.25"/>
  <cols>
    <col min="1" max="1" width="39.09765625" style="0" customWidth="1"/>
    <col min="2" max="2" width="12.09765625" style="0" customWidth="1"/>
    <col min="3" max="3" width="11.8984375" style="0" customWidth="1"/>
    <col min="4" max="4" width="37.59765625" style="0" customWidth="1"/>
    <col min="5" max="16384" width="8.69921875" style="0" customWidth="1"/>
  </cols>
  <sheetData>
    <row r="1" spans="1:2" ht="18">
      <c r="A1" s="147" t="s">
        <v>447</v>
      </c>
      <c r="B1" t="s">
        <v>448</v>
      </c>
    </row>
    <row r="2" ht="15.75" thickBot="1"/>
    <row r="3" spans="1:4" ht="15.75" thickBot="1">
      <c r="A3" s="16" t="s">
        <v>449</v>
      </c>
      <c r="B3" s="23" t="s">
        <v>447</v>
      </c>
      <c r="C3" s="23" t="s">
        <v>450</v>
      </c>
      <c r="D3" s="21" t="s">
        <v>451</v>
      </c>
    </row>
    <row r="4" spans="1:4" ht="15">
      <c r="A4" s="33" t="s">
        <v>452</v>
      </c>
      <c r="B4" s="217">
        <v>4</v>
      </c>
      <c r="C4" s="8">
        <v>4</v>
      </c>
      <c r="D4" s="30" t="s">
        <v>453</v>
      </c>
    </row>
    <row r="5" spans="1:4" ht="15">
      <c r="A5" s="33" t="s">
        <v>454</v>
      </c>
      <c r="B5" s="217">
        <v>4</v>
      </c>
      <c r="C5" s="8">
        <v>4</v>
      </c>
      <c r="D5" s="30" t="s">
        <v>453</v>
      </c>
    </row>
    <row r="6" spans="1:4" ht="15">
      <c r="A6" s="33" t="s">
        <v>455</v>
      </c>
      <c r="B6" s="217">
        <v>4</v>
      </c>
      <c r="C6" s="8">
        <v>4</v>
      </c>
      <c r="D6" s="30" t="s">
        <v>453</v>
      </c>
    </row>
    <row r="7" spans="1:4" ht="15">
      <c r="A7" s="33" t="s">
        <v>456</v>
      </c>
      <c r="B7" s="217">
        <v>8</v>
      </c>
      <c r="C7" s="8">
        <v>8</v>
      </c>
      <c r="D7" s="30" t="s">
        <v>457</v>
      </c>
    </row>
    <row r="8" spans="1:4" ht="15">
      <c r="A8" s="33" t="s">
        <v>458</v>
      </c>
      <c r="B8" s="217">
        <v>9</v>
      </c>
      <c r="C8" s="8">
        <v>9</v>
      </c>
      <c r="D8" s="30" t="s">
        <v>457</v>
      </c>
    </row>
    <row r="9" spans="1:4" ht="16.5" customHeight="1">
      <c r="A9" s="33" t="s">
        <v>459</v>
      </c>
      <c r="B9" s="217">
        <v>6</v>
      </c>
      <c r="C9" s="8">
        <v>6</v>
      </c>
      <c r="D9" s="31" t="s">
        <v>453</v>
      </c>
    </row>
    <row r="10" spans="1:4" ht="15">
      <c r="A10" s="33" t="s">
        <v>460</v>
      </c>
      <c r="B10" s="217">
        <v>6</v>
      </c>
      <c r="C10" s="8">
        <v>6</v>
      </c>
      <c r="D10" s="30" t="s">
        <v>453</v>
      </c>
    </row>
    <row r="11" spans="1:4" ht="13.5" customHeight="1">
      <c r="A11" s="33" t="s">
        <v>461</v>
      </c>
      <c r="B11" s="217">
        <v>6</v>
      </c>
      <c r="C11" s="8">
        <v>6</v>
      </c>
      <c r="D11" s="31" t="s">
        <v>453</v>
      </c>
    </row>
    <row r="12" spans="1:4" ht="15.75" thickBot="1">
      <c r="A12" s="34" t="s">
        <v>462</v>
      </c>
      <c r="B12" s="218">
        <v>6</v>
      </c>
      <c r="C12" s="11">
        <v>6</v>
      </c>
      <c r="D12" s="32" t="s">
        <v>453</v>
      </c>
    </row>
    <row r="13" ht="13.5" customHeight="1"/>
    <row r="15" ht="11.25" customHeight="1"/>
    <row r="16" ht="15.75" thickBot="1">
      <c r="A16" s="4" t="s">
        <v>463</v>
      </c>
    </row>
    <row r="17" spans="1:4" ht="15.75" thickBot="1">
      <c r="A17" s="16" t="s">
        <v>463</v>
      </c>
      <c r="B17" s="23" t="s">
        <v>464</v>
      </c>
      <c r="C17" s="23" t="s">
        <v>465</v>
      </c>
      <c r="D17" s="21" t="s">
        <v>451</v>
      </c>
    </row>
    <row r="18" spans="1:4" ht="15">
      <c r="A18" s="93" t="s">
        <v>466</v>
      </c>
      <c r="B18" s="8" t="s">
        <v>467</v>
      </c>
      <c r="C18" s="8">
        <v>3</v>
      </c>
      <c r="D18" s="30" t="s">
        <v>468</v>
      </c>
    </row>
    <row r="19" spans="1:4" ht="15">
      <c r="A19" s="93"/>
      <c r="B19" s="8" t="s">
        <v>469</v>
      </c>
      <c r="C19" s="8">
        <v>3</v>
      </c>
      <c r="D19" s="30" t="s">
        <v>468</v>
      </c>
    </row>
    <row r="20" spans="1:4" ht="15">
      <c r="A20" s="93"/>
      <c r="B20" s="8" t="s">
        <v>470</v>
      </c>
      <c r="C20" s="8">
        <v>3</v>
      </c>
      <c r="D20" s="30"/>
    </row>
    <row r="21" spans="1:4" ht="15">
      <c r="A21" s="134" t="s">
        <v>453</v>
      </c>
      <c r="B21" s="8" t="s">
        <v>471</v>
      </c>
      <c r="C21" s="8">
        <v>4</v>
      </c>
      <c r="D21" s="30"/>
    </row>
    <row r="22" spans="1:4" ht="15">
      <c r="A22" s="93"/>
      <c r="B22" s="8" t="s">
        <v>472</v>
      </c>
      <c r="C22" s="8">
        <v>4</v>
      </c>
      <c r="D22" s="30"/>
    </row>
    <row r="23" spans="1:4" ht="15">
      <c r="A23" s="93"/>
      <c r="B23" s="8" t="s">
        <v>473</v>
      </c>
      <c r="C23" s="8">
        <v>6</v>
      </c>
      <c r="D23" s="30"/>
    </row>
    <row r="24" spans="1:4" ht="15">
      <c r="A24" s="93"/>
      <c r="B24" s="8" t="s">
        <v>474</v>
      </c>
      <c r="C24" s="8">
        <v>6</v>
      </c>
      <c r="D24" s="30"/>
    </row>
    <row r="25" spans="1:4" ht="15">
      <c r="A25" s="93"/>
      <c r="B25" s="8" t="s">
        <v>461</v>
      </c>
      <c r="C25" s="107">
        <v>6</v>
      </c>
      <c r="D25" s="30"/>
    </row>
    <row r="26" spans="1:4" ht="15">
      <c r="A26" s="119"/>
      <c r="B26" s="8" t="s">
        <v>470</v>
      </c>
      <c r="C26" s="107">
        <v>6</v>
      </c>
      <c r="D26" s="30"/>
    </row>
    <row r="27" spans="1:4" ht="15">
      <c r="A27" s="93" t="s">
        <v>475</v>
      </c>
      <c r="B27" s="8" t="s">
        <v>476</v>
      </c>
      <c r="C27" s="136">
        <v>8</v>
      </c>
      <c r="D27" s="30"/>
    </row>
    <row r="28" spans="1:4" ht="15">
      <c r="A28" s="93"/>
      <c r="B28" s="8" t="s">
        <v>477</v>
      </c>
      <c r="C28" s="136">
        <v>9</v>
      </c>
      <c r="D28" s="30"/>
    </row>
    <row r="29" spans="1:4" ht="15">
      <c r="A29" s="134" t="s">
        <v>478</v>
      </c>
      <c r="B29" s="8" t="s">
        <v>476</v>
      </c>
      <c r="C29" s="137" t="s">
        <v>479</v>
      </c>
      <c r="D29" s="30"/>
    </row>
    <row r="30" spans="1:4" ht="15.75" thickBot="1">
      <c r="A30" s="96"/>
      <c r="B30" s="11" t="s">
        <v>477</v>
      </c>
      <c r="C30" s="11">
        <v>5</v>
      </c>
      <c r="D30" s="32"/>
    </row>
  </sheetData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75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58"/>
  <sheetViews>
    <sheetView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11.19921875" defaultRowHeight="14.25"/>
  <cols>
    <col min="1" max="1" width="39.3984375" style="605" customWidth="1"/>
    <col min="2" max="2" width="0.1015625" style="605" hidden="1" customWidth="1"/>
    <col min="3" max="3" width="13.8984375" style="605" customWidth="1"/>
    <col min="4" max="4" width="13.69921875" style="605" customWidth="1"/>
    <col min="5" max="5" width="11.09765625" style="605" customWidth="1"/>
    <col min="6" max="6" width="11.3984375" style="605" customWidth="1"/>
    <col min="7" max="7" width="10.8984375" style="605" customWidth="1"/>
    <col min="8" max="9" width="12" style="605" customWidth="1"/>
    <col min="10" max="10" width="14.09765625" style="605" customWidth="1"/>
    <col min="11" max="11" width="15.09765625" style="605" customWidth="1"/>
    <col min="12" max="12" width="13.09765625" style="605" customWidth="1"/>
    <col min="13" max="13" width="12" style="605" customWidth="1"/>
    <col min="14" max="14" width="9.8984375" style="605" customWidth="1"/>
    <col min="15" max="15" width="11.3984375" style="605" customWidth="1"/>
    <col min="16" max="16384" width="8.69921875" style="605" customWidth="1"/>
  </cols>
  <sheetData>
    <row r="1" spans="1:2" ht="18">
      <c r="A1" s="792" t="s">
        <v>480</v>
      </c>
      <c r="B1" s="443"/>
    </row>
    <row r="2" ht="15">
      <c r="A2" s="443"/>
    </row>
    <row r="3" ht="15">
      <c r="A3" s="605" t="s">
        <v>45</v>
      </c>
    </row>
    <row r="4" ht="15">
      <c r="A4" s="605" t="s">
        <v>46</v>
      </c>
    </row>
    <row r="5" ht="15">
      <c r="A5" s="605" t="s">
        <v>43</v>
      </c>
    </row>
    <row r="6" ht="15">
      <c r="A6" s="443"/>
    </row>
    <row r="7" ht="15">
      <c r="A7" s="443"/>
    </row>
    <row r="8" spans="1:15" s="814" customFormat="1" ht="15">
      <c r="A8" s="668" t="s">
        <v>449</v>
      </c>
      <c r="B8" s="638" t="s">
        <v>481</v>
      </c>
      <c r="C8" s="638" t="s">
        <v>463</v>
      </c>
      <c r="D8" s="694">
        <v>1990</v>
      </c>
      <c r="E8" s="694">
        <v>1991</v>
      </c>
      <c r="F8" s="694">
        <v>1992</v>
      </c>
      <c r="G8" s="694">
        <v>1993</v>
      </c>
      <c r="H8" s="694">
        <v>1994</v>
      </c>
      <c r="I8" s="694">
        <v>1995</v>
      </c>
      <c r="J8" s="694">
        <v>1996</v>
      </c>
      <c r="K8" s="694">
        <v>1997</v>
      </c>
      <c r="L8" s="694">
        <v>1998</v>
      </c>
      <c r="M8" s="694">
        <v>1999</v>
      </c>
      <c r="N8" s="694" t="s">
        <v>493</v>
      </c>
      <c r="O8" s="467" t="s">
        <v>451</v>
      </c>
    </row>
    <row r="9" spans="1:14" ht="15">
      <c r="A9" s="811"/>
      <c r="B9" s="699"/>
      <c r="C9" s="699"/>
      <c r="D9" s="699"/>
      <c r="E9" s="699"/>
      <c r="F9" s="699"/>
      <c r="G9" s="699"/>
      <c r="H9" s="699"/>
      <c r="I9" s="699"/>
      <c r="J9" s="699"/>
      <c r="K9" s="699"/>
      <c r="L9" s="699"/>
      <c r="M9" s="699"/>
      <c r="N9" s="699"/>
    </row>
    <row r="10" spans="1:14" ht="15" hidden="1">
      <c r="A10" s="699"/>
      <c r="B10" s="699"/>
      <c r="C10" s="699"/>
      <c r="D10" s="699">
        <v>1990</v>
      </c>
      <c r="E10" s="699">
        <v>1991</v>
      </c>
      <c r="F10" s="699">
        <v>1992</v>
      </c>
      <c r="G10" s="699">
        <v>1993</v>
      </c>
      <c r="H10" s="699">
        <v>1994</v>
      </c>
      <c r="I10" s="699">
        <v>1995</v>
      </c>
      <c r="J10" s="699">
        <v>1996</v>
      </c>
      <c r="K10" s="699">
        <v>1997</v>
      </c>
      <c r="L10" s="699">
        <v>1998</v>
      </c>
      <c r="M10" s="810" t="s">
        <v>482</v>
      </c>
      <c r="N10" s="810" t="s">
        <v>483</v>
      </c>
    </row>
    <row r="11" spans="1:15" ht="15">
      <c r="A11" s="811" t="s">
        <v>484</v>
      </c>
      <c r="B11" s="699">
        <v>4</v>
      </c>
      <c r="C11" s="699" t="s">
        <v>475</v>
      </c>
      <c r="D11" s="815">
        <v>9249</v>
      </c>
      <c r="E11" s="815">
        <v>9532</v>
      </c>
      <c r="F11" s="815">
        <v>11844</v>
      </c>
      <c r="G11" s="815">
        <v>15691</v>
      </c>
      <c r="H11" s="815">
        <v>18289</v>
      </c>
      <c r="I11" s="815">
        <v>22377</v>
      </c>
      <c r="J11" s="816">
        <v>26583</v>
      </c>
      <c r="K11" s="816">
        <v>31800</v>
      </c>
      <c r="L11" s="817">
        <v>36700</v>
      </c>
      <c r="M11" s="817">
        <v>42570</v>
      </c>
      <c r="N11" s="818">
        <f>SUM(J11:M11)</f>
        <v>137653</v>
      </c>
      <c r="O11" s="699" t="s">
        <v>491</v>
      </c>
    </row>
    <row r="12" spans="1:14" ht="15" hidden="1">
      <c r="A12" s="811"/>
      <c r="B12" s="699"/>
      <c r="C12" s="699"/>
      <c r="D12" s="819"/>
      <c r="E12" s="819"/>
      <c r="F12" s="819"/>
      <c r="G12" s="819"/>
      <c r="H12" s="820" t="s">
        <v>485</v>
      </c>
      <c r="I12" s="820" t="s">
        <v>486</v>
      </c>
      <c r="J12" s="820" t="s">
        <v>487</v>
      </c>
      <c r="K12" s="820" t="s">
        <v>488</v>
      </c>
      <c r="L12" s="821"/>
      <c r="M12" s="821" t="s">
        <v>489</v>
      </c>
      <c r="N12" s="821"/>
    </row>
    <row r="13" spans="1:14" ht="15" hidden="1">
      <c r="A13" s="811" t="s">
        <v>489</v>
      </c>
      <c r="B13" s="699"/>
      <c r="C13" s="699" t="s">
        <v>490</v>
      </c>
      <c r="D13" s="819"/>
      <c r="E13" s="819"/>
      <c r="F13" s="819"/>
      <c r="G13" s="819"/>
      <c r="H13" s="822" t="e">
        <f>(#REF!/#REF!)^(1/4)-1</f>
        <v>#REF!</v>
      </c>
      <c r="I13" s="822" t="e">
        <f>(#REF!/#REF!)^(1/3)-1</f>
        <v>#REF!</v>
      </c>
      <c r="J13" s="822" t="e">
        <f>(#REF!/#REF!)^(1/2)-1</f>
        <v>#REF!</v>
      </c>
      <c r="K13" s="822" t="e">
        <f>(#REF!/#REF!)-1</f>
        <v>#REF!</v>
      </c>
      <c r="L13" s="821" t="s">
        <v>489</v>
      </c>
      <c r="M13" s="821"/>
      <c r="N13" s="821"/>
    </row>
    <row r="14" spans="1:14" ht="15">
      <c r="A14" s="811"/>
      <c r="B14" s="699"/>
      <c r="C14" s="699"/>
      <c r="D14" s="819"/>
      <c r="E14" s="819"/>
      <c r="F14" s="819"/>
      <c r="G14" s="819"/>
      <c r="H14" s="819" t="s">
        <v>489</v>
      </c>
      <c r="I14" s="821"/>
      <c r="J14" s="821"/>
      <c r="K14" s="821"/>
      <c r="L14" s="823"/>
      <c r="M14" s="821"/>
      <c r="N14" s="821"/>
    </row>
    <row r="15" spans="1:14" ht="15">
      <c r="A15" s="811"/>
      <c r="B15" s="699"/>
      <c r="C15" s="699"/>
      <c r="D15" s="819"/>
      <c r="E15" s="819"/>
      <c r="F15" s="819"/>
      <c r="G15" s="819"/>
      <c r="H15" s="819"/>
      <c r="I15" s="821"/>
      <c r="J15" s="821"/>
      <c r="K15" s="821"/>
      <c r="L15" s="819"/>
      <c r="M15" s="821"/>
      <c r="N15" s="821"/>
    </row>
    <row r="16" spans="1:14" ht="15" hidden="1">
      <c r="A16" s="811"/>
      <c r="B16" s="699"/>
      <c r="C16" s="699"/>
      <c r="D16" s="819">
        <v>1990</v>
      </c>
      <c r="E16" s="819">
        <v>1991</v>
      </c>
      <c r="F16" s="819">
        <v>1992</v>
      </c>
      <c r="G16" s="819">
        <v>1993</v>
      </c>
      <c r="H16" s="819">
        <v>1994</v>
      </c>
      <c r="I16" s="819">
        <v>1995</v>
      </c>
      <c r="J16" s="819">
        <v>1996</v>
      </c>
      <c r="K16" s="819">
        <v>1997</v>
      </c>
      <c r="L16" s="819">
        <v>1998</v>
      </c>
      <c r="M16" s="820" t="s">
        <v>492</v>
      </c>
      <c r="N16" s="820" t="s">
        <v>493</v>
      </c>
    </row>
    <row r="17" spans="1:15" ht="15">
      <c r="A17" s="811" t="s">
        <v>454</v>
      </c>
      <c r="B17" s="699">
        <v>4</v>
      </c>
      <c r="C17" s="699" t="s">
        <v>464</v>
      </c>
      <c r="D17" s="815">
        <v>1329</v>
      </c>
      <c r="E17" s="815">
        <v>1711</v>
      </c>
      <c r="F17" s="815">
        <v>2111</v>
      </c>
      <c r="G17" s="819">
        <v>2632</v>
      </c>
      <c r="H17" s="815">
        <v>3533</v>
      </c>
      <c r="I17" s="815">
        <f>SUM(I18:I19)</f>
        <v>4268</v>
      </c>
      <c r="J17" s="816">
        <f>SUM(J18:J19)</f>
        <v>5190</v>
      </c>
      <c r="K17" s="816">
        <f>SUM(K18:K19)</f>
        <v>6025</v>
      </c>
      <c r="L17" s="816">
        <f>SUM(L18:L19)</f>
        <v>6665</v>
      </c>
      <c r="M17" s="817">
        <f>1.1*L17</f>
        <v>7331.500000000001</v>
      </c>
      <c r="N17" s="818">
        <f>SUM(I17:L17)</f>
        <v>22148</v>
      </c>
      <c r="O17" s="699" t="s">
        <v>496</v>
      </c>
    </row>
    <row r="18" spans="1:14" ht="15" hidden="1">
      <c r="A18" s="811"/>
      <c r="B18" s="699"/>
      <c r="C18" s="699"/>
      <c r="D18" s="819"/>
      <c r="E18" s="819"/>
      <c r="F18" s="819"/>
      <c r="G18" s="819" t="s">
        <v>494</v>
      </c>
      <c r="H18" s="815">
        <v>3191</v>
      </c>
      <c r="I18" s="815">
        <v>3693</v>
      </c>
      <c r="J18" s="815">
        <v>4590</v>
      </c>
      <c r="K18" s="815">
        <v>5400</v>
      </c>
      <c r="L18" s="815">
        <v>6000</v>
      </c>
      <c r="M18" s="819"/>
      <c r="N18" s="819"/>
    </row>
    <row r="19" spans="1:14" ht="15" hidden="1">
      <c r="A19" s="811"/>
      <c r="B19" s="699"/>
      <c r="C19" s="699"/>
      <c r="D19" s="819"/>
      <c r="E19" s="819"/>
      <c r="F19" s="819"/>
      <c r="G19" s="819" t="s">
        <v>495</v>
      </c>
      <c r="H19" s="819">
        <v>311</v>
      </c>
      <c r="I19" s="819">
        <v>575</v>
      </c>
      <c r="J19" s="819">
        <v>600</v>
      </c>
      <c r="K19" s="819">
        <v>625</v>
      </c>
      <c r="L19" s="819">
        <v>665</v>
      </c>
      <c r="M19" s="819"/>
      <c r="N19" s="819"/>
    </row>
    <row r="20" spans="1:14" ht="15">
      <c r="A20" s="811"/>
      <c r="B20" s="699"/>
      <c r="C20" s="699"/>
      <c r="D20" s="819"/>
      <c r="E20" s="819"/>
      <c r="F20" s="819"/>
      <c r="G20" s="819"/>
      <c r="H20" s="819"/>
      <c r="I20" s="819"/>
      <c r="J20" s="819"/>
      <c r="K20" s="819"/>
      <c r="L20" s="823"/>
      <c r="M20" s="819"/>
      <c r="N20" s="819"/>
    </row>
    <row r="21" spans="1:14" ht="15">
      <c r="A21" s="811"/>
      <c r="B21" s="699"/>
      <c r="C21" s="699"/>
      <c r="D21" s="819"/>
      <c r="E21" s="819"/>
      <c r="F21" s="819"/>
      <c r="G21" s="819"/>
      <c r="H21" s="819"/>
      <c r="I21" s="819"/>
      <c r="J21" s="819"/>
      <c r="K21" s="819"/>
      <c r="L21" s="819"/>
      <c r="M21" s="819"/>
      <c r="N21" s="819"/>
    </row>
    <row r="22" spans="1:14" ht="15" hidden="1">
      <c r="A22" s="811"/>
      <c r="B22" s="699"/>
      <c r="C22" s="699"/>
      <c r="D22" s="819">
        <v>1990</v>
      </c>
      <c r="E22" s="819">
        <v>1991</v>
      </c>
      <c r="F22" s="819">
        <v>1992</v>
      </c>
      <c r="G22" s="819">
        <v>1993</v>
      </c>
      <c r="H22" s="819">
        <v>1994</v>
      </c>
      <c r="I22" s="819">
        <v>1995</v>
      </c>
      <c r="J22" s="819">
        <v>1996</v>
      </c>
      <c r="K22" s="819">
        <v>1997</v>
      </c>
      <c r="L22" s="819">
        <v>1998</v>
      </c>
      <c r="M22" s="820">
        <v>1999</v>
      </c>
      <c r="N22" s="820" t="s">
        <v>493</v>
      </c>
    </row>
    <row r="23" spans="1:15" ht="15">
      <c r="A23" s="811" t="s">
        <v>497</v>
      </c>
      <c r="B23" s="699"/>
      <c r="C23" s="699" t="s">
        <v>498</v>
      </c>
      <c r="D23" s="824">
        <f aca="true" t="shared" si="0" ref="D23:M23">D11-D17</f>
        <v>7920</v>
      </c>
      <c r="E23" s="824">
        <f t="shared" si="0"/>
        <v>7821</v>
      </c>
      <c r="F23" s="824">
        <f t="shared" si="0"/>
        <v>9733</v>
      </c>
      <c r="G23" s="824">
        <f t="shared" si="0"/>
        <v>13059</v>
      </c>
      <c r="H23" s="824">
        <f t="shared" si="0"/>
        <v>14756</v>
      </c>
      <c r="I23" s="824">
        <f t="shared" si="0"/>
        <v>18109</v>
      </c>
      <c r="J23" s="825">
        <f t="shared" si="0"/>
        <v>21393</v>
      </c>
      <c r="K23" s="825">
        <f t="shared" si="0"/>
        <v>25775</v>
      </c>
      <c r="L23" s="825">
        <f t="shared" si="0"/>
        <v>30035</v>
      </c>
      <c r="M23" s="825">
        <f t="shared" si="0"/>
        <v>35238.5</v>
      </c>
      <c r="N23" s="821">
        <f>SUM(J23:M23)</f>
        <v>112441.5</v>
      </c>
      <c r="O23" s="699" t="s">
        <v>499</v>
      </c>
    </row>
    <row r="24" spans="1:14" ht="15">
      <c r="A24" s="811"/>
      <c r="B24" s="699"/>
      <c r="D24" s="819"/>
      <c r="E24" s="819"/>
      <c r="F24" s="819"/>
      <c r="G24" s="819"/>
      <c r="H24" s="819"/>
      <c r="I24" s="819"/>
      <c r="J24" s="819"/>
      <c r="K24" s="819"/>
      <c r="L24" s="819"/>
      <c r="M24" s="819"/>
      <c r="N24" s="819"/>
    </row>
    <row r="25" spans="1:14" ht="15" customHeight="1">
      <c r="A25" s="811"/>
      <c r="B25" s="699"/>
      <c r="C25" s="699"/>
      <c r="D25" s="819"/>
      <c r="E25" s="819"/>
      <c r="F25" s="819"/>
      <c r="G25" s="819"/>
      <c r="H25" s="819"/>
      <c r="I25" s="821"/>
      <c r="J25" s="821"/>
      <c r="K25" s="821"/>
      <c r="L25" s="819"/>
      <c r="M25" s="821"/>
      <c r="N25" s="821"/>
    </row>
    <row r="26" spans="1:14" ht="15.75" customHeight="1" hidden="1" thickBot="1">
      <c r="A26" s="811"/>
      <c r="B26" s="699"/>
      <c r="C26" s="699"/>
      <c r="D26" s="819">
        <v>1990</v>
      </c>
      <c r="E26" s="819">
        <v>1991</v>
      </c>
      <c r="F26" s="819">
        <v>1992</v>
      </c>
      <c r="G26" s="819">
        <v>1993</v>
      </c>
      <c r="H26" s="819">
        <v>1994</v>
      </c>
      <c r="I26" s="819">
        <v>1995</v>
      </c>
      <c r="J26" s="819">
        <v>1996</v>
      </c>
      <c r="K26" s="819">
        <v>1997</v>
      </c>
      <c r="L26" s="819">
        <v>1998</v>
      </c>
      <c r="M26" s="820" t="s">
        <v>500</v>
      </c>
      <c r="N26" s="820" t="s">
        <v>493</v>
      </c>
    </row>
    <row r="27" spans="1:15" ht="15">
      <c r="A27" s="811" t="s">
        <v>476</v>
      </c>
      <c r="B27" s="699">
        <v>8</v>
      </c>
      <c r="C27" s="699" t="s">
        <v>475</v>
      </c>
      <c r="D27" s="819">
        <v>232</v>
      </c>
      <c r="E27" s="819">
        <v>237</v>
      </c>
      <c r="F27" s="826">
        <v>242</v>
      </c>
      <c r="G27" s="826">
        <v>247</v>
      </c>
      <c r="H27" s="826">
        <v>252</v>
      </c>
      <c r="I27" s="826">
        <v>256</v>
      </c>
      <c r="J27" s="826">
        <v>252</v>
      </c>
      <c r="K27" s="826">
        <v>263</v>
      </c>
      <c r="L27" s="826">
        <v>255</v>
      </c>
      <c r="M27" s="825">
        <f>L27</f>
        <v>255</v>
      </c>
      <c r="N27" s="818">
        <f>SUM(F27:M27)</f>
        <v>2022</v>
      </c>
      <c r="O27" s="699" t="s">
        <v>501</v>
      </c>
    </row>
    <row r="28" spans="1:14" ht="15">
      <c r="A28" s="811"/>
      <c r="B28" s="699"/>
      <c r="C28" s="699"/>
      <c r="D28" s="819"/>
      <c r="E28" s="819"/>
      <c r="F28" s="822"/>
      <c r="G28" s="822"/>
      <c r="H28" s="822"/>
      <c r="I28" s="822"/>
      <c r="J28" s="819"/>
      <c r="K28" s="819"/>
      <c r="L28" s="823"/>
      <c r="M28" s="819"/>
      <c r="N28" s="819"/>
    </row>
    <row r="29" spans="1:14" ht="15">
      <c r="A29" s="811"/>
      <c r="B29" s="699"/>
      <c r="C29" s="699"/>
      <c r="D29" s="819"/>
      <c r="E29" s="819"/>
      <c r="F29" s="819"/>
      <c r="G29" s="819"/>
      <c r="H29" s="819"/>
      <c r="I29" s="819"/>
      <c r="J29" s="819"/>
      <c r="K29" s="819"/>
      <c r="L29" s="819"/>
      <c r="M29" s="819"/>
      <c r="N29" s="819"/>
    </row>
    <row r="30" spans="1:14" ht="15" hidden="1">
      <c r="A30" s="811"/>
      <c r="B30" s="699"/>
      <c r="C30" s="699"/>
      <c r="D30" s="819">
        <v>1990</v>
      </c>
      <c r="E30" s="819">
        <v>1991</v>
      </c>
      <c r="F30" s="819">
        <v>1992</v>
      </c>
      <c r="G30" s="819">
        <v>1993</v>
      </c>
      <c r="H30" s="819">
        <v>1994</v>
      </c>
      <c r="I30" s="819">
        <v>1995</v>
      </c>
      <c r="J30" s="819">
        <v>1996</v>
      </c>
      <c r="K30" s="819">
        <v>1997</v>
      </c>
      <c r="L30" s="819">
        <v>1998</v>
      </c>
      <c r="M30" s="820" t="s">
        <v>500</v>
      </c>
      <c r="N30" s="820" t="s">
        <v>493</v>
      </c>
    </row>
    <row r="31" spans="1:14" ht="15">
      <c r="A31" s="811" t="s">
        <v>477</v>
      </c>
      <c r="B31" s="699">
        <v>9</v>
      </c>
      <c r="C31" s="699" t="s">
        <v>502</v>
      </c>
      <c r="D31" s="819">
        <v>12</v>
      </c>
      <c r="E31" s="826">
        <v>12</v>
      </c>
      <c r="F31" s="826">
        <v>12</v>
      </c>
      <c r="G31" s="826">
        <v>12</v>
      </c>
      <c r="H31" s="826">
        <v>12</v>
      </c>
      <c r="I31" s="826">
        <v>11</v>
      </c>
      <c r="J31" s="826">
        <v>12</v>
      </c>
      <c r="K31" s="826">
        <v>12</v>
      </c>
      <c r="L31" s="826">
        <v>12</v>
      </c>
      <c r="M31" s="825">
        <f>L31</f>
        <v>12</v>
      </c>
      <c r="N31" s="821">
        <f>SUM(E31:M31)</f>
        <v>107</v>
      </c>
    </row>
    <row r="32" spans="1:14" ht="15">
      <c r="A32" s="811"/>
      <c r="B32" s="699"/>
      <c r="C32" s="699"/>
      <c r="D32" s="819" t="s">
        <v>489</v>
      </c>
      <c r="E32" s="819"/>
      <c r="F32" s="819"/>
      <c r="G32" s="819"/>
      <c r="H32" s="819"/>
      <c r="I32" s="819" t="s">
        <v>489</v>
      </c>
      <c r="J32" s="819"/>
      <c r="K32" s="819"/>
      <c r="L32" s="819"/>
      <c r="M32" s="819"/>
      <c r="N32" s="819"/>
    </row>
    <row r="33" spans="1:14" ht="15" hidden="1">
      <c r="A33" s="811"/>
      <c r="B33" s="699"/>
      <c r="C33" s="699"/>
      <c r="D33" s="819"/>
      <c r="E33" s="819"/>
      <c r="F33" s="819"/>
      <c r="G33" s="819"/>
      <c r="H33" s="819"/>
      <c r="I33" s="821"/>
      <c r="J33" s="821"/>
      <c r="K33" s="821"/>
      <c r="L33" s="821"/>
      <c r="M33" s="821"/>
      <c r="N33" s="821"/>
    </row>
    <row r="34" spans="1:14" ht="15" hidden="1">
      <c r="A34" s="811"/>
      <c r="B34" s="699"/>
      <c r="C34" s="699"/>
      <c r="D34" s="819">
        <v>1990</v>
      </c>
      <c r="E34" s="819">
        <v>1991</v>
      </c>
      <c r="F34" s="819">
        <v>1992</v>
      </c>
      <c r="G34" s="819">
        <v>1993</v>
      </c>
      <c r="H34" s="819">
        <v>1994</v>
      </c>
      <c r="I34" s="819">
        <v>1995</v>
      </c>
      <c r="J34" s="819">
        <v>1996</v>
      </c>
      <c r="K34" s="819">
        <v>1997</v>
      </c>
      <c r="L34" s="819">
        <v>1998</v>
      </c>
      <c r="M34" s="819">
        <v>1999</v>
      </c>
      <c r="N34" s="820" t="s">
        <v>493</v>
      </c>
    </row>
    <row r="35" spans="1:14" ht="15">
      <c r="A35" s="811" t="s">
        <v>503</v>
      </c>
      <c r="B35" s="699">
        <v>4</v>
      </c>
      <c r="C35" s="699" t="s">
        <v>504</v>
      </c>
      <c r="D35" s="815">
        <v>2840</v>
      </c>
      <c r="E35" s="815">
        <v>3005</v>
      </c>
      <c r="F35" s="815">
        <v>3130</v>
      </c>
      <c r="G35" s="815">
        <v>3225</v>
      </c>
      <c r="H35" s="815">
        <v>3310</v>
      </c>
      <c r="I35" s="815">
        <v>3350</v>
      </c>
      <c r="J35" s="816">
        <v>3300</v>
      </c>
      <c r="K35" s="816">
        <v>3310</v>
      </c>
      <c r="L35" s="817">
        <v>3340</v>
      </c>
      <c r="M35" s="817">
        <v>3380</v>
      </c>
      <c r="N35" s="818">
        <f>SUM(J35:M35)</f>
        <v>13330</v>
      </c>
    </row>
    <row r="36" spans="1:14" ht="15">
      <c r="A36" s="811"/>
      <c r="B36" s="699"/>
      <c r="C36" s="699"/>
      <c r="D36" s="819"/>
      <c r="E36" s="819"/>
      <c r="F36" s="819"/>
      <c r="G36" s="819"/>
      <c r="H36" s="819"/>
      <c r="I36" s="821"/>
      <c r="J36" s="821"/>
      <c r="K36" s="821"/>
      <c r="L36" s="821"/>
      <c r="M36" s="821"/>
      <c r="N36" s="821"/>
    </row>
    <row r="37" spans="1:14" ht="15" hidden="1">
      <c r="A37" s="811"/>
      <c r="B37" s="699"/>
      <c r="C37" s="699"/>
      <c r="D37" s="819"/>
      <c r="E37" s="819"/>
      <c r="F37" s="819"/>
      <c r="G37" s="819"/>
      <c r="H37" s="819"/>
      <c r="I37" s="821"/>
      <c r="J37" s="821"/>
      <c r="K37" s="821"/>
      <c r="L37" s="819"/>
      <c r="M37" s="819"/>
      <c r="N37" s="821"/>
    </row>
    <row r="38" spans="1:14" ht="15" hidden="1">
      <c r="A38" s="811"/>
      <c r="B38" s="699"/>
      <c r="C38" s="699"/>
      <c r="D38" s="819"/>
      <c r="E38" s="819"/>
      <c r="F38" s="819"/>
      <c r="G38" s="819"/>
      <c r="H38" s="819"/>
      <c r="I38" s="819"/>
      <c r="J38" s="819"/>
      <c r="K38" s="819"/>
      <c r="L38" s="819"/>
      <c r="M38" s="819"/>
      <c r="N38" s="819"/>
    </row>
    <row r="39" spans="1:14" ht="15" hidden="1">
      <c r="A39" s="811"/>
      <c r="B39" s="699"/>
      <c r="C39" s="699"/>
      <c r="D39" s="819">
        <v>1990</v>
      </c>
      <c r="E39" s="819">
        <v>1991</v>
      </c>
      <c r="F39" s="819">
        <v>1992</v>
      </c>
      <c r="G39" s="819">
        <v>1993</v>
      </c>
      <c r="H39" s="819">
        <v>1994</v>
      </c>
      <c r="I39" s="819">
        <v>1995</v>
      </c>
      <c r="J39" s="819">
        <v>1996</v>
      </c>
      <c r="K39" s="819">
        <v>1997</v>
      </c>
      <c r="L39" s="819">
        <v>1998</v>
      </c>
      <c r="M39" s="820">
        <v>1999</v>
      </c>
      <c r="N39" s="820" t="s">
        <v>493</v>
      </c>
    </row>
    <row r="40" spans="1:15" ht="15">
      <c r="A40" s="811" t="s">
        <v>505</v>
      </c>
      <c r="B40" s="699">
        <v>6</v>
      </c>
      <c r="C40" s="699" t="s">
        <v>502</v>
      </c>
      <c r="D40" s="815">
        <v>2963</v>
      </c>
      <c r="E40" s="815">
        <v>2900</v>
      </c>
      <c r="F40" s="815">
        <v>2900</v>
      </c>
      <c r="G40" s="815">
        <v>3350</v>
      </c>
      <c r="H40" s="816">
        <v>4100</v>
      </c>
      <c r="I40" s="816">
        <v>4000</v>
      </c>
      <c r="J40" s="816">
        <v>3850</v>
      </c>
      <c r="K40" s="817">
        <v>4050</v>
      </c>
      <c r="L40" s="817">
        <v>4175</v>
      </c>
      <c r="M40" s="817">
        <v>4300</v>
      </c>
      <c r="N40" s="818">
        <f>SUM(H40:M40)</f>
        <v>24475</v>
      </c>
      <c r="O40" s="699" t="s">
        <v>510</v>
      </c>
    </row>
    <row r="41" spans="1:14" ht="15">
      <c r="A41" s="813" t="s">
        <v>506</v>
      </c>
      <c r="B41" s="699">
        <v>6</v>
      </c>
      <c r="C41" s="699" t="s">
        <v>464</v>
      </c>
      <c r="D41" s="819">
        <v>763</v>
      </c>
      <c r="E41" s="819">
        <v>1000</v>
      </c>
      <c r="F41" s="815">
        <v>1200</v>
      </c>
      <c r="G41" s="815">
        <v>1700</v>
      </c>
      <c r="H41" s="816">
        <v>1700</v>
      </c>
      <c r="I41" s="816">
        <v>1680</v>
      </c>
      <c r="J41" s="816">
        <v>1450</v>
      </c>
      <c r="K41" s="816">
        <v>1091</v>
      </c>
      <c r="L41" s="816">
        <v>660</v>
      </c>
      <c r="M41" s="817">
        <f>L41*0.6</f>
        <v>396</v>
      </c>
      <c r="N41" s="818">
        <f>SUM(H41:M41)</f>
        <v>6977</v>
      </c>
    </row>
    <row r="42" spans="1:14" ht="15" hidden="1">
      <c r="A42" s="813" t="s">
        <v>489</v>
      </c>
      <c r="B42" s="699"/>
      <c r="C42" s="699"/>
      <c r="D42" s="819"/>
      <c r="E42" s="819"/>
      <c r="F42" s="819"/>
      <c r="G42" s="819"/>
      <c r="H42" s="820" t="s">
        <v>485</v>
      </c>
      <c r="I42" s="820" t="s">
        <v>486</v>
      </c>
      <c r="J42" s="820" t="s">
        <v>487</v>
      </c>
      <c r="K42" s="820" t="s">
        <v>488</v>
      </c>
      <c r="L42" s="819"/>
      <c r="M42" s="819"/>
      <c r="N42" s="819"/>
    </row>
    <row r="43" spans="1:14" ht="15" hidden="1">
      <c r="A43" s="813"/>
      <c r="B43" s="699"/>
      <c r="C43" s="699" t="s">
        <v>490</v>
      </c>
      <c r="D43" s="819"/>
      <c r="E43" s="819"/>
      <c r="F43" s="819"/>
      <c r="G43" s="819"/>
      <c r="H43" s="822">
        <f>($L41/H41)^(1/4)-1</f>
        <v>-0.21064247489447285</v>
      </c>
      <c r="I43" s="822">
        <f>($L41/I41)^(1/3)-1</f>
        <v>-0.2676058198302712</v>
      </c>
      <c r="J43" s="822">
        <f>($L41/J41)^(1/2)-1</f>
        <v>-0.32533533233679446</v>
      </c>
      <c r="K43" s="822">
        <f>($L41/K41)-1</f>
        <v>-0.3950504124656279</v>
      </c>
      <c r="L43" s="819"/>
      <c r="M43" s="819"/>
      <c r="N43" s="819"/>
    </row>
    <row r="44" spans="1:14" ht="15">
      <c r="A44" s="813" t="s">
        <v>507</v>
      </c>
      <c r="B44" s="699">
        <v>6</v>
      </c>
      <c r="C44" s="699" t="s">
        <v>464</v>
      </c>
      <c r="D44" s="815">
        <v>2200</v>
      </c>
      <c r="E44" s="815">
        <v>1900</v>
      </c>
      <c r="F44" s="815">
        <v>1700</v>
      </c>
      <c r="G44" s="815">
        <v>1000</v>
      </c>
      <c r="H44" s="816">
        <v>1100</v>
      </c>
      <c r="I44" s="816">
        <v>1013</v>
      </c>
      <c r="J44" s="816">
        <v>908</v>
      </c>
      <c r="K44" s="816">
        <v>1422</v>
      </c>
      <c r="L44" s="816">
        <v>1490</v>
      </c>
      <c r="M44" s="817">
        <f>L44*1.1</f>
        <v>1639.0000000000002</v>
      </c>
      <c r="N44" s="818">
        <f>SUM(H44:M44)</f>
        <v>7572</v>
      </c>
    </row>
    <row r="45" spans="1:14" ht="15" hidden="1">
      <c r="A45" s="811" t="s">
        <v>489</v>
      </c>
      <c r="B45" s="699"/>
      <c r="C45" s="699"/>
      <c r="D45" s="819"/>
      <c r="E45" s="819"/>
      <c r="F45" s="819"/>
      <c r="G45" s="819"/>
      <c r="H45" s="820" t="s">
        <v>485</v>
      </c>
      <c r="I45" s="820" t="s">
        <v>486</v>
      </c>
      <c r="J45" s="820" t="s">
        <v>487</v>
      </c>
      <c r="K45" s="820" t="s">
        <v>488</v>
      </c>
      <c r="L45" s="815"/>
      <c r="M45" s="815"/>
      <c r="N45" s="815"/>
    </row>
    <row r="46" spans="1:14" ht="15" hidden="1">
      <c r="A46" s="811"/>
      <c r="B46" s="699"/>
      <c r="C46" s="699" t="s">
        <v>490</v>
      </c>
      <c r="D46" s="819"/>
      <c r="E46" s="819"/>
      <c r="F46" s="819"/>
      <c r="G46" s="819"/>
      <c r="H46" s="822">
        <f>($L44/H44)^(1/4)-1</f>
        <v>0.07881852612697471</v>
      </c>
      <c r="I46" s="822">
        <f>($L44/I44)^(1/3)-1</f>
        <v>0.13725784412814157</v>
      </c>
      <c r="J46" s="822">
        <f>($L44/J44)^(1/2)-1</f>
        <v>0.28100318617698816</v>
      </c>
      <c r="K46" s="822">
        <f>($L44/K44)-1</f>
        <v>0.047819971870604716</v>
      </c>
      <c r="L46" s="815"/>
      <c r="M46" s="815"/>
      <c r="N46" s="815"/>
    </row>
    <row r="47" spans="1:14" ht="15">
      <c r="A47" s="813" t="s">
        <v>508</v>
      </c>
      <c r="B47" s="699">
        <v>6</v>
      </c>
      <c r="C47" s="699" t="s">
        <v>509</v>
      </c>
      <c r="D47" s="815">
        <f>D40-D44-D41</f>
        <v>0</v>
      </c>
      <c r="E47" s="815">
        <f>E40-E44-E41</f>
        <v>0</v>
      </c>
      <c r="F47" s="815">
        <f aca="true" t="shared" si="1" ref="F47:M47">F40-F44-F41</f>
        <v>0</v>
      </c>
      <c r="G47" s="815">
        <f t="shared" si="1"/>
        <v>650</v>
      </c>
      <c r="H47" s="816">
        <f t="shared" si="1"/>
        <v>1300</v>
      </c>
      <c r="I47" s="816">
        <f t="shared" si="1"/>
        <v>1307</v>
      </c>
      <c r="J47" s="816">
        <f t="shared" si="1"/>
        <v>1492</v>
      </c>
      <c r="K47" s="817">
        <f t="shared" si="1"/>
        <v>1537</v>
      </c>
      <c r="L47" s="817">
        <f t="shared" si="1"/>
        <v>2025</v>
      </c>
      <c r="M47" s="817">
        <f t="shared" si="1"/>
        <v>2265</v>
      </c>
      <c r="N47" s="818">
        <f>SUM(H47:M47)</f>
        <v>9926</v>
      </c>
    </row>
    <row r="48" spans="1:14" ht="15">
      <c r="A48" s="811"/>
      <c r="B48" s="699"/>
      <c r="D48" s="819"/>
      <c r="E48" s="819"/>
      <c r="F48" s="819"/>
      <c r="G48" s="819"/>
      <c r="H48" s="819"/>
      <c r="I48" s="819"/>
      <c r="J48" s="819"/>
      <c r="K48" s="819"/>
      <c r="L48" s="819"/>
      <c r="M48" s="819"/>
      <c r="N48" s="819"/>
    </row>
    <row r="49" spans="1:14" ht="15">
      <c r="A49" s="811"/>
      <c r="B49" s="699"/>
      <c r="C49" s="699"/>
      <c r="D49" s="819"/>
      <c r="E49" s="819"/>
      <c r="F49" s="819"/>
      <c r="G49" s="819"/>
      <c r="H49" s="819"/>
      <c r="I49" s="819"/>
      <c r="J49" s="819"/>
      <c r="K49" s="819"/>
      <c r="L49" s="819"/>
      <c r="M49" s="819"/>
      <c r="N49" s="819"/>
    </row>
    <row r="50" spans="1:14" ht="15" hidden="1">
      <c r="A50" s="811"/>
      <c r="B50" s="699"/>
      <c r="C50" s="699"/>
      <c r="D50" s="819">
        <v>1990</v>
      </c>
      <c r="E50" s="819">
        <v>1991</v>
      </c>
      <c r="F50" s="822">
        <v>1992</v>
      </c>
      <c r="G50" s="819">
        <v>1993</v>
      </c>
      <c r="H50" s="819">
        <v>1994</v>
      </c>
      <c r="I50" s="819">
        <v>1995</v>
      </c>
      <c r="J50" s="819">
        <v>1996</v>
      </c>
      <c r="K50" s="819">
        <v>1997</v>
      </c>
      <c r="L50" s="820">
        <v>1998</v>
      </c>
      <c r="M50" s="820">
        <v>1999</v>
      </c>
      <c r="N50" s="820" t="s">
        <v>493</v>
      </c>
    </row>
    <row r="51" spans="1:14" ht="15">
      <c r="A51" s="811" t="s">
        <v>511</v>
      </c>
      <c r="B51" s="699"/>
      <c r="C51" s="699" t="s">
        <v>512</v>
      </c>
      <c r="D51" s="827"/>
      <c r="E51" s="827"/>
      <c r="F51" s="827"/>
      <c r="G51" s="827"/>
      <c r="H51" s="828">
        <f>H$91*H40/(H$78+H$63+H$40)</f>
        <v>112.98068403331561</v>
      </c>
      <c r="I51" s="829">
        <v>323</v>
      </c>
      <c r="J51" s="829">
        <v>595</v>
      </c>
      <c r="K51" s="829">
        <v>622</v>
      </c>
      <c r="L51" s="829">
        <v>890</v>
      </c>
      <c r="M51" s="829">
        <v>969</v>
      </c>
      <c r="N51" s="818">
        <f>SUM(H51:M51)</f>
        <v>3511.980684033316</v>
      </c>
    </row>
    <row r="52" spans="1:14" ht="15">
      <c r="A52" s="699"/>
      <c r="B52" s="699"/>
      <c r="C52" s="699"/>
      <c r="D52" s="819"/>
      <c r="E52" s="819"/>
      <c r="F52" s="819"/>
      <c r="G52" s="819"/>
      <c r="H52" s="819"/>
      <c r="I52" s="819"/>
      <c r="J52" s="819"/>
      <c r="K52" s="819"/>
      <c r="L52" s="819"/>
      <c r="M52" s="819"/>
      <c r="N52" s="819"/>
    </row>
    <row r="53" spans="1:14" ht="15" hidden="1">
      <c r="A53" s="699"/>
      <c r="B53" s="699"/>
      <c r="C53" s="699"/>
      <c r="D53" s="819"/>
      <c r="E53" s="819"/>
      <c r="F53" s="819"/>
      <c r="G53" s="819"/>
      <c r="H53" s="819"/>
      <c r="I53" s="819"/>
      <c r="J53" s="819"/>
      <c r="K53" s="819"/>
      <c r="L53" s="819"/>
      <c r="M53" s="819"/>
      <c r="N53" s="819"/>
    </row>
    <row r="54" spans="1:14" ht="15" hidden="1">
      <c r="A54" s="811"/>
      <c r="B54" s="699"/>
      <c r="C54" s="699"/>
      <c r="D54" s="819">
        <v>1990</v>
      </c>
      <c r="E54" s="819">
        <v>1991</v>
      </c>
      <c r="F54" s="822">
        <v>1992</v>
      </c>
      <c r="G54" s="819">
        <v>1993</v>
      </c>
      <c r="H54" s="819">
        <v>1994</v>
      </c>
      <c r="I54" s="819">
        <v>1995</v>
      </c>
      <c r="J54" s="819">
        <v>1996</v>
      </c>
      <c r="K54" s="819">
        <v>1997</v>
      </c>
      <c r="L54" s="820">
        <v>1998</v>
      </c>
      <c r="M54" s="820">
        <v>1999</v>
      </c>
      <c r="N54" s="820" t="s">
        <v>493</v>
      </c>
    </row>
    <row r="55" spans="1:15" ht="15">
      <c r="A55" s="811" t="s">
        <v>513</v>
      </c>
      <c r="B55" s="699"/>
      <c r="C55" s="699" t="s">
        <v>514</v>
      </c>
      <c r="D55" s="824">
        <f aca="true" t="shared" si="2" ref="D55:M55">D40+D51</f>
        <v>2963</v>
      </c>
      <c r="E55" s="824">
        <f t="shared" si="2"/>
        <v>2900</v>
      </c>
      <c r="F55" s="824">
        <f t="shared" si="2"/>
        <v>2900</v>
      </c>
      <c r="G55" s="824">
        <f t="shared" si="2"/>
        <v>3350</v>
      </c>
      <c r="H55" s="830">
        <f t="shared" si="2"/>
        <v>4212.980684033316</v>
      </c>
      <c r="I55" s="830">
        <f t="shared" si="2"/>
        <v>4323</v>
      </c>
      <c r="J55" s="830">
        <f t="shared" si="2"/>
        <v>4445</v>
      </c>
      <c r="K55" s="830">
        <f t="shared" si="2"/>
        <v>4672</v>
      </c>
      <c r="L55" s="830">
        <f t="shared" si="2"/>
        <v>5065</v>
      </c>
      <c r="M55" s="830">
        <f t="shared" si="2"/>
        <v>5269</v>
      </c>
      <c r="N55" s="821">
        <f>SUM(H55:M55)</f>
        <v>27986.980684033315</v>
      </c>
      <c r="O55" s="699" t="s">
        <v>517</v>
      </c>
    </row>
    <row r="56" spans="1:14" ht="15">
      <c r="A56" s="813" t="s">
        <v>515</v>
      </c>
      <c r="B56" s="699"/>
      <c r="C56" s="699" t="s">
        <v>514</v>
      </c>
      <c r="D56" s="824">
        <f aca="true" t="shared" si="3" ref="D56:M56">D55*D41/(D$41+D$44+D$47)</f>
        <v>763</v>
      </c>
      <c r="E56" s="824">
        <f t="shared" si="3"/>
        <v>1000</v>
      </c>
      <c r="F56" s="824">
        <f t="shared" si="3"/>
        <v>1200</v>
      </c>
      <c r="G56" s="824">
        <f t="shared" si="3"/>
        <v>1700</v>
      </c>
      <c r="H56" s="830">
        <f t="shared" si="3"/>
        <v>1746.8456494772283</v>
      </c>
      <c r="I56" s="830">
        <f t="shared" si="3"/>
        <v>1815.66</v>
      </c>
      <c r="J56" s="830">
        <f t="shared" si="3"/>
        <v>1674.090909090909</v>
      </c>
      <c r="K56" s="830">
        <f t="shared" si="3"/>
        <v>1258.556049382716</v>
      </c>
      <c r="L56" s="830">
        <f t="shared" si="3"/>
        <v>800.6946107784431</v>
      </c>
      <c r="M56" s="830">
        <f t="shared" si="3"/>
        <v>485.2381395348837</v>
      </c>
      <c r="N56" s="821">
        <f>SUM(H56:M56)</f>
        <v>7781.08535826418</v>
      </c>
    </row>
    <row r="57" spans="1:14" ht="15">
      <c r="A57" s="813" t="s">
        <v>507</v>
      </c>
      <c r="B57" s="699"/>
      <c r="C57" s="699" t="s">
        <v>514</v>
      </c>
      <c r="D57" s="824">
        <f aca="true" t="shared" si="4" ref="D57:M57">D55*D44/(D$41+D$44+D$47)</f>
        <v>2200</v>
      </c>
      <c r="E57" s="824">
        <f t="shared" si="4"/>
        <v>1900</v>
      </c>
      <c r="F57" s="824">
        <f t="shared" si="4"/>
        <v>1700</v>
      </c>
      <c r="G57" s="824">
        <f t="shared" si="4"/>
        <v>1000</v>
      </c>
      <c r="H57" s="830">
        <f t="shared" si="4"/>
        <v>1130.3118908382066</v>
      </c>
      <c r="I57" s="830">
        <f t="shared" si="4"/>
        <v>1094.79975</v>
      </c>
      <c r="J57" s="830">
        <f t="shared" si="4"/>
        <v>1048.3272727272727</v>
      </c>
      <c r="K57" s="830">
        <f t="shared" si="4"/>
        <v>1640.391111111111</v>
      </c>
      <c r="L57" s="830">
        <f t="shared" si="4"/>
        <v>1807.62874251497</v>
      </c>
      <c r="M57" s="830">
        <f t="shared" si="4"/>
        <v>2008.3467441860469</v>
      </c>
      <c r="N57" s="821">
        <f>SUM(H57:M57)</f>
        <v>8729.805511377608</v>
      </c>
    </row>
    <row r="58" spans="1:14" ht="15">
      <c r="A58" s="813" t="s">
        <v>516</v>
      </c>
      <c r="B58" s="699"/>
      <c r="C58" s="699" t="s">
        <v>514</v>
      </c>
      <c r="D58" s="824">
        <f aca="true" t="shared" si="5" ref="D58:M58">D55*D47/(D$41+D$44+D$47)</f>
        <v>0</v>
      </c>
      <c r="E58" s="824">
        <f t="shared" si="5"/>
        <v>0</v>
      </c>
      <c r="F58" s="824">
        <f t="shared" si="5"/>
        <v>0</v>
      </c>
      <c r="G58" s="824">
        <f t="shared" si="5"/>
        <v>650</v>
      </c>
      <c r="H58" s="830">
        <f t="shared" si="5"/>
        <v>1335.8231437178806</v>
      </c>
      <c r="I58" s="830">
        <f t="shared" si="5"/>
        <v>1412.54025</v>
      </c>
      <c r="J58" s="830">
        <f t="shared" si="5"/>
        <v>1722.581818181818</v>
      </c>
      <c r="K58" s="830">
        <f t="shared" si="5"/>
        <v>1773.0528395061729</v>
      </c>
      <c r="L58" s="830">
        <f t="shared" si="5"/>
        <v>2456.676646706587</v>
      </c>
      <c r="M58" s="830">
        <f t="shared" si="5"/>
        <v>2775.41511627907</v>
      </c>
      <c r="N58" s="821">
        <f>SUM(H58:M58)</f>
        <v>11476.089814391527</v>
      </c>
    </row>
    <row r="59" spans="1:14" ht="15">
      <c r="A59" s="813"/>
      <c r="B59" s="699"/>
      <c r="D59" s="824"/>
      <c r="E59" s="824"/>
      <c r="F59" s="824"/>
      <c r="G59" s="824"/>
      <c r="H59" s="830"/>
      <c r="I59" s="830"/>
      <c r="J59" s="830"/>
      <c r="K59" s="830"/>
      <c r="L59" s="830"/>
      <c r="M59" s="830"/>
      <c r="N59" s="821"/>
    </row>
    <row r="60" spans="1:14" ht="15">
      <c r="A60" s="813"/>
      <c r="B60" s="699"/>
      <c r="C60" s="699"/>
      <c r="D60" s="824"/>
      <c r="E60" s="824"/>
      <c r="F60" s="824"/>
      <c r="G60" s="824"/>
      <c r="H60" s="830"/>
      <c r="I60" s="830"/>
      <c r="J60" s="830"/>
      <c r="K60" s="830"/>
      <c r="L60" s="830"/>
      <c r="M60" s="830"/>
      <c r="N60" s="821"/>
    </row>
    <row r="61" spans="1:14" ht="15" hidden="1">
      <c r="A61" s="811"/>
      <c r="B61" s="699"/>
      <c r="C61" s="699"/>
      <c r="D61" s="819"/>
      <c r="E61" s="819"/>
      <c r="F61" s="819"/>
      <c r="G61" s="819"/>
      <c r="H61" s="819"/>
      <c r="I61" s="819"/>
      <c r="J61" s="819"/>
      <c r="K61" s="819"/>
      <c r="L61" s="819"/>
      <c r="M61" s="819"/>
      <c r="N61" s="819"/>
    </row>
    <row r="62" spans="1:14" ht="15" hidden="1">
      <c r="A62" s="811"/>
      <c r="B62" s="699"/>
      <c r="C62" s="699"/>
      <c r="D62" s="819">
        <v>1990</v>
      </c>
      <c r="E62" s="819">
        <v>1991</v>
      </c>
      <c r="F62" s="819">
        <v>1992</v>
      </c>
      <c r="G62" s="819">
        <v>1993</v>
      </c>
      <c r="H62" s="819">
        <v>1994</v>
      </c>
      <c r="I62" s="819">
        <v>1995</v>
      </c>
      <c r="J62" s="819">
        <v>1996</v>
      </c>
      <c r="K62" s="819">
        <v>1997</v>
      </c>
      <c r="L62" s="819">
        <v>1998</v>
      </c>
      <c r="M62" s="820">
        <v>1999</v>
      </c>
      <c r="N62" s="820" t="s">
        <v>493</v>
      </c>
    </row>
    <row r="63" spans="1:15" ht="15">
      <c r="A63" s="811" t="s">
        <v>518</v>
      </c>
      <c r="B63" s="699">
        <v>6</v>
      </c>
      <c r="C63" s="699" t="s">
        <v>464</v>
      </c>
      <c r="D63" s="819">
        <v>494</v>
      </c>
      <c r="E63" s="819">
        <v>836</v>
      </c>
      <c r="F63" s="815">
        <v>1700</v>
      </c>
      <c r="G63" s="815">
        <v>3500</v>
      </c>
      <c r="H63" s="816">
        <v>5600</v>
      </c>
      <c r="I63" s="816">
        <v>8690</v>
      </c>
      <c r="J63" s="816">
        <v>8760</v>
      </c>
      <c r="K63" s="816">
        <v>12223</v>
      </c>
      <c r="L63" s="816">
        <v>15100</v>
      </c>
      <c r="M63" s="817">
        <f>1.25*L63</f>
        <v>18875</v>
      </c>
      <c r="N63" s="816">
        <f>SUM(H63:M63)</f>
        <v>69248</v>
      </c>
      <c r="O63" s="699" t="s">
        <v>522</v>
      </c>
    </row>
    <row r="64" spans="1:14" ht="15">
      <c r="A64" s="811" t="s">
        <v>519</v>
      </c>
      <c r="B64" s="699">
        <v>6</v>
      </c>
      <c r="C64" s="699" t="s">
        <v>464</v>
      </c>
      <c r="D64" s="819">
        <v>5200</v>
      </c>
      <c r="E64" s="819">
        <v>5200</v>
      </c>
      <c r="F64" s="815">
        <v>5400</v>
      </c>
      <c r="G64" s="815">
        <v>4500</v>
      </c>
      <c r="H64" s="816">
        <v>3200</v>
      </c>
      <c r="I64" s="816">
        <v>1600</v>
      </c>
      <c r="J64" s="816">
        <v>997</v>
      </c>
      <c r="K64" s="816">
        <v>808</v>
      </c>
      <c r="L64" s="816">
        <v>805</v>
      </c>
      <c r="M64" s="817">
        <f>L64</f>
        <v>805</v>
      </c>
      <c r="N64" s="816">
        <f>SUM(H64:M64)</f>
        <v>8215</v>
      </c>
    </row>
    <row r="65" spans="1:14" ht="15" hidden="1">
      <c r="A65" s="811" t="s">
        <v>489</v>
      </c>
      <c r="B65" s="699"/>
      <c r="C65" s="699"/>
      <c r="D65" s="819"/>
      <c r="E65" s="819"/>
      <c r="F65" s="819"/>
      <c r="G65" s="819"/>
      <c r="H65" s="820" t="s">
        <v>485</v>
      </c>
      <c r="I65" s="820" t="s">
        <v>486</v>
      </c>
      <c r="J65" s="820" t="s">
        <v>487</v>
      </c>
      <c r="K65" s="820" t="s">
        <v>488</v>
      </c>
      <c r="L65" s="819"/>
      <c r="M65" s="819"/>
      <c r="N65" s="819" t="s">
        <v>489</v>
      </c>
    </row>
    <row r="66" spans="1:14" ht="15" hidden="1">
      <c r="A66" s="811"/>
      <c r="B66" s="699"/>
      <c r="C66" s="699" t="s">
        <v>490</v>
      </c>
      <c r="D66" s="819"/>
      <c r="E66" s="819"/>
      <c r="F66" s="819"/>
      <c r="G66" s="819"/>
      <c r="H66" s="822">
        <f>($L63/H63)^(1/4)-1</f>
        <v>0.28143691292084005</v>
      </c>
      <c r="I66" s="822">
        <f>($L63/I63)^(1/3)-1</f>
        <v>0.20222491371916185</v>
      </c>
      <c r="J66" s="822">
        <f>($L63/J63)^(1/2)-1</f>
        <v>0.3129144268525055</v>
      </c>
      <c r="K66" s="822">
        <f>($L63/K63)-1</f>
        <v>0.23537593062259665</v>
      </c>
      <c r="L66" s="819"/>
      <c r="M66" s="819" t="s">
        <v>489</v>
      </c>
      <c r="N66" s="819" t="s">
        <v>489</v>
      </c>
    </row>
    <row r="67" spans="1:14" ht="15">
      <c r="A67" s="811" t="s">
        <v>520</v>
      </c>
      <c r="B67" s="699">
        <v>6</v>
      </c>
      <c r="C67" s="699" t="s">
        <v>521</v>
      </c>
      <c r="D67" s="815">
        <f aca="true" t="shared" si="6" ref="D67:N67">D63+D64</f>
        <v>5694</v>
      </c>
      <c r="E67" s="815">
        <f t="shared" si="6"/>
        <v>6036</v>
      </c>
      <c r="F67" s="815">
        <f t="shared" si="6"/>
        <v>7100</v>
      </c>
      <c r="G67" s="815">
        <f t="shared" si="6"/>
        <v>8000</v>
      </c>
      <c r="H67" s="816">
        <f t="shared" si="6"/>
        <v>8800</v>
      </c>
      <c r="I67" s="816">
        <f t="shared" si="6"/>
        <v>10290</v>
      </c>
      <c r="J67" s="816">
        <f t="shared" si="6"/>
        <v>9757</v>
      </c>
      <c r="K67" s="816">
        <f t="shared" si="6"/>
        <v>13031</v>
      </c>
      <c r="L67" s="816">
        <f t="shared" si="6"/>
        <v>15905</v>
      </c>
      <c r="M67" s="817">
        <f t="shared" si="6"/>
        <v>19680</v>
      </c>
      <c r="N67" s="816">
        <f t="shared" si="6"/>
        <v>77463</v>
      </c>
    </row>
    <row r="68" spans="1:14" ht="15">
      <c r="A68" s="811"/>
      <c r="B68" s="699"/>
      <c r="D68" s="819"/>
      <c r="E68" s="819"/>
      <c r="F68" s="819"/>
      <c r="G68" s="819"/>
      <c r="H68" s="819"/>
      <c r="I68" s="819"/>
      <c r="J68" s="819"/>
      <c r="K68" s="819"/>
      <c r="L68" s="819"/>
      <c r="M68" s="819"/>
      <c r="N68" s="819"/>
    </row>
    <row r="69" spans="1:14" ht="15">
      <c r="A69" s="811"/>
      <c r="B69" s="699"/>
      <c r="C69" s="699"/>
      <c r="D69" s="819"/>
      <c r="E69" s="819"/>
      <c r="F69" s="819"/>
      <c r="G69" s="819"/>
      <c r="H69" s="819"/>
      <c r="I69" s="819"/>
      <c r="J69" s="819"/>
      <c r="K69" s="819"/>
      <c r="L69" s="819"/>
      <c r="M69" s="819"/>
      <c r="N69" s="819"/>
    </row>
    <row r="70" spans="1:14" ht="15" hidden="1">
      <c r="A70" s="699"/>
      <c r="B70" s="699"/>
      <c r="C70" s="699"/>
      <c r="D70" s="819"/>
      <c r="E70" s="819"/>
      <c r="F70" s="819"/>
      <c r="G70" s="819"/>
      <c r="H70" s="819">
        <v>1994</v>
      </c>
      <c r="I70" s="819">
        <v>1995</v>
      </c>
      <c r="J70" s="819">
        <v>1996</v>
      </c>
      <c r="K70" s="819">
        <v>1997</v>
      </c>
      <c r="L70" s="819">
        <v>1998</v>
      </c>
      <c r="M70" s="820">
        <v>1999</v>
      </c>
      <c r="N70" s="820" t="s">
        <v>493</v>
      </c>
    </row>
    <row r="71" spans="1:14" ht="15">
      <c r="A71" s="811" t="s">
        <v>523</v>
      </c>
      <c r="B71" s="699"/>
      <c r="C71" s="699" t="s">
        <v>512</v>
      </c>
      <c r="D71" s="827">
        <v>0</v>
      </c>
      <c r="E71" s="827">
        <v>0</v>
      </c>
      <c r="F71" s="827">
        <v>0</v>
      </c>
      <c r="G71" s="827">
        <v>0</v>
      </c>
      <c r="H71" s="828">
        <f>H$91*H63/(H$78+H$63+H$40)</f>
        <v>154.3150806308701</v>
      </c>
      <c r="I71" s="829">
        <v>351</v>
      </c>
      <c r="J71" s="816">
        <v>484</v>
      </c>
      <c r="K71" s="816">
        <v>858</v>
      </c>
      <c r="L71" s="816">
        <v>1379</v>
      </c>
      <c r="M71" s="816">
        <v>1600</v>
      </c>
      <c r="N71" s="818">
        <f>SUM(H71:M71)</f>
        <v>4826.31508063087</v>
      </c>
    </row>
    <row r="72" spans="1:14" ht="15">
      <c r="A72" s="811"/>
      <c r="B72" s="699"/>
      <c r="C72" s="699"/>
      <c r="D72" s="827"/>
      <c r="E72" s="827"/>
      <c r="F72" s="827"/>
      <c r="G72" s="827"/>
      <c r="H72" s="828"/>
      <c r="I72" s="829"/>
      <c r="J72" s="816"/>
      <c r="K72" s="816"/>
      <c r="L72" s="816"/>
      <c r="M72" s="816"/>
      <c r="N72" s="818"/>
    </row>
    <row r="73" spans="1:14" ht="15" hidden="1">
      <c r="A73" s="811"/>
      <c r="B73" s="699"/>
      <c r="C73" s="699"/>
      <c r="D73" s="827"/>
      <c r="E73" s="827"/>
      <c r="F73" s="827"/>
      <c r="G73" s="827"/>
      <c r="H73" s="819">
        <v>1994</v>
      </c>
      <c r="I73" s="819">
        <v>1995</v>
      </c>
      <c r="J73" s="819">
        <v>1996</v>
      </c>
      <c r="K73" s="819">
        <v>1997</v>
      </c>
      <c r="L73" s="819">
        <v>1998</v>
      </c>
      <c r="M73" s="820">
        <v>1999</v>
      </c>
      <c r="N73" s="820" t="s">
        <v>493</v>
      </c>
    </row>
    <row r="74" spans="1:15" ht="15">
      <c r="A74" s="811" t="s">
        <v>524</v>
      </c>
      <c r="B74" s="699"/>
      <c r="C74" s="699" t="s">
        <v>525</v>
      </c>
      <c r="D74" s="824">
        <f aca="true" t="shared" si="7" ref="D74:M74">D63+D71</f>
        <v>494</v>
      </c>
      <c r="E74" s="824">
        <f t="shared" si="7"/>
        <v>836</v>
      </c>
      <c r="F74" s="824">
        <f t="shared" si="7"/>
        <v>1700</v>
      </c>
      <c r="G74" s="824">
        <f t="shared" si="7"/>
        <v>3500</v>
      </c>
      <c r="H74" s="830">
        <f t="shared" si="7"/>
        <v>5754.31508063087</v>
      </c>
      <c r="I74" s="830">
        <f t="shared" si="7"/>
        <v>9041</v>
      </c>
      <c r="J74" s="830">
        <f t="shared" si="7"/>
        <v>9244</v>
      </c>
      <c r="K74" s="830">
        <f t="shared" si="7"/>
        <v>13081</v>
      </c>
      <c r="L74" s="830">
        <f t="shared" si="7"/>
        <v>16479</v>
      </c>
      <c r="M74" s="830">
        <f t="shared" si="7"/>
        <v>20475</v>
      </c>
      <c r="N74" s="821">
        <f>SUM(H74:M74)</f>
        <v>74074.31508063087</v>
      </c>
      <c r="O74" s="699" t="s">
        <v>526</v>
      </c>
    </row>
    <row r="75" spans="1:14" ht="15">
      <c r="A75" s="811"/>
      <c r="B75" s="699"/>
      <c r="D75" s="827"/>
      <c r="E75" s="827"/>
      <c r="F75" s="827"/>
      <c r="G75" s="827"/>
      <c r="H75" s="828"/>
      <c r="I75" s="829"/>
      <c r="J75" s="816"/>
      <c r="K75" s="816"/>
      <c r="L75" s="816"/>
      <c r="M75" s="816"/>
      <c r="N75" s="818"/>
    </row>
    <row r="76" spans="1:14" ht="15">
      <c r="A76" s="811"/>
      <c r="B76" s="699"/>
      <c r="C76" s="699"/>
      <c r="D76" s="819"/>
      <c r="E76" s="819"/>
      <c r="F76" s="818"/>
      <c r="G76" s="818"/>
      <c r="H76" s="818"/>
      <c r="I76" s="818"/>
      <c r="J76" s="818"/>
      <c r="K76" s="831"/>
      <c r="L76" s="831"/>
      <c r="M76" s="819"/>
      <c r="N76" s="819"/>
    </row>
    <row r="77" spans="1:14" ht="15" hidden="1">
      <c r="A77" s="811"/>
      <c r="B77" s="699"/>
      <c r="C77" s="699"/>
      <c r="D77" s="819">
        <v>1990</v>
      </c>
      <c r="E77" s="819">
        <v>1991</v>
      </c>
      <c r="F77" s="819">
        <v>1992</v>
      </c>
      <c r="G77" s="819">
        <v>1993</v>
      </c>
      <c r="H77" s="819">
        <v>1994</v>
      </c>
      <c r="I77" s="819">
        <v>1995</v>
      </c>
      <c r="J77" s="819">
        <v>1996</v>
      </c>
      <c r="K77" s="819">
        <v>1997</v>
      </c>
      <c r="L77" s="819">
        <v>1998</v>
      </c>
      <c r="M77" s="820">
        <v>1999</v>
      </c>
      <c r="N77" s="820" t="s">
        <v>493</v>
      </c>
    </row>
    <row r="78" spans="1:14" ht="15">
      <c r="A78" s="811" t="s">
        <v>527</v>
      </c>
      <c r="B78" s="699">
        <v>6</v>
      </c>
      <c r="C78" s="699" t="s">
        <v>528</v>
      </c>
      <c r="D78" s="815">
        <v>1401</v>
      </c>
      <c r="E78" s="815">
        <v>1444</v>
      </c>
      <c r="F78" s="815">
        <v>1466</v>
      </c>
      <c r="G78" s="815">
        <v>1523</v>
      </c>
      <c r="H78" s="816">
        <v>1586</v>
      </c>
      <c r="I78" s="816">
        <v>1635</v>
      </c>
      <c r="J78" s="816">
        <v>1670</v>
      </c>
      <c r="K78" s="816">
        <v>1716</v>
      </c>
      <c r="L78" s="816">
        <v>1760</v>
      </c>
      <c r="M78" s="817">
        <v>1804</v>
      </c>
      <c r="N78" s="818">
        <f>SUM(H78:M78)</f>
        <v>10171</v>
      </c>
    </row>
    <row r="79" spans="1:14" ht="15">
      <c r="A79" s="811"/>
      <c r="B79" s="699"/>
      <c r="C79" s="699"/>
      <c r="D79" s="815"/>
      <c r="E79" s="815"/>
      <c r="F79" s="815"/>
      <c r="G79" s="815"/>
      <c r="H79" s="816"/>
      <c r="I79" s="816"/>
      <c r="J79" s="816"/>
      <c r="K79" s="816"/>
      <c r="L79" s="816"/>
      <c r="M79" s="817"/>
      <c r="N79" s="818"/>
    </row>
    <row r="80" spans="1:15" ht="15" hidden="1">
      <c r="A80" s="811"/>
      <c r="B80" s="699"/>
      <c r="C80" s="699"/>
      <c r="D80" s="819"/>
      <c r="E80" s="819"/>
      <c r="F80" s="819"/>
      <c r="G80" s="819"/>
      <c r="H80" s="819"/>
      <c r="I80" s="819">
        <v>1995</v>
      </c>
      <c r="J80" s="819">
        <v>1996</v>
      </c>
      <c r="K80" s="819">
        <v>1997</v>
      </c>
      <c r="L80" s="819">
        <v>1998</v>
      </c>
      <c r="M80" s="820">
        <v>1999</v>
      </c>
      <c r="N80" s="815" t="s">
        <v>529</v>
      </c>
      <c r="O80" s="802" t="s">
        <v>530</v>
      </c>
    </row>
    <row r="81" spans="1:15" ht="15">
      <c r="A81" s="811" t="s">
        <v>531</v>
      </c>
      <c r="B81" s="699"/>
      <c r="C81" s="699" t="s">
        <v>532</v>
      </c>
      <c r="D81" s="819"/>
      <c r="E81" s="819"/>
      <c r="F81" s="819"/>
      <c r="G81" s="819"/>
      <c r="H81" s="819"/>
      <c r="I81" s="815">
        <v>974</v>
      </c>
      <c r="J81" s="815">
        <v>940</v>
      </c>
      <c r="K81" s="815">
        <v>935</v>
      </c>
      <c r="L81" s="815">
        <v>895</v>
      </c>
      <c r="M81" s="815">
        <v>855</v>
      </c>
      <c r="N81" s="815">
        <f>SUM(I81:M81)</f>
        <v>4599</v>
      </c>
      <c r="O81" s="803"/>
    </row>
    <row r="82" spans="1:15" ht="15">
      <c r="A82" s="811" t="s">
        <v>533</v>
      </c>
      <c r="B82" s="699"/>
      <c r="C82" s="699" t="s">
        <v>532</v>
      </c>
      <c r="D82" s="819"/>
      <c r="E82" s="819"/>
      <c r="F82" s="819"/>
      <c r="G82" s="819"/>
      <c r="H82" s="819"/>
      <c r="I82" s="819">
        <v>361</v>
      </c>
      <c r="J82" s="819">
        <v>389</v>
      </c>
      <c r="K82" s="819">
        <v>405</v>
      </c>
      <c r="L82" s="819">
        <v>410</v>
      </c>
      <c r="M82" s="819">
        <v>407</v>
      </c>
      <c r="N82" s="815">
        <f>SUM(I82:M82)</f>
        <v>1972</v>
      </c>
      <c r="O82" s="803"/>
    </row>
    <row r="83" spans="1:15" ht="15">
      <c r="A83" s="811" t="s">
        <v>534</v>
      </c>
      <c r="B83" s="699"/>
      <c r="C83" s="699" t="s">
        <v>532</v>
      </c>
      <c r="D83" s="819"/>
      <c r="E83" s="819"/>
      <c r="F83" s="819"/>
      <c r="G83" s="819"/>
      <c r="H83" s="819"/>
      <c r="I83" s="819">
        <v>239</v>
      </c>
      <c r="J83" s="819">
        <v>271</v>
      </c>
      <c r="K83" s="819">
        <v>281</v>
      </c>
      <c r="L83" s="819">
        <v>284</v>
      </c>
      <c r="M83" s="819">
        <v>290</v>
      </c>
      <c r="N83" s="815">
        <f>SUM(I83:M83)</f>
        <v>1365</v>
      </c>
      <c r="O83" s="803"/>
    </row>
    <row r="84" spans="1:14" ht="15">
      <c r="A84" s="811"/>
      <c r="B84" s="699"/>
      <c r="C84" s="699"/>
      <c r="D84" s="824"/>
      <c r="E84" s="824"/>
      <c r="F84" s="824"/>
      <c r="G84" s="824"/>
      <c r="H84" s="824"/>
      <c r="I84" s="832"/>
      <c r="J84" s="828"/>
      <c r="K84" s="819"/>
      <c r="L84" s="819"/>
      <c r="M84" s="819"/>
      <c r="N84" s="819"/>
    </row>
    <row r="85" spans="1:14" ht="15" hidden="1">
      <c r="A85" s="811"/>
      <c r="B85" s="699"/>
      <c r="C85" s="699"/>
      <c r="D85" s="819"/>
      <c r="E85" s="819"/>
      <c r="F85" s="819"/>
      <c r="G85" s="819"/>
      <c r="H85" s="819">
        <v>1994</v>
      </c>
      <c r="I85" s="819">
        <v>1995</v>
      </c>
      <c r="J85" s="819">
        <v>1996</v>
      </c>
      <c r="K85" s="819">
        <v>1997</v>
      </c>
      <c r="L85" s="819">
        <v>1998</v>
      </c>
      <c r="M85" s="820">
        <v>1999</v>
      </c>
      <c r="N85" s="819"/>
    </row>
    <row r="86" spans="1:14" ht="15">
      <c r="A86" s="811" t="s">
        <v>535</v>
      </c>
      <c r="B86" s="699"/>
      <c r="C86" s="699" t="s">
        <v>532</v>
      </c>
      <c r="D86" s="819"/>
      <c r="E86" s="819"/>
      <c r="F86" s="819"/>
      <c r="G86" s="819"/>
      <c r="H86" s="825">
        <v>0.65</v>
      </c>
      <c r="I86" s="828">
        <f aca="true" t="shared" si="8" ref="I86:M88">I81/(I$81+I$82+I$83)</f>
        <v>0.6188055908513341</v>
      </c>
      <c r="J86" s="828">
        <f t="shared" si="8"/>
        <v>0.5875</v>
      </c>
      <c r="K86" s="828">
        <f t="shared" si="8"/>
        <v>0.5768044417026527</v>
      </c>
      <c r="L86" s="828">
        <f t="shared" si="8"/>
        <v>0.5632473253618628</v>
      </c>
      <c r="M86" s="828">
        <f t="shared" si="8"/>
        <v>0.5509020618556701</v>
      </c>
      <c r="N86" s="819"/>
    </row>
    <row r="87" spans="1:14" ht="15">
      <c r="A87" s="811" t="s">
        <v>536</v>
      </c>
      <c r="B87" s="699"/>
      <c r="C87" s="699" t="s">
        <v>532</v>
      </c>
      <c r="D87" s="819"/>
      <c r="E87" s="819"/>
      <c r="F87" s="819"/>
      <c r="G87" s="819"/>
      <c r="H87" s="825">
        <v>0.22</v>
      </c>
      <c r="I87" s="828">
        <f t="shared" si="8"/>
        <v>0.22935196950444728</v>
      </c>
      <c r="J87" s="828">
        <f t="shared" si="8"/>
        <v>0.243125</v>
      </c>
      <c r="K87" s="828">
        <f t="shared" si="8"/>
        <v>0.2498457742134485</v>
      </c>
      <c r="L87" s="828">
        <f t="shared" si="8"/>
        <v>0.2580239144115796</v>
      </c>
      <c r="M87" s="828">
        <f t="shared" si="8"/>
        <v>0.2622422680412371</v>
      </c>
      <c r="N87" s="819"/>
    </row>
    <row r="88" spans="1:14" ht="15">
      <c r="A88" s="811" t="s">
        <v>537</v>
      </c>
      <c r="B88" s="699"/>
      <c r="C88" s="699" t="s">
        <v>532</v>
      </c>
      <c r="D88" s="819"/>
      <c r="E88" s="819"/>
      <c r="F88" s="819"/>
      <c r="G88" s="819"/>
      <c r="H88" s="825">
        <v>0.13</v>
      </c>
      <c r="I88" s="828">
        <f t="shared" si="8"/>
        <v>0.15184243964421856</v>
      </c>
      <c r="J88" s="828">
        <f t="shared" si="8"/>
        <v>0.169375</v>
      </c>
      <c r="K88" s="828">
        <f t="shared" si="8"/>
        <v>0.17334978408389884</v>
      </c>
      <c r="L88" s="828">
        <f t="shared" si="8"/>
        <v>0.1787287602265576</v>
      </c>
      <c r="M88" s="828">
        <f t="shared" si="8"/>
        <v>0.18685567010309279</v>
      </c>
      <c r="N88" s="819"/>
    </row>
    <row r="89" spans="1:14" ht="15">
      <c r="A89" s="811"/>
      <c r="B89" s="699"/>
      <c r="C89" s="699"/>
      <c r="D89" s="824"/>
      <c r="E89" s="824"/>
      <c r="F89" s="824"/>
      <c r="G89" s="824"/>
      <c r="H89" s="824"/>
      <c r="I89" s="832"/>
      <c r="J89" s="828"/>
      <c r="K89" s="819"/>
      <c r="L89" s="819"/>
      <c r="M89" s="819"/>
      <c r="N89" s="819"/>
    </row>
    <row r="90" spans="1:14" ht="15" hidden="1">
      <c r="A90" s="811"/>
      <c r="B90" s="699"/>
      <c r="C90" s="699"/>
      <c r="D90" s="819">
        <v>1990</v>
      </c>
      <c r="E90" s="819">
        <v>1991</v>
      </c>
      <c r="F90" s="819">
        <v>1992</v>
      </c>
      <c r="G90" s="819">
        <v>1993</v>
      </c>
      <c r="H90" s="819">
        <v>1994</v>
      </c>
      <c r="I90" s="819">
        <v>1995</v>
      </c>
      <c r="J90" s="819">
        <v>1996</v>
      </c>
      <c r="K90" s="819">
        <v>1997</v>
      </c>
      <c r="L90" s="820" t="s">
        <v>538</v>
      </c>
      <c r="M90" s="820" t="s">
        <v>539</v>
      </c>
      <c r="N90" s="820" t="s">
        <v>493</v>
      </c>
    </row>
    <row r="91" spans="1:15" ht="15">
      <c r="A91" s="811" t="s">
        <v>540</v>
      </c>
      <c r="B91" s="699"/>
      <c r="C91" s="699" t="s">
        <v>464</v>
      </c>
      <c r="D91" s="819">
        <v>0</v>
      </c>
      <c r="E91" s="819">
        <v>0</v>
      </c>
      <c r="F91" s="819">
        <v>51</v>
      </c>
      <c r="G91" s="819">
        <v>91</v>
      </c>
      <c r="H91" s="816">
        <v>311</v>
      </c>
      <c r="I91" s="816">
        <v>575</v>
      </c>
      <c r="J91" s="816">
        <v>1951</v>
      </c>
      <c r="K91" s="816">
        <v>2500</v>
      </c>
      <c r="L91" s="817">
        <f>1.2*K91</f>
        <v>3000</v>
      </c>
      <c r="M91" s="817">
        <f>1.2*L91</f>
        <v>3600</v>
      </c>
      <c r="N91" s="818">
        <f>SUM(H91:M91)</f>
        <v>11937</v>
      </c>
      <c r="O91" s="699" t="s">
        <v>541</v>
      </c>
    </row>
    <row r="92" spans="1:15" ht="15">
      <c r="A92" s="811"/>
      <c r="B92" s="699"/>
      <c r="C92" s="699"/>
      <c r="D92" s="822"/>
      <c r="E92" s="822"/>
      <c r="F92" s="822"/>
      <c r="G92" s="822"/>
      <c r="H92" s="822"/>
      <c r="I92" s="822"/>
      <c r="J92" s="819"/>
      <c r="K92" s="819"/>
      <c r="L92" s="823"/>
      <c r="M92" s="819"/>
      <c r="N92" s="819"/>
      <c r="O92" s="699" t="s">
        <v>542</v>
      </c>
    </row>
    <row r="93" spans="1:14" ht="15">
      <c r="A93" s="811"/>
      <c r="B93" s="699"/>
      <c r="C93" s="699"/>
      <c r="D93" s="822"/>
      <c r="E93" s="822"/>
      <c r="F93" s="822"/>
      <c r="G93" s="822"/>
      <c r="H93" s="822"/>
      <c r="I93" s="822"/>
      <c r="J93" s="819"/>
      <c r="K93" s="819"/>
      <c r="L93" s="823"/>
      <c r="M93" s="819"/>
      <c r="N93" s="819"/>
    </row>
    <row r="94" spans="1:14" ht="15" hidden="1">
      <c r="A94" s="811"/>
      <c r="B94" s="699"/>
      <c r="C94" s="699"/>
      <c r="D94" s="824"/>
      <c r="E94" s="824"/>
      <c r="F94" s="824"/>
      <c r="G94" s="824"/>
      <c r="H94" s="824"/>
      <c r="I94" s="832"/>
      <c r="J94" s="828"/>
      <c r="K94" s="819"/>
      <c r="L94" s="819"/>
      <c r="M94" s="819"/>
      <c r="N94" s="819"/>
    </row>
    <row r="95" spans="1:14" ht="15" hidden="1">
      <c r="A95" s="811"/>
      <c r="B95" s="699"/>
      <c r="C95" s="699"/>
      <c r="D95" s="824"/>
      <c r="E95" s="824"/>
      <c r="F95" s="824"/>
      <c r="G95" s="824"/>
      <c r="H95" s="819">
        <v>1994</v>
      </c>
      <c r="I95" s="819">
        <v>1995</v>
      </c>
      <c r="J95" s="819">
        <v>1996</v>
      </c>
      <c r="K95" s="819">
        <v>1997</v>
      </c>
      <c r="L95" s="819">
        <v>1998</v>
      </c>
      <c r="M95" s="820">
        <v>1999</v>
      </c>
      <c r="N95" s="820" t="s">
        <v>493</v>
      </c>
    </row>
    <row r="96" spans="1:15" ht="15">
      <c r="A96" s="811" t="s">
        <v>543</v>
      </c>
      <c r="B96" s="699"/>
      <c r="C96" s="699" t="s">
        <v>544</v>
      </c>
      <c r="D96" s="827"/>
      <c r="E96" s="827"/>
      <c r="F96" s="827"/>
      <c r="G96" s="827"/>
      <c r="H96" s="828">
        <f aca="true" t="shared" si="9" ref="H96:M96">H$91*H78/(H$78+H$63+H$40)</f>
        <v>43.70423533581428</v>
      </c>
      <c r="I96" s="828">
        <f t="shared" si="9"/>
        <v>65.6282722513089</v>
      </c>
      <c r="J96" s="828">
        <f t="shared" si="9"/>
        <v>228.16316526610643</v>
      </c>
      <c r="K96" s="828">
        <f t="shared" si="9"/>
        <v>238.47907054310969</v>
      </c>
      <c r="L96" s="828">
        <f t="shared" si="9"/>
        <v>251.01022106013787</v>
      </c>
      <c r="M96" s="828">
        <f t="shared" si="9"/>
        <v>259.99439529204534</v>
      </c>
      <c r="N96" s="818">
        <f>SUM(H96:M96)</f>
        <v>1086.9793597485225</v>
      </c>
      <c r="O96" s="699" t="s">
        <v>545</v>
      </c>
    </row>
    <row r="97" spans="1:14" ht="15">
      <c r="A97" s="811" t="s">
        <v>489</v>
      </c>
      <c r="B97" s="699"/>
      <c r="D97" s="819"/>
      <c r="E97" s="819"/>
      <c r="F97" s="819"/>
      <c r="G97" s="819"/>
      <c r="H97" s="819"/>
      <c r="I97" s="819"/>
      <c r="J97" s="819"/>
      <c r="K97" s="819"/>
      <c r="L97" s="819"/>
      <c r="M97" s="819"/>
      <c r="N97" s="819"/>
    </row>
    <row r="98" spans="1:14" ht="15" hidden="1">
      <c r="A98" s="811"/>
      <c r="B98" s="699"/>
      <c r="C98" s="699"/>
      <c r="D98" s="819"/>
      <c r="E98" s="819"/>
      <c r="F98" s="819"/>
      <c r="G98" s="819"/>
      <c r="H98" s="819"/>
      <c r="I98" s="819"/>
      <c r="J98" s="819"/>
      <c r="K98" s="819"/>
      <c r="L98" s="819"/>
      <c r="M98" s="819"/>
      <c r="N98" s="819"/>
    </row>
    <row r="99" spans="1:14" ht="15" hidden="1">
      <c r="A99" s="811"/>
      <c r="B99" s="699"/>
      <c r="C99" s="699"/>
      <c r="D99" s="819"/>
      <c r="E99" s="819"/>
      <c r="F99" s="819"/>
      <c r="G99" s="819"/>
      <c r="H99" s="819">
        <v>1994</v>
      </c>
      <c r="I99" s="819">
        <v>1995</v>
      </c>
      <c r="J99" s="819">
        <v>1996</v>
      </c>
      <c r="K99" s="819">
        <v>1997</v>
      </c>
      <c r="L99" s="819">
        <v>1998</v>
      </c>
      <c r="M99" s="820">
        <v>1999</v>
      </c>
      <c r="N99" s="820" t="s">
        <v>493</v>
      </c>
    </row>
    <row r="100" spans="1:15" ht="15">
      <c r="A100" s="811" t="s">
        <v>44</v>
      </c>
      <c r="B100" s="699"/>
      <c r="C100" s="699" t="s">
        <v>546</v>
      </c>
      <c r="D100" s="824">
        <f aca="true" t="shared" si="10" ref="D100:M100">D78+D96</f>
        <v>1401</v>
      </c>
      <c r="E100" s="824">
        <f t="shared" si="10"/>
        <v>1444</v>
      </c>
      <c r="F100" s="824">
        <f t="shared" si="10"/>
        <v>1466</v>
      </c>
      <c r="G100" s="824">
        <f t="shared" si="10"/>
        <v>1523</v>
      </c>
      <c r="H100" s="830">
        <f t="shared" si="10"/>
        <v>1629.7042353358142</v>
      </c>
      <c r="I100" s="830">
        <f t="shared" si="10"/>
        <v>1700.628272251309</v>
      </c>
      <c r="J100" s="830">
        <f t="shared" si="10"/>
        <v>1898.1631652661065</v>
      </c>
      <c r="K100" s="830">
        <f t="shared" si="10"/>
        <v>1954.4790705431096</v>
      </c>
      <c r="L100" s="830">
        <f t="shared" si="10"/>
        <v>2011.0102210601378</v>
      </c>
      <c r="M100" s="830">
        <f t="shared" si="10"/>
        <v>2063.9943952920453</v>
      </c>
      <c r="N100" s="821">
        <f>SUM(H100:M100)</f>
        <v>11257.979359748522</v>
      </c>
      <c r="O100" s="801"/>
    </row>
    <row r="101" spans="1:14" ht="15">
      <c r="A101" s="813" t="s">
        <v>547</v>
      </c>
      <c r="B101" s="699"/>
      <c r="C101" s="699" t="s">
        <v>548</v>
      </c>
      <c r="D101" s="824"/>
      <c r="E101" s="824"/>
      <c r="F101" s="824"/>
      <c r="G101" s="824"/>
      <c r="H101" s="830">
        <f aca="true" t="shared" si="11" ref="H101:M103">H$100*H86</f>
        <v>1059.3077529682794</v>
      </c>
      <c r="I101" s="830">
        <f t="shared" si="11"/>
        <v>1052.3582828289548</v>
      </c>
      <c r="J101" s="830">
        <f t="shared" si="11"/>
        <v>1115.1708595938376</v>
      </c>
      <c r="K101" s="830">
        <f t="shared" si="11"/>
        <v>1127.3522091041377</v>
      </c>
      <c r="L101" s="830">
        <f t="shared" si="11"/>
        <v>1132.696128287491</v>
      </c>
      <c r="M101" s="830">
        <f t="shared" si="11"/>
        <v>1137.0587680249348</v>
      </c>
      <c r="N101" s="821">
        <f>SUM(H101:M101)</f>
        <v>6623.944000807635</v>
      </c>
    </row>
    <row r="102" spans="1:14" ht="15">
      <c r="A102" s="813" t="s">
        <v>549</v>
      </c>
      <c r="B102" s="699"/>
      <c r="C102" s="699" t="s">
        <v>548</v>
      </c>
      <c r="D102" s="824"/>
      <c r="E102" s="824"/>
      <c r="F102" s="824"/>
      <c r="G102" s="824"/>
      <c r="H102" s="830">
        <f t="shared" si="11"/>
        <v>358.5349317738791</v>
      </c>
      <c r="I102" s="830">
        <f t="shared" si="11"/>
        <v>390.04244363578306</v>
      </c>
      <c r="J102" s="830">
        <f t="shared" si="11"/>
        <v>461.49091955532214</v>
      </c>
      <c r="K102" s="830">
        <f t="shared" si="11"/>
        <v>488.31833656382446</v>
      </c>
      <c r="L102" s="830">
        <f t="shared" si="11"/>
        <v>518.8887291596328</v>
      </c>
      <c r="M102" s="830">
        <f t="shared" si="11"/>
        <v>541.2665714457877</v>
      </c>
      <c r="N102" s="821">
        <f>SUM(H102:M102)</f>
        <v>2758.5419321342292</v>
      </c>
    </row>
    <row r="103" spans="1:14" ht="15">
      <c r="A103" s="813" t="s">
        <v>550</v>
      </c>
      <c r="B103" s="699"/>
      <c r="C103" s="699" t="s">
        <v>548</v>
      </c>
      <c r="D103" s="824"/>
      <c r="E103" s="824"/>
      <c r="F103" s="824"/>
      <c r="G103" s="824"/>
      <c r="H103" s="830">
        <f t="shared" si="11"/>
        <v>211.86155059365586</v>
      </c>
      <c r="I103" s="830">
        <f t="shared" si="11"/>
        <v>258.22754578657106</v>
      </c>
      <c r="J103" s="830">
        <f t="shared" si="11"/>
        <v>321.5013861169468</v>
      </c>
      <c r="K103" s="830">
        <f t="shared" si="11"/>
        <v>338.8085248751473</v>
      </c>
      <c r="L103" s="830">
        <f t="shared" si="11"/>
        <v>359.42536361301393</v>
      </c>
      <c r="M103" s="830">
        <f t="shared" si="11"/>
        <v>385.6690558213229</v>
      </c>
      <c r="N103" s="821">
        <f>SUM(H103:M103)</f>
        <v>1875.493426806658</v>
      </c>
    </row>
    <row r="104" spans="1:14" ht="15">
      <c r="A104" s="811"/>
      <c r="B104" s="699"/>
      <c r="C104" s="699"/>
      <c r="D104" s="819"/>
      <c r="E104" s="819"/>
      <c r="F104" s="819"/>
      <c r="G104" s="819"/>
      <c r="H104" s="819"/>
      <c r="I104" s="819"/>
      <c r="J104" s="819"/>
      <c r="K104" s="819"/>
      <c r="L104" s="819"/>
      <c r="M104" s="819"/>
      <c r="N104" s="819"/>
    </row>
    <row r="105" spans="1:14" ht="15" hidden="1">
      <c r="A105" s="811"/>
      <c r="B105" s="699"/>
      <c r="C105" s="699"/>
      <c r="D105" s="819">
        <v>1990</v>
      </c>
      <c r="E105" s="819">
        <v>1991</v>
      </c>
      <c r="F105" s="819">
        <v>1992</v>
      </c>
      <c r="G105" s="819">
        <v>1993</v>
      </c>
      <c r="H105" s="819">
        <v>1994</v>
      </c>
      <c r="I105" s="819">
        <v>1995</v>
      </c>
      <c r="J105" s="819">
        <v>1996</v>
      </c>
      <c r="K105" s="819">
        <v>1997</v>
      </c>
      <c r="L105" s="819">
        <v>1998</v>
      </c>
      <c r="M105" s="820" t="s">
        <v>551</v>
      </c>
      <c r="N105" s="820" t="s">
        <v>493</v>
      </c>
    </row>
    <row r="106" spans="1:15" ht="15">
      <c r="A106" s="811" t="s">
        <v>552</v>
      </c>
      <c r="B106" s="699"/>
      <c r="C106" s="699" t="s">
        <v>464</v>
      </c>
      <c r="D106" s="815">
        <v>1804</v>
      </c>
      <c r="E106" s="815">
        <v>1966</v>
      </c>
      <c r="F106" s="815">
        <v>2141</v>
      </c>
      <c r="G106" s="815">
        <v>2386</v>
      </c>
      <c r="H106" s="816">
        <v>2526</v>
      </c>
      <c r="I106" s="816">
        <v>2778</v>
      </c>
      <c r="J106" s="816">
        <v>4345</v>
      </c>
      <c r="K106" s="816">
        <v>5529</v>
      </c>
      <c r="L106" s="816">
        <v>6082</v>
      </c>
      <c r="M106" s="825">
        <f>L106*1.1</f>
        <v>6690.200000000001</v>
      </c>
      <c r="N106" s="826">
        <f>SUM(H106:M106)</f>
        <v>27950.2</v>
      </c>
      <c r="O106" s="699" t="s">
        <v>554</v>
      </c>
    </row>
    <row r="107" spans="1:14" ht="15" hidden="1">
      <c r="A107" s="811" t="s">
        <v>489</v>
      </c>
      <c r="B107" s="699"/>
      <c r="C107" s="699" t="s">
        <v>489</v>
      </c>
      <c r="D107" s="699"/>
      <c r="E107" s="699"/>
      <c r="F107" s="699"/>
      <c r="G107" s="699"/>
      <c r="H107" s="810" t="s">
        <v>485</v>
      </c>
      <c r="I107" s="810" t="s">
        <v>486</v>
      </c>
      <c r="J107" s="810" t="s">
        <v>487</v>
      </c>
      <c r="K107" s="810" t="s">
        <v>488</v>
      </c>
      <c r="L107" s="699"/>
      <c r="M107" s="699"/>
      <c r="N107" s="699"/>
    </row>
    <row r="108" spans="1:14" ht="15" hidden="1">
      <c r="A108" s="811"/>
      <c r="B108" s="699"/>
      <c r="C108" s="699" t="s">
        <v>553</v>
      </c>
      <c r="D108" s="699"/>
      <c r="E108" s="699"/>
      <c r="F108" s="699"/>
      <c r="G108" s="699"/>
      <c r="H108" s="812">
        <f>($L106/H106)^(1/4)-1</f>
        <v>0.2456707518328154</v>
      </c>
      <c r="I108" s="812">
        <f>($L106/I106)^(1/3)-1</f>
        <v>0.29848835188440725</v>
      </c>
      <c r="J108" s="812">
        <f>($L106/J106)^(1/2)-1</f>
        <v>0.18311869666689073</v>
      </c>
      <c r="K108" s="812">
        <f>($L106/K106)-1</f>
        <v>0.1000180864532465</v>
      </c>
      <c r="L108" s="699"/>
      <c r="M108" s="699"/>
      <c r="N108" s="699"/>
    </row>
    <row r="109" spans="1:15" ht="15">
      <c r="A109" s="691"/>
      <c r="B109" s="752"/>
      <c r="C109" s="752"/>
      <c r="D109" s="752"/>
      <c r="E109" s="752"/>
      <c r="F109" s="752"/>
      <c r="G109" s="752"/>
      <c r="H109" s="752"/>
      <c r="I109" s="752"/>
      <c r="J109" s="752"/>
      <c r="K109" s="752"/>
      <c r="L109" s="752"/>
      <c r="M109" s="752"/>
      <c r="N109" s="752"/>
      <c r="O109" s="646" t="s">
        <v>555</v>
      </c>
    </row>
    <row r="110" ht="15">
      <c r="A110" s="443"/>
    </row>
    <row r="113" spans="1:9" ht="15">
      <c r="A113" s="443"/>
      <c r="D113" s="800"/>
      <c r="E113" s="800"/>
      <c r="F113" s="800"/>
      <c r="G113" s="800"/>
      <c r="H113" s="800"/>
      <c r="I113" s="800"/>
    </row>
    <row r="120" ht="15">
      <c r="A120" s="443" t="s">
        <v>489</v>
      </c>
    </row>
    <row r="129" ht="15">
      <c r="E129" s="805"/>
    </row>
    <row r="130" ht="15">
      <c r="E130" s="805"/>
    </row>
    <row r="131" spans="3:10" ht="15">
      <c r="C131" s="806"/>
      <c r="E131" s="805"/>
      <c r="F131" s="807"/>
      <c r="I131" s="808"/>
      <c r="J131" s="605" t="s">
        <v>556</v>
      </c>
    </row>
    <row r="132" spans="3:9" ht="15">
      <c r="C132" s="806"/>
      <c r="E132" s="805"/>
      <c r="I132" s="808"/>
    </row>
    <row r="133" spans="5:9" ht="15">
      <c r="E133" s="805"/>
      <c r="I133" s="808"/>
    </row>
    <row r="139" spans="1:2" ht="15">
      <c r="A139" s="443"/>
      <c r="B139" s="443"/>
    </row>
    <row r="141" ht="15">
      <c r="D141" s="809"/>
    </row>
    <row r="147" ht="15">
      <c r="D147" s="808"/>
    </row>
    <row r="155" ht="15">
      <c r="D155" s="804"/>
    </row>
    <row r="156" ht="15">
      <c r="D156" s="804"/>
    </row>
    <row r="157" ht="15">
      <c r="D157" s="804"/>
    </row>
    <row r="158" ht="15">
      <c r="D158" s="804"/>
    </row>
  </sheetData>
  <printOptions/>
  <pageMargins left="0.75" right="0.75" top="1" bottom="1" header="0.512" footer="0.512"/>
  <pageSetup horizontalDpi="360" verticalDpi="360" orientation="landscape" paperSize="9" scale="65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81"/>
  <sheetViews>
    <sheetView workbookViewId="0" topLeftCell="A1">
      <selection activeCell="D60" sqref="D60"/>
    </sheetView>
  </sheetViews>
  <sheetFormatPr defaultColWidth="11.19921875" defaultRowHeight="14.25"/>
  <cols>
    <col min="1" max="1" width="33.69921875" style="0" customWidth="1"/>
    <col min="2" max="2" width="14.296875" style="0" customWidth="1"/>
    <col min="3" max="3" width="15.59765625" style="0" customWidth="1"/>
    <col min="4" max="4" width="20.69921875" style="0" customWidth="1"/>
    <col min="5" max="5" width="19.3984375" style="0" customWidth="1"/>
    <col min="6" max="6" width="23.59765625" style="0" customWidth="1"/>
    <col min="7" max="7" width="16.296875" style="0" customWidth="1"/>
    <col min="8" max="8" width="13.59765625" style="0" customWidth="1"/>
    <col min="9" max="9" width="31.09765625" style="0" customWidth="1"/>
    <col min="10" max="10" width="2.3984375" style="0" customWidth="1"/>
    <col min="11" max="11" width="35.3984375" style="0" customWidth="1"/>
    <col min="12" max="12" width="7.69921875" style="0" customWidth="1"/>
    <col min="13" max="13" width="2.3984375" style="0" customWidth="1"/>
    <col min="14" max="16384" width="8.69921875" style="0" customWidth="1"/>
  </cols>
  <sheetData>
    <row r="1" ht="18">
      <c r="A1" s="147" t="s">
        <v>557</v>
      </c>
    </row>
    <row r="2" ht="18">
      <c r="A2" s="147"/>
    </row>
    <row r="3" ht="15.75">
      <c r="A3" s="162" t="s">
        <v>149</v>
      </c>
    </row>
    <row r="4" ht="15">
      <c r="A4" s="6" t="s">
        <v>558</v>
      </c>
    </row>
    <row r="5" ht="15">
      <c r="A5" s="6" t="s">
        <v>559</v>
      </c>
    </row>
    <row r="6" ht="15">
      <c r="A6" s="6" t="s">
        <v>560</v>
      </c>
    </row>
    <row r="7" ht="15">
      <c r="A7" s="6" t="s">
        <v>390</v>
      </c>
    </row>
    <row r="8" ht="15">
      <c r="A8" t="s">
        <v>391</v>
      </c>
    </row>
    <row r="10" ht="16.5" thickBot="1">
      <c r="A10" s="162" t="s">
        <v>40</v>
      </c>
    </row>
    <row r="11" spans="1:31" ht="33" customHeight="1" thickBot="1">
      <c r="A11" s="42"/>
      <c r="B11" s="237" t="s">
        <v>392</v>
      </c>
      <c r="C11" s="238" t="s">
        <v>393</v>
      </c>
      <c r="D11" s="238" t="s">
        <v>394</v>
      </c>
      <c r="E11" s="238" t="s">
        <v>395</v>
      </c>
      <c r="F11" s="211" t="s">
        <v>396</v>
      </c>
      <c r="G11" s="4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</row>
    <row r="12" spans="1:31" ht="15">
      <c r="A12" s="86" t="s">
        <v>454</v>
      </c>
      <c r="B12" s="239">
        <f>'Sales &amp; Total Stock'!N17</f>
        <v>22148</v>
      </c>
      <c r="C12" s="240">
        <f>B33</f>
        <v>16093</v>
      </c>
      <c r="D12" s="240">
        <f>$F12*C63</f>
        <v>5298.125</v>
      </c>
      <c r="E12" s="240">
        <f>$F12*B63</f>
        <v>756.875</v>
      </c>
      <c r="F12" s="215">
        <f>B12-C12</f>
        <v>6055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</row>
    <row r="13" spans="1:31" ht="14.25" customHeight="1">
      <c r="A13" s="214" t="s">
        <v>397</v>
      </c>
      <c r="B13" s="241">
        <f>'Sales &amp; Total Stock'!N23-B54</f>
        <v>109112.27272727272</v>
      </c>
      <c r="C13" s="242">
        <f>B35</f>
        <v>54530</v>
      </c>
      <c r="D13" s="242">
        <f>$F13*C64</f>
        <v>47759.48863636363</v>
      </c>
      <c r="E13" s="242">
        <f>$F13*B64</f>
        <v>6822.78409090909</v>
      </c>
      <c r="F13" s="212">
        <f>B13-C13</f>
        <v>54582.27272727272</v>
      </c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</row>
    <row r="14" spans="1:31" ht="13.5" customHeight="1">
      <c r="A14" s="45" t="s">
        <v>398</v>
      </c>
      <c r="B14" s="241">
        <f>B54</f>
        <v>3329.227272727273</v>
      </c>
      <c r="C14" s="243">
        <v>0</v>
      </c>
      <c r="D14" s="243">
        <f>$F14*C65</f>
        <v>2913.073863636364</v>
      </c>
      <c r="E14" s="243">
        <f>$F14*B65</f>
        <v>416.1534090909091</v>
      </c>
      <c r="F14" s="143">
        <f>B14-C14</f>
        <v>3329.227272727273</v>
      </c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</row>
    <row r="15" spans="1:31" ht="15">
      <c r="A15" s="44" t="s">
        <v>456</v>
      </c>
      <c r="B15" s="241">
        <f>'Sales &amp; Total Stock'!N27</f>
        <v>2022</v>
      </c>
      <c r="C15" s="244">
        <v>0</v>
      </c>
      <c r="D15" s="245">
        <f>$F15*C71</f>
        <v>1516.5</v>
      </c>
      <c r="E15" s="245">
        <f>$F15*B71</f>
        <v>505.5</v>
      </c>
      <c r="F15" s="36">
        <f aca="true" t="shared" si="0" ref="F15:F23">B15-C15</f>
        <v>2022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</row>
    <row r="16" spans="1:31" ht="15">
      <c r="A16" s="44" t="s">
        <v>477</v>
      </c>
      <c r="B16" s="241">
        <f>'Sales &amp; Total Stock'!N31</f>
        <v>107</v>
      </c>
      <c r="C16" s="244">
        <v>0</v>
      </c>
      <c r="D16" s="245">
        <f>$F16*C72</f>
        <v>96.3</v>
      </c>
      <c r="E16" s="245">
        <f>$F16*B72</f>
        <v>10.700000000000001</v>
      </c>
      <c r="F16" s="36">
        <f t="shared" si="0"/>
        <v>107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</row>
    <row r="17" spans="1:31" ht="15">
      <c r="A17" s="44" t="s">
        <v>472</v>
      </c>
      <c r="B17" s="241">
        <f>B13</f>
        <v>109112.27272727272</v>
      </c>
      <c r="C17" s="245">
        <f>C13</f>
        <v>54530</v>
      </c>
      <c r="D17" s="245">
        <f>$F17*C66</f>
        <v>47759.48863636363</v>
      </c>
      <c r="E17" s="245">
        <f>$F17*B66</f>
        <v>6822.78409090909</v>
      </c>
      <c r="F17" s="36">
        <f t="shared" si="0"/>
        <v>54582.27272727272</v>
      </c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</row>
    <row r="18" spans="1:31" ht="15">
      <c r="A18" s="44" t="s">
        <v>503</v>
      </c>
      <c r="B18" s="241">
        <f>'Sales &amp; Total Stock'!N35</f>
        <v>13330</v>
      </c>
      <c r="C18" s="244">
        <v>0</v>
      </c>
      <c r="D18" s="245">
        <f>$F18*C73</f>
        <v>9997.5</v>
      </c>
      <c r="E18" s="245">
        <f>$F18*B73</f>
        <v>3332.5</v>
      </c>
      <c r="F18" s="36">
        <f t="shared" si="0"/>
        <v>13330</v>
      </c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</row>
    <row r="19" spans="1:31" ht="15">
      <c r="A19" s="45" t="s">
        <v>399</v>
      </c>
      <c r="B19" s="246">
        <f>'Sales &amp; Total Stock'!N55</f>
        <v>27986.980684033315</v>
      </c>
      <c r="C19" s="243">
        <f>B41</f>
        <v>6300</v>
      </c>
      <c r="D19" s="243">
        <f>$F19*C$67</f>
        <v>18976.108098529152</v>
      </c>
      <c r="E19" s="243">
        <f>$F19*B$67</f>
        <v>2710.8725855041644</v>
      </c>
      <c r="F19" s="143">
        <f t="shared" si="0"/>
        <v>21686.980684033315</v>
      </c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</row>
    <row r="20" spans="1:31" ht="15">
      <c r="A20" s="39" t="s">
        <v>515</v>
      </c>
      <c r="B20" s="246">
        <f>'Sales &amp; Total Stock'!N56</f>
        <v>7781.08535826418</v>
      </c>
      <c r="C20" s="247">
        <f>C19</f>
        <v>6300</v>
      </c>
      <c r="D20" s="248">
        <f>$F20*C$67</f>
        <v>1295.9496884811579</v>
      </c>
      <c r="E20" s="248">
        <f>$F20*B$67</f>
        <v>185.13566978302254</v>
      </c>
      <c r="F20" s="143">
        <f t="shared" si="0"/>
        <v>1481.0853582641803</v>
      </c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</row>
    <row r="21" spans="1:31" ht="15">
      <c r="A21" s="39" t="s">
        <v>507</v>
      </c>
      <c r="B21" s="246">
        <f>'Sales &amp; Total Stock'!N57</f>
        <v>8729.805511377608</v>
      </c>
      <c r="C21" s="243">
        <v>0</v>
      </c>
      <c r="D21" s="248">
        <f>$F21*C$67</f>
        <v>7638.579822455407</v>
      </c>
      <c r="E21" s="248">
        <f>$F21*B$67</f>
        <v>1091.225688922201</v>
      </c>
      <c r="F21" s="143">
        <f t="shared" si="0"/>
        <v>8729.805511377608</v>
      </c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</row>
    <row r="22" spans="1:31" ht="15">
      <c r="A22" s="120" t="s">
        <v>516</v>
      </c>
      <c r="B22" s="246">
        <f>'Sales &amp; Total Stock'!N58</f>
        <v>11476.089814391527</v>
      </c>
      <c r="C22" s="249">
        <v>0</v>
      </c>
      <c r="D22" s="250">
        <f>$F22*C$67</f>
        <v>10041.578587592587</v>
      </c>
      <c r="E22" s="250">
        <f>$F22*B$67</f>
        <v>1434.511226798941</v>
      </c>
      <c r="F22" s="212">
        <f t="shared" si="0"/>
        <v>11476.089814391527</v>
      </c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</row>
    <row r="23" spans="1:31" ht="15">
      <c r="A23" s="214" t="s">
        <v>400</v>
      </c>
      <c r="B23" s="241">
        <f>'Sales &amp; Total Stock'!N74</f>
        <v>74074.31508063087</v>
      </c>
      <c r="C23" s="242">
        <f>B45</f>
        <v>50200</v>
      </c>
      <c r="D23" s="242">
        <f>$F23*C68</f>
        <v>20890.02569555201</v>
      </c>
      <c r="E23" s="242">
        <f>$F23*B68</f>
        <v>2984.2893850788587</v>
      </c>
      <c r="F23" s="212">
        <f t="shared" si="0"/>
        <v>23874.31508063087</v>
      </c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</row>
    <row r="24" spans="1:31" ht="15">
      <c r="A24" s="45" t="s">
        <v>401</v>
      </c>
      <c r="B24" s="246">
        <f>'Sales &amp; Total Stock'!N100</f>
        <v>11257.979359748522</v>
      </c>
      <c r="C24" s="243">
        <f>B48</f>
        <v>3800</v>
      </c>
      <c r="D24" s="243">
        <f>$F24*C$69</f>
        <v>6525.7319397799565</v>
      </c>
      <c r="E24" s="243">
        <f>$F24*B$69</f>
        <v>932.2474199685653</v>
      </c>
      <c r="F24" s="143">
        <f>B24-C24</f>
        <v>7457.979359748522</v>
      </c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</row>
    <row r="25" spans="1:31" ht="15">
      <c r="A25" s="39" t="s">
        <v>547</v>
      </c>
      <c r="B25" s="246">
        <f>'Sales &amp; Total Stock'!N101</f>
        <v>6623.944000807635</v>
      </c>
      <c r="C25" s="243">
        <f>C24</f>
        <v>3800</v>
      </c>
      <c r="D25" s="243">
        <f>$F25*C$69</f>
        <v>2470.951000706681</v>
      </c>
      <c r="E25" s="243">
        <f>$F25*B$69</f>
        <v>352.9930001009544</v>
      </c>
      <c r="F25" s="143">
        <f>B25-C25</f>
        <v>2823.9440008076353</v>
      </c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</row>
    <row r="26" spans="1:31" ht="15">
      <c r="A26" s="39" t="s">
        <v>549</v>
      </c>
      <c r="B26" s="246">
        <f>'Sales &amp; Total Stock'!N102</f>
        <v>2758.5419321342292</v>
      </c>
      <c r="C26" s="251">
        <v>0</v>
      </c>
      <c r="D26" s="243">
        <f>$F26*C$69</f>
        <v>2413.7241906174504</v>
      </c>
      <c r="E26" s="243">
        <f>$F26*B$69</f>
        <v>344.81774151677865</v>
      </c>
      <c r="F26" s="143">
        <f>B26-C26</f>
        <v>2758.5419321342292</v>
      </c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</row>
    <row r="27" spans="1:31" ht="15">
      <c r="A27" s="120" t="s">
        <v>550</v>
      </c>
      <c r="B27" s="252">
        <f>'Sales &amp; Total Stock'!N103</f>
        <v>1875.493426806658</v>
      </c>
      <c r="C27" s="249">
        <v>0</v>
      </c>
      <c r="D27" s="242">
        <f>$F27*C$69</f>
        <v>1641.0567484558258</v>
      </c>
      <c r="E27" s="242">
        <f>$F27*B$69</f>
        <v>234.43667835083224</v>
      </c>
      <c r="F27" s="212">
        <f>B27-C27</f>
        <v>1875.493426806658</v>
      </c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</row>
    <row r="28" spans="1:31" ht="18.75" customHeight="1" thickBot="1">
      <c r="A28" s="94" t="s">
        <v>470</v>
      </c>
      <c r="B28" s="253">
        <f>'Sales &amp; Total Stock'!N106</f>
        <v>27950.2</v>
      </c>
      <c r="C28" s="254">
        <f>B49</f>
        <v>6300</v>
      </c>
      <c r="D28" s="254">
        <f>$F28*C70</f>
        <v>18943.925</v>
      </c>
      <c r="E28" s="254">
        <f>$F28*B70</f>
        <v>2706.275</v>
      </c>
      <c r="F28" s="213">
        <f>B28-C28</f>
        <v>21650.2</v>
      </c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</row>
    <row r="29" spans="1:31" ht="21">
      <c r="A29" s="28"/>
      <c r="C29" s="47"/>
      <c r="D29" s="47"/>
      <c r="E29" s="47"/>
      <c r="G29" s="74"/>
      <c r="H29" s="210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</row>
    <row r="30" ht="15.75">
      <c r="A30" s="163"/>
    </row>
    <row r="31" ht="15.75">
      <c r="A31" s="162" t="s">
        <v>42</v>
      </c>
    </row>
    <row r="32" spans="1:14" ht="27" customHeight="1">
      <c r="A32" s="8" t="s">
        <v>449</v>
      </c>
      <c r="B32" s="104" t="s">
        <v>402</v>
      </c>
      <c r="C32" s="91" t="s">
        <v>451</v>
      </c>
      <c r="D32" s="195"/>
      <c r="E32" s="195"/>
      <c r="F32" s="195"/>
      <c r="G32" s="195"/>
      <c r="H32" s="195"/>
      <c r="I32" s="138"/>
      <c r="J32" s="149"/>
      <c r="K32" s="74"/>
      <c r="L32" s="74"/>
      <c r="M32" s="74"/>
      <c r="N32" s="74"/>
    </row>
    <row r="33" spans="1:14" ht="15">
      <c r="A33" s="84" t="s">
        <v>454</v>
      </c>
      <c r="B33" s="190">
        <v>16093</v>
      </c>
      <c r="C33" s="145" t="s">
        <v>403</v>
      </c>
      <c r="D33" s="175"/>
      <c r="E33" s="175"/>
      <c r="F33" s="176"/>
      <c r="G33" s="176"/>
      <c r="H33" s="177"/>
      <c r="I33" s="178"/>
      <c r="J33" s="166"/>
      <c r="K33" s="74"/>
      <c r="L33" s="74"/>
      <c r="M33" s="74"/>
      <c r="N33" s="74"/>
    </row>
    <row r="34" spans="2:14" ht="15">
      <c r="B34" s="99"/>
      <c r="C34" s="118" t="s">
        <v>404</v>
      </c>
      <c r="D34" s="117"/>
      <c r="E34" s="117"/>
      <c r="F34" s="797"/>
      <c r="G34" s="797"/>
      <c r="H34" s="798"/>
      <c r="I34" s="183"/>
      <c r="J34" s="167"/>
      <c r="K34" s="74"/>
      <c r="L34" s="74"/>
      <c r="M34" s="74"/>
      <c r="N34" s="74"/>
    </row>
    <row r="35" spans="1:14" ht="15">
      <c r="A35" s="84" t="s">
        <v>452</v>
      </c>
      <c r="B35" s="190">
        <v>54530</v>
      </c>
      <c r="C35" s="40" t="s">
        <v>405</v>
      </c>
      <c r="D35" s="74"/>
      <c r="E35" s="74"/>
      <c r="F35" s="164"/>
      <c r="G35" s="164"/>
      <c r="H35" s="165"/>
      <c r="I35" s="179"/>
      <c r="J35" s="168"/>
      <c r="K35" s="74"/>
      <c r="L35" s="74"/>
      <c r="M35" s="74"/>
      <c r="N35" s="74"/>
    </row>
    <row r="36" spans="1:14" ht="15">
      <c r="A36" s="99"/>
      <c r="B36" s="196"/>
      <c r="C36" s="40" t="s">
        <v>406</v>
      </c>
      <c r="D36" s="74"/>
      <c r="E36" s="74"/>
      <c r="F36" s="74"/>
      <c r="G36" s="74"/>
      <c r="H36" s="169"/>
      <c r="I36" s="179"/>
      <c r="J36" s="170"/>
      <c r="K36" s="74"/>
      <c r="L36" s="74"/>
      <c r="M36" s="74"/>
      <c r="N36" s="74"/>
    </row>
    <row r="37" spans="1:14" ht="15">
      <c r="A37" s="99"/>
      <c r="B37" s="196"/>
      <c r="C37" s="40" t="s">
        <v>407</v>
      </c>
      <c r="D37" s="74"/>
      <c r="E37" s="74"/>
      <c r="F37" s="74"/>
      <c r="G37" s="74"/>
      <c r="H37" s="169"/>
      <c r="I37" s="179"/>
      <c r="J37" s="170"/>
      <c r="K37" s="74"/>
      <c r="L37" s="74"/>
      <c r="M37" s="74"/>
      <c r="N37" s="74"/>
    </row>
    <row r="38" spans="2:14" ht="15">
      <c r="B38" s="99"/>
      <c r="C38" s="40" t="s">
        <v>408</v>
      </c>
      <c r="D38" s="74"/>
      <c r="E38" s="74"/>
      <c r="F38" s="74"/>
      <c r="G38" s="74"/>
      <c r="H38" s="169"/>
      <c r="I38" s="179"/>
      <c r="J38" s="170"/>
      <c r="K38" s="74"/>
      <c r="L38" s="74"/>
      <c r="M38" s="74"/>
      <c r="N38" s="74"/>
    </row>
    <row r="39" spans="1:14" ht="15">
      <c r="A39" s="99"/>
      <c r="B39" s="196"/>
      <c r="C39" s="40" t="s">
        <v>409</v>
      </c>
      <c r="D39" s="74"/>
      <c r="E39" s="74"/>
      <c r="F39" s="74"/>
      <c r="G39" s="74"/>
      <c r="H39" s="169"/>
      <c r="I39" s="179"/>
      <c r="J39" s="170"/>
      <c r="K39" s="74"/>
      <c r="L39" s="74"/>
      <c r="M39" s="74"/>
      <c r="N39" s="74"/>
    </row>
    <row r="40" spans="1:14" ht="15">
      <c r="A40" s="103"/>
      <c r="B40" s="191"/>
      <c r="C40" s="40" t="s">
        <v>410</v>
      </c>
      <c r="D40" s="74"/>
      <c r="E40" s="74"/>
      <c r="F40" s="74"/>
      <c r="G40" s="74"/>
      <c r="H40" s="169"/>
      <c r="I40" s="179"/>
      <c r="J40" s="170"/>
      <c r="K40" s="74"/>
      <c r="L40" s="74"/>
      <c r="M40" s="74"/>
      <c r="N40" s="74"/>
    </row>
    <row r="41" spans="1:14" ht="14.25" customHeight="1">
      <c r="A41" s="84" t="s">
        <v>459</v>
      </c>
      <c r="B41" s="190">
        <v>6300</v>
      </c>
      <c r="C41" s="184" t="s">
        <v>411</v>
      </c>
      <c r="D41" s="175"/>
      <c r="E41" s="175"/>
      <c r="F41" s="175"/>
      <c r="G41" s="175"/>
      <c r="H41" s="185"/>
      <c r="I41" s="178"/>
      <c r="J41" s="168"/>
      <c r="K41" s="74"/>
      <c r="L41" s="74"/>
      <c r="M41" s="74"/>
      <c r="N41" s="74"/>
    </row>
    <row r="42" spans="1:14" ht="14.25" customHeight="1">
      <c r="A42" s="99"/>
      <c r="B42" s="192"/>
      <c r="C42" s="148" t="s">
        <v>412</v>
      </c>
      <c r="D42" s="74"/>
      <c r="E42" s="74"/>
      <c r="F42" s="74"/>
      <c r="G42" s="74"/>
      <c r="H42" s="171"/>
      <c r="I42" s="179"/>
      <c r="J42" s="168"/>
      <c r="K42" s="74"/>
      <c r="L42" s="74"/>
      <c r="M42" s="74"/>
      <c r="N42" s="74"/>
    </row>
    <row r="43" spans="1:14" ht="14.25" customHeight="1">
      <c r="A43" s="99"/>
      <c r="B43" s="192"/>
      <c r="C43" t="s">
        <v>413</v>
      </c>
      <c r="D43" s="74"/>
      <c r="E43" s="74"/>
      <c r="F43" s="74"/>
      <c r="G43" s="74"/>
      <c r="H43" s="171"/>
      <c r="I43" s="179"/>
      <c r="J43" s="168"/>
      <c r="K43" s="74"/>
      <c r="L43" s="74"/>
      <c r="M43" s="74"/>
      <c r="N43" s="74"/>
    </row>
    <row r="44" spans="1:14" ht="13.5" customHeight="1">
      <c r="A44" s="103"/>
      <c r="B44" s="193"/>
      <c r="C44" s="117" t="s">
        <v>414</v>
      </c>
      <c r="D44" s="117"/>
      <c r="E44" s="117"/>
      <c r="F44" s="161"/>
      <c r="G44" s="117"/>
      <c r="H44" s="186"/>
      <c r="I44" s="183"/>
      <c r="J44" s="168"/>
      <c r="K44" s="74"/>
      <c r="L44" s="74"/>
      <c r="M44" s="74"/>
      <c r="N44" s="74"/>
    </row>
    <row r="45" spans="1:14" ht="15">
      <c r="A45" s="84" t="s">
        <v>415</v>
      </c>
      <c r="B45" s="173">
        <f>56500-6300</f>
        <v>50200</v>
      </c>
      <c r="C45" s="40" t="s">
        <v>416</v>
      </c>
      <c r="D45" s="74"/>
      <c r="E45" s="74"/>
      <c r="F45" s="141"/>
      <c r="G45" s="74"/>
      <c r="H45" s="171"/>
      <c r="I45" s="179"/>
      <c r="J45" s="168"/>
      <c r="K45" s="74"/>
      <c r="L45" s="74"/>
      <c r="M45" s="74"/>
      <c r="N45" s="74"/>
    </row>
    <row r="46" spans="1:14" ht="15">
      <c r="A46" s="99"/>
      <c r="B46" s="174"/>
      <c r="C46" s="40" t="s">
        <v>417</v>
      </c>
      <c r="D46" s="74"/>
      <c r="E46" s="74"/>
      <c r="F46" s="74"/>
      <c r="G46" s="74"/>
      <c r="H46" s="74"/>
      <c r="I46" s="179"/>
      <c r="J46" s="168"/>
      <c r="K46" s="74"/>
      <c r="L46" s="74"/>
      <c r="M46" s="74"/>
      <c r="N46" s="74"/>
    </row>
    <row r="47" spans="1:14" ht="15">
      <c r="A47" s="103"/>
      <c r="B47" s="174"/>
      <c r="C47" s="40"/>
      <c r="D47" s="74"/>
      <c r="E47" s="74"/>
      <c r="F47" s="74"/>
      <c r="G47" s="74"/>
      <c r="H47" s="74"/>
      <c r="I47" s="180"/>
      <c r="J47" s="140"/>
      <c r="K47" s="74"/>
      <c r="L47" s="74"/>
      <c r="M47" s="74"/>
      <c r="N47" s="74"/>
    </row>
    <row r="48" spans="1:9" ht="15">
      <c r="A48" s="8" t="s">
        <v>461</v>
      </c>
      <c r="B48" s="194">
        <v>3800</v>
      </c>
      <c r="C48" s="187" t="s">
        <v>418</v>
      </c>
      <c r="D48" s="95"/>
      <c r="E48" s="188"/>
      <c r="F48" s="189"/>
      <c r="G48" s="95"/>
      <c r="H48" s="95"/>
      <c r="I48" s="138"/>
    </row>
    <row r="49" spans="1:9" ht="15">
      <c r="A49" s="8" t="s">
        <v>462</v>
      </c>
      <c r="B49" s="194">
        <v>6300</v>
      </c>
      <c r="C49" s="118" t="s">
        <v>419</v>
      </c>
      <c r="D49" s="117"/>
      <c r="E49" s="181"/>
      <c r="F49" s="182"/>
      <c r="G49" s="117"/>
      <c r="H49" s="117"/>
      <c r="I49" s="183"/>
    </row>
    <row r="50" spans="1:6" ht="15">
      <c r="A50" s="74"/>
      <c r="B50" s="74"/>
      <c r="C50" s="74"/>
      <c r="D50" s="172"/>
      <c r="E50" s="166"/>
      <c r="F50" s="142"/>
    </row>
    <row r="51" spans="1:6" ht="15">
      <c r="A51" s="74"/>
      <c r="B51" s="74"/>
      <c r="C51" s="74"/>
      <c r="D51" s="172"/>
      <c r="E51" s="166"/>
      <c r="F51" s="142"/>
    </row>
    <row r="52" spans="1:6" ht="15.75">
      <c r="A52" s="799" t="s">
        <v>41</v>
      </c>
      <c r="B52" s="74"/>
      <c r="C52" s="74"/>
      <c r="D52" s="172"/>
      <c r="E52" s="166"/>
      <c r="F52" s="142"/>
    </row>
    <row r="53" spans="1:9" ht="26.25" customHeight="1">
      <c r="A53" s="8"/>
      <c r="B53" s="104" t="s">
        <v>420</v>
      </c>
      <c r="C53" s="91" t="s">
        <v>451</v>
      </c>
      <c r="D53" s="207"/>
      <c r="E53" s="208"/>
      <c r="F53" s="209"/>
      <c r="G53" s="95"/>
      <c r="H53" s="95"/>
      <c r="I53" s="138"/>
    </row>
    <row r="54" spans="1:9" ht="15">
      <c r="A54" s="198" t="s">
        <v>421</v>
      </c>
      <c r="B54" s="199">
        <f>('Sales &amp; Total Stock'!N23-B35+B15+B16)/11-B15-B16</f>
        <v>3329.227272727273</v>
      </c>
      <c r="C54" s="200" t="s">
        <v>422</v>
      </c>
      <c r="D54" s="175"/>
      <c r="E54" s="201"/>
      <c r="F54" s="202"/>
      <c r="G54" s="175"/>
      <c r="H54" s="175"/>
      <c r="I54" s="178"/>
    </row>
    <row r="55" spans="1:9" ht="15">
      <c r="A55" s="258"/>
      <c r="B55" s="259"/>
      <c r="C55" s="260" t="s">
        <v>423</v>
      </c>
      <c r="D55" s="74"/>
      <c r="E55" s="166"/>
      <c r="F55" s="142"/>
      <c r="G55" s="74"/>
      <c r="H55" s="74"/>
      <c r="I55" s="179"/>
    </row>
    <row r="56" spans="1:9" ht="15">
      <c r="A56" s="118"/>
      <c r="B56" s="118"/>
      <c r="C56" s="146" t="s">
        <v>424</v>
      </c>
      <c r="D56" s="117"/>
      <c r="E56" s="203"/>
      <c r="F56" s="204"/>
      <c r="G56" s="117"/>
      <c r="H56" s="117"/>
      <c r="I56" s="183"/>
    </row>
    <row r="57" spans="1:9" ht="30">
      <c r="A57" s="205" t="s">
        <v>425</v>
      </c>
      <c r="B57" s="206">
        <f>'Sales &amp; Total Stock'!N23-B35-B54</f>
        <v>54582.27272727273</v>
      </c>
      <c r="C57" s="91" t="s">
        <v>426</v>
      </c>
      <c r="D57" s="207"/>
      <c r="E57" s="208"/>
      <c r="F57" s="209"/>
      <c r="G57" s="95"/>
      <c r="H57" s="95"/>
      <c r="I57" s="138"/>
    </row>
    <row r="58" spans="1:6" ht="15">
      <c r="A58" s="74"/>
      <c r="B58" s="74"/>
      <c r="C58" s="74"/>
      <c r="D58" s="172"/>
      <c r="E58" s="166"/>
      <c r="F58" s="142"/>
    </row>
    <row r="59" spans="1:6" ht="15">
      <c r="A59" s="74"/>
      <c r="B59" s="74"/>
      <c r="C59" s="74"/>
      <c r="D59" s="172"/>
      <c r="E59" s="166"/>
      <c r="F59" s="142"/>
    </row>
    <row r="60" spans="1:6" ht="15">
      <c r="A60" s="74"/>
      <c r="B60" s="74"/>
      <c r="C60" s="74"/>
      <c r="D60" s="172"/>
      <c r="E60" s="166"/>
      <c r="F60" s="142"/>
    </row>
    <row r="61" ht="15.75">
      <c r="A61" s="793" t="s">
        <v>427</v>
      </c>
    </row>
    <row r="62" spans="1:7" ht="15">
      <c r="A62" s="8"/>
      <c r="B62" s="8" t="s">
        <v>395</v>
      </c>
      <c r="C62" s="8" t="s">
        <v>394</v>
      </c>
      <c r="D62" s="91" t="s">
        <v>451</v>
      </c>
      <c r="E62" s="95"/>
      <c r="F62" s="95"/>
      <c r="G62" s="138"/>
    </row>
    <row r="63" spans="1:7" ht="15">
      <c r="A63" s="107" t="s">
        <v>454</v>
      </c>
      <c r="B63" s="197">
        <f>1/8</f>
        <v>0.125</v>
      </c>
      <c r="C63" s="216">
        <f>1-B63</f>
        <v>0.875</v>
      </c>
      <c r="D63" s="145" t="s">
        <v>428</v>
      </c>
      <c r="E63" s="175"/>
      <c r="F63" s="175"/>
      <c r="G63" s="178"/>
    </row>
    <row r="64" spans="1:7" ht="15">
      <c r="A64" s="107" t="s">
        <v>429</v>
      </c>
      <c r="B64" s="197">
        <f aca="true" t="shared" si="1" ref="B64:B70">1/8</f>
        <v>0.125</v>
      </c>
      <c r="C64" s="216">
        <f>1-B64</f>
        <v>0.875</v>
      </c>
      <c r="D64" s="40" t="s">
        <v>430</v>
      </c>
      <c r="E64" s="74"/>
      <c r="F64" s="74"/>
      <c r="G64" s="179"/>
    </row>
    <row r="65" spans="1:7" ht="15">
      <c r="A65" s="107" t="s">
        <v>455</v>
      </c>
      <c r="B65" s="197">
        <f t="shared" si="1"/>
        <v>0.125</v>
      </c>
      <c r="C65" s="216">
        <f>1-B65</f>
        <v>0.875</v>
      </c>
      <c r="D65" s="40" t="s">
        <v>431</v>
      </c>
      <c r="E65" s="74"/>
      <c r="F65" s="74"/>
      <c r="G65" s="179"/>
    </row>
    <row r="66" spans="1:7" ht="15">
      <c r="A66" s="107" t="s">
        <v>432</v>
      </c>
      <c r="B66" s="197">
        <f t="shared" si="1"/>
        <v>0.125</v>
      </c>
      <c r="C66" s="216">
        <f aca="true" t="shared" si="2" ref="C66:C73">1-B66</f>
        <v>0.875</v>
      </c>
      <c r="D66" s="40"/>
      <c r="E66" s="74"/>
      <c r="F66" s="74"/>
      <c r="G66" s="179"/>
    </row>
    <row r="67" spans="1:7" ht="15">
      <c r="A67" s="107" t="s">
        <v>399</v>
      </c>
      <c r="B67" s="197">
        <f t="shared" si="1"/>
        <v>0.125</v>
      </c>
      <c r="C67" s="216">
        <f t="shared" si="2"/>
        <v>0.875</v>
      </c>
      <c r="D67" s="40"/>
      <c r="E67" s="74"/>
      <c r="F67" s="74"/>
      <c r="G67" s="179"/>
    </row>
    <row r="68" spans="1:7" ht="15">
      <c r="A68" s="107" t="s">
        <v>400</v>
      </c>
      <c r="B68" s="197">
        <f t="shared" si="1"/>
        <v>0.125</v>
      </c>
      <c r="C68" s="216">
        <f t="shared" si="2"/>
        <v>0.875</v>
      </c>
      <c r="D68" s="40"/>
      <c r="E68" s="74"/>
      <c r="F68" s="74"/>
      <c r="G68" s="179"/>
    </row>
    <row r="69" spans="1:7" ht="15">
      <c r="A69" s="107" t="s">
        <v>401</v>
      </c>
      <c r="B69" s="197">
        <f t="shared" si="1"/>
        <v>0.125</v>
      </c>
      <c r="C69" s="216">
        <f t="shared" si="2"/>
        <v>0.875</v>
      </c>
      <c r="D69" s="40"/>
      <c r="E69" s="74"/>
      <c r="F69" s="74"/>
      <c r="G69" s="179"/>
    </row>
    <row r="70" spans="1:7" ht="15">
      <c r="A70" s="107" t="s">
        <v>462</v>
      </c>
      <c r="B70" s="197">
        <f t="shared" si="1"/>
        <v>0.125</v>
      </c>
      <c r="C70" s="216">
        <f t="shared" si="2"/>
        <v>0.875</v>
      </c>
      <c r="D70" s="118"/>
      <c r="E70" s="117"/>
      <c r="F70" s="117"/>
      <c r="G70" s="183"/>
    </row>
    <row r="71" spans="1:7" ht="15">
      <c r="A71" s="107" t="s">
        <v>456</v>
      </c>
      <c r="B71" s="197">
        <v>0.25</v>
      </c>
      <c r="C71" s="216">
        <f t="shared" si="2"/>
        <v>0.75</v>
      </c>
      <c r="D71" s="145" t="s">
        <v>433</v>
      </c>
      <c r="E71" s="175"/>
      <c r="F71" s="175"/>
      <c r="G71" s="178"/>
    </row>
    <row r="72" spans="1:7" ht="15">
      <c r="A72" s="107" t="s">
        <v>458</v>
      </c>
      <c r="B72" s="197">
        <v>0.1</v>
      </c>
      <c r="C72" s="216">
        <f t="shared" si="2"/>
        <v>0.9</v>
      </c>
      <c r="D72" s="40"/>
      <c r="E72" s="74"/>
      <c r="F72" s="74"/>
      <c r="G72" s="179"/>
    </row>
    <row r="73" spans="1:7" ht="15">
      <c r="A73" s="107" t="s">
        <v>503</v>
      </c>
      <c r="B73" s="197">
        <v>0.25</v>
      </c>
      <c r="C73" s="216">
        <f t="shared" si="2"/>
        <v>0.75</v>
      </c>
      <c r="D73" s="118"/>
      <c r="E73" s="117"/>
      <c r="F73" s="117"/>
      <c r="G73" s="183"/>
    </row>
    <row r="74" spans="4:7" ht="15">
      <c r="D74" s="74"/>
      <c r="E74" s="74"/>
      <c r="F74" s="74"/>
      <c r="G74" s="74"/>
    </row>
    <row r="75" spans="4:7" ht="15">
      <c r="D75" s="121"/>
      <c r="E75" s="121"/>
      <c r="F75" s="121"/>
      <c r="G75" s="74"/>
    </row>
    <row r="76" spans="4:7" ht="15">
      <c r="D76" s="74"/>
      <c r="E76" s="74"/>
      <c r="F76" s="116"/>
      <c r="G76" s="74"/>
    </row>
    <row r="77" spans="1:7" ht="15">
      <c r="A77" s="106"/>
      <c r="B77" s="74"/>
      <c r="C77" s="74"/>
      <c r="D77" s="74"/>
      <c r="E77" s="74"/>
      <c r="F77" s="74"/>
      <c r="G77" s="74"/>
    </row>
    <row r="78" spans="1:7" ht="15">
      <c r="A78" s="106"/>
      <c r="B78" s="74"/>
      <c r="C78" s="74"/>
      <c r="D78" s="74"/>
      <c r="E78" s="74"/>
      <c r="F78" s="74"/>
      <c r="G78" s="74"/>
    </row>
    <row r="79" spans="1:7" ht="15">
      <c r="A79" s="74"/>
      <c r="B79" s="74"/>
      <c r="C79" s="74"/>
      <c r="D79" s="74"/>
      <c r="E79" s="74"/>
      <c r="F79" s="74"/>
      <c r="G79" s="74"/>
    </row>
    <row r="80" spans="1:7" ht="15">
      <c r="A80" s="74"/>
      <c r="B80" s="74"/>
      <c r="C80" s="74"/>
      <c r="D80" s="74"/>
      <c r="E80" s="74"/>
      <c r="F80" s="74"/>
      <c r="G80" s="74"/>
    </row>
    <row r="81" ht="15">
      <c r="A81" s="74"/>
    </row>
  </sheetData>
  <printOptions/>
  <pageMargins left="0.5905511811023623" right="0.5905511811023623" top="0.984251968503937" bottom="0.984251968503937" header="0.5118110236220472" footer="0.5118110236220472"/>
  <pageSetup orientation="landscape" paperSize="9" scale="65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03"/>
  <sheetViews>
    <sheetView workbookViewId="0" topLeftCell="A1">
      <selection activeCell="F191" sqref="F191"/>
    </sheetView>
  </sheetViews>
  <sheetFormatPr defaultColWidth="11.19921875" defaultRowHeight="14.25"/>
  <cols>
    <col min="1" max="1" width="26.59765625" style="0" customWidth="1"/>
    <col min="2" max="2" width="31.3984375" style="0" customWidth="1"/>
    <col min="3" max="3" width="11.59765625" style="0" customWidth="1"/>
    <col min="4" max="4" width="14.59765625" style="0" customWidth="1"/>
    <col min="5" max="5" width="11.09765625" style="0" customWidth="1"/>
    <col min="6" max="6" width="26" style="0" customWidth="1"/>
    <col min="7" max="16384" width="8.69921875" style="0" customWidth="1"/>
  </cols>
  <sheetData>
    <row r="1" ht="18">
      <c r="A1" s="105" t="s">
        <v>434</v>
      </c>
    </row>
    <row r="3" ht="15">
      <c r="A3" s="51" t="s">
        <v>484</v>
      </c>
    </row>
    <row r="4" ht="13.5" customHeight="1" thickBot="1"/>
    <row r="5" spans="1:6" ht="15.75" thickBot="1">
      <c r="A5" s="7"/>
      <c r="B5" s="61" t="s">
        <v>435</v>
      </c>
      <c r="C5" s="598" t="s">
        <v>436</v>
      </c>
      <c r="D5" s="598" t="s">
        <v>437</v>
      </c>
      <c r="E5" s="600" t="s">
        <v>438</v>
      </c>
      <c r="F5" s="82" t="s">
        <v>451</v>
      </c>
    </row>
    <row r="6" spans="1:6" ht="15">
      <c r="A6" s="62" t="s">
        <v>439</v>
      </c>
      <c r="B6" s="63" t="s">
        <v>440</v>
      </c>
      <c r="C6" s="221">
        <v>55</v>
      </c>
      <c r="D6" s="222">
        <v>25</v>
      </c>
      <c r="E6" s="225">
        <v>1.5</v>
      </c>
      <c r="F6" s="82" t="s">
        <v>441</v>
      </c>
    </row>
    <row r="7" spans="1:6" ht="15">
      <c r="A7" s="76"/>
      <c r="B7" s="100" t="s">
        <v>442</v>
      </c>
      <c r="C7" s="223">
        <v>50</v>
      </c>
      <c r="D7" s="217">
        <v>25</v>
      </c>
      <c r="E7" s="226">
        <v>1.5</v>
      </c>
      <c r="F7" s="33" t="s">
        <v>441</v>
      </c>
    </row>
    <row r="8" spans="1:6" ht="15">
      <c r="A8" s="76"/>
      <c r="B8" s="100" t="s">
        <v>556</v>
      </c>
      <c r="C8" s="223">
        <v>75</v>
      </c>
      <c r="D8" s="233">
        <v>25</v>
      </c>
      <c r="E8" s="263">
        <v>1.5</v>
      </c>
      <c r="F8" s="33" t="s">
        <v>443</v>
      </c>
    </row>
    <row r="9" spans="1:6" ht="15.75" thickBot="1">
      <c r="A9" s="76"/>
      <c r="B9" s="108" t="s">
        <v>469</v>
      </c>
      <c r="C9" s="224">
        <v>15</v>
      </c>
      <c r="D9" s="218">
        <v>3</v>
      </c>
      <c r="E9" s="235">
        <v>2</v>
      </c>
      <c r="F9" s="34" t="s">
        <v>444</v>
      </c>
    </row>
    <row r="10" spans="1:6" ht="15">
      <c r="A10" s="66" t="s">
        <v>445</v>
      </c>
      <c r="B10" s="67" t="s">
        <v>446</v>
      </c>
      <c r="C10" s="9">
        <v>55</v>
      </c>
      <c r="D10" s="9">
        <v>55</v>
      </c>
      <c r="E10" s="10">
        <v>0</v>
      </c>
      <c r="F10" s="82"/>
    </row>
    <row r="11" spans="1:6" ht="15.75" thickBot="1">
      <c r="A11" s="68"/>
      <c r="B11" s="69" t="s">
        <v>324</v>
      </c>
      <c r="C11" s="11">
        <v>40</v>
      </c>
      <c r="D11" s="11">
        <v>25</v>
      </c>
      <c r="E11" s="32">
        <v>0</v>
      </c>
      <c r="F11" s="34"/>
    </row>
    <row r="12" spans="1:6" ht="15">
      <c r="A12" s="38" t="s">
        <v>325</v>
      </c>
      <c r="B12" s="70" t="s">
        <v>326</v>
      </c>
      <c r="C12" s="8">
        <v>74</v>
      </c>
      <c r="D12" s="8">
        <v>74</v>
      </c>
      <c r="E12" s="30">
        <v>1</v>
      </c>
      <c r="F12" s="33"/>
    </row>
    <row r="13" spans="1:6" ht="15.75" thickBot="1">
      <c r="A13" s="71"/>
      <c r="B13" s="69" t="s">
        <v>327</v>
      </c>
      <c r="C13" s="11">
        <v>55</v>
      </c>
      <c r="D13" s="11">
        <v>32</v>
      </c>
      <c r="E13" s="32">
        <v>1</v>
      </c>
      <c r="F13" s="34"/>
    </row>
    <row r="14" spans="1:5" ht="15">
      <c r="A14" s="74"/>
      <c r="B14" s="75"/>
      <c r="C14" s="74"/>
      <c r="D14" s="74"/>
      <c r="E14" s="74"/>
    </row>
    <row r="15" spans="1:5" ht="15">
      <c r="A15" s="74"/>
      <c r="B15" s="75"/>
      <c r="C15" s="74"/>
      <c r="D15" s="74"/>
      <c r="E15" s="74"/>
    </row>
    <row r="16" ht="15">
      <c r="A16" s="109" t="s">
        <v>39</v>
      </c>
    </row>
    <row r="17" ht="15">
      <c r="A17" t="s">
        <v>328</v>
      </c>
    </row>
    <row r="18" spans="1:2" ht="15">
      <c r="A18" s="3" t="s">
        <v>329</v>
      </c>
      <c r="B18" s="3" t="s">
        <v>330</v>
      </c>
    </row>
    <row r="19" spans="1:2" ht="15">
      <c r="A19" s="3" t="s">
        <v>329</v>
      </c>
      <c r="B19" s="3" t="s">
        <v>331</v>
      </c>
    </row>
    <row r="20" spans="1:2" ht="15">
      <c r="A20" s="3" t="s">
        <v>332</v>
      </c>
      <c r="B20" s="3" t="s">
        <v>333</v>
      </c>
    </row>
    <row r="21" ht="15">
      <c r="A21" s="3"/>
    </row>
    <row r="22" ht="15">
      <c r="A22" s="109" t="s">
        <v>334</v>
      </c>
    </row>
    <row r="23" ht="15">
      <c r="A23" t="s">
        <v>335</v>
      </c>
    </row>
    <row r="24" spans="1:2" ht="15">
      <c r="A24" s="3" t="s">
        <v>329</v>
      </c>
      <c r="B24" s="3" t="s">
        <v>336</v>
      </c>
    </row>
    <row r="25" spans="1:2" ht="15">
      <c r="A25" s="3" t="s">
        <v>337</v>
      </c>
      <c r="B25" s="3" t="s">
        <v>338</v>
      </c>
    </row>
    <row r="26" ht="15">
      <c r="A26" s="3"/>
    </row>
    <row r="27" ht="15">
      <c r="A27" s="109" t="s">
        <v>339</v>
      </c>
    </row>
    <row r="28" ht="15">
      <c r="A28" t="s">
        <v>340</v>
      </c>
    </row>
    <row r="29" spans="1:2" ht="15">
      <c r="A29" s="3" t="s">
        <v>341</v>
      </c>
      <c r="B29" s="3" t="s">
        <v>342</v>
      </c>
    </row>
    <row r="30" ht="15">
      <c r="A30" s="3"/>
    </row>
    <row r="31" ht="15">
      <c r="A31" s="109" t="s">
        <v>343</v>
      </c>
    </row>
    <row r="32" ht="15">
      <c r="A32" t="s">
        <v>344</v>
      </c>
    </row>
    <row r="33" ht="15">
      <c r="A33" t="s">
        <v>345</v>
      </c>
    </row>
    <row r="34" ht="13.5" customHeight="1">
      <c r="A34" t="s">
        <v>346</v>
      </c>
    </row>
    <row r="35" ht="15">
      <c r="A35" t="s">
        <v>347</v>
      </c>
    </row>
    <row r="36" spans="1:2" ht="15">
      <c r="A36" s="3" t="s">
        <v>332</v>
      </c>
      <c r="B36" s="3" t="s">
        <v>348</v>
      </c>
    </row>
    <row r="37" ht="15">
      <c r="A37" s="3"/>
    </row>
    <row r="38" spans="1:2" ht="15">
      <c r="A38" s="110" t="s">
        <v>349</v>
      </c>
      <c r="B38" s="75"/>
    </row>
    <row r="39" spans="1:2" ht="15">
      <c r="A39" t="s">
        <v>350</v>
      </c>
      <c r="B39" s="75"/>
    </row>
    <row r="40" spans="1:2" ht="15">
      <c r="A40" s="111" t="s">
        <v>341</v>
      </c>
      <c r="B40" s="112" t="s">
        <v>351</v>
      </c>
    </row>
    <row r="41" spans="1:2" ht="15">
      <c r="A41" s="111" t="s">
        <v>332</v>
      </c>
      <c r="B41" s="112" t="s">
        <v>352</v>
      </c>
    </row>
    <row r="42" spans="1:2" ht="15">
      <c r="A42" s="111" t="s">
        <v>353</v>
      </c>
      <c r="B42" s="111" t="s">
        <v>354</v>
      </c>
    </row>
    <row r="43" spans="1:2" ht="15">
      <c r="A43" s="111" t="s">
        <v>355</v>
      </c>
      <c r="B43" s="111" t="s">
        <v>356</v>
      </c>
    </row>
    <row r="44" spans="1:2" ht="15">
      <c r="A44" s="111"/>
      <c r="B44" s="74"/>
    </row>
    <row r="45" ht="15">
      <c r="A45" s="109" t="s">
        <v>357</v>
      </c>
    </row>
    <row r="46" ht="15">
      <c r="A46" t="s">
        <v>335</v>
      </c>
    </row>
    <row r="47" spans="1:2" ht="15">
      <c r="A47" s="3" t="s">
        <v>341</v>
      </c>
      <c r="B47" s="112" t="s">
        <v>358</v>
      </c>
    </row>
    <row r="48" spans="1:2" ht="15">
      <c r="A48" s="3" t="s">
        <v>355</v>
      </c>
      <c r="B48" s="3" t="s">
        <v>359</v>
      </c>
    </row>
    <row r="49" ht="15">
      <c r="A49" s="3"/>
    </row>
    <row r="50" ht="15">
      <c r="A50" s="109" t="s">
        <v>360</v>
      </c>
    </row>
    <row r="51" ht="15">
      <c r="A51" t="s">
        <v>340</v>
      </c>
    </row>
    <row r="52" spans="1:2" ht="15">
      <c r="A52" s="3" t="s">
        <v>341</v>
      </c>
      <c r="B52" s="75" t="s">
        <v>361</v>
      </c>
    </row>
    <row r="54" ht="15.75" customHeight="1"/>
    <row r="55" ht="18" customHeight="1">
      <c r="A55" s="92" t="s">
        <v>362</v>
      </c>
    </row>
    <row r="56" ht="15.75" thickBot="1"/>
    <row r="57" spans="1:6" ht="15.75" thickBot="1">
      <c r="A57" s="46"/>
      <c r="B57" s="73" t="s">
        <v>435</v>
      </c>
      <c r="C57" s="795" t="s">
        <v>436</v>
      </c>
      <c r="D57" s="271" t="s">
        <v>437</v>
      </c>
      <c r="E57" s="599" t="s">
        <v>438</v>
      </c>
      <c r="F57" s="82" t="s">
        <v>451</v>
      </c>
    </row>
    <row r="58" spans="1:6" ht="15">
      <c r="A58" s="54" t="s">
        <v>439</v>
      </c>
      <c r="B58" s="88" t="s">
        <v>363</v>
      </c>
      <c r="C58" s="217">
        <v>10000</v>
      </c>
      <c r="D58" s="226">
        <v>5000</v>
      </c>
      <c r="E58" s="261">
        <v>0</v>
      </c>
      <c r="F58" s="113" t="s">
        <v>364</v>
      </c>
    </row>
    <row r="59" spans="1:6" ht="15.75" thickBot="1">
      <c r="A59" s="45"/>
      <c r="B59" s="88" t="s">
        <v>365</v>
      </c>
      <c r="C59" s="217">
        <v>1000</v>
      </c>
      <c r="D59" s="226">
        <v>500</v>
      </c>
      <c r="E59" s="262">
        <v>0</v>
      </c>
      <c r="F59" s="114" t="s">
        <v>366</v>
      </c>
    </row>
    <row r="60" spans="1:6" ht="15">
      <c r="A60" s="72" t="s">
        <v>445</v>
      </c>
      <c r="B60" s="10" t="s">
        <v>363</v>
      </c>
      <c r="C60" s="9">
        <v>10000</v>
      </c>
      <c r="D60" s="10">
        <v>5000</v>
      </c>
      <c r="E60" s="33">
        <v>0</v>
      </c>
      <c r="F60" s="33"/>
    </row>
    <row r="61" spans="1:6" ht="15.75" thickBot="1">
      <c r="A61" s="96"/>
      <c r="B61" s="32" t="s">
        <v>365</v>
      </c>
      <c r="C61" s="11">
        <v>1250</v>
      </c>
      <c r="D61" s="32">
        <v>625</v>
      </c>
      <c r="E61" s="34">
        <v>0</v>
      </c>
      <c r="F61" s="34"/>
    </row>
    <row r="62" spans="1:4" ht="15">
      <c r="A62" s="74"/>
      <c r="B62" s="74"/>
      <c r="C62" s="74"/>
      <c r="D62" s="74"/>
    </row>
    <row r="63" spans="1:4" ht="15">
      <c r="A63" s="110" t="s">
        <v>367</v>
      </c>
      <c r="B63" s="74"/>
      <c r="C63" s="74"/>
      <c r="D63" s="74"/>
    </row>
    <row r="64" spans="1:4" ht="15">
      <c r="A64" s="74" t="s">
        <v>368</v>
      </c>
      <c r="B64" s="74"/>
      <c r="C64" s="74"/>
      <c r="D64" s="74"/>
    </row>
    <row r="65" spans="1:4" ht="15">
      <c r="A65" s="74" t="s">
        <v>369</v>
      </c>
      <c r="B65" s="74"/>
      <c r="C65" s="74"/>
      <c r="D65" s="74"/>
    </row>
    <row r="66" spans="1:4" ht="15">
      <c r="A66" s="74" t="s">
        <v>370</v>
      </c>
      <c r="B66" s="74"/>
      <c r="C66" s="74"/>
      <c r="D66" s="74"/>
    </row>
    <row r="67" spans="1:4" ht="15">
      <c r="A67" s="74" t="s">
        <v>371</v>
      </c>
      <c r="B67" s="74"/>
      <c r="C67" s="74"/>
      <c r="D67" s="74"/>
    </row>
    <row r="68" ht="15">
      <c r="A68" t="s">
        <v>372</v>
      </c>
    </row>
    <row r="69" ht="15">
      <c r="A69" t="s">
        <v>373</v>
      </c>
    </row>
    <row r="70" ht="15">
      <c r="A70" t="s">
        <v>374</v>
      </c>
    </row>
    <row r="71" ht="15">
      <c r="A71" t="s">
        <v>375</v>
      </c>
    </row>
    <row r="73" ht="15">
      <c r="A73" s="109" t="s">
        <v>376</v>
      </c>
    </row>
    <row r="74" ht="15">
      <c r="A74" t="s">
        <v>377</v>
      </c>
    </row>
    <row r="75" ht="15">
      <c r="A75" t="s">
        <v>378</v>
      </c>
    </row>
    <row r="76" ht="15">
      <c r="A76" t="s">
        <v>379</v>
      </c>
    </row>
    <row r="77" ht="15">
      <c r="A77" t="s">
        <v>380</v>
      </c>
    </row>
    <row r="78" ht="15">
      <c r="A78" t="s">
        <v>381</v>
      </c>
    </row>
    <row r="82" ht="15">
      <c r="A82" s="51" t="s">
        <v>382</v>
      </c>
    </row>
    <row r="83" ht="15.75" thickBot="1"/>
    <row r="84" spans="1:6" ht="15.75" thickBot="1">
      <c r="A84" s="7"/>
      <c r="B84" s="61" t="s">
        <v>435</v>
      </c>
      <c r="C84" s="598" t="s">
        <v>436</v>
      </c>
      <c r="D84" s="598" t="s">
        <v>437</v>
      </c>
      <c r="E84" s="600" t="s">
        <v>438</v>
      </c>
      <c r="F84" s="115" t="s">
        <v>451</v>
      </c>
    </row>
    <row r="85" spans="1:6" ht="15">
      <c r="A85" s="101" t="s">
        <v>439</v>
      </c>
      <c r="B85" s="63" t="s">
        <v>472</v>
      </c>
      <c r="C85" s="222">
        <v>85</v>
      </c>
      <c r="D85" s="222">
        <v>5</v>
      </c>
      <c r="E85" s="225">
        <v>0.5</v>
      </c>
      <c r="F85" s="82" t="s">
        <v>441</v>
      </c>
    </row>
    <row r="86" spans="1:6" ht="15.75" thickBot="1">
      <c r="A86" s="102" t="s">
        <v>439</v>
      </c>
      <c r="B86" s="65" t="s">
        <v>503</v>
      </c>
      <c r="C86" s="218">
        <v>75</v>
      </c>
      <c r="D86" s="218">
        <v>5</v>
      </c>
      <c r="E86" s="235">
        <v>0.5</v>
      </c>
      <c r="F86" s="34" t="s">
        <v>383</v>
      </c>
    </row>
    <row r="87" spans="1:6" ht="15">
      <c r="A87" s="66" t="s">
        <v>384</v>
      </c>
      <c r="B87" s="67" t="s">
        <v>385</v>
      </c>
      <c r="C87" s="9">
        <v>63</v>
      </c>
      <c r="D87" s="9">
        <v>63</v>
      </c>
      <c r="E87" s="10">
        <v>0</v>
      </c>
      <c r="F87" s="82" t="s">
        <v>489</v>
      </c>
    </row>
    <row r="88" spans="1:6" ht="15.75" thickBot="1">
      <c r="A88" s="79"/>
      <c r="B88" s="89" t="s">
        <v>386</v>
      </c>
      <c r="C88" s="99">
        <v>63</v>
      </c>
      <c r="D88" s="99">
        <v>32</v>
      </c>
      <c r="E88" s="90">
        <v>0</v>
      </c>
      <c r="F88" s="34"/>
    </row>
    <row r="89" spans="1:6" ht="15.75" thickBot="1">
      <c r="A89" s="12" t="s">
        <v>325</v>
      </c>
      <c r="B89" s="81" t="s">
        <v>387</v>
      </c>
      <c r="C89" s="23">
        <v>90</v>
      </c>
      <c r="D89" s="35" t="s">
        <v>388</v>
      </c>
      <c r="E89" s="21">
        <v>1</v>
      </c>
      <c r="F89" s="34"/>
    </row>
    <row r="91" ht="15">
      <c r="A91" s="109" t="s">
        <v>389</v>
      </c>
    </row>
    <row r="92" ht="15">
      <c r="A92" t="s">
        <v>235</v>
      </c>
    </row>
    <row r="93" spans="1:2" ht="15">
      <c r="A93" s="3" t="s">
        <v>236</v>
      </c>
      <c r="B93" s="3" t="s">
        <v>237</v>
      </c>
    </row>
    <row r="94" spans="1:2" ht="15">
      <c r="A94" s="3" t="s">
        <v>355</v>
      </c>
      <c r="B94" s="3" t="s">
        <v>238</v>
      </c>
    </row>
    <row r="96" ht="15">
      <c r="A96" s="109" t="s">
        <v>239</v>
      </c>
    </row>
    <row r="97" ht="15">
      <c r="A97" t="s">
        <v>240</v>
      </c>
    </row>
    <row r="98" spans="1:2" ht="15">
      <c r="A98" s="3" t="s">
        <v>337</v>
      </c>
      <c r="B98" s="3" t="s">
        <v>241</v>
      </c>
    </row>
    <row r="99" spans="1:2" ht="15">
      <c r="A99" s="3" t="s">
        <v>242</v>
      </c>
      <c r="B99" s="3" t="s">
        <v>243</v>
      </c>
    </row>
    <row r="101" ht="15">
      <c r="A101" s="109" t="s">
        <v>244</v>
      </c>
    </row>
    <row r="102" ht="15">
      <c r="A102" t="s">
        <v>340</v>
      </c>
    </row>
    <row r="103" spans="1:2" ht="15">
      <c r="A103" s="3" t="s">
        <v>236</v>
      </c>
      <c r="B103" s="3" t="s">
        <v>245</v>
      </c>
    </row>
    <row r="105" ht="15">
      <c r="A105" s="109" t="s">
        <v>246</v>
      </c>
    </row>
    <row r="106" ht="15">
      <c r="A106" t="s">
        <v>247</v>
      </c>
    </row>
    <row r="107" ht="15">
      <c r="A107" t="s">
        <v>248</v>
      </c>
    </row>
    <row r="109" ht="15">
      <c r="A109" s="109" t="s">
        <v>249</v>
      </c>
    </row>
    <row r="110" ht="15">
      <c r="A110" t="s">
        <v>250</v>
      </c>
    </row>
    <row r="112" ht="15">
      <c r="A112" s="109" t="s">
        <v>251</v>
      </c>
    </row>
    <row r="113" ht="15">
      <c r="A113" t="s">
        <v>252</v>
      </c>
    </row>
    <row r="115" ht="12.75" customHeight="1"/>
    <row r="117" ht="15">
      <c r="A117" s="51" t="s">
        <v>253</v>
      </c>
    </row>
    <row r="118" ht="15.75" thickBot="1"/>
    <row r="119" spans="1:6" ht="15" customHeight="1" thickBot="1">
      <c r="A119" s="18"/>
      <c r="B119" s="73" t="s">
        <v>435</v>
      </c>
      <c r="C119" s="796" t="s">
        <v>254</v>
      </c>
      <c r="D119" s="795" t="s">
        <v>437</v>
      </c>
      <c r="E119" s="271" t="s">
        <v>438</v>
      </c>
      <c r="F119" s="72" t="s">
        <v>451</v>
      </c>
    </row>
    <row r="120" spans="1:6" ht="18.75" customHeight="1" hidden="1" thickBot="1">
      <c r="A120" s="7"/>
      <c r="B120" s="135" t="s">
        <v>255</v>
      </c>
      <c r="C120" s="221">
        <v>30</v>
      </c>
      <c r="D120" s="222">
        <v>20</v>
      </c>
      <c r="E120" s="225">
        <v>1</v>
      </c>
      <c r="F120" s="82" t="s">
        <v>441</v>
      </c>
    </row>
    <row r="121" spans="1:6" ht="18" customHeight="1" hidden="1" thickBot="1">
      <c r="A121" s="76"/>
      <c r="B121" s="228" t="s">
        <v>256</v>
      </c>
      <c r="C121" s="223">
        <v>55</v>
      </c>
      <c r="D121" s="217">
        <v>25</v>
      </c>
      <c r="E121" s="226">
        <v>1</v>
      </c>
      <c r="F121" s="33" t="s">
        <v>441</v>
      </c>
    </row>
    <row r="122" spans="1:6" ht="17.25" customHeight="1" hidden="1" thickBot="1">
      <c r="A122" s="229"/>
      <c r="B122" s="228" t="s">
        <v>257</v>
      </c>
      <c r="C122" s="223">
        <v>100</v>
      </c>
      <c r="D122" s="217">
        <v>30</v>
      </c>
      <c r="E122" s="226">
        <v>1</v>
      </c>
      <c r="F122" s="33" t="s">
        <v>441</v>
      </c>
    </row>
    <row r="123" spans="1:6" ht="15">
      <c r="A123" s="229" t="s">
        <v>439</v>
      </c>
      <c r="B123" s="87" t="s">
        <v>258</v>
      </c>
      <c r="C123" s="230">
        <f>total!L8</f>
        <v>30</v>
      </c>
      <c r="D123" s="231">
        <f>total!L9</f>
        <v>20</v>
      </c>
      <c r="E123" s="232">
        <f>total!L10</f>
        <v>1</v>
      </c>
      <c r="F123" s="72" t="s">
        <v>441</v>
      </c>
    </row>
    <row r="124" spans="1:6" ht="15">
      <c r="A124" s="76"/>
      <c r="B124" s="87" t="s">
        <v>259</v>
      </c>
      <c r="C124" s="230">
        <f>total!M8</f>
        <v>77.10528587061279</v>
      </c>
      <c r="D124" s="231">
        <f>total!M9</f>
        <v>24.65853122206296</v>
      </c>
      <c r="E124" s="232">
        <f>total!M10</f>
        <v>1</v>
      </c>
      <c r="F124" s="119" t="s">
        <v>260</v>
      </c>
    </row>
    <row r="125" spans="1:6" ht="15.75" thickBot="1">
      <c r="A125" s="64"/>
      <c r="B125" s="65" t="s">
        <v>261</v>
      </c>
      <c r="C125" s="224">
        <v>17</v>
      </c>
      <c r="D125" s="78"/>
      <c r="E125" s="227">
        <v>2</v>
      </c>
      <c r="F125" s="34" t="s">
        <v>262</v>
      </c>
    </row>
    <row r="126" spans="1:6" ht="15">
      <c r="A126" s="66" t="s">
        <v>445</v>
      </c>
      <c r="B126" s="67" t="s">
        <v>263</v>
      </c>
      <c r="C126" s="9">
        <v>80</v>
      </c>
      <c r="D126" s="9">
        <v>80</v>
      </c>
      <c r="E126" s="10">
        <v>0</v>
      </c>
      <c r="F126" s="82"/>
    </row>
    <row r="127" spans="1:6" ht="15">
      <c r="A127" s="79"/>
      <c r="B127" s="70" t="s">
        <v>264</v>
      </c>
      <c r="C127" s="8">
        <v>80</v>
      </c>
      <c r="D127" s="8">
        <v>25</v>
      </c>
      <c r="E127" s="30">
        <v>0</v>
      </c>
      <c r="F127" s="33"/>
    </row>
    <row r="128" spans="1:6" ht="15.75" thickBot="1">
      <c r="A128" s="79"/>
      <c r="B128" s="70" t="s">
        <v>265</v>
      </c>
      <c r="C128" s="8">
        <v>9</v>
      </c>
      <c r="D128" s="24"/>
      <c r="E128" s="30">
        <v>0</v>
      </c>
      <c r="F128" s="34"/>
    </row>
    <row r="129" spans="1:6" ht="15">
      <c r="A129" s="66" t="s">
        <v>325</v>
      </c>
      <c r="B129" s="67" t="s">
        <v>266</v>
      </c>
      <c r="C129" s="9">
        <v>28</v>
      </c>
      <c r="D129" s="9">
        <v>16</v>
      </c>
      <c r="E129" s="10">
        <v>0.9</v>
      </c>
      <c r="F129" s="33"/>
    </row>
    <row r="130" spans="1:6" ht="15.75" thickBot="1">
      <c r="A130" s="68"/>
      <c r="B130" s="69" t="s">
        <v>261</v>
      </c>
      <c r="C130" s="11">
        <v>10</v>
      </c>
      <c r="D130" s="80"/>
      <c r="E130" s="32">
        <v>2.8</v>
      </c>
      <c r="F130" s="34"/>
    </row>
    <row r="131" ht="13.5" customHeight="1"/>
    <row r="132" ht="15">
      <c r="A132" s="109" t="s">
        <v>267</v>
      </c>
    </row>
    <row r="133" ht="15">
      <c r="A133" t="s">
        <v>268</v>
      </c>
    </row>
    <row r="134" spans="1:2" ht="15">
      <c r="A134" s="3" t="s">
        <v>269</v>
      </c>
      <c r="B134" s="3" t="s">
        <v>270</v>
      </c>
    </row>
    <row r="135" spans="1:2" ht="15">
      <c r="A135" s="3"/>
      <c r="B135" s="3" t="s">
        <v>271</v>
      </c>
    </row>
    <row r="136" spans="1:2" ht="15">
      <c r="A136" s="3"/>
      <c r="B136" s="3" t="s">
        <v>272</v>
      </c>
    </row>
    <row r="138" ht="15">
      <c r="A138" s="109" t="s">
        <v>273</v>
      </c>
    </row>
    <row r="139" ht="15">
      <c r="A139" t="s">
        <v>274</v>
      </c>
    </row>
    <row r="140" spans="1:2" ht="15">
      <c r="A140" s="3" t="s">
        <v>337</v>
      </c>
      <c r="B140" s="3" t="s">
        <v>275</v>
      </c>
    </row>
    <row r="141" spans="1:2" ht="15">
      <c r="A141" s="3"/>
      <c r="B141" s="3" t="s">
        <v>276</v>
      </c>
    </row>
    <row r="143" ht="15">
      <c r="A143" s="109" t="s">
        <v>277</v>
      </c>
    </row>
    <row r="144" ht="15">
      <c r="A144" t="s">
        <v>278</v>
      </c>
    </row>
    <row r="145" spans="1:3" ht="15" customHeight="1">
      <c r="A145" s="3" t="s">
        <v>279</v>
      </c>
      <c r="B145" s="3" t="s">
        <v>280</v>
      </c>
      <c r="C145" t="s">
        <v>489</v>
      </c>
    </row>
    <row r="146" ht="15" customHeight="1"/>
    <row r="147" ht="15" customHeight="1">
      <c r="A147" s="109" t="s">
        <v>281</v>
      </c>
    </row>
    <row r="148" ht="15" customHeight="1">
      <c r="A148" s="6" t="s">
        <v>282</v>
      </c>
    </row>
    <row r="149" ht="15" customHeight="1">
      <c r="A149" s="6" t="s">
        <v>283</v>
      </c>
    </row>
    <row r="150" ht="15" customHeight="1">
      <c r="A150" t="s">
        <v>284</v>
      </c>
    </row>
    <row r="151" spans="1:2" ht="15" customHeight="1">
      <c r="A151" s="3" t="s">
        <v>337</v>
      </c>
      <c r="B151" s="3" t="s">
        <v>285</v>
      </c>
    </row>
    <row r="152" spans="1:2" ht="15" customHeight="1">
      <c r="A152" s="3"/>
      <c r="B152" s="3"/>
    </row>
    <row r="153" spans="1:2" ht="15" customHeight="1">
      <c r="A153" s="109" t="s">
        <v>286</v>
      </c>
      <c r="B153" s="3"/>
    </row>
    <row r="154" ht="15" customHeight="1">
      <c r="A154" t="s">
        <v>278</v>
      </c>
    </row>
    <row r="155" spans="1:2" ht="15" customHeight="1">
      <c r="A155" s="3" t="s">
        <v>279</v>
      </c>
      <c r="B155" s="3" t="s">
        <v>287</v>
      </c>
    </row>
    <row r="159" ht="15">
      <c r="A159" s="51" t="s">
        <v>461</v>
      </c>
    </row>
    <row r="160" ht="15.75" thickBot="1"/>
    <row r="161" spans="1:6" ht="15" customHeight="1" thickBot="1">
      <c r="A161" s="12"/>
      <c r="B161" s="73" t="s">
        <v>435</v>
      </c>
      <c r="C161" s="795" t="s">
        <v>436</v>
      </c>
      <c r="D161" s="795" t="s">
        <v>437</v>
      </c>
      <c r="E161" s="271" t="s">
        <v>438</v>
      </c>
      <c r="F161" s="16" t="s">
        <v>451</v>
      </c>
    </row>
    <row r="162" spans="1:6" ht="13.5" customHeight="1" hidden="1">
      <c r="A162" s="62" t="s">
        <v>288</v>
      </c>
      <c r="B162" s="63" t="s">
        <v>289</v>
      </c>
      <c r="C162" s="4">
        <v>115</v>
      </c>
      <c r="D162" s="123">
        <v>62</v>
      </c>
      <c r="E162" s="124">
        <v>1.5</v>
      </c>
      <c r="F162" s="82" t="s">
        <v>441</v>
      </c>
    </row>
    <row r="163" spans="1:6" ht="13.5" customHeight="1" hidden="1">
      <c r="A163" s="76"/>
      <c r="B163" s="77" t="s">
        <v>290</v>
      </c>
      <c r="C163" s="29">
        <v>180</v>
      </c>
      <c r="D163" s="29">
        <v>75</v>
      </c>
      <c r="E163" s="88">
        <v>14</v>
      </c>
      <c r="F163" s="33" t="s">
        <v>441</v>
      </c>
    </row>
    <row r="164" spans="1:6" ht="13.5" customHeight="1" hidden="1">
      <c r="A164" s="76"/>
      <c r="B164" s="87" t="s">
        <v>291</v>
      </c>
      <c r="C164" s="29">
        <v>290</v>
      </c>
      <c r="D164" s="29">
        <v>97</v>
      </c>
      <c r="E164" s="88">
        <v>11</v>
      </c>
      <c r="F164" s="33" t="s">
        <v>441</v>
      </c>
    </row>
    <row r="165" spans="1:6" ht="15">
      <c r="A165" s="76" t="s">
        <v>439</v>
      </c>
      <c r="B165" s="122" t="s">
        <v>393</v>
      </c>
      <c r="C165" s="217">
        <v>115</v>
      </c>
      <c r="D165" s="233">
        <v>62</v>
      </c>
      <c r="E165" s="226">
        <v>1.5</v>
      </c>
      <c r="F165" s="125" t="s">
        <v>441</v>
      </c>
    </row>
    <row r="166" spans="1:6" ht="15.75" thickBot="1">
      <c r="A166" s="64"/>
      <c r="B166" s="65" t="s">
        <v>292</v>
      </c>
      <c r="C166" s="231">
        <f>total!U8</f>
        <v>183.05014479109568</v>
      </c>
      <c r="D166" s="231">
        <f>total!U9</f>
        <v>75.61002895821915</v>
      </c>
      <c r="E166" s="219">
        <f>total!U10</f>
        <v>8.512484103751206</v>
      </c>
      <c r="F166" s="96" t="s">
        <v>293</v>
      </c>
    </row>
    <row r="167" spans="1:6" ht="15">
      <c r="A167" s="66" t="s">
        <v>294</v>
      </c>
      <c r="B167" s="67" t="s">
        <v>295</v>
      </c>
      <c r="C167" s="9">
        <v>190</v>
      </c>
      <c r="D167" s="9">
        <v>190</v>
      </c>
      <c r="E167" s="10">
        <v>10</v>
      </c>
      <c r="F167" s="82"/>
    </row>
    <row r="168" spans="1:6" ht="15.75" thickBot="1">
      <c r="A168" s="68"/>
      <c r="B168" s="69" t="s">
        <v>296</v>
      </c>
      <c r="C168" s="11">
        <v>190</v>
      </c>
      <c r="D168" s="11">
        <v>150</v>
      </c>
      <c r="E168" s="32">
        <v>10</v>
      </c>
      <c r="F168" s="34"/>
    </row>
    <row r="169" spans="1:6" ht="15">
      <c r="A169" s="38" t="s">
        <v>325</v>
      </c>
      <c r="B169" s="70" t="s">
        <v>297</v>
      </c>
      <c r="C169" s="8">
        <v>56</v>
      </c>
      <c r="D169" s="8">
        <v>2.1</v>
      </c>
      <c r="E169" s="30">
        <v>1.1</v>
      </c>
      <c r="F169" s="33"/>
    </row>
    <row r="170" spans="1:6" ht="15">
      <c r="A170" s="38"/>
      <c r="B170" s="83" t="s">
        <v>298</v>
      </c>
      <c r="C170" s="84">
        <v>179</v>
      </c>
      <c r="D170" s="84">
        <v>42</v>
      </c>
      <c r="E170" s="85">
        <v>0.5</v>
      </c>
      <c r="F170" s="33"/>
    </row>
    <row r="171" spans="1:6" ht="15">
      <c r="A171" s="38"/>
      <c r="B171" s="83" t="s">
        <v>299</v>
      </c>
      <c r="C171" s="84">
        <v>396</v>
      </c>
      <c r="D171" s="84">
        <v>68</v>
      </c>
      <c r="E171" s="85">
        <v>0.6</v>
      </c>
      <c r="F171" s="33"/>
    </row>
    <row r="172" spans="1:6" ht="15.75" thickBot="1">
      <c r="A172" s="71"/>
      <c r="B172" s="69" t="s">
        <v>300</v>
      </c>
      <c r="C172" s="11">
        <v>673</v>
      </c>
      <c r="D172" s="11">
        <v>300</v>
      </c>
      <c r="E172" s="32">
        <v>2.3</v>
      </c>
      <c r="F172" s="34"/>
    </row>
    <row r="173" ht="11.25" customHeight="1"/>
    <row r="174" ht="15">
      <c r="A174" s="109" t="s">
        <v>301</v>
      </c>
    </row>
    <row r="175" ht="15">
      <c r="A175" t="s">
        <v>268</v>
      </c>
    </row>
    <row r="176" spans="1:2" ht="15">
      <c r="A176" s="3" t="s">
        <v>302</v>
      </c>
      <c r="B176" s="3" t="s">
        <v>303</v>
      </c>
    </row>
    <row r="178" ht="15">
      <c r="A178" s="109" t="s">
        <v>304</v>
      </c>
    </row>
    <row r="179" ht="15">
      <c r="A179" t="s">
        <v>305</v>
      </c>
    </row>
    <row r="180" spans="1:2" ht="15">
      <c r="A180" s="3" t="s">
        <v>302</v>
      </c>
      <c r="B180" s="3" t="s">
        <v>306</v>
      </c>
    </row>
    <row r="181" spans="1:2" ht="15">
      <c r="A181" s="3" t="s">
        <v>307</v>
      </c>
      <c r="B181" s="3" t="s">
        <v>308</v>
      </c>
    </row>
    <row r="183" ht="15">
      <c r="A183" s="109" t="s">
        <v>309</v>
      </c>
    </row>
    <row r="184" ht="15">
      <c r="A184" t="s">
        <v>310</v>
      </c>
    </row>
    <row r="185" spans="1:2" ht="15">
      <c r="A185" s="3" t="s">
        <v>311</v>
      </c>
      <c r="B185" s="3" t="s">
        <v>312</v>
      </c>
    </row>
    <row r="187" ht="15.75" customHeight="1"/>
    <row r="188" ht="15">
      <c r="A188" s="51" t="s">
        <v>313</v>
      </c>
    </row>
    <row r="189" ht="15.75" thickBot="1"/>
    <row r="190" spans="1:5" ht="14.25" customHeight="1" thickBot="1">
      <c r="A190" s="12"/>
      <c r="B190" s="21"/>
      <c r="C190" s="795" t="s">
        <v>314</v>
      </c>
      <c r="D190" s="271" t="s">
        <v>438</v>
      </c>
      <c r="E190" s="16" t="s">
        <v>451</v>
      </c>
    </row>
    <row r="191" spans="1:5" ht="14.25" customHeight="1">
      <c r="A191" s="38"/>
      <c r="B191" s="88" t="s">
        <v>315</v>
      </c>
      <c r="C191" s="217">
        <v>10</v>
      </c>
      <c r="D191" s="217">
        <v>0</v>
      </c>
      <c r="E191" s="82" t="s">
        <v>364</v>
      </c>
    </row>
    <row r="192" spans="1:5" ht="15.75" thickBot="1">
      <c r="A192" s="102" t="s">
        <v>439</v>
      </c>
      <c r="B192" s="65" t="s">
        <v>316</v>
      </c>
      <c r="C192" s="217">
        <v>15</v>
      </c>
      <c r="D192" s="217">
        <v>0</v>
      </c>
      <c r="E192" s="34" t="s">
        <v>364</v>
      </c>
    </row>
    <row r="193" spans="1:5" ht="15">
      <c r="A193" s="66" t="s">
        <v>317</v>
      </c>
      <c r="B193" s="67" t="s">
        <v>318</v>
      </c>
      <c r="C193" s="9">
        <v>35</v>
      </c>
      <c r="D193" s="10">
        <v>0</v>
      </c>
      <c r="E193" s="33"/>
    </row>
    <row r="194" spans="1:5" ht="15.75" thickBot="1">
      <c r="A194" s="68"/>
      <c r="B194" s="69" t="s">
        <v>319</v>
      </c>
      <c r="C194" s="11">
        <v>15</v>
      </c>
      <c r="D194" s="32">
        <v>0</v>
      </c>
      <c r="E194" s="33"/>
    </row>
    <row r="195" spans="1:5" ht="15">
      <c r="A195" s="7" t="s">
        <v>320</v>
      </c>
      <c r="B195" s="67" t="s">
        <v>321</v>
      </c>
      <c r="C195" s="9">
        <v>8.3</v>
      </c>
      <c r="D195" s="10">
        <v>0</v>
      </c>
      <c r="E195" s="82"/>
    </row>
    <row r="196" spans="1:5" ht="15">
      <c r="A196" s="38"/>
      <c r="B196" s="83" t="s">
        <v>322</v>
      </c>
      <c r="C196" s="84">
        <v>6.5</v>
      </c>
      <c r="D196" s="85">
        <v>0</v>
      </c>
      <c r="E196" s="33"/>
    </row>
    <row r="197" spans="1:5" ht="14.25" customHeight="1" thickBot="1">
      <c r="A197" s="71"/>
      <c r="B197" s="69" t="s">
        <v>323</v>
      </c>
      <c r="C197" s="11">
        <v>9.6</v>
      </c>
      <c r="D197" s="32">
        <v>0</v>
      </c>
      <c r="E197" s="34"/>
    </row>
    <row r="198" spans="1:5" ht="14.25" customHeight="1">
      <c r="A198" s="74"/>
      <c r="B198" s="75"/>
      <c r="C198" s="74"/>
      <c r="D198" s="74"/>
      <c r="E198" s="74"/>
    </row>
    <row r="199" spans="1:4" ht="14.25" customHeight="1">
      <c r="A199" s="110" t="s">
        <v>301</v>
      </c>
      <c r="B199" s="75"/>
      <c r="C199" s="74"/>
      <c r="D199" s="74"/>
    </row>
    <row r="200" spans="1:4" ht="14.25" customHeight="1">
      <c r="A200" s="6" t="s">
        <v>144</v>
      </c>
      <c r="B200" s="75"/>
      <c r="C200" s="74"/>
      <c r="D200" s="74"/>
    </row>
    <row r="201" ht="14.25" customHeight="1">
      <c r="A201" s="6" t="s">
        <v>283</v>
      </c>
    </row>
    <row r="202" ht="15">
      <c r="A202" t="s">
        <v>145</v>
      </c>
    </row>
    <row r="203" spans="1:2" ht="15">
      <c r="A203" s="3" t="s">
        <v>146</v>
      </c>
      <c r="B203" s="3" t="s">
        <v>147</v>
      </c>
    </row>
  </sheetData>
  <printOptions/>
  <pageMargins left="0.75" right="0.75" top="1" bottom="1" header="0.512" footer="0.512"/>
  <pageSetup horizontalDpi="360" verticalDpi="360" orientation="portrait" paperSize="9" scale="70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12"/>
  <sheetViews>
    <sheetView workbookViewId="0" topLeftCell="A1">
      <selection activeCell="F206" sqref="F206"/>
    </sheetView>
  </sheetViews>
  <sheetFormatPr defaultColWidth="11.19921875" defaultRowHeight="14.25"/>
  <cols>
    <col min="1" max="1" width="21.3984375" style="605" customWidth="1"/>
    <col min="2" max="2" width="47.3984375" style="605" customWidth="1"/>
    <col min="3" max="3" width="19.3984375" style="605" customWidth="1"/>
    <col min="4" max="4" width="18" style="605" customWidth="1"/>
    <col min="5" max="5" width="19.8984375" style="605" customWidth="1"/>
    <col min="6" max="6" width="15.3984375" style="606" customWidth="1"/>
    <col min="7" max="7" width="13.09765625" style="606" customWidth="1"/>
    <col min="8" max="16384" width="8.69921875" style="605" customWidth="1"/>
  </cols>
  <sheetData>
    <row r="1" ht="18">
      <c r="A1" s="792" t="s">
        <v>148</v>
      </c>
    </row>
    <row r="2" ht="15" customHeight="1">
      <c r="A2" s="605" t="s">
        <v>149</v>
      </c>
    </row>
    <row r="3" ht="15" customHeight="1">
      <c r="A3" s="605" t="s">
        <v>38</v>
      </c>
    </row>
    <row r="4" ht="15" customHeight="1">
      <c r="A4" s="605" t="s">
        <v>150</v>
      </c>
    </row>
    <row r="5" ht="15" customHeight="1">
      <c r="A5" s="605" t="s">
        <v>151</v>
      </c>
    </row>
    <row r="6" ht="15" customHeight="1">
      <c r="A6" s="605" t="s">
        <v>152</v>
      </c>
    </row>
    <row r="7" ht="15" customHeight="1">
      <c r="A7" s="604"/>
    </row>
    <row r="8" ht="15" customHeight="1"/>
    <row r="9" ht="13.5" customHeight="1" hidden="1"/>
    <row r="10" ht="15.75">
      <c r="A10" s="793" t="s">
        <v>397</v>
      </c>
    </row>
    <row r="11" ht="15.75" thickBot="1"/>
    <row r="12" spans="1:6" ht="15">
      <c r="A12" s="607"/>
      <c r="B12" s="608"/>
      <c r="C12" s="554" t="s">
        <v>33</v>
      </c>
      <c r="D12" s="553" t="s">
        <v>35</v>
      </c>
      <c r="E12" s="555" t="s">
        <v>34</v>
      </c>
      <c r="F12" s="609" t="s">
        <v>451</v>
      </c>
    </row>
    <row r="13" spans="1:6" ht="15.75" thickBot="1">
      <c r="A13" s="610"/>
      <c r="B13" s="611"/>
      <c r="C13" s="612" t="s">
        <v>32</v>
      </c>
      <c r="D13" s="613" t="s">
        <v>32</v>
      </c>
      <c r="E13" s="456" t="s">
        <v>32</v>
      </c>
      <c r="F13" s="614"/>
    </row>
    <row r="14" spans="1:6" ht="15">
      <c r="A14" s="615" t="s">
        <v>439</v>
      </c>
      <c r="B14" s="616" t="s">
        <v>153</v>
      </c>
      <c r="C14" s="617">
        <f>D33*(D30+D31)+(168-D33)*D28</f>
        <v>80.4</v>
      </c>
      <c r="D14" s="618">
        <v>0</v>
      </c>
      <c r="E14" s="618">
        <f>D33*D32+(168-D33)*D29</f>
        <v>87.6</v>
      </c>
      <c r="F14" s="619" t="s">
        <v>364</v>
      </c>
    </row>
    <row r="15" spans="1:6" ht="15">
      <c r="A15" s="615"/>
      <c r="B15" s="616" t="s">
        <v>154</v>
      </c>
      <c r="C15" s="617">
        <f>$D33*$D30</f>
        <v>19.200000000000003</v>
      </c>
      <c r="D15" s="618">
        <f>$D33*$D31+(168-$D33)*$D28</f>
        <v>61.2</v>
      </c>
      <c r="E15" s="618">
        <f>$D33*$D32+(168-$D33)*$D29</f>
        <v>87.6</v>
      </c>
      <c r="F15" s="620" t="s">
        <v>364</v>
      </c>
    </row>
    <row r="16" spans="1:6" ht="15">
      <c r="A16" s="615"/>
      <c r="B16" s="621" t="s">
        <v>155</v>
      </c>
      <c r="C16" s="622">
        <f>$D33*$D30</f>
        <v>19.200000000000003</v>
      </c>
      <c r="D16" s="623">
        <f>$D33*$D31</f>
        <v>19.200000000000003</v>
      </c>
      <c r="E16" s="623">
        <f>$D33*$D32+(168-$D33)</f>
        <v>129.6</v>
      </c>
      <c r="F16" s="620" t="s">
        <v>364</v>
      </c>
    </row>
    <row r="17" spans="1:6" ht="15">
      <c r="A17" s="615"/>
      <c r="B17" s="624" t="s">
        <v>156</v>
      </c>
      <c r="C17" s="625">
        <f>D43*(D40+D41)+(168-D43)*D38</f>
        <v>14.74</v>
      </c>
      <c r="D17" s="626">
        <v>0</v>
      </c>
      <c r="E17" s="627">
        <f>D43*D42+(168-D43)*D39</f>
        <v>153.26</v>
      </c>
      <c r="F17" s="620" t="s">
        <v>366</v>
      </c>
    </row>
    <row r="18" spans="1:6" ht="15">
      <c r="A18" s="615"/>
      <c r="B18" s="624" t="s">
        <v>157</v>
      </c>
      <c r="C18" s="625">
        <f>$D43*$D40</f>
        <v>10</v>
      </c>
      <c r="D18" s="626">
        <f>$D43*$D41+(168-$D43)*$D38</f>
        <v>4.74</v>
      </c>
      <c r="E18" s="627">
        <f>$D43*$D42+(168-$D43)*$D39</f>
        <v>153.26</v>
      </c>
      <c r="F18" s="620" t="s">
        <v>366</v>
      </c>
    </row>
    <row r="19" spans="1:6" ht="15.75" thickBot="1">
      <c r="A19" s="491"/>
      <c r="B19" s="443" t="s">
        <v>158</v>
      </c>
      <c r="C19" s="628">
        <f>$D43*$D40</f>
        <v>10</v>
      </c>
      <c r="D19" s="629">
        <f>$D43*$D41</f>
        <v>0</v>
      </c>
      <c r="E19" s="630">
        <f>$D43*$D42+(168-$D43)</f>
        <v>158</v>
      </c>
      <c r="F19" s="620" t="s">
        <v>366</v>
      </c>
    </row>
    <row r="20" spans="1:6" ht="15.75" thickBot="1">
      <c r="A20" s="631" t="s">
        <v>159</v>
      </c>
      <c r="B20" s="632" t="s">
        <v>160</v>
      </c>
      <c r="C20" s="633">
        <f>0.09*168</f>
        <v>15.12</v>
      </c>
      <c r="D20" s="634">
        <f>0.26*168</f>
        <v>43.68</v>
      </c>
      <c r="E20" s="634">
        <f>168-C20-D20</f>
        <v>109.19999999999999</v>
      </c>
      <c r="F20" s="635"/>
    </row>
    <row r="21" spans="1:6" ht="15">
      <c r="A21" s="636" t="s">
        <v>325</v>
      </c>
      <c r="B21" s="637" t="s">
        <v>292</v>
      </c>
      <c r="C21" s="638">
        <v>15</v>
      </c>
      <c r="D21" s="639">
        <v>32.5</v>
      </c>
      <c r="E21" s="640">
        <f>168-C21-D21</f>
        <v>120.5</v>
      </c>
      <c r="F21" s="620"/>
    </row>
    <row r="22" spans="1:6" ht="15.75" thickBot="1">
      <c r="A22" s="610"/>
      <c r="B22" s="641" t="s">
        <v>393</v>
      </c>
      <c r="C22" s="642">
        <v>3.5</v>
      </c>
      <c r="D22" s="643">
        <v>0</v>
      </c>
      <c r="E22" s="643">
        <f>168-C22-D22</f>
        <v>164.5</v>
      </c>
      <c r="F22" s="644"/>
    </row>
    <row r="23" ht="15">
      <c r="A23" s="645"/>
    </row>
    <row r="24" ht="15">
      <c r="C24" s="645"/>
    </row>
    <row r="25" spans="1:5" ht="15">
      <c r="A25" s="605" t="s">
        <v>161</v>
      </c>
      <c r="C25" s="605" t="s">
        <v>489</v>
      </c>
      <c r="D25" s="605" t="s">
        <v>489</v>
      </c>
      <c r="E25" s="605" t="s">
        <v>489</v>
      </c>
    </row>
    <row r="26" ht="15">
      <c r="A26" s="605" t="s">
        <v>162</v>
      </c>
    </row>
    <row r="27" spans="1:6" ht="15">
      <c r="A27" s="646"/>
      <c r="B27" s="646"/>
      <c r="C27" s="646"/>
      <c r="D27" s="646"/>
      <c r="E27" s="646"/>
      <c r="F27" s="647"/>
    </row>
    <row r="28" spans="1:6" ht="15">
      <c r="A28" s="648"/>
      <c r="B28" s="649" t="s">
        <v>163</v>
      </c>
      <c r="C28" s="601" t="s">
        <v>164</v>
      </c>
      <c r="D28" s="650">
        <v>0.35</v>
      </c>
      <c r="E28" s="651" t="s">
        <v>165</v>
      </c>
      <c r="F28" s="652"/>
    </row>
    <row r="29" spans="1:6" ht="15">
      <c r="A29" s="648"/>
      <c r="B29" s="653"/>
      <c r="C29" s="602" t="s">
        <v>166</v>
      </c>
      <c r="D29" s="654">
        <v>0.65</v>
      </c>
      <c r="E29" s="655"/>
      <c r="F29" s="656"/>
    </row>
    <row r="30" spans="1:6" ht="15">
      <c r="A30" s="648"/>
      <c r="B30" s="657" t="s">
        <v>167</v>
      </c>
      <c r="C30" s="603" t="s">
        <v>168</v>
      </c>
      <c r="D30" s="650">
        <v>0.4</v>
      </c>
      <c r="E30" s="658" t="s">
        <v>169</v>
      </c>
      <c r="F30" s="652"/>
    </row>
    <row r="31" spans="1:6" ht="15">
      <c r="A31" s="648"/>
      <c r="B31" s="657"/>
      <c r="C31" s="460" t="s">
        <v>170</v>
      </c>
      <c r="D31" s="654">
        <v>0.4</v>
      </c>
      <c r="E31" s="646" t="s">
        <v>171</v>
      </c>
      <c r="F31" s="659"/>
    </row>
    <row r="32" spans="1:6" ht="15">
      <c r="A32" s="648"/>
      <c r="B32" s="657"/>
      <c r="C32" s="460" t="s">
        <v>166</v>
      </c>
      <c r="D32" s="654">
        <v>0.2</v>
      </c>
      <c r="E32" s="660"/>
      <c r="F32" s="656"/>
    </row>
    <row r="33" spans="1:6" ht="15">
      <c r="A33" s="648"/>
      <c r="B33" s="661" t="s">
        <v>172</v>
      </c>
      <c r="C33" s="466" t="s">
        <v>173</v>
      </c>
      <c r="D33" s="662">
        <v>48</v>
      </c>
      <c r="E33" s="660" t="s">
        <v>174</v>
      </c>
      <c r="F33" s="656"/>
    </row>
    <row r="34" spans="1:4" ht="15">
      <c r="A34" s="646"/>
      <c r="C34" s="663"/>
      <c r="D34" s="664"/>
    </row>
    <row r="35" ht="15">
      <c r="C35" s="665"/>
    </row>
    <row r="36" ht="15">
      <c r="A36" s="605" t="s">
        <v>175</v>
      </c>
    </row>
    <row r="37" ht="15">
      <c r="A37" s="605" t="s">
        <v>162</v>
      </c>
    </row>
    <row r="38" spans="1:6" ht="15">
      <c r="A38" s="646"/>
      <c r="B38" s="649" t="s">
        <v>163</v>
      </c>
      <c r="C38" s="603" t="s">
        <v>164</v>
      </c>
      <c r="D38" s="650">
        <v>0.03</v>
      </c>
      <c r="E38" s="658" t="s">
        <v>176</v>
      </c>
      <c r="F38" s="652"/>
    </row>
    <row r="39" spans="1:6" ht="15">
      <c r="A39" s="646"/>
      <c r="B39" s="653"/>
      <c r="C39" s="460" t="s">
        <v>166</v>
      </c>
      <c r="D39" s="654">
        <v>0.97</v>
      </c>
      <c r="E39" s="660"/>
      <c r="F39" s="656"/>
    </row>
    <row r="40" spans="1:6" ht="15">
      <c r="A40" s="646"/>
      <c r="B40" s="657" t="s">
        <v>167</v>
      </c>
      <c r="C40" s="603" t="s">
        <v>168</v>
      </c>
      <c r="D40" s="650">
        <v>1</v>
      </c>
      <c r="E40" s="658" t="s">
        <v>176</v>
      </c>
      <c r="F40" s="652"/>
    </row>
    <row r="41" spans="1:6" ht="15" customHeight="1">
      <c r="A41" s="646"/>
      <c r="B41" s="657"/>
      <c r="C41" s="460" t="s">
        <v>170</v>
      </c>
      <c r="D41" s="654">
        <v>0</v>
      </c>
      <c r="E41" s="646"/>
      <c r="F41" s="659"/>
    </row>
    <row r="42" spans="1:6" ht="15" customHeight="1">
      <c r="A42" s="646"/>
      <c r="B42" s="657"/>
      <c r="C42" s="666" t="s">
        <v>166</v>
      </c>
      <c r="D42" s="667">
        <v>0</v>
      </c>
      <c r="E42" s="660"/>
      <c r="F42" s="656"/>
    </row>
    <row r="43" spans="1:6" ht="15" customHeight="1">
      <c r="A43" s="646"/>
      <c r="B43" s="668" t="s">
        <v>172</v>
      </c>
      <c r="C43" s="466" t="s">
        <v>173</v>
      </c>
      <c r="D43" s="669">
        <v>10</v>
      </c>
      <c r="E43" s="670" t="s">
        <v>177</v>
      </c>
      <c r="F43" s="671"/>
    </row>
    <row r="44" spans="1:4" ht="13.5" customHeight="1">
      <c r="A44" s="646"/>
      <c r="B44" s="646"/>
      <c r="C44" s="646"/>
      <c r="D44" s="646"/>
    </row>
    <row r="45" ht="15.75">
      <c r="A45" s="793" t="s">
        <v>454</v>
      </c>
    </row>
    <row r="46" ht="15.75" thickBot="1"/>
    <row r="47" spans="1:7" ht="15">
      <c r="A47" s="607"/>
      <c r="B47" s="608"/>
      <c r="C47" s="554" t="s">
        <v>33</v>
      </c>
      <c r="D47" s="553" t="s">
        <v>35</v>
      </c>
      <c r="E47" s="555" t="s">
        <v>34</v>
      </c>
      <c r="F47" s="555" t="s">
        <v>36</v>
      </c>
      <c r="G47" s="609" t="s">
        <v>451</v>
      </c>
    </row>
    <row r="48" spans="1:7" ht="15.75" thickBot="1">
      <c r="A48" s="610"/>
      <c r="B48" s="611"/>
      <c r="C48" s="612" t="s">
        <v>32</v>
      </c>
      <c r="D48" s="613" t="s">
        <v>32</v>
      </c>
      <c r="E48" s="456" t="s">
        <v>32</v>
      </c>
      <c r="F48" s="672" t="s">
        <v>32</v>
      </c>
      <c r="G48" s="614"/>
    </row>
    <row r="49" spans="1:7" ht="15">
      <c r="A49" s="673" t="s">
        <v>180</v>
      </c>
      <c r="B49" s="674" t="s">
        <v>153</v>
      </c>
      <c r="C49" s="675">
        <f aca="true" t="shared" si="0" ref="C49:D54">C14</f>
        <v>80.4</v>
      </c>
      <c r="D49" s="676">
        <f t="shared" si="0"/>
        <v>0</v>
      </c>
      <c r="E49" s="676">
        <v>0</v>
      </c>
      <c r="F49" s="677">
        <f aca="true" t="shared" si="1" ref="F49:F54">E14</f>
        <v>87.6</v>
      </c>
      <c r="G49" s="678" t="s">
        <v>364</v>
      </c>
    </row>
    <row r="50" spans="1:7" ht="15">
      <c r="A50" s="615"/>
      <c r="B50" s="679" t="s">
        <v>154</v>
      </c>
      <c r="C50" s="617">
        <f t="shared" si="0"/>
        <v>19.200000000000003</v>
      </c>
      <c r="D50" s="680">
        <f t="shared" si="0"/>
        <v>61.2</v>
      </c>
      <c r="E50" s="668">
        <v>0</v>
      </c>
      <c r="F50" s="681">
        <f t="shared" si="1"/>
        <v>87.6</v>
      </c>
      <c r="G50" s="620" t="s">
        <v>364</v>
      </c>
    </row>
    <row r="51" spans="1:7" ht="15">
      <c r="A51" s="615"/>
      <c r="B51" s="454" t="s">
        <v>155</v>
      </c>
      <c r="C51" s="680">
        <f t="shared" si="0"/>
        <v>19.200000000000003</v>
      </c>
      <c r="D51" s="680">
        <f t="shared" si="0"/>
        <v>19.200000000000003</v>
      </c>
      <c r="E51" s="668">
        <v>0</v>
      </c>
      <c r="F51" s="681">
        <f t="shared" si="1"/>
        <v>129.6</v>
      </c>
      <c r="G51" s="620" t="s">
        <v>364</v>
      </c>
    </row>
    <row r="52" spans="1:7" ht="15">
      <c r="A52" s="615"/>
      <c r="B52" s="454" t="s">
        <v>156</v>
      </c>
      <c r="C52" s="680">
        <f t="shared" si="0"/>
        <v>14.74</v>
      </c>
      <c r="D52" s="680">
        <f t="shared" si="0"/>
        <v>0</v>
      </c>
      <c r="E52" s="680">
        <v>0</v>
      </c>
      <c r="F52" s="681">
        <f t="shared" si="1"/>
        <v>153.26</v>
      </c>
      <c r="G52" s="620" t="s">
        <v>364</v>
      </c>
    </row>
    <row r="53" spans="1:7" ht="15">
      <c r="A53" s="615"/>
      <c r="B53" s="682" t="s">
        <v>157</v>
      </c>
      <c r="C53" s="680">
        <f t="shared" si="0"/>
        <v>10</v>
      </c>
      <c r="D53" s="680">
        <f t="shared" si="0"/>
        <v>4.74</v>
      </c>
      <c r="E53" s="680">
        <v>0</v>
      </c>
      <c r="F53" s="681">
        <f t="shared" si="1"/>
        <v>153.26</v>
      </c>
      <c r="G53" s="620" t="s">
        <v>364</v>
      </c>
    </row>
    <row r="54" spans="1:7" ht="15.75" thickBot="1">
      <c r="A54" s="491"/>
      <c r="B54" s="582" t="s">
        <v>158</v>
      </c>
      <c r="C54" s="683">
        <f t="shared" si="0"/>
        <v>10</v>
      </c>
      <c r="D54" s="683">
        <f t="shared" si="0"/>
        <v>0</v>
      </c>
      <c r="E54" s="683">
        <v>0</v>
      </c>
      <c r="F54" s="684">
        <f t="shared" si="1"/>
        <v>158</v>
      </c>
      <c r="G54" s="644" t="s">
        <v>364</v>
      </c>
    </row>
    <row r="55" spans="1:6" ht="15">
      <c r="A55" s="685"/>
      <c r="B55" s="686"/>
      <c r="C55" s="687"/>
      <c r="D55" s="685"/>
      <c r="E55" s="685"/>
      <c r="F55" s="688"/>
    </row>
    <row r="56" spans="1:6" ht="15">
      <c r="A56" s="646" t="s">
        <v>178</v>
      </c>
      <c r="B56" s="686"/>
      <c r="C56" s="687"/>
      <c r="D56" s="685"/>
      <c r="E56" s="685"/>
      <c r="F56" s="688"/>
    </row>
    <row r="57" ht="15">
      <c r="A57" s="605" t="s">
        <v>179</v>
      </c>
    </row>
    <row r="60" ht="15.75">
      <c r="A60" s="793" t="s">
        <v>455</v>
      </c>
    </row>
    <row r="61" ht="16.5" thickBot="1">
      <c r="A61" s="793"/>
    </row>
    <row r="62" spans="1:6" ht="15">
      <c r="A62" s="607"/>
      <c r="B62" s="689"/>
      <c r="C62" s="554" t="s">
        <v>33</v>
      </c>
      <c r="D62" s="553" t="s">
        <v>35</v>
      </c>
      <c r="E62" s="555" t="s">
        <v>34</v>
      </c>
      <c r="F62" s="609" t="s">
        <v>451</v>
      </c>
    </row>
    <row r="63" spans="1:6" ht="15.75" thickBot="1">
      <c r="A63" s="610"/>
      <c r="B63" s="690"/>
      <c r="C63" s="612" t="s">
        <v>32</v>
      </c>
      <c r="D63" s="613" t="s">
        <v>32</v>
      </c>
      <c r="E63" s="456" t="s">
        <v>32</v>
      </c>
      <c r="F63" s="614"/>
    </row>
    <row r="64" spans="1:6" ht="15">
      <c r="A64" s="615" t="s">
        <v>180</v>
      </c>
      <c r="B64" s="691" t="s">
        <v>181</v>
      </c>
      <c r="C64" s="691">
        <f>D$76*(D$73+D$74)+(168-D$76)*(D$70+D$71)</f>
        <v>151.2</v>
      </c>
      <c r="D64" s="691">
        <v>0</v>
      </c>
      <c r="E64" s="691">
        <f>168-C64</f>
        <v>16.80000000000001</v>
      </c>
      <c r="F64" s="619" t="s">
        <v>364</v>
      </c>
    </row>
    <row r="65" spans="1:6" ht="15">
      <c r="A65" s="615"/>
      <c r="B65" s="668" t="s">
        <v>182</v>
      </c>
      <c r="C65" s="443">
        <f>D$76*(D$73)+(168-D$76)*(D$70)</f>
        <v>100.8</v>
      </c>
      <c r="D65" s="680">
        <f>D$76*(D$74)+(168-D$76)*(D$71)</f>
        <v>50.4</v>
      </c>
      <c r="E65" s="668">
        <f>168-C65-D65</f>
        <v>16.800000000000004</v>
      </c>
      <c r="F65" s="620" t="s">
        <v>364</v>
      </c>
    </row>
    <row r="66" spans="1:6" ht="15.75" thickBot="1">
      <c r="A66" s="491"/>
      <c r="B66" s="692" t="s">
        <v>183</v>
      </c>
      <c r="C66" s="692">
        <f>D$76*(D$73)+(168-D$76)*(D$70)</f>
        <v>100.8</v>
      </c>
      <c r="D66" s="692">
        <f>D76*D74</f>
        <v>0</v>
      </c>
      <c r="E66" s="692">
        <f>168-C66-D66</f>
        <v>67.2</v>
      </c>
      <c r="F66" s="644" t="s">
        <v>364</v>
      </c>
    </row>
    <row r="67" spans="1:5" ht="15">
      <c r="A67" s="685"/>
      <c r="B67" s="685"/>
      <c r="C67" s="685"/>
      <c r="D67" s="685"/>
      <c r="E67" s="685"/>
    </row>
    <row r="68" spans="1:5" ht="15">
      <c r="A68" s="646" t="s">
        <v>184</v>
      </c>
      <c r="B68" s="685"/>
      <c r="C68" s="685"/>
      <c r="D68" s="685"/>
      <c r="E68" s="685"/>
    </row>
    <row r="69" spans="1:5" ht="15">
      <c r="A69" s="605" t="s">
        <v>185</v>
      </c>
      <c r="B69" s="685"/>
      <c r="C69" s="685"/>
      <c r="D69" s="685"/>
      <c r="E69" s="685"/>
    </row>
    <row r="70" spans="1:6" ht="15">
      <c r="A70"/>
      <c r="B70" s="649" t="s">
        <v>186</v>
      </c>
      <c r="C70" s="694" t="s">
        <v>168</v>
      </c>
      <c r="D70" s="695">
        <v>0.45</v>
      </c>
      <c r="E70" s="693" t="s">
        <v>176</v>
      </c>
      <c r="F70" s="652"/>
    </row>
    <row r="71" spans="1:6" ht="15">
      <c r="A71"/>
      <c r="B71" s="657"/>
      <c r="C71" s="694" t="s">
        <v>170</v>
      </c>
      <c r="D71" s="695">
        <v>0.45</v>
      </c>
      <c r="E71" s="696"/>
      <c r="F71" s="659"/>
    </row>
    <row r="72" spans="1:6" ht="15">
      <c r="A72"/>
      <c r="B72" s="657"/>
      <c r="C72" s="694" t="s">
        <v>166</v>
      </c>
      <c r="D72" s="695">
        <f>1-D70-D71</f>
        <v>0.10000000000000003</v>
      </c>
      <c r="E72" s="697"/>
      <c r="F72" s="656"/>
    </row>
    <row r="73" spans="1:6" ht="15">
      <c r="A73"/>
      <c r="B73" s="698" t="s">
        <v>187</v>
      </c>
      <c r="C73" s="694" t="s">
        <v>168</v>
      </c>
      <c r="D73" s="695">
        <v>0.9</v>
      </c>
      <c r="E73" s="693" t="s">
        <v>176</v>
      </c>
      <c r="F73" s="652"/>
    </row>
    <row r="74" spans="1:6" ht="15">
      <c r="A74"/>
      <c r="B74" s="699"/>
      <c r="C74" s="694" t="s">
        <v>170</v>
      </c>
      <c r="D74" s="695">
        <v>0</v>
      </c>
      <c r="E74" s="696"/>
      <c r="F74" s="659"/>
    </row>
    <row r="75" spans="1:6" ht="15">
      <c r="A75"/>
      <c r="B75" s="700"/>
      <c r="C75" s="694" t="s">
        <v>166</v>
      </c>
      <c r="D75" s="695">
        <v>0.1</v>
      </c>
      <c r="E75" s="696"/>
      <c r="F75" s="656"/>
    </row>
    <row r="76" spans="1:6" ht="15">
      <c r="A76"/>
      <c r="B76" s="661" t="s">
        <v>172</v>
      </c>
      <c r="C76" s="694" t="s">
        <v>173</v>
      </c>
      <c r="D76" s="794">
        <v>56</v>
      </c>
      <c r="E76" s="670" t="s">
        <v>450</v>
      </c>
      <c r="F76" s="671"/>
    </row>
    <row r="82" ht="15.75">
      <c r="A82" s="793" t="s">
        <v>362</v>
      </c>
    </row>
    <row r="83" ht="15.75" thickBot="1"/>
    <row r="84" spans="1:6" ht="15">
      <c r="A84" s="607"/>
      <c r="B84" s="608"/>
      <c r="C84" s="554" t="s">
        <v>33</v>
      </c>
      <c r="D84" s="553" t="s">
        <v>35</v>
      </c>
      <c r="E84" s="555" t="s">
        <v>34</v>
      </c>
      <c r="F84" s="609" t="s">
        <v>451</v>
      </c>
    </row>
    <row r="85" spans="1:6" ht="15.75" thickBot="1">
      <c r="A85" s="610"/>
      <c r="B85" s="611"/>
      <c r="C85" s="612" t="s">
        <v>32</v>
      </c>
      <c r="D85" s="613" t="s">
        <v>32</v>
      </c>
      <c r="E85" s="456" t="s">
        <v>32</v>
      </c>
      <c r="F85" s="614"/>
    </row>
    <row r="86" spans="1:6" ht="15">
      <c r="A86" s="673" t="s">
        <v>439</v>
      </c>
      <c r="B86" s="702" t="s">
        <v>477</v>
      </c>
      <c r="C86" s="703">
        <v>74</v>
      </c>
      <c r="D86" s="703">
        <v>76</v>
      </c>
      <c r="E86" s="704">
        <v>18</v>
      </c>
      <c r="F86" s="609" t="s">
        <v>364</v>
      </c>
    </row>
    <row r="87" spans="1:6" ht="15.75" thickBot="1">
      <c r="A87" s="615"/>
      <c r="B87" s="705" t="s">
        <v>188</v>
      </c>
      <c r="C87" s="706">
        <v>74</v>
      </c>
      <c r="D87" s="706">
        <v>76</v>
      </c>
      <c r="E87" s="707">
        <v>18</v>
      </c>
      <c r="F87" s="614" t="s">
        <v>364</v>
      </c>
    </row>
    <row r="88" spans="1:6" ht="15">
      <c r="A88" s="708" t="s">
        <v>445</v>
      </c>
      <c r="B88" s="709" t="s">
        <v>477</v>
      </c>
      <c r="C88" s="710">
        <f>0.44*168</f>
        <v>73.92</v>
      </c>
      <c r="D88" s="710">
        <f>0.45*168</f>
        <v>75.60000000000001</v>
      </c>
      <c r="E88" s="711">
        <f>0.11*168</f>
        <v>18.48</v>
      </c>
      <c r="F88" s="712"/>
    </row>
    <row r="89" spans="1:6" ht="15.75" thickBot="1">
      <c r="A89" s="713"/>
      <c r="B89" s="714" t="s">
        <v>188</v>
      </c>
      <c r="C89" s="715">
        <f>0.44*168</f>
        <v>73.92</v>
      </c>
      <c r="D89" s="715">
        <f>0.45*168</f>
        <v>75.60000000000001</v>
      </c>
      <c r="E89" s="716">
        <f>0.11*168</f>
        <v>18.48</v>
      </c>
      <c r="F89" s="614"/>
    </row>
    <row r="90" spans="1:5" ht="15">
      <c r="A90" s="646"/>
      <c r="B90" s="646"/>
      <c r="C90" s="717"/>
      <c r="D90" s="717"/>
      <c r="E90" s="717"/>
    </row>
    <row r="91" spans="1:5" ht="15">
      <c r="A91" s="646" t="s">
        <v>189</v>
      </c>
      <c r="B91" s="646"/>
      <c r="C91" s="717"/>
      <c r="D91" s="717"/>
      <c r="E91" s="717"/>
    </row>
    <row r="92" ht="15">
      <c r="A92" s="605" t="s">
        <v>190</v>
      </c>
    </row>
    <row r="95" ht="15.75">
      <c r="A95" s="793" t="s">
        <v>382</v>
      </c>
    </row>
    <row r="96" ht="15.75" thickBot="1"/>
    <row r="97" spans="1:6" ht="15">
      <c r="A97" s="607"/>
      <c r="B97" s="608"/>
      <c r="C97" s="554" t="s">
        <v>33</v>
      </c>
      <c r="D97" s="553" t="s">
        <v>35</v>
      </c>
      <c r="E97" s="555" t="s">
        <v>34</v>
      </c>
      <c r="F97" s="609" t="s">
        <v>451</v>
      </c>
    </row>
    <row r="98" spans="1:6" ht="15.75" thickBot="1">
      <c r="A98" s="610"/>
      <c r="B98" s="611"/>
      <c r="C98" s="612" t="s">
        <v>32</v>
      </c>
      <c r="D98" s="613" t="s">
        <v>32</v>
      </c>
      <c r="E98" s="456" t="s">
        <v>32</v>
      </c>
      <c r="F98" s="614"/>
    </row>
    <row r="99" spans="1:6" ht="15">
      <c r="A99" s="615" t="s">
        <v>439</v>
      </c>
      <c r="B99" s="616" t="s">
        <v>153</v>
      </c>
      <c r="C99" s="617">
        <f aca="true" t="shared" si="2" ref="C99:E104">C14</f>
        <v>80.4</v>
      </c>
      <c r="D99" s="718">
        <f t="shared" si="2"/>
        <v>0</v>
      </c>
      <c r="E99" s="718">
        <f t="shared" si="2"/>
        <v>87.6</v>
      </c>
      <c r="F99" s="619" t="s">
        <v>364</v>
      </c>
    </row>
    <row r="100" spans="1:6" ht="15">
      <c r="A100" s="615"/>
      <c r="B100" s="616" t="s">
        <v>154</v>
      </c>
      <c r="C100" s="617">
        <f t="shared" si="2"/>
        <v>19.200000000000003</v>
      </c>
      <c r="D100" s="680">
        <f t="shared" si="2"/>
        <v>61.2</v>
      </c>
      <c r="E100" s="680">
        <f t="shared" si="2"/>
        <v>87.6</v>
      </c>
      <c r="F100" s="620" t="s">
        <v>364</v>
      </c>
    </row>
    <row r="101" spans="1:6" ht="15">
      <c r="A101" s="615"/>
      <c r="B101" s="624" t="s">
        <v>155</v>
      </c>
      <c r="C101" s="625">
        <f t="shared" si="2"/>
        <v>19.200000000000003</v>
      </c>
      <c r="D101" s="680">
        <f t="shared" si="2"/>
        <v>19.200000000000003</v>
      </c>
      <c r="E101" s="627">
        <f t="shared" si="2"/>
        <v>129.6</v>
      </c>
      <c r="F101" s="620" t="s">
        <v>364</v>
      </c>
    </row>
    <row r="102" spans="1:6" ht="15">
      <c r="A102" s="615"/>
      <c r="B102" s="624" t="s">
        <v>156</v>
      </c>
      <c r="C102" s="625">
        <f t="shared" si="2"/>
        <v>14.74</v>
      </c>
      <c r="D102" s="680">
        <f t="shared" si="2"/>
        <v>0</v>
      </c>
      <c r="E102" s="627">
        <f t="shared" si="2"/>
        <v>153.26</v>
      </c>
      <c r="F102" s="719" t="s">
        <v>364</v>
      </c>
    </row>
    <row r="103" spans="1:6" ht="15">
      <c r="A103" s="615"/>
      <c r="B103" s="624" t="s">
        <v>157</v>
      </c>
      <c r="C103" s="625">
        <f t="shared" si="2"/>
        <v>10</v>
      </c>
      <c r="D103" s="680">
        <f t="shared" si="2"/>
        <v>4.74</v>
      </c>
      <c r="E103" s="627">
        <f t="shared" si="2"/>
        <v>153.26</v>
      </c>
      <c r="F103" s="719" t="s">
        <v>364</v>
      </c>
    </row>
    <row r="104" spans="1:6" ht="15.75" thickBot="1">
      <c r="A104" s="491"/>
      <c r="B104" s="720" t="s">
        <v>158</v>
      </c>
      <c r="C104" s="721">
        <f t="shared" si="2"/>
        <v>10</v>
      </c>
      <c r="D104" s="683">
        <f t="shared" si="2"/>
        <v>0</v>
      </c>
      <c r="E104" s="722">
        <f t="shared" si="2"/>
        <v>158</v>
      </c>
      <c r="F104" s="644" t="s">
        <v>364</v>
      </c>
    </row>
    <row r="105" spans="1:6" ht="15.75" thickBot="1">
      <c r="A105" s="631" t="s">
        <v>159</v>
      </c>
      <c r="B105" s="632" t="s">
        <v>191</v>
      </c>
      <c r="C105" s="633">
        <f>0.09*168</f>
        <v>15.12</v>
      </c>
      <c r="D105" s="633">
        <f>0.26*168</f>
        <v>43.68</v>
      </c>
      <c r="E105" s="634">
        <f>168-C105-D105</f>
        <v>109.19999999999999</v>
      </c>
      <c r="F105" s="635"/>
    </row>
    <row r="106" spans="1:6" ht="15">
      <c r="A106" s="636" t="s">
        <v>325</v>
      </c>
      <c r="B106" s="637" t="s">
        <v>292</v>
      </c>
      <c r="C106" s="638">
        <v>15</v>
      </c>
      <c r="D106" s="638">
        <v>32.5</v>
      </c>
      <c r="E106" s="640">
        <f>168-C106-D106</f>
        <v>120.5</v>
      </c>
      <c r="F106" s="620"/>
    </row>
    <row r="107" spans="1:6" ht="15.75" thickBot="1">
      <c r="A107" s="610"/>
      <c r="B107" s="641" t="s">
        <v>393</v>
      </c>
      <c r="C107" s="642">
        <v>3.5</v>
      </c>
      <c r="D107" s="642">
        <v>0</v>
      </c>
      <c r="E107" s="643">
        <f>168-C107-D107</f>
        <v>164.5</v>
      </c>
      <c r="F107" s="644"/>
    </row>
    <row r="108" spans="1:5" ht="15">
      <c r="A108" s="646"/>
      <c r="B108" s="645"/>
      <c r="C108" s="646"/>
      <c r="D108" s="646"/>
      <c r="E108" s="646"/>
    </row>
    <row r="109" spans="1:5" ht="15">
      <c r="A109" s="646" t="s">
        <v>192</v>
      </c>
      <c r="B109" s="645"/>
      <c r="C109" s="646"/>
      <c r="D109" s="646"/>
      <c r="E109" s="646"/>
    </row>
    <row r="110" ht="15">
      <c r="A110" s="605" t="s">
        <v>193</v>
      </c>
    </row>
    <row r="113" ht="24" customHeight="1">
      <c r="A113" s="793" t="s">
        <v>194</v>
      </c>
    </row>
    <row r="114" ht="15.75" thickBot="1"/>
    <row r="115" spans="1:6" ht="15">
      <c r="A115" s="708"/>
      <c r="B115" s="608"/>
      <c r="C115" s="554" t="s">
        <v>33</v>
      </c>
      <c r="D115" s="553" t="s">
        <v>35</v>
      </c>
      <c r="E115" s="555" t="s">
        <v>34</v>
      </c>
      <c r="F115" s="609" t="s">
        <v>451</v>
      </c>
    </row>
    <row r="116" spans="1:6" ht="15.75" thickBot="1">
      <c r="A116" s="713"/>
      <c r="B116" s="611"/>
      <c r="C116" s="612" t="s">
        <v>32</v>
      </c>
      <c r="D116" s="613" t="s">
        <v>32</v>
      </c>
      <c r="E116" s="456" t="s">
        <v>32</v>
      </c>
      <c r="F116" s="614"/>
    </row>
    <row r="117" spans="1:6" ht="15">
      <c r="A117" s="673" t="s">
        <v>439</v>
      </c>
      <c r="B117" s="723" t="s">
        <v>195</v>
      </c>
      <c r="C117" s="724">
        <f>$D$141*($D138+$D139)+(168-$D$141)*$D136</f>
        <v>128.79999999999998</v>
      </c>
      <c r="D117" s="724">
        <v>0</v>
      </c>
      <c r="E117" s="725">
        <f>$D141*$D140+(168-$D$141)*$D137</f>
        <v>39.2</v>
      </c>
      <c r="F117" s="678" t="s">
        <v>364</v>
      </c>
    </row>
    <row r="118" spans="1:6" ht="15">
      <c r="A118" s="615"/>
      <c r="B118" s="726" t="s">
        <v>196</v>
      </c>
      <c r="C118" s="680">
        <f>$D$141*$D$138</f>
        <v>11.200000000000001</v>
      </c>
      <c r="D118" s="680">
        <f>$D$141*$D$139+(168-$D$141)*$D$136</f>
        <v>117.6</v>
      </c>
      <c r="E118" s="627">
        <f>$D141*$D140+(168-$D$141)*$D137</f>
        <v>39.2</v>
      </c>
      <c r="F118" s="620" t="s">
        <v>364</v>
      </c>
    </row>
    <row r="119" spans="1:6" ht="15">
      <c r="A119" s="615"/>
      <c r="B119" s="726" t="s">
        <v>197</v>
      </c>
      <c r="C119" s="680">
        <f>$D$141*$D$138</f>
        <v>11.200000000000001</v>
      </c>
      <c r="D119" s="680">
        <f>$D$141*$D$139</f>
        <v>39.199999999999996</v>
      </c>
      <c r="E119" s="627">
        <f>$D141*$D140+(168-$D$141)</f>
        <v>117.6</v>
      </c>
      <c r="F119" s="620" t="s">
        <v>364</v>
      </c>
    </row>
    <row r="120" spans="1:6" ht="15">
      <c r="A120" s="615"/>
      <c r="B120" s="726" t="s">
        <v>198</v>
      </c>
      <c r="C120" s="727">
        <f>D150*(D147+D148)+(168-D150)*D145</f>
        <v>5.145</v>
      </c>
      <c r="D120" s="728">
        <v>0</v>
      </c>
      <c r="E120" s="729">
        <f>D150*D149+(168-D150)*D146</f>
        <v>162.855</v>
      </c>
      <c r="F120" s="620" t="s">
        <v>366</v>
      </c>
    </row>
    <row r="121" spans="1:6" ht="15">
      <c r="A121" s="615"/>
      <c r="B121" s="726" t="s">
        <v>199</v>
      </c>
      <c r="C121" s="727">
        <f>D150*D147</f>
        <v>0.7000000000000001</v>
      </c>
      <c r="D121" s="728">
        <f>$D150*$D148+(168-$D150)*$D145</f>
        <v>4.445</v>
      </c>
      <c r="E121" s="729">
        <f>$D150*$D149+(168-$D150)*$D146</f>
        <v>162.855</v>
      </c>
      <c r="F121" s="620" t="s">
        <v>366</v>
      </c>
    </row>
    <row r="122" spans="1:6" ht="15">
      <c r="A122" s="615"/>
      <c r="B122" s="726" t="s">
        <v>200</v>
      </c>
      <c r="C122" s="727">
        <f>$D150*D147</f>
        <v>0.7000000000000001</v>
      </c>
      <c r="D122" s="728">
        <f>$D150*$D148</f>
        <v>2.8000000000000003</v>
      </c>
      <c r="E122" s="729">
        <f>$D150*$D149+(168-$D150)</f>
        <v>164.5</v>
      </c>
      <c r="F122" s="620" t="s">
        <v>366</v>
      </c>
    </row>
    <row r="123" spans="1:6" ht="15">
      <c r="A123" s="615"/>
      <c r="B123" s="726" t="s">
        <v>201</v>
      </c>
      <c r="C123" s="727">
        <f>D159*D157+(168-D159)*D155</f>
        <v>71.4</v>
      </c>
      <c r="D123" s="730"/>
      <c r="E123" s="729">
        <f>D159*D158+(168-D159)*D156</f>
        <v>96.6</v>
      </c>
      <c r="F123" s="620" t="s">
        <v>202</v>
      </c>
    </row>
    <row r="124" spans="1:6" ht="15">
      <c r="A124" s="615"/>
      <c r="B124" s="726" t="s">
        <v>203</v>
      </c>
      <c r="C124" s="680">
        <f>D159*D157</f>
        <v>22.400000000000002</v>
      </c>
      <c r="D124" s="731"/>
      <c r="E124" s="627">
        <f>D159*D158+(168-D159)</f>
        <v>145.6</v>
      </c>
      <c r="F124" s="620" t="s">
        <v>202</v>
      </c>
    </row>
    <row r="125" spans="1:6" ht="15">
      <c r="A125" s="615"/>
      <c r="B125" s="726" t="s">
        <v>204</v>
      </c>
      <c r="C125" s="732">
        <f>D168*D166+(168-D168)*D164</f>
        <v>5.145</v>
      </c>
      <c r="D125" s="733"/>
      <c r="E125" s="732">
        <f>D168*D167+(168-D168)*D165</f>
        <v>162.855</v>
      </c>
      <c r="F125" s="620" t="s">
        <v>443</v>
      </c>
    </row>
    <row r="126" spans="1:6" ht="15.75" thickBot="1">
      <c r="A126" s="491" t="s">
        <v>489</v>
      </c>
      <c r="B126" s="734" t="s">
        <v>205</v>
      </c>
      <c r="C126" s="727">
        <f>D168*D166</f>
        <v>3.5</v>
      </c>
      <c r="D126" s="735"/>
      <c r="E126" s="727">
        <f>168-C126</f>
        <v>164.5</v>
      </c>
      <c r="F126" s="644" t="s">
        <v>443</v>
      </c>
    </row>
    <row r="127" spans="1:6" ht="15.75" thickBot="1">
      <c r="A127" s="708" t="s">
        <v>384</v>
      </c>
      <c r="B127" s="736" t="s">
        <v>191</v>
      </c>
      <c r="C127" s="710">
        <v>9</v>
      </c>
      <c r="D127" s="710">
        <v>50.4</v>
      </c>
      <c r="E127" s="711">
        <f>168-C127-D127</f>
        <v>108.6</v>
      </c>
      <c r="F127" s="635"/>
    </row>
    <row r="128" spans="1:6" ht="15">
      <c r="A128" s="708" t="s">
        <v>325</v>
      </c>
      <c r="B128" s="736" t="s">
        <v>206</v>
      </c>
      <c r="C128" s="737">
        <v>30.5</v>
      </c>
      <c r="D128" s="737">
        <v>9.5</v>
      </c>
      <c r="E128" s="709">
        <f>168-C128-D128</f>
        <v>128</v>
      </c>
      <c r="F128" s="678"/>
    </row>
    <row r="129" spans="1:11" ht="15" customHeight="1">
      <c r="A129" s="738"/>
      <c r="B129" s="739" t="s">
        <v>207</v>
      </c>
      <c r="C129" s="696">
        <v>40</v>
      </c>
      <c r="D129" s="740"/>
      <c r="E129" s="741">
        <f>168-C129-D129</f>
        <v>128</v>
      </c>
      <c r="F129" s="620"/>
      <c r="G129" s="647"/>
      <c r="H129" s="646"/>
      <c r="I129" s="646"/>
      <c r="J129" s="646"/>
      <c r="K129" s="646"/>
    </row>
    <row r="130" spans="1:11" ht="15" customHeight="1">
      <c r="A130" s="738"/>
      <c r="B130" s="637" t="s">
        <v>258</v>
      </c>
      <c r="C130" s="670">
        <v>3.5</v>
      </c>
      <c r="D130" s="638">
        <v>0</v>
      </c>
      <c r="E130" s="742">
        <f>168-C130-D130</f>
        <v>164.5</v>
      </c>
      <c r="F130" s="620"/>
      <c r="G130" s="647"/>
      <c r="H130" s="646"/>
      <c r="I130" s="646"/>
      <c r="J130" s="646"/>
      <c r="K130" s="646"/>
    </row>
    <row r="131" spans="1:11" ht="15" customHeight="1" thickBot="1">
      <c r="A131" s="713"/>
      <c r="B131" s="641" t="s">
        <v>208</v>
      </c>
      <c r="C131" s="743">
        <v>3.5</v>
      </c>
      <c r="D131" s="744"/>
      <c r="E131" s="714">
        <f>168-C131-D131</f>
        <v>164.5</v>
      </c>
      <c r="F131" s="614"/>
      <c r="G131" s="647"/>
      <c r="H131" s="646"/>
      <c r="I131" s="646"/>
      <c r="J131" s="646"/>
      <c r="K131" s="646"/>
    </row>
    <row r="132" spans="7:11" ht="15" customHeight="1">
      <c r="G132" s="647"/>
      <c r="H132" s="646"/>
      <c r="I132" s="646"/>
      <c r="J132" s="646"/>
      <c r="K132" s="646"/>
    </row>
    <row r="133" spans="7:11" ht="15" customHeight="1">
      <c r="G133" s="647"/>
      <c r="H133" s="646"/>
      <c r="I133" s="646"/>
      <c r="J133" s="646"/>
      <c r="K133" s="646"/>
    </row>
    <row r="134" spans="1:11" ht="15" customHeight="1">
      <c r="A134" s="605" t="s">
        <v>209</v>
      </c>
      <c r="G134" s="647"/>
      <c r="H134" s="646"/>
      <c r="I134" s="646"/>
      <c r="J134" s="646"/>
      <c r="K134" s="646"/>
    </row>
    <row r="135" spans="1:11" ht="15" customHeight="1">
      <c r="A135" s="605" t="s">
        <v>162</v>
      </c>
      <c r="G135" s="647"/>
      <c r="H135" s="646"/>
      <c r="I135" s="646"/>
      <c r="J135" s="646"/>
      <c r="K135" s="646"/>
    </row>
    <row r="136" spans="1:11" ht="15" customHeight="1">
      <c r="A136" s="648"/>
      <c r="B136" s="698" t="s">
        <v>210</v>
      </c>
      <c r="C136" s="694" t="s">
        <v>164</v>
      </c>
      <c r="D136" s="695">
        <v>0.7</v>
      </c>
      <c r="E136" s="693" t="s">
        <v>211</v>
      </c>
      <c r="F136" s="652"/>
      <c r="G136" s="647"/>
      <c r="H136" s="646"/>
      <c r="I136" s="717"/>
      <c r="J136" s="717"/>
      <c r="K136" s="717"/>
    </row>
    <row r="137" spans="1:11" ht="15" customHeight="1">
      <c r="A137" s="648"/>
      <c r="B137" s="691" t="s">
        <v>489</v>
      </c>
      <c r="C137" s="694" t="s">
        <v>166</v>
      </c>
      <c r="D137" s="695">
        <v>0.3</v>
      </c>
      <c r="E137" s="697"/>
      <c r="F137" s="656"/>
      <c r="G137" s="647"/>
      <c r="H137" s="646"/>
      <c r="I137" s="717"/>
      <c r="J137" s="717"/>
      <c r="K137" s="717"/>
    </row>
    <row r="138" spans="1:6" ht="15" customHeight="1">
      <c r="A138" s="648"/>
      <c r="B138" s="685" t="s">
        <v>212</v>
      </c>
      <c r="C138" s="694" t="s">
        <v>213</v>
      </c>
      <c r="D138" s="695">
        <v>0.2</v>
      </c>
      <c r="E138" s="693" t="s">
        <v>214</v>
      </c>
      <c r="F138" s="652"/>
    </row>
    <row r="139" spans="1:6" ht="15" customHeight="1">
      <c r="A139" s="648"/>
      <c r="B139" s="646"/>
      <c r="C139" s="694" t="s">
        <v>170</v>
      </c>
      <c r="D139" s="695">
        <v>0.7</v>
      </c>
      <c r="E139" s="696"/>
      <c r="F139" s="659"/>
    </row>
    <row r="140" spans="1:6" ht="15" customHeight="1">
      <c r="A140" s="648"/>
      <c r="B140" s="646"/>
      <c r="C140" s="694" t="s">
        <v>166</v>
      </c>
      <c r="D140" s="695">
        <v>0.1</v>
      </c>
      <c r="E140" s="697"/>
      <c r="F140" s="656"/>
    </row>
    <row r="141" spans="1:6" ht="15" customHeight="1">
      <c r="A141" s="648"/>
      <c r="B141" s="668" t="s">
        <v>172</v>
      </c>
      <c r="C141" s="694" t="s">
        <v>173</v>
      </c>
      <c r="D141" s="745">
        <v>56</v>
      </c>
      <c r="E141" s="670" t="s">
        <v>176</v>
      </c>
      <c r="F141" s="671"/>
    </row>
    <row r="142" spans="1:4" ht="15" customHeight="1">
      <c r="A142" s="646"/>
      <c r="B142" s="685"/>
      <c r="C142" s="663"/>
      <c r="D142" s="746"/>
    </row>
    <row r="143" spans="1:4" ht="15">
      <c r="A143" s="646" t="s">
        <v>215</v>
      </c>
      <c r="B143" s="685"/>
      <c r="C143" s="663"/>
      <c r="D143" s="746"/>
    </row>
    <row r="144" spans="1:4" ht="15">
      <c r="A144" s="646" t="s">
        <v>216</v>
      </c>
      <c r="B144" s="685"/>
      <c r="C144" s="663"/>
      <c r="D144" s="746"/>
    </row>
    <row r="145" spans="1:6" ht="15">
      <c r="A145" s="648"/>
      <c r="B145" s="698" t="s">
        <v>217</v>
      </c>
      <c r="C145" s="694" t="s">
        <v>164</v>
      </c>
      <c r="D145" s="695">
        <v>0.01</v>
      </c>
      <c r="E145" s="693" t="s">
        <v>176</v>
      </c>
      <c r="F145" s="652"/>
    </row>
    <row r="146" spans="1:6" ht="15">
      <c r="A146" s="648"/>
      <c r="B146" s="691"/>
      <c r="C146" s="694" t="s">
        <v>166</v>
      </c>
      <c r="D146" s="695">
        <v>0.99</v>
      </c>
      <c r="E146" s="697"/>
      <c r="F146" s="656"/>
    </row>
    <row r="147" spans="1:6" ht="15">
      <c r="A147" s="648"/>
      <c r="B147" s="685" t="s">
        <v>218</v>
      </c>
      <c r="C147" s="694" t="s">
        <v>213</v>
      </c>
      <c r="D147" s="695">
        <v>0.2</v>
      </c>
      <c r="E147" s="693" t="s">
        <v>176</v>
      </c>
      <c r="F147" s="652"/>
    </row>
    <row r="148" spans="1:6" ht="15">
      <c r="A148" s="648"/>
      <c r="B148" s="685"/>
      <c r="C148" s="694" t="s">
        <v>170</v>
      </c>
      <c r="D148" s="695">
        <v>0.8</v>
      </c>
      <c r="E148" s="696"/>
      <c r="F148" s="659"/>
    </row>
    <row r="149" spans="1:6" ht="15">
      <c r="A149" s="648"/>
      <c r="B149" s="685"/>
      <c r="C149" s="694" t="s">
        <v>166</v>
      </c>
      <c r="D149" s="695">
        <v>0</v>
      </c>
      <c r="E149" s="697"/>
      <c r="F149" s="656"/>
    </row>
    <row r="150" spans="1:6" ht="17.25" customHeight="1">
      <c r="A150" s="648"/>
      <c r="B150" s="668" t="s">
        <v>172</v>
      </c>
      <c r="C150" s="694" t="s">
        <v>173</v>
      </c>
      <c r="D150" s="701">
        <v>3.5</v>
      </c>
      <c r="E150" s="670" t="s">
        <v>320</v>
      </c>
      <c r="F150" s="671"/>
    </row>
    <row r="151" spans="1:4" ht="17.25" customHeight="1">
      <c r="A151" s="646"/>
      <c r="B151" s="646"/>
      <c r="C151" s="663"/>
      <c r="D151" s="746"/>
    </row>
    <row r="152" spans="2:4" ht="17.25" customHeight="1">
      <c r="B152" s="443"/>
      <c r="C152" s="663"/>
      <c r="D152" s="746"/>
    </row>
    <row r="153" spans="1:4" ht="15">
      <c r="A153" s="605" t="s">
        <v>219</v>
      </c>
      <c r="C153" s="606"/>
      <c r="D153" s="747"/>
    </row>
    <row r="154" spans="1:5" ht="15">
      <c r="A154" s="605" t="s">
        <v>162</v>
      </c>
      <c r="B154" s="646"/>
      <c r="C154" s="748"/>
      <c r="D154" s="749"/>
      <c r="E154" s="717"/>
    </row>
    <row r="155" spans="1:6" ht="15">
      <c r="A155" s="648"/>
      <c r="B155" s="698" t="s">
        <v>163</v>
      </c>
      <c r="C155" s="750" t="s">
        <v>164</v>
      </c>
      <c r="D155" s="695">
        <v>0.35</v>
      </c>
      <c r="E155" s="751" t="s">
        <v>220</v>
      </c>
      <c r="F155" s="652"/>
    </row>
    <row r="156" spans="1:6" ht="15">
      <c r="A156" s="648"/>
      <c r="B156" s="752"/>
      <c r="C156" s="750" t="s">
        <v>166</v>
      </c>
      <c r="D156" s="695">
        <v>0.65</v>
      </c>
      <c r="E156" s="753"/>
      <c r="F156" s="656"/>
    </row>
    <row r="157" spans="1:6" ht="15">
      <c r="A157" s="648"/>
      <c r="B157" s="698" t="s">
        <v>221</v>
      </c>
      <c r="C157" s="754" t="s">
        <v>213</v>
      </c>
      <c r="D157" s="755">
        <v>0.8</v>
      </c>
      <c r="E157" s="751" t="s">
        <v>220</v>
      </c>
      <c r="F157" s="652"/>
    </row>
    <row r="158" spans="1:6" ht="15">
      <c r="A158" s="648"/>
      <c r="B158" s="752"/>
      <c r="C158" s="754" t="s">
        <v>166</v>
      </c>
      <c r="D158" s="755">
        <v>0.2</v>
      </c>
      <c r="E158" s="753"/>
      <c r="F158" s="656"/>
    </row>
    <row r="159" spans="1:6" ht="15">
      <c r="A159" s="648"/>
      <c r="B159" s="668" t="s">
        <v>172</v>
      </c>
      <c r="C159" s="694" t="s">
        <v>173</v>
      </c>
      <c r="D159" s="745">
        <v>28</v>
      </c>
      <c r="E159" s="670" t="s">
        <v>176</v>
      </c>
      <c r="F159" s="671"/>
    </row>
    <row r="160" spans="1:4" ht="15">
      <c r="A160" s="646"/>
      <c r="B160" s="646"/>
      <c r="C160" s="663"/>
      <c r="D160" s="756"/>
    </row>
    <row r="161" spans="1:4" ht="15">
      <c r="A161" s="646"/>
      <c r="B161" s="685"/>
      <c r="C161" s="663"/>
      <c r="D161" s="746"/>
    </row>
    <row r="162" spans="1:4" ht="15">
      <c r="A162" s="646" t="s">
        <v>222</v>
      </c>
      <c r="B162" s="685"/>
      <c r="C162" s="663"/>
      <c r="D162" s="746"/>
    </row>
    <row r="163" spans="1:4" ht="15">
      <c r="A163" s="605" t="s">
        <v>162</v>
      </c>
      <c r="B163" s="685"/>
      <c r="C163" s="663"/>
      <c r="D163" s="746"/>
    </row>
    <row r="164" spans="1:6" ht="15" customHeight="1">
      <c r="A164" s="646"/>
      <c r="B164" s="698" t="s">
        <v>163</v>
      </c>
      <c r="C164" s="750" t="s">
        <v>164</v>
      </c>
      <c r="D164" s="695">
        <v>0.01</v>
      </c>
      <c r="E164" s="693" t="s">
        <v>176</v>
      </c>
      <c r="F164" s="652"/>
    </row>
    <row r="165" spans="1:6" ht="15" customHeight="1">
      <c r="A165" s="646"/>
      <c r="B165" s="752"/>
      <c r="C165" s="750" t="s">
        <v>166</v>
      </c>
      <c r="D165" s="695">
        <v>0.99</v>
      </c>
      <c r="E165" s="697"/>
      <c r="F165" s="656"/>
    </row>
    <row r="166" spans="1:6" ht="15" customHeight="1">
      <c r="A166" s="646"/>
      <c r="B166" s="698" t="s">
        <v>223</v>
      </c>
      <c r="C166" s="754" t="s">
        <v>213</v>
      </c>
      <c r="D166" s="755">
        <v>1</v>
      </c>
      <c r="E166" s="693" t="s">
        <v>176</v>
      </c>
      <c r="F166" s="652"/>
    </row>
    <row r="167" spans="1:6" ht="15" customHeight="1">
      <c r="A167" s="646"/>
      <c r="B167" s="752"/>
      <c r="C167" s="754" t="s">
        <v>166</v>
      </c>
      <c r="D167" s="755">
        <v>0</v>
      </c>
      <c r="E167" s="697"/>
      <c r="F167" s="656"/>
    </row>
    <row r="168" spans="2:6" ht="15" customHeight="1">
      <c r="B168" s="668" t="s">
        <v>172</v>
      </c>
      <c r="C168" s="694" t="s">
        <v>173</v>
      </c>
      <c r="D168" s="757">
        <v>3.5</v>
      </c>
      <c r="E168" s="670" t="s">
        <v>320</v>
      </c>
      <c r="F168" s="671"/>
    </row>
    <row r="169" ht="15" customHeight="1"/>
    <row r="170" ht="15" customHeight="1">
      <c r="A170" s="793" t="s">
        <v>461</v>
      </c>
    </row>
    <row r="171" ht="15" customHeight="1" thickBot="1"/>
    <row r="172" spans="1:6" ht="15">
      <c r="A172" s="708"/>
      <c r="B172" s="758"/>
      <c r="C172" s="554" t="s">
        <v>33</v>
      </c>
      <c r="D172" s="553" t="s">
        <v>35</v>
      </c>
      <c r="E172" s="555" t="s">
        <v>34</v>
      </c>
      <c r="F172" s="609" t="s">
        <v>451</v>
      </c>
    </row>
    <row r="173" spans="1:6" ht="15.75" thickBot="1">
      <c r="A173" s="713"/>
      <c r="B173" s="759"/>
      <c r="C173" s="612" t="s">
        <v>32</v>
      </c>
      <c r="D173" s="613" t="s">
        <v>32</v>
      </c>
      <c r="E173" s="456" t="s">
        <v>32</v>
      </c>
      <c r="F173" s="614"/>
    </row>
    <row r="174" spans="1:6" ht="15">
      <c r="A174" s="615" t="s">
        <v>439</v>
      </c>
      <c r="B174" s="760" t="s">
        <v>153</v>
      </c>
      <c r="C174" s="617">
        <f>D193*($D190+$D191)+(168-D193)*D188</f>
        <v>140.5</v>
      </c>
      <c r="D174" s="718">
        <v>0</v>
      </c>
      <c r="E174" s="761">
        <f>D193*D192+(168-D193)*D189</f>
        <v>27.500000000000004</v>
      </c>
      <c r="F174" s="619" t="s">
        <v>364</v>
      </c>
    </row>
    <row r="175" spans="1:6" ht="15">
      <c r="A175" s="738"/>
      <c r="B175" s="682" t="s">
        <v>224</v>
      </c>
      <c r="C175" s="625">
        <f>D193*D190</f>
        <v>27.45</v>
      </c>
      <c r="D175" s="680">
        <f>(168-D193)*D188+D193*D191</f>
        <v>113.05000000000001</v>
      </c>
      <c r="E175" s="627">
        <f>(168-D193)*D189+D193*D192</f>
        <v>27.500000000000004</v>
      </c>
      <c r="F175" s="620" t="s">
        <v>364</v>
      </c>
    </row>
    <row r="176" spans="1:6" ht="13.5" customHeight="1">
      <c r="A176" s="738"/>
      <c r="B176" s="454" t="s">
        <v>225</v>
      </c>
      <c r="C176" s="625">
        <f>D193*D190</f>
        <v>27.45</v>
      </c>
      <c r="D176" s="762">
        <f>D193*D191</f>
        <v>27.45</v>
      </c>
      <c r="E176" s="627">
        <f>D193*D192+(168-D193)</f>
        <v>113.1</v>
      </c>
      <c r="F176" s="620" t="s">
        <v>364</v>
      </c>
    </row>
    <row r="177" spans="1:6" ht="13.5" customHeight="1">
      <c r="A177" s="738"/>
      <c r="B177" s="454" t="s">
        <v>156</v>
      </c>
      <c r="C177" s="763">
        <f>D202*($D199+$D200)+(168-D202)*D197</f>
        <v>75.3</v>
      </c>
      <c r="D177" s="764">
        <v>0</v>
      </c>
      <c r="E177" s="765">
        <f>D202*D201+(168-D202)*D198</f>
        <v>92.7</v>
      </c>
      <c r="F177" s="620" t="s">
        <v>366</v>
      </c>
    </row>
    <row r="178" spans="1:6" ht="13.5" customHeight="1">
      <c r="A178" s="738"/>
      <c r="B178" s="454" t="s">
        <v>226</v>
      </c>
      <c r="C178" s="763">
        <f>D202*D199</f>
        <v>6.75</v>
      </c>
      <c r="D178" s="764">
        <f>D202*D200+(168-D202)*D197</f>
        <v>68.55</v>
      </c>
      <c r="E178" s="765">
        <f>(168-D202)*D198+D202*D201</f>
        <v>92.7</v>
      </c>
      <c r="F178" s="620" t="s">
        <v>366</v>
      </c>
    </row>
    <row r="179" spans="1:6" ht="15.75" thickBot="1">
      <c r="A179" s="491" t="s">
        <v>489</v>
      </c>
      <c r="B179" s="766" t="s">
        <v>227</v>
      </c>
      <c r="C179" s="767">
        <f>D202*D199</f>
        <v>6.75</v>
      </c>
      <c r="D179" s="768">
        <f>D202*D200</f>
        <v>20.25</v>
      </c>
      <c r="E179" s="769">
        <f>D201*D202+(168-D202)</f>
        <v>141</v>
      </c>
      <c r="F179" s="644" t="s">
        <v>366</v>
      </c>
    </row>
    <row r="180" spans="1:7" ht="15.75" thickBot="1">
      <c r="A180" s="631" t="s">
        <v>294</v>
      </c>
      <c r="B180" s="632" t="s">
        <v>228</v>
      </c>
      <c r="C180" s="633">
        <v>31</v>
      </c>
      <c r="D180" s="633">
        <f>168*0.28</f>
        <v>47.040000000000006</v>
      </c>
      <c r="E180" s="770">
        <f>168*0.54</f>
        <v>90.72</v>
      </c>
      <c r="F180" s="635"/>
      <c r="G180" s="771" t="s">
        <v>489</v>
      </c>
    </row>
    <row r="181" spans="1:7" ht="15">
      <c r="A181" s="636" t="s">
        <v>325</v>
      </c>
      <c r="B181" s="637" t="s">
        <v>297</v>
      </c>
      <c r="C181" s="772">
        <v>29.6</v>
      </c>
      <c r="D181" s="772">
        <v>10</v>
      </c>
      <c r="E181" s="773">
        <f>168-C181-D181</f>
        <v>128.4</v>
      </c>
      <c r="F181" s="620"/>
      <c r="G181" s="771" t="s">
        <v>489</v>
      </c>
    </row>
    <row r="182" spans="1:7" ht="15">
      <c r="A182" s="636"/>
      <c r="B182" s="774" t="s">
        <v>298</v>
      </c>
      <c r="C182" s="772">
        <v>32</v>
      </c>
      <c r="D182" s="772">
        <v>28</v>
      </c>
      <c r="E182" s="773">
        <f>168-C182-D182</f>
        <v>108</v>
      </c>
      <c r="F182" s="620"/>
      <c r="G182" s="771" t="s">
        <v>489</v>
      </c>
    </row>
    <row r="183" spans="1:7" ht="15">
      <c r="A183" s="636"/>
      <c r="B183" s="774" t="s">
        <v>299</v>
      </c>
      <c r="C183" s="772">
        <v>33</v>
      </c>
      <c r="D183" s="772">
        <v>27</v>
      </c>
      <c r="E183" s="773">
        <f>168-C183-D183</f>
        <v>108</v>
      </c>
      <c r="F183" s="620"/>
      <c r="G183" s="771" t="s">
        <v>489</v>
      </c>
    </row>
    <row r="184" spans="1:7" ht="15.75" thickBot="1">
      <c r="A184" s="610"/>
      <c r="B184" s="641" t="s">
        <v>300</v>
      </c>
      <c r="C184" s="715">
        <v>35</v>
      </c>
      <c r="D184" s="715">
        <v>25.2</v>
      </c>
      <c r="E184" s="716">
        <f>168-C184-D184</f>
        <v>107.8</v>
      </c>
      <c r="F184" s="644"/>
      <c r="G184" s="771" t="s">
        <v>489</v>
      </c>
    </row>
    <row r="186" ht="15">
      <c r="A186" s="605" t="s">
        <v>161</v>
      </c>
    </row>
    <row r="187" ht="15">
      <c r="A187" s="605" t="s">
        <v>229</v>
      </c>
    </row>
    <row r="188" spans="1:6" ht="15">
      <c r="A188" s="775"/>
      <c r="B188" s="698" t="s">
        <v>217</v>
      </c>
      <c r="C188" s="694" t="s">
        <v>230</v>
      </c>
      <c r="D188" s="695">
        <v>0.8</v>
      </c>
      <c r="E188" s="693" t="s">
        <v>231</v>
      </c>
      <c r="F188" s="652"/>
    </row>
    <row r="189" spans="1:6" ht="15">
      <c r="A189" s="646"/>
      <c r="B189" s="700"/>
      <c r="C189" s="694" t="s">
        <v>232</v>
      </c>
      <c r="D189" s="695">
        <v>0.2</v>
      </c>
      <c r="E189" s="697"/>
      <c r="F189" s="656"/>
    </row>
    <row r="190" spans="1:6" ht="15.75" customHeight="1">
      <c r="A190" s="646"/>
      <c r="B190" s="698" t="s">
        <v>233</v>
      </c>
      <c r="C190" s="750" t="s">
        <v>213</v>
      </c>
      <c r="D190" s="695">
        <v>0.45</v>
      </c>
      <c r="E190" s="776" t="s">
        <v>176</v>
      </c>
      <c r="F190" s="652"/>
    </row>
    <row r="191" spans="1:6" ht="15.75" customHeight="1">
      <c r="A191" s="646"/>
      <c r="B191" s="699"/>
      <c r="C191" s="750" t="s">
        <v>234</v>
      </c>
      <c r="D191" s="695">
        <v>0.45</v>
      </c>
      <c r="E191" s="777"/>
      <c r="F191" s="659"/>
    </row>
    <row r="192" spans="1:6" ht="15.75" customHeight="1">
      <c r="A192" s="646"/>
      <c r="B192" s="752"/>
      <c r="C192" s="750" t="s">
        <v>232</v>
      </c>
      <c r="D192" s="695">
        <v>0.1</v>
      </c>
      <c r="E192" s="778"/>
      <c r="F192" s="656"/>
    </row>
    <row r="193" spans="1:6" ht="15" customHeight="1">
      <c r="A193" s="646"/>
      <c r="B193" s="668" t="s">
        <v>37</v>
      </c>
      <c r="C193" s="694" t="s">
        <v>173</v>
      </c>
      <c r="D193" s="779">
        <v>61</v>
      </c>
      <c r="E193" s="670" t="s">
        <v>176</v>
      </c>
      <c r="F193" s="671"/>
    </row>
    <row r="194" spans="2:4" ht="17.25" customHeight="1">
      <c r="B194" s="646"/>
      <c r="C194" s="647"/>
      <c r="D194" s="780"/>
    </row>
    <row r="195" spans="1:3" ht="15">
      <c r="A195" s="605" t="s">
        <v>175</v>
      </c>
      <c r="C195" s="606"/>
    </row>
    <row r="196" spans="1:3" ht="15">
      <c r="A196" s="605" t="s">
        <v>162</v>
      </c>
      <c r="C196" s="606"/>
    </row>
    <row r="197" spans="1:6" ht="19.5" customHeight="1">
      <c r="A197" s="648"/>
      <c r="B197" s="781" t="s">
        <v>217</v>
      </c>
      <c r="C197" s="694" t="s">
        <v>230</v>
      </c>
      <c r="D197" s="695">
        <v>0.35</v>
      </c>
      <c r="E197" s="693"/>
      <c r="F197" s="652"/>
    </row>
    <row r="198" spans="1:6" ht="17.25" customHeight="1">
      <c r="A198" s="648"/>
      <c r="B198" s="782"/>
      <c r="C198" s="694" t="s">
        <v>232</v>
      </c>
      <c r="D198" s="695">
        <v>0.65</v>
      </c>
      <c r="E198" s="697" t="s">
        <v>103</v>
      </c>
      <c r="F198" s="656"/>
    </row>
    <row r="199" spans="1:6" ht="18" customHeight="1">
      <c r="A199" s="648"/>
      <c r="B199" s="783" t="s">
        <v>233</v>
      </c>
      <c r="C199" s="694" t="s">
        <v>213</v>
      </c>
      <c r="D199" s="695">
        <v>0.225</v>
      </c>
      <c r="E199" s="693" t="s">
        <v>176</v>
      </c>
      <c r="F199" s="652"/>
    </row>
    <row r="200" spans="1:6" ht="18" customHeight="1">
      <c r="A200" s="648"/>
      <c r="B200" s="784"/>
      <c r="C200" s="694" t="s">
        <v>104</v>
      </c>
      <c r="D200" s="695">
        <v>0.675</v>
      </c>
      <c r="E200" s="696"/>
      <c r="F200" s="659"/>
    </row>
    <row r="201" spans="1:6" ht="17.25" customHeight="1">
      <c r="A201" s="648"/>
      <c r="B201" s="782"/>
      <c r="C201" s="694" t="s">
        <v>232</v>
      </c>
      <c r="D201" s="695">
        <v>0.1</v>
      </c>
      <c r="E201" s="697"/>
      <c r="F201" s="656"/>
    </row>
    <row r="202" spans="1:5" ht="15">
      <c r="A202" s="648"/>
      <c r="B202" s="668" t="s">
        <v>37</v>
      </c>
      <c r="C202" s="694" t="s">
        <v>173</v>
      </c>
      <c r="D202" s="701">
        <v>30</v>
      </c>
      <c r="E202" s="605" t="s">
        <v>176</v>
      </c>
    </row>
    <row r="203" spans="3:4" ht="15">
      <c r="C203" s="663"/>
      <c r="D203" s="685"/>
    </row>
    <row r="204" spans="2:4" ht="15">
      <c r="B204" s="646"/>
      <c r="C204" s="663"/>
      <c r="D204" s="685"/>
    </row>
    <row r="205" ht="15.75">
      <c r="A205" s="793" t="s">
        <v>313</v>
      </c>
    </row>
    <row r="206" ht="15.75" thickBot="1"/>
    <row r="207" spans="1:5" ht="15">
      <c r="A207" s="607"/>
      <c r="B207" s="608"/>
      <c r="C207" s="554" t="s">
        <v>33</v>
      </c>
      <c r="D207" s="555" t="s">
        <v>34</v>
      </c>
      <c r="E207" s="609" t="s">
        <v>451</v>
      </c>
    </row>
    <row r="208" spans="1:5" ht="15.75" thickBot="1">
      <c r="A208" s="610"/>
      <c r="B208" s="611"/>
      <c r="C208" s="612" t="s">
        <v>32</v>
      </c>
      <c r="D208" s="456" t="s">
        <v>32</v>
      </c>
      <c r="E208" s="759"/>
    </row>
    <row r="209" spans="1:5" ht="15">
      <c r="A209" s="785" t="s">
        <v>439</v>
      </c>
      <c r="B209" s="595" t="s">
        <v>292</v>
      </c>
      <c r="C209" s="786">
        <v>150</v>
      </c>
      <c r="D209" s="787">
        <v>18</v>
      </c>
      <c r="E209" s="678" t="s">
        <v>176</v>
      </c>
    </row>
    <row r="210" spans="1:5" ht="15.75" thickBot="1">
      <c r="A210" s="469" t="s">
        <v>489</v>
      </c>
      <c r="B210" s="766" t="s">
        <v>393</v>
      </c>
      <c r="C210" s="788">
        <v>134</v>
      </c>
      <c r="D210" s="789">
        <v>34</v>
      </c>
      <c r="E210" s="644" t="s">
        <v>176</v>
      </c>
    </row>
    <row r="211" spans="1:5" ht="15.75" thickBot="1">
      <c r="A211" s="708" t="s">
        <v>384</v>
      </c>
      <c r="B211" s="736" t="s">
        <v>228</v>
      </c>
      <c r="C211" s="710">
        <v>168</v>
      </c>
      <c r="D211" s="709">
        <v>0</v>
      </c>
      <c r="E211" s="635"/>
    </row>
    <row r="212" spans="1:5" ht="15.75" thickBot="1">
      <c r="A212" s="790" t="s">
        <v>325</v>
      </c>
      <c r="B212" s="632"/>
      <c r="C212" s="633">
        <v>49</v>
      </c>
      <c r="D212" s="791">
        <v>119</v>
      </c>
      <c r="E212" s="644"/>
    </row>
  </sheetData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70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F4" sqref="F4"/>
    </sheetView>
  </sheetViews>
  <sheetFormatPr defaultColWidth="11.19921875" defaultRowHeight="14.25"/>
  <cols>
    <col min="1" max="1" width="26" style="0" customWidth="1"/>
    <col min="2" max="2" width="25" style="0" customWidth="1"/>
    <col min="3" max="3" width="53.3984375" style="0" customWidth="1"/>
    <col min="4" max="4" width="20.3984375" style="0" customWidth="1"/>
    <col min="5" max="5" width="19.59765625" style="0" customWidth="1"/>
    <col min="6" max="6" width="10.09765625" style="0" customWidth="1"/>
    <col min="7" max="16384" width="8.69921875" style="0" customWidth="1"/>
  </cols>
  <sheetData>
    <row r="1" ht="18">
      <c r="A1" s="147" t="s">
        <v>105</v>
      </c>
    </row>
    <row r="2" ht="15">
      <c r="A2" s="92"/>
    </row>
    <row r="3" ht="15">
      <c r="A3" s="6" t="s">
        <v>106</v>
      </c>
    </row>
    <row r="4" ht="15">
      <c r="A4" s="6" t="s">
        <v>107</v>
      </c>
    </row>
    <row r="5" ht="15">
      <c r="A5" s="6" t="s">
        <v>108</v>
      </c>
    </row>
    <row r="6" ht="15">
      <c r="A6" t="s">
        <v>109</v>
      </c>
    </row>
    <row r="7" ht="15">
      <c r="A7" s="6"/>
    </row>
    <row r="8" ht="15">
      <c r="E8" s="4" t="s">
        <v>463</v>
      </c>
    </row>
    <row r="9" ht="15.75" thickBot="1"/>
    <row r="10" spans="1:5" s="443" customFormat="1" ht="15.75" thickBot="1">
      <c r="A10" s="595" t="s">
        <v>449</v>
      </c>
      <c r="B10" s="596" t="s">
        <v>110</v>
      </c>
      <c r="C10" s="597" t="s">
        <v>451</v>
      </c>
      <c r="E10" s="443" t="s">
        <v>111</v>
      </c>
    </row>
    <row r="11" spans="1:8" ht="15.75" thickBot="1">
      <c r="A11" s="33" t="s">
        <v>452</v>
      </c>
      <c r="B11" s="584">
        <v>0.25</v>
      </c>
      <c r="C11" s="31" t="s">
        <v>112</v>
      </c>
      <c r="E11" s="16"/>
      <c r="F11" s="440" t="s">
        <v>164</v>
      </c>
      <c r="G11" s="440" t="s">
        <v>104</v>
      </c>
      <c r="H11" s="139" t="s">
        <v>166</v>
      </c>
    </row>
    <row r="12" spans="1:9" ht="15">
      <c r="A12" s="33" t="s">
        <v>454</v>
      </c>
      <c r="B12" s="584">
        <v>1</v>
      </c>
      <c r="C12" s="31" t="s">
        <v>113</v>
      </c>
      <c r="E12" s="586" t="s">
        <v>114</v>
      </c>
      <c r="F12" s="588">
        <v>0.3</v>
      </c>
      <c r="G12" s="590">
        <v>0.53</v>
      </c>
      <c r="H12" s="592">
        <v>0.17</v>
      </c>
      <c r="I12" s="594" t="s">
        <v>115</v>
      </c>
    </row>
    <row r="13" spans="1:9" ht="15">
      <c r="A13" s="33" t="s">
        <v>455</v>
      </c>
      <c r="B13" s="584">
        <v>0.25</v>
      </c>
      <c r="C13" s="31" t="s">
        <v>113</v>
      </c>
      <c r="E13" s="587"/>
      <c r="F13" s="589"/>
      <c r="G13" s="591"/>
      <c r="H13" s="593"/>
      <c r="I13" s="594"/>
    </row>
    <row r="14" spans="1:9" ht="31.5" customHeight="1" thickBot="1">
      <c r="A14" s="33" t="s">
        <v>116</v>
      </c>
      <c r="B14" s="584">
        <v>0.6</v>
      </c>
      <c r="C14" s="31" t="s">
        <v>31</v>
      </c>
      <c r="E14" s="34" t="s">
        <v>117</v>
      </c>
      <c r="F14" s="50">
        <v>0.27</v>
      </c>
      <c r="G14" s="50">
        <v>0.12</v>
      </c>
      <c r="H14" s="97">
        <v>0.61</v>
      </c>
      <c r="I14" t="s">
        <v>118</v>
      </c>
    </row>
    <row r="15" spans="1:3" ht="60" customHeight="1">
      <c r="A15" s="33" t="s">
        <v>459</v>
      </c>
      <c r="B15" s="584">
        <v>0.8</v>
      </c>
      <c r="C15" s="31" t="s">
        <v>119</v>
      </c>
    </row>
    <row r="16" spans="1:5" ht="48" customHeight="1" thickBot="1">
      <c r="A16" s="133" t="s">
        <v>120</v>
      </c>
      <c r="B16" s="584">
        <v>0.34</v>
      </c>
      <c r="C16" s="31" t="s">
        <v>121</v>
      </c>
      <c r="E16" s="4" t="s">
        <v>122</v>
      </c>
    </row>
    <row r="17" spans="1:6" ht="46.5" customHeight="1" thickBot="1">
      <c r="A17" s="150" t="s">
        <v>123</v>
      </c>
      <c r="B17" s="585">
        <v>0.34</v>
      </c>
      <c r="C17" s="151" t="s">
        <v>121</v>
      </c>
      <c r="E17" s="82" t="s">
        <v>114</v>
      </c>
      <c r="F17" s="98">
        <v>0.45</v>
      </c>
    </row>
    <row r="18" spans="1:6" ht="49.5" customHeight="1" thickBot="1">
      <c r="A18" s="74" t="s">
        <v>124</v>
      </c>
      <c r="B18" s="74"/>
      <c r="C18" s="149"/>
      <c r="E18" s="34" t="s">
        <v>117</v>
      </c>
      <c r="F18" s="97">
        <v>0.55</v>
      </c>
    </row>
    <row r="19" ht="15">
      <c r="E19" s="4"/>
    </row>
    <row r="20" spans="4:5" ht="15">
      <c r="D20" t="s">
        <v>489</v>
      </c>
      <c r="E20" s="148"/>
    </row>
    <row r="21" spans="4:5" ht="15">
      <c r="D21" t="s">
        <v>489</v>
      </c>
      <c r="E21" s="74"/>
    </row>
    <row r="22" ht="15">
      <c r="D22" t="s">
        <v>489</v>
      </c>
    </row>
    <row r="23" ht="15">
      <c r="D23" t="s">
        <v>489</v>
      </c>
    </row>
  </sheetData>
  <mergeCells count="5">
    <mergeCell ref="I12:I13"/>
    <mergeCell ref="E12:E13"/>
    <mergeCell ref="F12:F13"/>
    <mergeCell ref="G12:G13"/>
    <mergeCell ref="H12:H13"/>
  </mergeCells>
  <printOptions/>
  <pageMargins left="0.75" right="0.75" top="1" bottom="1" header="0.512" footer="0.512"/>
  <pageSetup orientation="landscape" paperSize="9" scale="65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9"/>
  <sheetViews>
    <sheetView workbookViewId="0" topLeftCell="A1">
      <selection activeCell="E11" sqref="E11"/>
    </sheetView>
  </sheetViews>
  <sheetFormatPr defaultColWidth="11.19921875" defaultRowHeight="14.25"/>
  <cols>
    <col min="1" max="1" width="20.8984375" style="0" customWidth="1"/>
    <col min="2" max="5" width="20.296875" style="0" customWidth="1"/>
    <col min="6" max="6" width="10.3984375" style="0" hidden="1" customWidth="1"/>
    <col min="7" max="8" width="20.296875" style="0" customWidth="1"/>
    <col min="9" max="9" width="8.69921875" style="0" customWidth="1"/>
    <col min="10" max="10" width="13.59765625" style="0" hidden="1" customWidth="1"/>
    <col min="11" max="13" width="0" style="0" hidden="1" customWidth="1"/>
    <col min="14" max="14" width="21.3984375" style="0" hidden="1" customWidth="1"/>
    <col min="15" max="15" width="13" style="0" hidden="1" customWidth="1"/>
    <col min="16" max="16384" width="8.69921875" style="0" customWidth="1"/>
  </cols>
  <sheetData>
    <row r="1" ht="20.25" customHeight="1">
      <c r="A1" s="147" t="s">
        <v>125</v>
      </c>
    </row>
    <row r="2" ht="15" customHeight="1"/>
    <row r="3" ht="15" customHeight="1">
      <c r="A3" s="92" t="s">
        <v>126</v>
      </c>
    </row>
    <row r="4" ht="15" customHeight="1">
      <c r="A4" t="s">
        <v>127</v>
      </c>
    </row>
    <row r="5" ht="15" customHeight="1">
      <c r="A5" t="s">
        <v>128</v>
      </c>
    </row>
    <row r="6" ht="15" customHeight="1">
      <c r="A6" t="s">
        <v>129</v>
      </c>
    </row>
    <row r="7" ht="15" customHeight="1">
      <c r="A7" t="s">
        <v>100</v>
      </c>
    </row>
    <row r="8" ht="15" customHeight="1"/>
    <row r="9" ht="15" customHeight="1" thickBot="1">
      <c r="A9" s="4" t="s">
        <v>1</v>
      </c>
    </row>
    <row r="10" spans="1:3" s="443" customFormat="1" ht="15" customHeight="1">
      <c r="A10" s="553"/>
      <c r="B10" s="554" t="s">
        <v>393</v>
      </c>
      <c r="C10" s="555" t="s">
        <v>52</v>
      </c>
    </row>
    <row r="11" spans="1:3" s="536" customFormat="1" ht="15" customHeight="1" thickBot="1">
      <c r="A11" s="533"/>
      <c r="B11" s="534" t="s">
        <v>2</v>
      </c>
      <c r="C11" s="535" t="s">
        <v>2</v>
      </c>
    </row>
    <row r="12" spans="1:3" ht="15" customHeight="1">
      <c r="A12" s="119" t="s">
        <v>459</v>
      </c>
      <c r="B12" s="556">
        <f>C20/1000</f>
        <v>1.475</v>
      </c>
      <c r="C12" s="557">
        <f>H39/1000</f>
        <v>19.988362964118746</v>
      </c>
    </row>
    <row r="13" spans="1:3" ht="15" customHeight="1">
      <c r="A13" s="33" t="s">
        <v>415</v>
      </c>
      <c r="B13" s="558">
        <f>C21/1000</f>
        <v>0.3</v>
      </c>
      <c r="C13" s="559">
        <f>H40/1000</f>
        <v>1.128409334844387</v>
      </c>
    </row>
    <row r="14" spans="1:3" ht="15" customHeight="1">
      <c r="A14" s="33" t="s">
        <v>461</v>
      </c>
      <c r="B14" s="558">
        <f>C22/1000</f>
        <v>10</v>
      </c>
      <c r="C14" s="559">
        <f>H41/1000</f>
        <v>53.59843238222116</v>
      </c>
    </row>
    <row r="15" spans="1:3" ht="15" customHeight="1" thickBot="1">
      <c r="A15" s="34" t="s">
        <v>470</v>
      </c>
      <c r="B15" s="560">
        <f>C23/1000</f>
        <v>0.3</v>
      </c>
      <c r="C15" s="561">
        <f>H42/1000</f>
        <v>1.8526387746995407</v>
      </c>
    </row>
    <row r="16" ht="15" customHeight="1">
      <c r="A16" s="51"/>
    </row>
    <row r="17" ht="15" customHeight="1" thickBot="1">
      <c r="A17" s="4" t="s">
        <v>130</v>
      </c>
    </row>
    <row r="18" spans="1:4" s="443" customFormat="1" ht="30.75" customHeight="1">
      <c r="A18" s="552"/>
      <c r="B18" s="550" t="s">
        <v>3</v>
      </c>
      <c r="C18" s="550" t="s">
        <v>30</v>
      </c>
      <c r="D18" s="549" t="s">
        <v>5</v>
      </c>
    </row>
    <row r="19" spans="1:4" s="541" customFormat="1" ht="15" customHeight="1" thickBot="1">
      <c r="A19" s="537"/>
      <c r="B19" s="538" t="s">
        <v>4</v>
      </c>
      <c r="C19" s="539" t="s">
        <v>2</v>
      </c>
      <c r="D19" s="540" t="s">
        <v>6</v>
      </c>
    </row>
    <row r="20" spans="1:4" ht="15">
      <c r="A20" s="119" t="s">
        <v>459</v>
      </c>
      <c r="B20" s="340">
        <f>'Stock Split'!C19</f>
        <v>6300</v>
      </c>
      <c r="C20" s="562">
        <v>1475</v>
      </c>
      <c r="D20" s="563">
        <f>C20*B20/1000</f>
        <v>9292.5</v>
      </c>
    </row>
    <row r="21" spans="1:4" ht="15">
      <c r="A21" s="33" t="s">
        <v>415</v>
      </c>
      <c r="B21" s="291">
        <f>'Stock Split'!C23</f>
        <v>50200</v>
      </c>
      <c r="C21" s="564">
        <v>300</v>
      </c>
      <c r="D21" s="565">
        <f>C21*B21/1000</f>
        <v>15060</v>
      </c>
    </row>
    <row r="22" spans="1:4" ht="15">
      <c r="A22" s="33" t="s">
        <v>461</v>
      </c>
      <c r="B22" s="291">
        <f>'Stock Split'!C24</f>
        <v>3800</v>
      </c>
      <c r="C22" s="566">
        <v>10000</v>
      </c>
      <c r="D22" s="565">
        <f>C22*B22/1000</f>
        <v>38000</v>
      </c>
    </row>
    <row r="23" spans="1:4" ht="15.75" thickBot="1">
      <c r="A23" s="34" t="s">
        <v>470</v>
      </c>
      <c r="B23" s="305">
        <f>'Stock Split'!C28</f>
        <v>6300</v>
      </c>
      <c r="C23" s="567">
        <v>300</v>
      </c>
      <c r="D23" s="568">
        <f>C23*B23/1000</f>
        <v>1890</v>
      </c>
    </row>
    <row r="24" spans="1:4" ht="15">
      <c r="A24" s="74"/>
      <c r="B24" s="116"/>
      <c r="C24" s="234"/>
      <c r="D24" s="172"/>
    </row>
    <row r="25" ht="15.75" thickBot="1">
      <c r="A25" s="4" t="s">
        <v>131</v>
      </c>
    </row>
    <row r="26" spans="1:5" s="443" customFormat="1" ht="33" customHeight="1">
      <c r="A26" s="552"/>
      <c r="B26" s="550" t="s">
        <v>7</v>
      </c>
      <c r="C26" s="550" t="s">
        <v>9</v>
      </c>
      <c r="D26" s="550" t="s">
        <v>5</v>
      </c>
      <c r="E26" s="549" t="s">
        <v>10</v>
      </c>
    </row>
    <row r="27" spans="1:5" s="542" customFormat="1" ht="15" customHeight="1" thickBot="1">
      <c r="A27" s="533"/>
      <c r="B27" s="539" t="s">
        <v>8</v>
      </c>
      <c r="C27" s="539" t="s">
        <v>6</v>
      </c>
      <c r="D27" s="539" t="s">
        <v>6</v>
      </c>
      <c r="E27" s="540" t="s">
        <v>11</v>
      </c>
    </row>
    <row r="28" spans="1:5" ht="15">
      <c r="A28" s="119" t="s">
        <v>459</v>
      </c>
      <c r="B28" s="569">
        <f>B$32*0.45</f>
        <v>1890</v>
      </c>
      <c r="C28" s="570">
        <f>B28*1000/5</f>
        <v>378000</v>
      </c>
      <c r="D28" s="340">
        <f>D20</f>
        <v>9292.5</v>
      </c>
      <c r="E28" s="334">
        <f>C28-D28</f>
        <v>368707.5</v>
      </c>
    </row>
    <row r="29" spans="1:5" ht="15">
      <c r="A29" s="33" t="s">
        <v>132</v>
      </c>
      <c r="B29" s="566">
        <f>B$32*0.05</f>
        <v>210</v>
      </c>
      <c r="C29" s="571">
        <f>B29*1000/5</f>
        <v>42000</v>
      </c>
      <c r="D29" s="291">
        <f>D21</f>
        <v>15060</v>
      </c>
      <c r="E29" s="292">
        <f>C29-D29</f>
        <v>26940</v>
      </c>
    </row>
    <row r="30" spans="1:5" ht="15">
      <c r="A30" s="33" t="s">
        <v>461</v>
      </c>
      <c r="B30" s="566">
        <f>B$32*0.45</f>
        <v>1890</v>
      </c>
      <c r="C30" s="571">
        <f>B30*1000/5</f>
        <v>378000</v>
      </c>
      <c r="D30" s="291">
        <f>D22</f>
        <v>38000</v>
      </c>
      <c r="E30" s="292">
        <f>C30-D30</f>
        <v>340000</v>
      </c>
    </row>
    <row r="31" spans="1:5" ht="15">
      <c r="A31" s="33" t="s">
        <v>470</v>
      </c>
      <c r="B31" s="566">
        <f>B$32*0.05</f>
        <v>210</v>
      </c>
      <c r="C31" s="571">
        <f>B31*1000/5</f>
        <v>42000</v>
      </c>
      <c r="D31" s="291">
        <f>D23</f>
        <v>1890</v>
      </c>
      <c r="E31" s="292">
        <f>C31-D31</f>
        <v>40110</v>
      </c>
    </row>
    <row r="32" spans="1:5" s="443" customFormat="1" ht="15.75" thickBot="1">
      <c r="A32" s="582" t="s">
        <v>529</v>
      </c>
      <c r="B32" s="583">
        <f>4200</f>
        <v>4200</v>
      </c>
      <c r="C32" s="477">
        <f>SUM(C28:C31)</f>
        <v>840000</v>
      </c>
      <c r="D32" s="477">
        <f>SUM(D28:D31)</f>
        <v>64242.5</v>
      </c>
      <c r="E32" s="479">
        <f>SUM(E28:E31)</f>
        <v>775757.5</v>
      </c>
    </row>
    <row r="33" spans="1:5" ht="45.75" customHeight="1">
      <c r="A33" s="525" t="s">
        <v>0</v>
      </c>
      <c r="B33" s="524"/>
      <c r="C33" s="524"/>
      <c r="D33" s="524"/>
      <c r="E33" s="524"/>
    </row>
    <row r="34" ht="15" customHeight="1">
      <c r="A34" s="6" t="s">
        <v>99</v>
      </c>
    </row>
    <row r="35" ht="15" customHeight="1">
      <c r="A35" s="6"/>
    </row>
    <row r="36" ht="15" customHeight="1" thickBot="1">
      <c r="A36" s="4" t="s">
        <v>133</v>
      </c>
    </row>
    <row r="37" spans="1:8" s="443" customFormat="1" ht="30">
      <c r="A37" s="552"/>
      <c r="B37" s="550" t="s">
        <v>12</v>
      </c>
      <c r="C37" s="550" t="s">
        <v>10</v>
      </c>
      <c r="D37" s="550" t="s">
        <v>14</v>
      </c>
      <c r="E37" s="550" t="s">
        <v>16</v>
      </c>
      <c r="F37" s="550"/>
      <c r="G37" s="550" t="s">
        <v>18</v>
      </c>
      <c r="H37" s="549" t="s">
        <v>20</v>
      </c>
    </row>
    <row r="38" spans="1:8" s="536" customFormat="1" ht="13.5" thickBot="1">
      <c r="A38" s="543"/>
      <c r="B38" s="544" t="s">
        <v>13</v>
      </c>
      <c r="C38" s="544" t="s">
        <v>6</v>
      </c>
      <c r="D38" s="544" t="s">
        <v>15</v>
      </c>
      <c r="E38" s="544" t="s">
        <v>17</v>
      </c>
      <c r="F38" s="544"/>
      <c r="G38" s="544" t="s">
        <v>19</v>
      </c>
      <c r="H38" s="545" t="s">
        <v>21</v>
      </c>
    </row>
    <row r="39" spans="1:8" ht="15" customHeight="1">
      <c r="A39" s="119" t="s">
        <v>459</v>
      </c>
      <c r="B39" s="340">
        <f>'Stock Split'!F19</f>
        <v>21686.980684033315</v>
      </c>
      <c r="C39" s="340">
        <f>E28</f>
        <v>368707.5</v>
      </c>
      <c r="D39" s="570">
        <f>C39*1000/B39</f>
        <v>17001.329293913877</v>
      </c>
      <c r="E39" s="529">
        <f>G56</f>
        <v>0.29887726929583136</v>
      </c>
      <c r="F39" s="103"/>
      <c r="G39" s="573">
        <f>C39/(1-0.5*E39)</f>
        <v>433487.2415082902</v>
      </c>
      <c r="H39" s="574">
        <f>G39/B39*1000</f>
        <v>19988.362964118747</v>
      </c>
    </row>
    <row r="40" spans="1:8" ht="15" customHeight="1">
      <c r="A40" s="33" t="s">
        <v>132</v>
      </c>
      <c r="B40" s="291">
        <f>'Stock Split'!F23</f>
        <v>23874.31508063087</v>
      </c>
      <c r="C40" s="291">
        <f>E29</f>
        <v>26940</v>
      </c>
      <c r="D40" s="571">
        <f>C40*1000/B40</f>
        <v>1128.409334844387</v>
      </c>
      <c r="E40" s="216">
        <v>0</v>
      </c>
      <c r="F40" s="8"/>
      <c r="G40" s="575">
        <f>C40/(1-0.5*E40)</f>
        <v>26940</v>
      </c>
      <c r="H40" s="576">
        <f>G40/B40*1000</f>
        <v>1128.409334844387</v>
      </c>
    </row>
    <row r="41" spans="1:8" ht="15" customHeight="1">
      <c r="A41" s="33" t="s">
        <v>461</v>
      </c>
      <c r="B41" s="291">
        <f>'Stock Split'!F24</f>
        <v>7457.979359748522</v>
      </c>
      <c r="C41" s="291">
        <f>E30</f>
        <v>340000</v>
      </c>
      <c r="D41" s="571">
        <f>C41*1000/B41</f>
        <v>45588.7558277534</v>
      </c>
      <c r="E41" s="216">
        <f>G56</f>
        <v>0.29887726929583136</v>
      </c>
      <c r="F41" s="8"/>
      <c r="G41" s="575">
        <f>C41/(1-0.5*E41)</f>
        <v>399736.00242148223</v>
      </c>
      <c r="H41" s="576">
        <f>G41/B41*1000</f>
        <v>53598.43238222116</v>
      </c>
    </row>
    <row r="42" spans="1:8" ht="15" customHeight="1" thickBot="1">
      <c r="A42" s="34" t="s">
        <v>470</v>
      </c>
      <c r="B42" s="305">
        <f>'Stock Split'!F28</f>
        <v>21650.2</v>
      </c>
      <c r="C42" s="305">
        <f>E31</f>
        <v>40110</v>
      </c>
      <c r="D42" s="572">
        <f>C42*1000/B42</f>
        <v>1852.6387746995408</v>
      </c>
      <c r="E42" s="220">
        <v>0</v>
      </c>
      <c r="F42" s="11"/>
      <c r="G42" s="577">
        <f>C42/(1-0.5*E42)</f>
        <v>40110</v>
      </c>
      <c r="H42" s="578">
        <f>G42/B42*1000</f>
        <v>1852.6387746995408</v>
      </c>
    </row>
    <row r="43" ht="15" customHeight="1">
      <c r="A43" t="s">
        <v>102</v>
      </c>
    </row>
    <row r="44" ht="15" customHeight="1"/>
    <row r="45" ht="15" customHeight="1" thickBot="1">
      <c r="A45" s="4" t="s">
        <v>134</v>
      </c>
    </row>
    <row r="46" spans="1:7" s="443" customFormat="1" ht="30">
      <c r="A46" s="548" t="s">
        <v>135</v>
      </c>
      <c r="B46" s="549" t="s">
        <v>101</v>
      </c>
      <c r="C46" s="550" t="s">
        <v>23</v>
      </c>
      <c r="D46" s="550" t="s">
        <v>25</v>
      </c>
      <c r="E46" s="550" t="s">
        <v>27</v>
      </c>
      <c r="F46" s="551"/>
      <c r="G46" s="549" t="s">
        <v>28</v>
      </c>
    </row>
    <row r="47" spans="1:7" s="536" customFormat="1" ht="13.5" thickBot="1">
      <c r="A47" s="546"/>
      <c r="B47" s="545" t="s">
        <v>22</v>
      </c>
      <c r="C47" s="544" t="s">
        <v>24</v>
      </c>
      <c r="D47" s="544" t="s">
        <v>26</v>
      </c>
      <c r="E47" s="544" t="s">
        <v>6</v>
      </c>
      <c r="F47" s="547"/>
      <c r="G47" s="545" t="s">
        <v>17</v>
      </c>
    </row>
    <row r="48" spans="1:12" ht="15.75" customHeight="1">
      <c r="A48" s="526" t="s">
        <v>136</v>
      </c>
      <c r="B48" s="527" t="s">
        <v>137</v>
      </c>
      <c r="C48" s="570">
        <v>2893</v>
      </c>
      <c r="D48" s="570">
        <f>0.08*12</f>
        <v>0.96</v>
      </c>
      <c r="E48" s="570">
        <f aca="true" t="shared" si="0" ref="E48:E54">C48*D48</f>
        <v>2777.2799999999997</v>
      </c>
      <c r="G48" s="528">
        <v>0</v>
      </c>
      <c r="J48">
        <f>(C48*G48+C49*G49)/(C48+C49)</f>
        <v>0.007864932885906041</v>
      </c>
      <c r="K48">
        <f>(C48*D48+C49*D49)/(C48+C49)</f>
        <v>10.445109060402684</v>
      </c>
      <c r="L48">
        <f aca="true" t="shared" si="1" ref="L48:L54">E48*G48</f>
        <v>0</v>
      </c>
    </row>
    <row r="49" spans="1:14" ht="15">
      <c r="A49" s="144">
        <v>1</v>
      </c>
      <c r="B49" s="49" t="s">
        <v>138</v>
      </c>
      <c r="C49" s="571">
        <v>1875</v>
      </c>
      <c r="D49" s="571">
        <f>2.09*12</f>
        <v>25.08</v>
      </c>
      <c r="E49" s="571">
        <f t="shared" si="0"/>
        <v>47025</v>
      </c>
      <c r="G49" s="48">
        <v>0.02</v>
      </c>
      <c r="L49">
        <f t="shared" si="1"/>
        <v>940.5</v>
      </c>
      <c r="M49">
        <f>(L48+L49)/(E48+E49)</f>
        <v>0.01888467756897877</v>
      </c>
      <c r="N49">
        <v>6624</v>
      </c>
    </row>
    <row r="50" spans="1:12" ht="15">
      <c r="A50" s="144">
        <v>2</v>
      </c>
      <c r="B50" s="49" t="s">
        <v>139</v>
      </c>
      <c r="C50" s="571">
        <v>1128</v>
      </c>
      <c r="D50" s="571">
        <f>5.54*12</f>
        <v>66.48</v>
      </c>
      <c r="E50" s="571">
        <f t="shared" si="0"/>
        <v>74989.44</v>
      </c>
      <c r="G50" s="48">
        <v>0.08</v>
      </c>
      <c r="J50">
        <f>(C50*G50+C51*G51)/(C50+C51)</f>
        <v>0.10285400658616904</v>
      </c>
      <c r="K50">
        <f>(C50*D50+C51*D51)/(C50+C51)</f>
        <v>83.39196487376509</v>
      </c>
      <c r="L50">
        <f t="shared" si="1"/>
        <v>5999.1552</v>
      </c>
    </row>
    <row r="51" spans="1:14" ht="15">
      <c r="A51" s="144">
        <v>3</v>
      </c>
      <c r="B51" s="49" t="s">
        <v>140</v>
      </c>
      <c r="C51" s="571">
        <v>694</v>
      </c>
      <c r="D51" s="571">
        <f>9.24*12</f>
        <v>110.88</v>
      </c>
      <c r="E51" s="571">
        <f t="shared" si="0"/>
        <v>76950.72</v>
      </c>
      <c r="G51" s="48">
        <v>0.14</v>
      </c>
      <c r="L51">
        <f t="shared" si="1"/>
        <v>10773.100800000002</v>
      </c>
      <c r="M51">
        <f>(L50+L51)/(E50+E51)</f>
        <v>0.11038724718994636</v>
      </c>
      <c r="N51">
        <v>2759</v>
      </c>
    </row>
    <row r="52" spans="1:12" ht="15">
      <c r="A52" s="144">
        <v>4</v>
      </c>
      <c r="B52" s="49" t="s">
        <v>141</v>
      </c>
      <c r="C52" s="571">
        <v>850</v>
      </c>
      <c r="D52" s="571">
        <f>11.78*12</f>
        <v>141.35999999999999</v>
      </c>
      <c r="E52" s="571">
        <f t="shared" si="0"/>
        <v>120155.99999999999</v>
      </c>
      <c r="G52" s="48">
        <v>0.22</v>
      </c>
      <c r="J52">
        <f>(C52*G52+C53*G53+C54*G54)/(C52+C53+C54)</f>
        <v>0.28201563857515205</v>
      </c>
      <c r="K52">
        <f>(C52*D52+C53*D53+C54+D54)/(C52+C53+C54)</f>
        <v>192.64479582971327</v>
      </c>
      <c r="L52">
        <f t="shared" si="1"/>
        <v>26434.319999999996</v>
      </c>
    </row>
    <row r="53" spans="1:12" ht="15">
      <c r="A53" s="144">
        <v>5</v>
      </c>
      <c r="B53" s="49" t="s">
        <v>142</v>
      </c>
      <c r="C53" s="571">
        <v>215</v>
      </c>
      <c r="D53" s="571">
        <f>38.71*12</f>
        <v>464.52</v>
      </c>
      <c r="E53" s="571">
        <f t="shared" si="0"/>
        <v>99871.8</v>
      </c>
      <c r="G53" s="48">
        <v>0.4</v>
      </c>
      <c r="L53">
        <f t="shared" si="1"/>
        <v>39948.72</v>
      </c>
    </row>
    <row r="54" spans="1:15" ht="15.75" thickBot="1">
      <c r="A54" s="144">
        <v>6</v>
      </c>
      <c r="B54" s="49" t="s">
        <v>143</v>
      </c>
      <c r="C54" s="571">
        <v>86</v>
      </c>
      <c r="D54" s="571">
        <f>135.03*12</f>
        <v>1620.3600000000001</v>
      </c>
      <c r="E54" s="571">
        <f t="shared" si="0"/>
        <v>139350.96000000002</v>
      </c>
      <c r="G54" s="48">
        <v>0.6</v>
      </c>
      <c r="L54">
        <f t="shared" si="1"/>
        <v>83610.57600000002</v>
      </c>
      <c r="M54">
        <f>(L52+L53+L54)/(E52+E53+E54)</f>
        <v>0.4173691734035701</v>
      </c>
      <c r="N54">
        <v>1875</v>
      </c>
      <c r="O54">
        <f>(M49*N49+M51*N51+M53*N53)/(N49+N51+N53)</f>
        <v>0.04579031431460912</v>
      </c>
    </row>
    <row r="55" spans="1:12" s="443" customFormat="1" ht="15.75" thickBot="1">
      <c r="A55" s="579" t="s">
        <v>529</v>
      </c>
      <c r="B55" s="580"/>
      <c r="C55" s="581">
        <f>SUM(C48:C54)</f>
        <v>7741</v>
      </c>
      <c r="D55" s="581"/>
      <c r="E55" s="581">
        <f>SUM(E48:E54)</f>
        <v>561121.2</v>
      </c>
      <c r="G55" s="580"/>
      <c r="L55" s="443">
        <f>SUM(L48:L54)</f>
        <v>167706.37200000003</v>
      </c>
    </row>
    <row r="56" spans="5:7" ht="15.75" thickBot="1">
      <c r="E56" s="530" t="s">
        <v>29</v>
      </c>
      <c r="F56" s="531"/>
      <c r="G56" s="532">
        <f>L55/E55</f>
        <v>0.29887726929583136</v>
      </c>
    </row>
    <row r="57" ht="15" customHeight="1">
      <c r="L57" s="52" t="s">
        <v>47</v>
      </c>
    </row>
    <row r="58" ht="15.75" thickBot="1">
      <c r="L58" s="53">
        <f>E55/C55</f>
        <v>72.48691383542177</v>
      </c>
    </row>
    <row r="59" ht="15">
      <c r="C59" s="5"/>
    </row>
  </sheetData>
  <mergeCells count="1">
    <mergeCell ref="A33:E33"/>
  </mergeCells>
  <printOptions/>
  <pageMargins left="0.7874015748031497" right="0.7874015748031497" top="0.3937007874015748" bottom="0.3937007874015748" header="0.5118110236220472" footer="0.5118110236220472"/>
  <pageSetup orientation="landscape" paperSize="9" scale="65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R95"/>
  <sheetViews>
    <sheetView tabSelected="1" workbookViewId="0" topLeftCell="A1">
      <selection activeCell="G70" sqref="G70"/>
    </sheetView>
  </sheetViews>
  <sheetFormatPr defaultColWidth="11.19921875" defaultRowHeight="14.25"/>
  <cols>
    <col min="1" max="1" width="29.3984375" style="0" customWidth="1"/>
    <col min="2" max="13" width="13.69921875" style="0" customWidth="1"/>
    <col min="14" max="17" width="13.69921875" style="0" hidden="1" customWidth="1"/>
    <col min="18" max="21" width="13.69921875" style="0" customWidth="1"/>
    <col min="22" max="24" width="13.69921875" style="0" hidden="1" customWidth="1"/>
    <col min="25" max="29" width="13.69921875" style="0" customWidth="1"/>
    <col min="30" max="30" width="8.69921875" style="0" customWidth="1"/>
    <col min="31" max="31" width="10.3984375" style="0" customWidth="1"/>
    <col min="32" max="16384" width="8.69921875" style="0" customWidth="1"/>
  </cols>
  <sheetData>
    <row r="1" ht="20.25" customHeight="1">
      <c r="A1" s="147" t="s">
        <v>48</v>
      </c>
    </row>
    <row r="2" spans="2:18" ht="15">
      <c r="B2" s="27" t="s">
        <v>489</v>
      </c>
      <c r="D2" t="s">
        <v>489</v>
      </c>
      <c r="H2" t="s">
        <v>489</v>
      </c>
      <c r="Q2" t="s">
        <v>489</v>
      </c>
      <c r="R2" t="s">
        <v>489</v>
      </c>
    </row>
    <row r="3" ht="15.75" thickBot="1">
      <c r="F3" t="s">
        <v>489</v>
      </c>
    </row>
    <row r="4" spans="1:29" s="443" customFormat="1" ht="15">
      <c r="A4" s="444" t="s">
        <v>49</v>
      </c>
      <c r="B4" s="445" t="s">
        <v>454</v>
      </c>
      <c r="C4" s="446"/>
      <c r="D4" s="445" t="s">
        <v>397</v>
      </c>
      <c r="E4" s="446"/>
      <c r="F4" s="447" t="s">
        <v>556</v>
      </c>
      <c r="G4" s="447" t="s">
        <v>476</v>
      </c>
      <c r="H4" s="447" t="s">
        <v>477</v>
      </c>
      <c r="I4" s="448" t="s">
        <v>50</v>
      </c>
      <c r="J4" s="449"/>
      <c r="K4" s="450" t="s">
        <v>503</v>
      </c>
      <c r="L4" s="445" t="s">
        <v>459</v>
      </c>
      <c r="M4" s="446"/>
      <c r="N4" s="451"/>
      <c r="O4" s="451"/>
      <c r="P4" s="451"/>
      <c r="Q4" s="449"/>
      <c r="R4" s="445" t="s">
        <v>415</v>
      </c>
      <c r="S4" s="446"/>
      <c r="T4" s="445" t="s">
        <v>461</v>
      </c>
      <c r="U4" s="452"/>
      <c r="V4" s="453"/>
      <c r="W4" s="453"/>
      <c r="Y4" s="445" t="s">
        <v>470</v>
      </c>
      <c r="Z4" s="452"/>
      <c r="AA4" s="490" t="s">
        <v>529</v>
      </c>
      <c r="AB4" s="492" t="s">
        <v>393</v>
      </c>
      <c r="AC4" s="482" t="s">
        <v>52</v>
      </c>
    </row>
    <row r="5" spans="1:29" s="443" customFormat="1" ht="15.75" thickBot="1">
      <c r="A5" s="454" t="s">
        <v>51</v>
      </c>
      <c r="B5" s="455" t="s">
        <v>393</v>
      </c>
      <c r="C5" s="456" t="s">
        <v>52</v>
      </c>
      <c r="D5" s="457" t="s">
        <v>393</v>
      </c>
      <c r="E5" s="458" t="s">
        <v>52</v>
      </c>
      <c r="F5" s="459" t="s">
        <v>52</v>
      </c>
      <c r="G5" s="459" t="s">
        <v>52</v>
      </c>
      <c r="H5" s="459" t="s">
        <v>52</v>
      </c>
      <c r="I5" s="457" t="s">
        <v>53</v>
      </c>
      <c r="J5" s="458" t="s">
        <v>52</v>
      </c>
      <c r="K5" s="460" t="s">
        <v>52</v>
      </c>
      <c r="L5" s="461" t="s">
        <v>393</v>
      </c>
      <c r="M5" s="462" t="s">
        <v>52</v>
      </c>
      <c r="N5" s="463" t="s">
        <v>489</v>
      </c>
      <c r="O5" s="464"/>
      <c r="P5" s="464" t="s">
        <v>489</v>
      </c>
      <c r="Q5" s="463"/>
      <c r="R5" s="457" t="s">
        <v>393</v>
      </c>
      <c r="S5" s="458" t="s">
        <v>52</v>
      </c>
      <c r="T5" s="457" t="s">
        <v>393</v>
      </c>
      <c r="U5" s="465" t="s">
        <v>52</v>
      </c>
      <c r="V5" s="466"/>
      <c r="W5" s="467"/>
      <c r="X5" s="467"/>
      <c r="Y5" s="468" t="s">
        <v>393</v>
      </c>
      <c r="Z5" s="466" t="s">
        <v>52</v>
      </c>
      <c r="AA5" s="491"/>
      <c r="AB5" s="493" t="s">
        <v>98</v>
      </c>
      <c r="AC5" s="456" t="s">
        <v>98</v>
      </c>
    </row>
    <row r="6" spans="1:26" ht="14.25" customHeight="1" hidden="1" thickBot="1">
      <c r="A6" s="154"/>
      <c r="B6" s="56"/>
      <c r="C6" s="264"/>
      <c r="D6" s="14"/>
      <c r="E6" s="20"/>
      <c r="F6" s="17"/>
      <c r="G6" s="17"/>
      <c r="H6" s="17"/>
      <c r="I6" s="14"/>
      <c r="J6" s="20"/>
      <c r="K6" s="15"/>
      <c r="L6" s="14" t="s">
        <v>529</v>
      </c>
      <c r="M6" s="20" t="s">
        <v>529</v>
      </c>
      <c r="N6" s="433" t="s">
        <v>54</v>
      </c>
      <c r="O6" s="55" t="s">
        <v>54</v>
      </c>
      <c r="P6" s="19" t="s">
        <v>55</v>
      </c>
      <c r="Q6" s="19" t="s">
        <v>508</v>
      </c>
      <c r="R6" s="14"/>
      <c r="S6" s="20"/>
      <c r="T6" s="58" t="s">
        <v>56</v>
      </c>
      <c r="U6" s="60" t="s">
        <v>529</v>
      </c>
      <c r="V6" s="59" t="s">
        <v>56</v>
      </c>
      <c r="W6" s="59" t="s">
        <v>57</v>
      </c>
      <c r="X6" s="59" t="s">
        <v>58</v>
      </c>
      <c r="Y6" s="56"/>
      <c r="Z6" s="57"/>
    </row>
    <row r="7" spans="1:29" ht="15" customHeight="1" thickBot="1">
      <c r="A7" s="155" t="s">
        <v>59</v>
      </c>
      <c r="B7" s="1">
        <f>'Stock Split'!C12</f>
        <v>16093</v>
      </c>
      <c r="C7" s="272">
        <f>'Stock Split'!F12</f>
        <v>6055</v>
      </c>
      <c r="D7" s="273">
        <f>'Stock Split'!C13</f>
        <v>54530</v>
      </c>
      <c r="E7" s="274">
        <f>'Stock Split'!F13</f>
        <v>54582.27272727272</v>
      </c>
      <c r="F7" s="275">
        <f>'Stock Split'!F14</f>
        <v>3329.227272727273</v>
      </c>
      <c r="G7" s="275">
        <f>'Stock Split'!F15</f>
        <v>2022</v>
      </c>
      <c r="H7" s="275">
        <f>'Stock Split'!F16</f>
        <v>107</v>
      </c>
      <c r="I7" s="273">
        <f>'Stock Split'!C17</f>
        <v>54530</v>
      </c>
      <c r="J7" s="274">
        <f>'Stock Split'!F17</f>
        <v>54582.27272727272</v>
      </c>
      <c r="K7" s="276">
        <f>'Stock Split'!F18</f>
        <v>13330</v>
      </c>
      <c r="L7" s="273">
        <f>SUM(N7:N7)</f>
        <v>6300</v>
      </c>
      <c r="M7" s="274">
        <f>SUM(O7:Q7)</f>
        <v>21686.98068403332</v>
      </c>
      <c r="N7" s="276">
        <f>'Stock Split'!C20</f>
        <v>6300</v>
      </c>
      <c r="O7" s="277">
        <f>'Stock Split'!F20</f>
        <v>1481.0853582641803</v>
      </c>
      <c r="P7" s="277">
        <f>'Stock Split'!F21</f>
        <v>8729.805511377608</v>
      </c>
      <c r="Q7" s="277">
        <f>'Stock Split'!F22</f>
        <v>11476.089814391527</v>
      </c>
      <c r="R7" s="273">
        <f>'Stock Split'!C23</f>
        <v>50200</v>
      </c>
      <c r="S7" s="274">
        <f>'Stock Split'!F23</f>
        <v>23874.31508063087</v>
      </c>
      <c r="T7" s="278">
        <f>'Stock Split'!C25</f>
        <v>3800</v>
      </c>
      <c r="U7" s="279">
        <f>SUM(V7:X7)</f>
        <v>7457.979359748523</v>
      </c>
      <c r="V7" s="280">
        <f>'Stock Split'!F25</f>
        <v>2823.9440008076353</v>
      </c>
      <c r="W7" s="280">
        <f>'Stock Split'!F26</f>
        <v>2758.5419321342292</v>
      </c>
      <c r="X7" s="280">
        <f>'Stock Split'!F27</f>
        <v>1875.493426806658</v>
      </c>
      <c r="Y7" s="281">
        <f>'Stock Split'!C28</f>
        <v>6300</v>
      </c>
      <c r="Z7" s="483">
        <f>'Stock Split'!F28</f>
        <v>21650.2</v>
      </c>
      <c r="AA7" s="494"/>
      <c r="AB7" s="495"/>
      <c r="AC7" s="496"/>
    </row>
    <row r="8" spans="1:29" ht="15" customHeight="1">
      <c r="A8" s="153" t="s">
        <v>254</v>
      </c>
      <c r="B8" s="282">
        <f>'Power Requirement'!C9</f>
        <v>15</v>
      </c>
      <c r="C8" s="282">
        <f>'Power Requirement'!C9</f>
        <v>15</v>
      </c>
      <c r="D8" s="283">
        <f>'Power Requirement'!C7</f>
        <v>50</v>
      </c>
      <c r="E8" s="284">
        <f>'Power Requirement'!C6</f>
        <v>55</v>
      </c>
      <c r="F8" s="285">
        <f>'Power Requirement'!C8</f>
        <v>75</v>
      </c>
      <c r="G8" s="286">
        <f>'Power Requirement'!C59</f>
        <v>1000</v>
      </c>
      <c r="H8" s="287">
        <f>'Power Requirement'!C58</f>
        <v>10000</v>
      </c>
      <c r="I8" s="288">
        <f>'Power Requirement'!C85</f>
        <v>85</v>
      </c>
      <c r="J8" s="284">
        <f>'Power Requirement'!C85</f>
        <v>85</v>
      </c>
      <c r="K8" s="289">
        <f>'Power Requirement'!C86</f>
        <v>75</v>
      </c>
      <c r="L8" s="290">
        <f>N8</f>
        <v>30</v>
      </c>
      <c r="M8" s="292">
        <f>(O8*O$7+P8*P$7+Q8*Q$7)/(O$7+P$7+Q$7)</f>
        <v>77.10528587061279</v>
      </c>
      <c r="N8" s="293">
        <f>'Power Requirement'!$C$120</f>
        <v>30</v>
      </c>
      <c r="O8" s="291">
        <f>'Power Requirement'!$C$120</f>
        <v>30</v>
      </c>
      <c r="P8" s="291">
        <f>'Power Requirement'!$C121</f>
        <v>55</v>
      </c>
      <c r="Q8" s="291">
        <f>'Power Requirement'!C122</f>
        <v>100</v>
      </c>
      <c r="R8" s="290">
        <f>'Power Requirement'!C125</f>
        <v>17</v>
      </c>
      <c r="S8" s="292">
        <f>'Power Requirement'!C125</f>
        <v>17</v>
      </c>
      <c r="T8" s="290">
        <f>'Power Requirement'!C165</f>
        <v>115</v>
      </c>
      <c r="U8" s="292">
        <f>(V8*V$7+W8*W$7+X8*X$7)/U$7</f>
        <v>183.05014479109568</v>
      </c>
      <c r="V8" s="293">
        <f>'Power Requirement'!C165</f>
        <v>115</v>
      </c>
      <c r="W8" s="293">
        <f>'Power Requirement'!C163</f>
        <v>180</v>
      </c>
      <c r="X8" s="291">
        <f>'Power Requirement'!C164</f>
        <v>290</v>
      </c>
      <c r="Y8" s="291">
        <f>'Power Requirement'!C191</f>
        <v>10</v>
      </c>
      <c r="Z8" s="421">
        <f>'Power Requirement'!C192</f>
        <v>15</v>
      </c>
      <c r="AA8" s="497"/>
      <c r="AB8" s="498"/>
      <c r="AC8" s="499"/>
    </row>
    <row r="9" spans="1:29" ht="15" customHeight="1">
      <c r="A9" s="153" t="s">
        <v>60</v>
      </c>
      <c r="B9" s="291">
        <f>'Power Requirement'!D9</f>
        <v>3</v>
      </c>
      <c r="C9" s="291">
        <f>'Power Requirement'!D9</f>
        <v>3</v>
      </c>
      <c r="D9" s="290">
        <f>'Power Requirement'!D7</f>
        <v>25</v>
      </c>
      <c r="E9" s="292">
        <f>'Power Requirement'!D6</f>
        <v>25</v>
      </c>
      <c r="F9" s="285">
        <f>'Power Requirement'!D8</f>
        <v>25</v>
      </c>
      <c r="G9" s="294">
        <f>'Power Requirement'!D59</f>
        <v>500</v>
      </c>
      <c r="H9" s="285">
        <f>'Power Requirement'!D58</f>
        <v>5000</v>
      </c>
      <c r="I9" s="295">
        <f>'Power Requirement'!D85</f>
        <v>5</v>
      </c>
      <c r="J9" s="292">
        <f>'Power Requirement'!D85</f>
        <v>5</v>
      </c>
      <c r="K9" s="296">
        <f>'Power Requirement'!D86</f>
        <v>5</v>
      </c>
      <c r="L9" s="290">
        <f>N9</f>
        <v>20</v>
      </c>
      <c r="M9" s="292">
        <f>(O9*O$7+P9*P$7+Q9*Q$7)/(O$7+P$7+Q$7)</f>
        <v>24.65853122206296</v>
      </c>
      <c r="N9" s="293">
        <f>'Power Requirement'!$D$120</f>
        <v>20</v>
      </c>
      <c r="O9" s="291">
        <f>'Power Requirement'!$D$120</f>
        <v>20</v>
      </c>
      <c r="P9" s="291">
        <f>'Power Requirement'!$D121</f>
        <v>25</v>
      </c>
      <c r="Q9" s="291">
        <v>25</v>
      </c>
      <c r="R9" s="297"/>
      <c r="S9" s="298"/>
      <c r="T9" s="290">
        <f>'Power Requirement'!D165</f>
        <v>62</v>
      </c>
      <c r="U9" s="292">
        <f>(V9*V$7+W9*W$7+X9*X$7)/U$7</f>
        <v>75.61002895821915</v>
      </c>
      <c r="V9" s="293">
        <f>'Power Requirement'!D165</f>
        <v>62</v>
      </c>
      <c r="W9" s="293">
        <f>'Power Requirement'!D163</f>
        <v>75</v>
      </c>
      <c r="X9" s="291">
        <f>'Power Requirement'!D164</f>
        <v>97</v>
      </c>
      <c r="Y9" s="299"/>
      <c r="Z9" s="484"/>
      <c r="AA9" s="500"/>
      <c r="AB9" s="501"/>
      <c r="AC9" s="502"/>
    </row>
    <row r="10" spans="1:70" ht="15" customHeight="1" thickBot="1">
      <c r="A10" s="153" t="s">
        <v>61</v>
      </c>
      <c r="B10" s="291">
        <f>'Power Requirement'!E9</f>
        <v>2</v>
      </c>
      <c r="C10" s="291">
        <f>'Power Requirement'!E9</f>
        <v>2</v>
      </c>
      <c r="D10" s="290">
        <f>'Power Requirement'!E7</f>
        <v>1.5</v>
      </c>
      <c r="E10" s="292">
        <f>'Power Requirement'!E6</f>
        <v>1.5</v>
      </c>
      <c r="F10" s="300">
        <f>'Power Requirement'!E8</f>
        <v>1.5</v>
      </c>
      <c r="G10" s="301">
        <f>'Power Requirement'!E59</f>
        <v>0</v>
      </c>
      <c r="H10" s="285">
        <f>'Power Requirement'!E58</f>
        <v>0</v>
      </c>
      <c r="I10" s="295">
        <f>'Power Requirement'!E85</f>
        <v>0.5</v>
      </c>
      <c r="J10" s="292">
        <f>'Power Requirement'!E85</f>
        <v>0.5</v>
      </c>
      <c r="K10" s="302">
        <f>'Power Requirement'!E86</f>
        <v>0.5</v>
      </c>
      <c r="L10" s="290">
        <f>N10</f>
        <v>1</v>
      </c>
      <c r="M10" s="292">
        <f>(O10*O$7+P10*P$7+Q10*Q$7)/(O$7+P$7+Q$7)</f>
        <v>1</v>
      </c>
      <c r="N10" s="293">
        <f>'Power Requirement'!$E$120</f>
        <v>1</v>
      </c>
      <c r="O10" s="291">
        <f>'Power Requirement'!$E$120</f>
        <v>1</v>
      </c>
      <c r="P10" s="291">
        <f>'Power Requirement'!$E121</f>
        <v>1</v>
      </c>
      <c r="Q10" s="291">
        <f>'Power Requirement'!E122</f>
        <v>1</v>
      </c>
      <c r="R10" s="290">
        <f>'Power Requirement'!E125</f>
        <v>2</v>
      </c>
      <c r="S10" s="292">
        <f>'Power Requirement'!E125</f>
        <v>2</v>
      </c>
      <c r="T10" s="303">
        <f>'Power Requirement'!E165</f>
        <v>1.5</v>
      </c>
      <c r="U10" s="304">
        <f>(V10*V$7+W10*W$7+X10*X$7)/U$7</f>
        <v>8.512484103751206</v>
      </c>
      <c r="V10" s="305">
        <f>'Power Requirement'!E165</f>
        <v>1.5</v>
      </c>
      <c r="W10" s="305">
        <f>'Power Requirement'!E163</f>
        <v>14</v>
      </c>
      <c r="X10" s="305">
        <f>'Power Requirement'!E164</f>
        <v>11</v>
      </c>
      <c r="Y10" s="305">
        <f>'Power Requirement'!D192</f>
        <v>0</v>
      </c>
      <c r="Z10" s="485">
        <f>'Power Requirement'!D192</f>
        <v>0</v>
      </c>
      <c r="AA10" s="503"/>
      <c r="AB10" s="504"/>
      <c r="AC10" s="505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</row>
    <row r="11" spans="1:29" ht="15" customHeight="1">
      <c r="A11" s="113" t="s">
        <v>62</v>
      </c>
      <c r="B11" s="282">
        <f>Usage!C53</f>
        <v>10</v>
      </c>
      <c r="C11" s="306">
        <f>Usage!C50</f>
        <v>19.200000000000003</v>
      </c>
      <c r="D11" s="283">
        <f>Usage!C19</f>
        <v>10</v>
      </c>
      <c r="E11" s="307">
        <f>Usage!C16</f>
        <v>19.200000000000003</v>
      </c>
      <c r="F11" s="308">
        <f>Usage!C66</f>
        <v>100.8</v>
      </c>
      <c r="G11" s="309">
        <f>Usage!C87</f>
        <v>74</v>
      </c>
      <c r="H11" s="309">
        <f>Usage!C86</f>
        <v>74</v>
      </c>
      <c r="I11" s="310">
        <f>Usage!C104</f>
        <v>10</v>
      </c>
      <c r="J11" s="284">
        <f>Usage!C101</f>
        <v>19.200000000000003</v>
      </c>
      <c r="K11" s="311">
        <f>J11</f>
        <v>19.200000000000003</v>
      </c>
      <c r="L11" s="283">
        <f>N11</f>
        <v>0.7000000000000001</v>
      </c>
      <c r="M11" s="307">
        <f>P11</f>
        <v>11.200000000000001</v>
      </c>
      <c r="N11" s="413">
        <f>Usage!$C$122</f>
        <v>0.7000000000000001</v>
      </c>
      <c r="O11" s="282">
        <f>P11</f>
        <v>11.200000000000001</v>
      </c>
      <c r="P11" s="282">
        <f>Usage!$C119</f>
        <v>11.200000000000001</v>
      </c>
      <c r="Q11" s="282">
        <f>P11</f>
        <v>11.200000000000001</v>
      </c>
      <c r="R11" s="312">
        <f>Usage!C125</f>
        <v>5.145</v>
      </c>
      <c r="S11" s="307">
        <f>Usage!C123</f>
        <v>71.4</v>
      </c>
      <c r="T11" s="290">
        <f>Usage!C179</f>
        <v>6.75</v>
      </c>
      <c r="U11" s="292">
        <f aca="true" t="shared" si="0" ref="U11:X13">$V11</f>
        <v>27.45</v>
      </c>
      <c r="V11" s="291">
        <f>Usage!C176</f>
        <v>27.45</v>
      </c>
      <c r="W11" s="291">
        <f t="shared" si="0"/>
        <v>27.45</v>
      </c>
      <c r="X11" s="291">
        <f t="shared" si="0"/>
        <v>27.45</v>
      </c>
      <c r="Y11" s="291">
        <f>Usage!C210</f>
        <v>134</v>
      </c>
      <c r="Z11" s="421">
        <f>Usage!C209</f>
        <v>150</v>
      </c>
      <c r="AA11" s="497"/>
      <c r="AB11" s="506"/>
      <c r="AC11" s="499"/>
    </row>
    <row r="12" spans="1:29" ht="15" customHeight="1">
      <c r="A12" s="153" t="s">
        <v>63</v>
      </c>
      <c r="B12" s="313">
        <f>Usage!D54</f>
        <v>0</v>
      </c>
      <c r="C12" s="313">
        <f>Usage!D51</f>
        <v>19.200000000000003</v>
      </c>
      <c r="D12" s="314">
        <f>Usage!D19</f>
        <v>0</v>
      </c>
      <c r="E12" s="315">
        <f>Usage!D16</f>
        <v>19.200000000000003</v>
      </c>
      <c r="F12" s="285">
        <f>Usage!D66</f>
        <v>0</v>
      </c>
      <c r="G12" s="285">
        <f>Usage!D87</f>
        <v>76</v>
      </c>
      <c r="H12" s="285">
        <f>Usage!D86</f>
        <v>76</v>
      </c>
      <c r="I12" s="316">
        <f>Usage!D104</f>
        <v>0</v>
      </c>
      <c r="J12" s="315">
        <f>Usage!D101</f>
        <v>19.200000000000003</v>
      </c>
      <c r="K12" s="317">
        <f>J12</f>
        <v>19.200000000000003</v>
      </c>
      <c r="L12" s="290">
        <f>N12</f>
        <v>2.8000000000000003</v>
      </c>
      <c r="M12" s="315">
        <f>P12</f>
        <v>39.199999999999996</v>
      </c>
      <c r="N12" s="293">
        <f>Usage!$D$122</f>
        <v>2.8000000000000003</v>
      </c>
      <c r="O12" s="291">
        <f>P12</f>
        <v>39.199999999999996</v>
      </c>
      <c r="P12" s="291">
        <f>Usage!$D119</f>
        <v>39.199999999999996</v>
      </c>
      <c r="Q12" s="291">
        <f>P12</f>
        <v>39.199999999999996</v>
      </c>
      <c r="R12" s="318"/>
      <c r="S12" s="298"/>
      <c r="T12" s="290">
        <f>Usage!D179</f>
        <v>20.25</v>
      </c>
      <c r="U12" s="292">
        <f t="shared" si="0"/>
        <v>27.45</v>
      </c>
      <c r="V12" s="291">
        <f>Usage!D176</f>
        <v>27.45</v>
      </c>
      <c r="W12" s="291">
        <f t="shared" si="0"/>
        <v>27.45</v>
      </c>
      <c r="X12" s="291">
        <f t="shared" si="0"/>
        <v>27.45</v>
      </c>
      <c r="Y12" s="299"/>
      <c r="Z12" s="484"/>
      <c r="AA12" s="500"/>
      <c r="AB12" s="24"/>
      <c r="AC12" s="502"/>
    </row>
    <row r="13" spans="1:29" ht="15" customHeight="1">
      <c r="A13" s="153" t="s">
        <v>64</v>
      </c>
      <c r="B13" s="291">
        <f>Usage!D53-Usage!D54</f>
        <v>4.74</v>
      </c>
      <c r="C13" s="313">
        <f>Usage!D50-Usage!D51</f>
        <v>42</v>
      </c>
      <c r="D13" s="290">
        <f>Usage!D18-Usage!D19</f>
        <v>4.74</v>
      </c>
      <c r="E13" s="315">
        <f>Usage!D15-Usage!D16</f>
        <v>42</v>
      </c>
      <c r="F13" s="285">
        <f>Usage!D65-Usage!D66</f>
        <v>50.4</v>
      </c>
      <c r="G13" s="285">
        <v>0</v>
      </c>
      <c r="H13" s="285">
        <v>0</v>
      </c>
      <c r="I13" s="316">
        <f>Usage!D103-Usage!D104</f>
        <v>4.74</v>
      </c>
      <c r="J13" s="315">
        <f>Usage!D100-Usage!D101</f>
        <v>42</v>
      </c>
      <c r="K13" s="317">
        <f>J13</f>
        <v>42</v>
      </c>
      <c r="L13" s="290">
        <f>N13</f>
        <v>1.645</v>
      </c>
      <c r="M13" s="315">
        <f>P13</f>
        <v>78.4</v>
      </c>
      <c r="N13" s="293">
        <f>Usage!$D$121-Usage!$D$122</f>
        <v>1.645</v>
      </c>
      <c r="O13" s="291">
        <f>P13</f>
        <v>78.4</v>
      </c>
      <c r="P13" s="291">
        <f>Usage!$D118-Usage!$D119</f>
        <v>78.4</v>
      </c>
      <c r="Q13" s="291">
        <f>P13</f>
        <v>78.4</v>
      </c>
      <c r="R13" s="319"/>
      <c r="S13" s="298"/>
      <c r="T13" s="290">
        <f>Usage!D178-Usage!D179</f>
        <v>48.3</v>
      </c>
      <c r="U13" s="292">
        <f t="shared" si="0"/>
        <v>85.60000000000001</v>
      </c>
      <c r="V13" s="291">
        <f>Usage!D175-Usage!D176</f>
        <v>85.60000000000001</v>
      </c>
      <c r="W13" s="291">
        <f t="shared" si="0"/>
        <v>85.60000000000001</v>
      </c>
      <c r="X13" s="291">
        <f t="shared" si="0"/>
        <v>85.60000000000001</v>
      </c>
      <c r="Y13" s="299"/>
      <c r="Z13" s="484"/>
      <c r="AA13" s="500"/>
      <c r="AB13" s="24"/>
      <c r="AC13" s="502"/>
    </row>
    <row r="14" spans="1:29" ht="15" customHeight="1">
      <c r="A14" s="156" t="s">
        <v>65</v>
      </c>
      <c r="B14" s="320">
        <v>0</v>
      </c>
      <c r="C14" s="321">
        <v>0</v>
      </c>
      <c r="D14" s="322">
        <f aca="true" t="shared" si="1" ref="D14:S14">168-SUM(D11:D13)</f>
        <v>153.26</v>
      </c>
      <c r="E14" s="323">
        <f t="shared" si="1"/>
        <v>87.6</v>
      </c>
      <c r="F14" s="324">
        <f t="shared" si="1"/>
        <v>16.80000000000001</v>
      </c>
      <c r="G14" s="324">
        <f t="shared" si="1"/>
        <v>18</v>
      </c>
      <c r="H14" s="324">
        <f t="shared" si="1"/>
        <v>18</v>
      </c>
      <c r="I14" s="316">
        <f t="shared" si="1"/>
        <v>153.26</v>
      </c>
      <c r="J14" s="323">
        <f t="shared" si="1"/>
        <v>87.6</v>
      </c>
      <c r="K14" s="325">
        <f t="shared" si="1"/>
        <v>87.6</v>
      </c>
      <c r="L14" s="322">
        <f>168-SUM(L11:L13)</f>
        <v>162.855</v>
      </c>
      <c r="M14" s="323">
        <f>168-SUM(M11:M13)</f>
        <v>39.19999999999999</v>
      </c>
      <c r="N14" s="419">
        <f t="shared" si="1"/>
        <v>162.855</v>
      </c>
      <c r="O14" s="320">
        <f t="shared" si="1"/>
        <v>39.19999999999999</v>
      </c>
      <c r="P14" s="320">
        <f t="shared" si="1"/>
        <v>39.19999999999999</v>
      </c>
      <c r="Q14" s="320">
        <f t="shared" si="1"/>
        <v>39.19999999999999</v>
      </c>
      <c r="R14" s="326">
        <f t="shared" si="1"/>
        <v>162.855</v>
      </c>
      <c r="S14" s="323">
        <f t="shared" si="1"/>
        <v>96.6</v>
      </c>
      <c r="T14" s="290">
        <f aca="true" t="shared" si="2" ref="T14:Z14">168-SUM(T11:T13)</f>
        <v>92.7</v>
      </c>
      <c r="U14" s="292">
        <f>168-SUM(U11:U13)</f>
        <v>27.5</v>
      </c>
      <c r="V14" s="291">
        <f t="shared" si="2"/>
        <v>27.5</v>
      </c>
      <c r="W14" s="291">
        <f t="shared" si="2"/>
        <v>27.5</v>
      </c>
      <c r="X14" s="291">
        <f t="shared" si="2"/>
        <v>27.5</v>
      </c>
      <c r="Y14" s="291">
        <f t="shared" si="2"/>
        <v>34</v>
      </c>
      <c r="Z14" s="421">
        <f t="shared" si="2"/>
        <v>18</v>
      </c>
      <c r="AA14" s="500"/>
      <c r="AB14" s="24"/>
      <c r="AC14" s="502"/>
    </row>
    <row r="15" spans="1:29" ht="15" customHeight="1" thickBot="1">
      <c r="A15" s="114" t="s">
        <v>66</v>
      </c>
      <c r="B15" s="305">
        <f>168-SUM(B11:B14)</f>
        <v>153.26</v>
      </c>
      <c r="C15" s="305">
        <f>168-SUM(C11:C14)</f>
        <v>87.6</v>
      </c>
      <c r="D15" s="303">
        <v>0</v>
      </c>
      <c r="E15" s="304">
        <v>0</v>
      </c>
      <c r="F15" s="327">
        <v>0</v>
      </c>
      <c r="G15" s="327">
        <v>0</v>
      </c>
      <c r="H15" s="327">
        <v>0</v>
      </c>
      <c r="I15" s="328">
        <v>0</v>
      </c>
      <c r="J15" s="329">
        <v>0</v>
      </c>
      <c r="K15" s="330">
        <v>0</v>
      </c>
      <c r="L15" s="303">
        <f>N15</f>
        <v>0</v>
      </c>
      <c r="M15" s="329">
        <f>P15</f>
        <v>0</v>
      </c>
      <c r="N15" s="420">
        <v>0</v>
      </c>
      <c r="O15" s="305">
        <f>P15</f>
        <v>0</v>
      </c>
      <c r="P15" s="305">
        <v>0</v>
      </c>
      <c r="Q15" s="305">
        <f>P15</f>
        <v>0</v>
      </c>
      <c r="R15" s="331">
        <v>0</v>
      </c>
      <c r="S15" s="329">
        <v>0</v>
      </c>
      <c r="T15" s="290">
        <v>0</v>
      </c>
      <c r="U15" s="292">
        <v>0</v>
      </c>
      <c r="V15" s="291">
        <v>0</v>
      </c>
      <c r="W15" s="291">
        <v>0</v>
      </c>
      <c r="X15" s="291">
        <v>0</v>
      </c>
      <c r="Y15" s="291">
        <v>0</v>
      </c>
      <c r="Z15" s="421">
        <v>0</v>
      </c>
      <c r="AA15" s="500"/>
      <c r="AB15" s="24"/>
      <c r="AC15" s="502"/>
    </row>
    <row r="16" spans="1:29" ht="12" customHeight="1" hidden="1">
      <c r="A16" s="153" t="s">
        <v>67</v>
      </c>
      <c r="B16" s="291">
        <f>B8*B11*365/7/1000</f>
        <v>7.821428571428571</v>
      </c>
      <c r="C16" s="291">
        <f aca="true" t="shared" si="3" ref="C16:K16">C8*C11*365/7/1000</f>
        <v>15.01714285714286</v>
      </c>
      <c r="D16" s="290">
        <f t="shared" si="3"/>
        <v>26.071428571428573</v>
      </c>
      <c r="E16" s="292">
        <f t="shared" si="3"/>
        <v>55.062857142857155</v>
      </c>
      <c r="F16" s="294">
        <f t="shared" si="3"/>
        <v>394.2</v>
      </c>
      <c r="G16" s="294">
        <f t="shared" si="3"/>
        <v>3858.5714285714284</v>
      </c>
      <c r="H16" s="294">
        <f t="shared" si="3"/>
        <v>38585.71428571428</v>
      </c>
      <c r="I16" s="295">
        <f t="shared" si="3"/>
        <v>44.32142857142857</v>
      </c>
      <c r="J16" s="292">
        <f t="shared" si="3"/>
        <v>85.09714285714287</v>
      </c>
      <c r="K16" s="421">
        <f t="shared" si="3"/>
        <v>75.0857142857143</v>
      </c>
      <c r="L16" s="290">
        <f>L8*L11*365/7/1000</f>
        <v>1.0950000000000002</v>
      </c>
      <c r="M16" s="292">
        <f>M8*M11*365/7/1000</f>
        <v>45.02948694843787</v>
      </c>
      <c r="N16" s="434"/>
      <c r="O16" s="299"/>
      <c r="P16" s="299"/>
      <c r="Q16" s="299"/>
      <c r="R16" s="290">
        <f>R8*R11*365/7/1000</f>
        <v>4.560674999999999</v>
      </c>
      <c r="S16" s="315">
        <f aca="true" t="shared" si="4" ref="S16:Z16">S8*S11*365/7/1000</f>
        <v>63.291000000000004</v>
      </c>
      <c r="T16" s="283">
        <f t="shared" si="4"/>
        <v>40.47589285714285</v>
      </c>
      <c r="U16" s="284">
        <f>U8*U11*365/7/1000</f>
        <v>262.0035947425979</v>
      </c>
      <c r="V16" s="332"/>
      <c r="W16" s="332"/>
      <c r="X16" s="332"/>
      <c r="Y16" s="283">
        <f t="shared" si="4"/>
        <v>69.87142857142857</v>
      </c>
      <c r="Z16" s="423">
        <f t="shared" si="4"/>
        <v>117.32142857142857</v>
      </c>
      <c r="AA16" s="500"/>
      <c r="AB16" s="24"/>
      <c r="AC16" s="502"/>
    </row>
    <row r="17" spans="1:29" ht="12" customHeight="1" hidden="1">
      <c r="A17" s="153" t="s">
        <v>68</v>
      </c>
      <c r="B17" s="291">
        <f>B9*(B12+B13)*365/7/1000</f>
        <v>0.7414714285714287</v>
      </c>
      <c r="C17" s="291">
        <f aca="true" t="shared" si="5" ref="C17:K17">C9*(C12+C13)*365/7/1000</f>
        <v>9.573428571428574</v>
      </c>
      <c r="D17" s="290">
        <f t="shared" si="5"/>
        <v>6.178928571428572</v>
      </c>
      <c r="E17" s="292">
        <f t="shared" si="5"/>
        <v>79.77857142857144</v>
      </c>
      <c r="F17" s="294">
        <f t="shared" si="5"/>
        <v>65.7</v>
      </c>
      <c r="G17" s="294">
        <f t="shared" si="5"/>
        <v>1981.4285714285713</v>
      </c>
      <c r="H17" s="294">
        <f t="shared" si="5"/>
        <v>19814.285714285714</v>
      </c>
      <c r="I17" s="295">
        <f t="shared" si="5"/>
        <v>1.2357857142857145</v>
      </c>
      <c r="J17" s="292">
        <f t="shared" si="5"/>
        <v>15.955714285714286</v>
      </c>
      <c r="K17" s="421">
        <f t="shared" si="5"/>
        <v>15.955714285714286</v>
      </c>
      <c r="L17" s="290">
        <f>L9*(L12+L13)*365/7/1000</f>
        <v>4.635500000000001</v>
      </c>
      <c r="M17" s="292">
        <f>M9*(M12+M13)*365/7/1000</f>
        <v>151.2061134536901</v>
      </c>
      <c r="N17" s="434"/>
      <c r="O17" s="299"/>
      <c r="P17" s="299"/>
      <c r="Q17" s="299"/>
      <c r="R17" s="290">
        <f>R9*(R13+R12)*365/7/1000</f>
        <v>0</v>
      </c>
      <c r="S17" s="315">
        <f aca="true" t="shared" si="6" ref="S17:Z17">S9*(S12+S13)*365/7/1000</f>
        <v>0</v>
      </c>
      <c r="T17" s="333">
        <f t="shared" si="6"/>
        <v>221.6123571428571</v>
      </c>
      <c r="U17" s="334">
        <f>U9*(U12+U13)*365/7/1000</f>
        <v>445.7022182014623</v>
      </c>
      <c r="V17" s="335"/>
      <c r="W17" s="335"/>
      <c r="X17" s="335"/>
      <c r="Y17" s="333">
        <f t="shared" si="6"/>
        <v>0</v>
      </c>
      <c r="Z17" s="486">
        <f t="shared" si="6"/>
        <v>0</v>
      </c>
      <c r="AA17" s="500"/>
      <c r="AB17" s="24"/>
      <c r="AC17" s="502"/>
    </row>
    <row r="18" spans="1:29" ht="12.75" customHeight="1" hidden="1">
      <c r="A18" s="153" t="s">
        <v>69</v>
      </c>
      <c r="B18" s="291">
        <f aca="true" t="shared" si="7" ref="B18:K18">B10*B14*365/7/1000</f>
        <v>0</v>
      </c>
      <c r="C18" s="291">
        <f t="shared" si="7"/>
        <v>0</v>
      </c>
      <c r="D18" s="290">
        <f t="shared" si="7"/>
        <v>11.987121428571427</v>
      </c>
      <c r="E18" s="292">
        <f t="shared" si="7"/>
        <v>6.851571428571427</v>
      </c>
      <c r="F18" s="294">
        <f t="shared" si="7"/>
        <v>1.3140000000000007</v>
      </c>
      <c r="G18" s="294">
        <f t="shared" si="7"/>
        <v>0</v>
      </c>
      <c r="H18" s="294">
        <f t="shared" si="7"/>
        <v>0</v>
      </c>
      <c r="I18" s="295">
        <f t="shared" si="7"/>
        <v>3.9957071428571425</v>
      </c>
      <c r="J18" s="292">
        <f t="shared" si="7"/>
        <v>2.283857142857143</v>
      </c>
      <c r="K18" s="421">
        <f t="shared" si="7"/>
        <v>2.283857142857143</v>
      </c>
      <c r="L18" s="290">
        <f>L10*L14*365/7/1000</f>
        <v>8.491725</v>
      </c>
      <c r="M18" s="292">
        <f>M10*M14*365/7/1000</f>
        <v>2.0439999999999996</v>
      </c>
      <c r="N18" s="434"/>
      <c r="O18" s="299"/>
      <c r="P18" s="299"/>
      <c r="Q18" s="299"/>
      <c r="R18" s="290">
        <f aca="true" t="shared" si="8" ref="R18:Z18">R10*R14*365/7/1000</f>
        <v>16.98345</v>
      </c>
      <c r="S18" s="315">
        <f t="shared" si="8"/>
        <v>10.074</v>
      </c>
      <c r="T18" s="290">
        <f t="shared" si="8"/>
        <v>7.250464285714287</v>
      </c>
      <c r="U18" s="292">
        <f>U10*U14*365/7/1000</f>
        <v>12.20629417020039</v>
      </c>
      <c r="V18" s="299"/>
      <c r="W18" s="299"/>
      <c r="X18" s="299"/>
      <c r="Y18" s="290">
        <f t="shared" si="8"/>
        <v>0</v>
      </c>
      <c r="Z18" s="421">
        <f t="shared" si="8"/>
        <v>0</v>
      </c>
      <c r="AA18" s="500"/>
      <c r="AB18" s="24"/>
      <c r="AC18" s="502"/>
    </row>
    <row r="19" spans="1:29" ht="17.25" customHeight="1" thickBot="1">
      <c r="A19" s="157" t="s">
        <v>70</v>
      </c>
      <c r="B19" s="335"/>
      <c r="C19" s="335"/>
      <c r="D19" s="336"/>
      <c r="E19" s="337"/>
      <c r="F19" s="338"/>
      <c r="G19" s="338"/>
      <c r="H19" s="338"/>
      <c r="I19" s="339"/>
      <c r="J19" s="337"/>
      <c r="K19" s="422"/>
      <c r="L19" s="333">
        <f>'Paper Allocation'!B12</f>
        <v>1.475</v>
      </c>
      <c r="M19" s="334">
        <f>'Paper Allocation'!C12</f>
        <v>19.988362964118746</v>
      </c>
      <c r="N19" s="412"/>
      <c r="O19" s="335"/>
      <c r="P19" s="335"/>
      <c r="Q19" s="335"/>
      <c r="R19" s="333">
        <f>'Paper Allocation'!B13</f>
        <v>0.3</v>
      </c>
      <c r="S19" s="341">
        <f>'Paper Allocation'!C13</f>
        <v>1.128409334844387</v>
      </c>
      <c r="T19" s="333">
        <f>'Paper Allocation'!B14</f>
        <v>10</v>
      </c>
      <c r="U19" s="334">
        <f>'Paper Allocation'!C14</f>
        <v>53.59843238222116</v>
      </c>
      <c r="V19" s="335"/>
      <c r="W19" s="335"/>
      <c r="X19" s="335"/>
      <c r="Y19" s="342">
        <f>'Paper Allocation'!B15</f>
        <v>0.3</v>
      </c>
      <c r="Z19" s="487">
        <f>'Paper Allocation'!C15</f>
        <v>1.8526387746995407</v>
      </c>
      <c r="AA19" s="507"/>
      <c r="AB19" s="80"/>
      <c r="AC19" s="508"/>
    </row>
    <row r="20" spans="1:29" ht="15">
      <c r="A20" s="113" t="s">
        <v>71</v>
      </c>
      <c r="B20" s="282">
        <f>((B11+B12+B13)*B8+B14*B10)*365/7/1000</f>
        <v>11.528785714285714</v>
      </c>
      <c r="C20" s="282">
        <f aca="true" t="shared" si="9" ref="C20:K20">((C11+C12+C13)*C8+C14*C10)*365/7/1000</f>
        <v>62.88428571428572</v>
      </c>
      <c r="D20" s="283">
        <f t="shared" si="9"/>
        <v>50.41640714285714</v>
      </c>
      <c r="E20" s="284">
        <f t="shared" si="9"/>
        <v>237.4272857142857</v>
      </c>
      <c r="F20" s="309">
        <f t="shared" si="9"/>
        <v>592.6140000000001</v>
      </c>
      <c r="G20" s="309">
        <f t="shared" si="9"/>
        <v>7821.428571428572</v>
      </c>
      <c r="H20" s="309">
        <f t="shared" si="9"/>
        <v>78214.28571428571</v>
      </c>
      <c r="I20" s="288">
        <f t="shared" si="9"/>
        <v>69.32549285714286</v>
      </c>
      <c r="J20" s="284">
        <f t="shared" si="9"/>
        <v>358.6281428571429</v>
      </c>
      <c r="K20" s="423">
        <f t="shared" si="9"/>
        <v>316.70528571428576</v>
      </c>
      <c r="L20" s="283">
        <f>((L11+L12+L13)*L8+L14*L10)*365/7/1000+L19</f>
        <v>18.014975000000003</v>
      </c>
      <c r="M20" s="284">
        <f>((M11+M12+M13)*M8+M14*M10)*365/7/1000+M19</f>
        <v>539.8714628711543</v>
      </c>
      <c r="N20" s="435"/>
      <c r="O20" s="332"/>
      <c r="P20" s="332"/>
      <c r="Q20" s="332"/>
      <c r="R20" s="283">
        <f>((R11+R13+R12)*R8+R14*R10)*365/7/1000+R19</f>
        <v>21.844125</v>
      </c>
      <c r="S20" s="284">
        <f>((S11+S12+S13)*S8+S14*S10)*365/7/1000+S19</f>
        <v>74.4934093348444</v>
      </c>
      <c r="T20" s="283">
        <f>((T11+T12+T13)*T8+T14*T10)*365/7/1000+T19</f>
        <v>468.7815357142856</v>
      </c>
      <c r="U20" s="284">
        <f>((U11+U12+U13)*U8+U14*U10)*365/7/1000+U19</f>
        <v>1406.8431623023305</v>
      </c>
      <c r="V20" s="332"/>
      <c r="W20" s="332"/>
      <c r="X20" s="332"/>
      <c r="Y20" s="282">
        <f>((Y11+Y12+Y13)*Y8+Y14*Y10)*365/7/1000+Y19</f>
        <v>70.17142857142856</v>
      </c>
      <c r="Z20" s="423">
        <f>((Z11+Z12+Z13)*Z8+Z14*Z10)*365/7/1000+Z19</f>
        <v>119.17406734612811</v>
      </c>
      <c r="AA20" s="497"/>
      <c r="AB20" s="506"/>
      <c r="AC20" s="499"/>
    </row>
    <row r="21" spans="1:29" s="255" customFormat="1" ht="15">
      <c r="A21" s="236" t="s">
        <v>72</v>
      </c>
      <c r="B21" s="343">
        <f>B27*1000/B7</f>
        <v>8.562899999999999</v>
      </c>
      <c r="C21" s="343">
        <f aca="true" t="shared" si="10" ref="C21:R21">C27*1000/C7</f>
        <v>24.59057142857143</v>
      </c>
      <c r="D21" s="344">
        <f t="shared" si="10"/>
        <v>48.87167499999999</v>
      </c>
      <c r="E21" s="341">
        <f t="shared" si="10"/>
        <v>213.49371428571425</v>
      </c>
      <c r="F21" s="345">
        <f t="shared" si="10"/>
        <v>559.7640000000001</v>
      </c>
      <c r="G21" s="345">
        <f t="shared" si="10"/>
        <v>5840</v>
      </c>
      <c r="H21" s="345">
        <f t="shared" si="10"/>
        <v>58400</v>
      </c>
      <c r="I21" s="346">
        <f t="shared" si="10"/>
        <v>57.46195</v>
      </c>
      <c r="J21" s="341">
        <f t="shared" si="10"/>
        <v>205.45328571428576</v>
      </c>
      <c r="K21" s="424">
        <f t="shared" si="10"/>
        <v>182.67728571428574</v>
      </c>
      <c r="L21" s="344">
        <f>L27*1000/L7</f>
        <v>16.160775</v>
      </c>
      <c r="M21" s="341">
        <f>M27*1000/M7</f>
        <v>282.5886632672282</v>
      </c>
      <c r="N21" s="414"/>
      <c r="O21" s="343"/>
      <c r="P21" s="343"/>
      <c r="Q21" s="343"/>
      <c r="R21" s="344">
        <f t="shared" si="10"/>
        <v>21.844125</v>
      </c>
      <c r="S21" s="341">
        <f aca="true" t="shared" si="11" ref="S21:Z21">S27*1000/S7</f>
        <v>74.4934093348444</v>
      </c>
      <c r="T21" s="344">
        <f t="shared" si="11"/>
        <v>288.1548721428571</v>
      </c>
      <c r="U21" s="347">
        <f>U27*1000/U7</f>
        <v>874.3520452104651</v>
      </c>
      <c r="V21" s="343"/>
      <c r="W21" s="343"/>
      <c r="X21" s="343"/>
      <c r="Y21" s="343">
        <f t="shared" si="11"/>
        <v>70.17142857142856</v>
      </c>
      <c r="Z21" s="424">
        <f t="shared" si="11"/>
        <v>119.1740673461281</v>
      </c>
      <c r="AA21" s="500"/>
      <c r="AB21" s="24"/>
      <c r="AC21" s="502"/>
    </row>
    <row r="22" spans="1:31" ht="15">
      <c r="A22" s="158" t="s">
        <v>73</v>
      </c>
      <c r="B22" s="313">
        <f>(B11*B8+(B12+B13)*B9+B14*B10)*365/7/1000</f>
        <v>8.562899999999999</v>
      </c>
      <c r="C22" s="313">
        <f aca="true" t="shared" si="12" ref="C22:K22">(C11*C8+(C12+C13)*C9+C14*C10)*365/7/1000</f>
        <v>24.59057142857143</v>
      </c>
      <c r="D22" s="314">
        <f t="shared" si="12"/>
        <v>44.23747857142857</v>
      </c>
      <c r="E22" s="315">
        <f t="shared" si="12"/>
        <v>141.693</v>
      </c>
      <c r="F22" s="285">
        <f t="shared" si="12"/>
        <v>461.21400000000006</v>
      </c>
      <c r="G22" s="285">
        <f t="shared" si="12"/>
        <v>5840</v>
      </c>
      <c r="H22" s="285">
        <f t="shared" si="12"/>
        <v>58400</v>
      </c>
      <c r="I22" s="316">
        <f t="shared" si="12"/>
        <v>49.55292142857143</v>
      </c>
      <c r="J22" s="315">
        <f t="shared" si="12"/>
        <v>103.33671428571431</v>
      </c>
      <c r="K22" s="317">
        <f t="shared" si="12"/>
        <v>93.32528571428573</v>
      </c>
      <c r="L22" s="314">
        <f>(L11*L8+(L12+L13)*L9+L14*L10)*365/7/1000+L19</f>
        <v>15.697225</v>
      </c>
      <c r="M22" s="315">
        <f>(M11*M8+(M12+M13)*M9+M14*M10)*365/7/1000+M19</f>
        <v>218.2679633662467</v>
      </c>
      <c r="N22" s="434"/>
      <c r="O22" s="299"/>
      <c r="P22" s="299"/>
      <c r="Q22" s="299"/>
      <c r="R22" s="314">
        <f>(R11*R8+(R13+R12)*R9+R14*R10)*365/7/1000+R19</f>
        <v>21.844125</v>
      </c>
      <c r="S22" s="315">
        <f>(S11*S8+(S12+S13)*S9+S14*S10)*365/7/1000+S19</f>
        <v>74.4934093348444</v>
      </c>
      <c r="T22" s="344">
        <f>(T11*T8+(T12+T13)*T9+T14*T10)*365/7/1000+T19</f>
        <v>279.3387142857143</v>
      </c>
      <c r="U22" s="347">
        <f>(U11*U8+(U12+U13)*U9+U14*U10)*365/7/1000+U19</f>
        <v>773.5105394964819</v>
      </c>
      <c r="V22" s="335"/>
      <c r="W22" s="335"/>
      <c r="X22" s="335"/>
      <c r="Y22" s="343">
        <f>(Y11*Y8+(Y12+Y13)*Y9+Y14*Y10)*365/7/1000+Y19</f>
        <v>70.17142857142856</v>
      </c>
      <c r="Z22" s="424">
        <f>(Z11*Z8+(Z12+Z13)*Z9+Z14*Z10)*365/7/1000+Z19</f>
        <v>119.17406734612811</v>
      </c>
      <c r="AA22" s="26"/>
      <c r="AB22" s="25" t="s">
        <v>489</v>
      </c>
      <c r="AC22" s="502"/>
      <c r="AD22" s="3"/>
      <c r="AE22" s="4"/>
    </row>
    <row r="23" spans="1:31" ht="15">
      <c r="A23" s="158" t="s">
        <v>74</v>
      </c>
      <c r="B23" s="348"/>
      <c r="C23" s="348"/>
      <c r="D23" s="349"/>
      <c r="E23" s="350"/>
      <c r="F23" s="351"/>
      <c r="G23" s="351"/>
      <c r="H23" s="351"/>
      <c r="I23" s="352"/>
      <c r="J23" s="350"/>
      <c r="K23" s="425"/>
      <c r="L23" s="349"/>
      <c r="M23" s="350"/>
      <c r="N23" s="415"/>
      <c r="O23" s="348"/>
      <c r="P23" s="348"/>
      <c r="Q23" s="348"/>
      <c r="R23" s="349"/>
      <c r="S23" s="350"/>
      <c r="T23" s="353">
        <f>T24</f>
        <v>126.9694642857143</v>
      </c>
      <c r="U23" s="354">
        <f>U24</f>
        <v>474.0254407203394</v>
      </c>
      <c r="V23" s="355"/>
      <c r="W23" s="355"/>
      <c r="X23" s="355"/>
      <c r="Y23" s="348"/>
      <c r="Z23" s="425"/>
      <c r="AA23" s="509"/>
      <c r="AB23" s="510"/>
      <c r="AC23" s="502"/>
      <c r="AD23" s="3"/>
      <c r="AE23" s="4"/>
    </row>
    <row r="24" spans="1:31" ht="15.75" thickBot="1">
      <c r="A24" s="114" t="s">
        <v>75</v>
      </c>
      <c r="B24" s="356">
        <f>(B11*B8+B12*B9+(B13+B14)*B10)*365/7/1000</f>
        <v>8.315742857142856</v>
      </c>
      <c r="C24" s="356">
        <f>(C11*C8+C12*C9+(C13+C14)*C10)*365/7/1000</f>
        <v>22.400571428571432</v>
      </c>
      <c r="D24" s="357">
        <f aca="true" t="shared" si="13" ref="D24:K24">(D11*D8+D12*D9+(D13+D14)*D10)*365/7/1000</f>
        <v>38.42928571428572</v>
      </c>
      <c r="E24" s="358">
        <f t="shared" si="13"/>
        <v>90.228</v>
      </c>
      <c r="F24" s="359">
        <f t="shared" si="13"/>
        <v>399.456</v>
      </c>
      <c r="G24" s="359">
        <f t="shared" si="13"/>
        <v>5840</v>
      </c>
      <c r="H24" s="359">
        <f t="shared" si="13"/>
        <v>58400</v>
      </c>
      <c r="I24" s="360">
        <f t="shared" si="13"/>
        <v>48.440714285714286</v>
      </c>
      <c r="J24" s="358">
        <f t="shared" si="13"/>
        <v>93.4817142857143</v>
      </c>
      <c r="K24" s="426">
        <f t="shared" si="13"/>
        <v>83.47028571428572</v>
      </c>
      <c r="L24" s="357">
        <f>(L11*L8+L12*L9+(L13+L14)*L10)*365/7/1000+L19</f>
        <v>14.067499999999999</v>
      </c>
      <c r="M24" s="358">
        <f>(M11*M8+M12*M9+(M13+M14)*M10)*365/7/1000+M19</f>
        <v>121.55188773045332</v>
      </c>
      <c r="N24" s="416"/>
      <c r="O24" s="362"/>
      <c r="P24" s="362"/>
      <c r="Q24" s="362"/>
      <c r="R24" s="357">
        <f>(Usage!C126*R8+Usage!E126*R10)*365/7/1000+R19</f>
        <v>20.5575</v>
      </c>
      <c r="S24" s="363">
        <f>(Usage!C124*S8+Usage!E124*S10)*365/7/1000+S19</f>
        <v>36.168409334844384</v>
      </c>
      <c r="T24" s="357">
        <f>(T11*T8+T12*T9+(T13+T14)*T10)*365/7/1000+T19</f>
        <v>126.9694642857143</v>
      </c>
      <c r="U24" s="364">
        <f>(U11*U8+U12*U9+(U13+U14)*U10)*365/7/1000+U19</f>
        <v>474.0254407203394</v>
      </c>
      <c r="V24" s="362"/>
      <c r="W24" s="362"/>
      <c r="X24" s="362"/>
      <c r="Y24" s="356">
        <f>(Y11*Y8+Y12*Y9+(Y13+Y14)*Y10)*365/7/1000+Y19</f>
        <v>70.17142857142856</v>
      </c>
      <c r="Z24" s="426">
        <f>(Z11*Z8+Z12*Z9+(Z13+Z14)*Z10)*365/7/1000+Z19</f>
        <v>119.17406734612811</v>
      </c>
      <c r="AA24" s="129"/>
      <c r="AB24" s="511"/>
      <c r="AC24" s="508"/>
      <c r="AD24" s="3"/>
      <c r="AE24" s="4"/>
    </row>
    <row r="25" spans="1:35" ht="15">
      <c r="A25" s="152" t="s">
        <v>76</v>
      </c>
      <c r="B25" s="365">
        <f>'PM Rate'!B12</f>
        <v>1</v>
      </c>
      <c r="C25" s="365">
        <f>'PM Rate'!B12</f>
        <v>1</v>
      </c>
      <c r="D25" s="366">
        <f>'PM Rate'!B11</f>
        <v>0.25</v>
      </c>
      <c r="E25" s="367">
        <f>'PM Rate'!B11</f>
        <v>0.25</v>
      </c>
      <c r="F25" s="368">
        <f>'PM Rate'!B13</f>
        <v>0.25</v>
      </c>
      <c r="G25" s="369">
        <v>1</v>
      </c>
      <c r="H25" s="369">
        <v>1</v>
      </c>
      <c r="I25" s="370">
        <f>'PM Rate'!B14</f>
        <v>0.6</v>
      </c>
      <c r="J25" s="367">
        <f>'PM Rate'!B14</f>
        <v>0.6</v>
      </c>
      <c r="K25" s="427">
        <f>'PM Rate'!B14</f>
        <v>0.6</v>
      </c>
      <c r="L25" s="366">
        <f>'PM Rate'!B15</f>
        <v>0.8</v>
      </c>
      <c r="M25" s="367">
        <f>'PM Rate'!B15</f>
        <v>0.8</v>
      </c>
      <c r="N25" s="436"/>
      <c r="O25" s="372"/>
      <c r="P25" s="372"/>
      <c r="Q25" s="372"/>
      <c r="R25" s="371"/>
      <c r="S25" s="373"/>
      <c r="T25" s="366">
        <f>'PM Rate'!$B16+'PM Rate'!$B17</f>
        <v>0.68</v>
      </c>
      <c r="U25" s="374">
        <f>'PM Rate'!$B16+'PM Rate'!$B17</f>
        <v>0.68</v>
      </c>
      <c r="V25" s="372"/>
      <c r="W25" s="372"/>
      <c r="X25" s="372"/>
      <c r="Y25" s="365">
        <f>'PM Rate'!Y12</f>
        <v>0</v>
      </c>
      <c r="Z25" s="427">
        <f>'PM Rate'!Z12</f>
        <v>0</v>
      </c>
      <c r="AA25" s="512"/>
      <c r="AB25" s="513"/>
      <c r="AC25" s="514"/>
      <c r="AD25" s="127"/>
      <c r="AE25" s="128"/>
      <c r="AF25" s="126"/>
      <c r="AG25" s="126"/>
      <c r="AH25" s="126"/>
      <c r="AI25" s="126"/>
    </row>
    <row r="26" spans="1:31" ht="15.75" thickBot="1">
      <c r="A26" s="114" t="s">
        <v>77</v>
      </c>
      <c r="B26" s="362"/>
      <c r="C26" s="362"/>
      <c r="D26" s="361"/>
      <c r="E26" s="375"/>
      <c r="F26" s="376"/>
      <c r="G26" s="376"/>
      <c r="H26" s="376"/>
      <c r="I26" s="377"/>
      <c r="J26" s="375"/>
      <c r="K26" s="428"/>
      <c r="L26" s="361"/>
      <c r="M26" s="375"/>
      <c r="N26" s="416"/>
      <c r="O26" s="362"/>
      <c r="P26" s="362"/>
      <c r="Q26" s="362"/>
      <c r="R26" s="361"/>
      <c r="S26" s="375"/>
      <c r="T26" s="357">
        <f>'PM Rate'!$B17</f>
        <v>0.34</v>
      </c>
      <c r="U26" s="364">
        <f>'PM Rate'!$B17</f>
        <v>0.34</v>
      </c>
      <c r="V26" s="362"/>
      <c r="W26" s="362"/>
      <c r="X26" s="362"/>
      <c r="Y26" s="362"/>
      <c r="Z26" s="428"/>
      <c r="AA26" s="507"/>
      <c r="AB26" s="80"/>
      <c r="AC26" s="508"/>
      <c r="AD26" s="3" t="s">
        <v>489</v>
      </c>
      <c r="AE26" s="4"/>
    </row>
    <row r="27" spans="1:38" ht="15">
      <c r="A27" s="159" t="s">
        <v>97</v>
      </c>
      <c r="B27" s="378">
        <f>B7*((1-B25)*B20+B25*B22)/1000</f>
        <v>137.8027497</v>
      </c>
      <c r="C27" s="378">
        <f aca="true" t="shared" si="14" ref="C27:K27">C7*((1-C25)*C20+C25*C22)/1000</f>
        <v>148.89591000000001</v>
      </c>
      <c r="D27" s="379">
        <f t="shared" si="14"/>
        <v>2664.9724377499997</v>
      </c>
      <c r="E27" s="380">
        <f t="shared" si="14"/>
        <v>11652.972138701296</v>
      </c>
      <c r="F27" s="381">
        <f t="shared" si="14"/>
        <v>1863.5815750909096</v>
      </c>
      <c r="G27" s="381">
        <f t="shared" si="14"/>
        <v>11808.48</v>
      </c>
      <c r="H27" s="381">
        <f t="shared" si="14"/>
        <v>6248.8</v>
      </c>
      <c r="I27" s="382">
        <f t="shared" si="14"/>
        <v>3133.4001335</v>
      </c>
      <c r="J27" s="380">
        <f t="shared" si="14"/>
        <v>11214.10727357143</v>
      </c>
      <c r="K27" s="429">
        <f t="shared" si="14"/>
        <v>2435.088218571429</v>
      </c>
      <c r="L27" s="379">
        <f>L7*((1-L25)*L20+L25*L22)/1000</f>
        <v>101.8128825</v>
      </c>
      <c r="M27" s="380">
        <f>M7*((1-M25)*M20+M25*M22)/1000</f>
        <v>6128.4948818031735</v>
      </c>
      <c r="N27" s="437"/>
      <c r="O27" s="383"/>
      <c r="P27" s="383"/>
      <c r="Q27" s="383"/>
      <c r="R27" s="379">
        <f>R7*((1-R25)*R20+R25*R22)/1000</f>
        <v>1096.575075</v>
      </c>
      <c r="S27" s="380">
        <f>S7*((1-S25)*S20+S25*S22)/1000</f>
        <v>1778.479125890484</v>
      </c>
      <c r="T27" s="379">
        <f>T7*((1-T25)*T20+(T25-T26)*T22+T26*T23)/1000</f>
        <v>1094.988514142857</v>
      </c>
      <c r="U27" s="384">
        <f>U7*((1-U25)*U20+(U25-U26)*U22+U26*U23)/1000</f>
        <v>6520.899506333556</v>
      </c>
      <c r="V27" s="383"/>
      <c r="W27" s="383"/>
      <c r="X27" s="383"/>
      <c r="Y27" s="378">
        <f>Y7*((1-Y25)*Y20+Y25*Y22)/1000</f>
        <v>442.0799999999999</v>
      </c>
      <c r="Z27" s="380">
        <f>Z7*((1-Z25)*Z20+Z25*Z22)/1000</f>
        <v>2580.1423928571426</v>
      </c>
      <c r="AA27" s="386">
        <f>SUM(B27:Z27)</f>
        <v>71051.57281541229</v>
      </c>
      <c r="AB27" s="488">
        <f>B27+D27+I27+L27+R27+T27+Y27</f>
        <v>8671.631792592856</v>
      </c>
      <c r="AC27" s="489">
        <f>C27+E27+F27+G27+H27+J27+K27+M27+S27+U27+Z27</f>
        <v>62379.94102281942</v>
      </c>
      <c r="AD27" s="131"/>
      <c r="AE27" s="132"/>
      <c r="AF27" s="130"/>
      <c r="AG27" s="130"/>
      <c r="AH27" s="130"/>
      <c r="AI27" s="130"/>
      <c r="AJ27" s="130"/>
      <c r="AK27" s="130"/>
      <c r="AL27" s="130"/>
    </row>
    <row r="28" spans="1:38" ht="15">
      <c r="A28" s="236" t="s">
        <v>78</v>
      </c>
      <c r="B28" s="385">
        <f>B7*B20/1000</f>
        <v>185.5327485</v>
      </c>
      <c r="C28" s="385">
        <f aca="true" t="shared" si="15" ref="C28:R28">C7*C20/1000</f>
        <v>380.76435000000004</v>
      </c>
      <c r="D28" s="386">
        <f t="shared" si="15"/>
        <v>2749.2066815</v>
      </c>
      <c r="E28" s="387">
        <f t="shared" si="15"/>
        <v>12959.320861753244</v>
      </c>
      <c r="F28" s="388">
        <f t="shared" si="15"/>
        <v>1972.9466910000006</v>
      </c>
      <c r="G28" s="388">
        <f>G27</f>
        <v>11808.48</v>
      </c>
      <c r="H28" s="388">
        <f>H27</f>
        <v>6248.8</v>
      </c>
      <c r="I28" s="389">
        <f t="shared" si="15"/>
        <v>3780.3191255</v>
      </c>
      <c r="J28" s="387">
        <f t="shared" si="15"/>
        <v>19574.7391011039</v>
      </c>
      <c r="K28" s="430">
        <f t="shared" si="15"/>
        <v>4221.681458571429</v>
      </c>
      <c r="L28" s="386">
        <f>L7*L20/1000</f>
        <v>113.49434250000003</v>
      </c>
      <c r="M28" s="387">
        <f>M7*M20/1000</f>
        <v>11708.181987147535</v>
      </c>
      <c r="N28" s="438"/>
      <c r="O28" s="390"/>
      <c r="P28" s="390"/>
      <c r="Q28" s="390"/>
      <c r="R28" s="386">
        <f t="shared" si="15"/>
        <v>1096.575075</v>
      </c>
      <c r="S28" s="387">
        <f aca="true" t="shared" si="16" ref="S28:Z28">S7*S20/1000</f>
        <v>1778.479125890484</v>
      </c>
      <c r="T28" s="386">
        <f t="shared" si="16"/>
        <v>1781.3698357142853</v>
      </c>
      <c r="U28" s="391">
        <f>U7*U20/1000</f>
        <v>10492.207266854122</v>
      </c>
      <c r="V28" s="390"/>
      <c r="W28" s="390"/>
      <c r="X28" s="390"/>
      <c r="Y28" s="385">
        <f t="shared" si="16"/>
        <v>442.0799999999999</v>
      </c>
      <c r="Z28" s="387">
        <f t="shared" si="16"/>
        <v>2580.1423928571426</v>
      </c>
      <c r="AA28" s="393">
        <f>SUM(B28:Z28)</f>
        <v>93874.32104389215</v>
      </c>
      <c r="AB28" s="407">
        <f>B28+D28+I28+L28+R28+T28+Y28</f>
        <v>10148.577808714284</v>
      </c>
      <c r="AC28" s="408">
        <f>C28+E28+F28+G28+H28+J28+K28+M28+S28+U28+Z28</f>
        <v>83725.74323517787</v>
      </c>
      <c r="AD28" s="131"/>
      <c r="AE28" s="132"/>
      <c r="AF28" s="130"/>
      <c r="AG28" s="130"/>
      <c r="AH28" s="130"/>
      <c r="AI28" s="130"/>
      <c r="AJ28" s="130"/>
      <c r="AK28" s="130"/>
      <c r="AL28" s="130"/>
    </row>
    <row r="29" spans="1:38" ht="15">
      <c r="A29" s="158" t="s">
        <v>79</v>
      </c>
      <c r="B29" s="392">
        <f>B7*B22/1000</f>
        <v>137.8027497</v>
      </c>
      <c r="C29" s="392">
        <f aca="true" t="shared" si="17" ref="C29:K29">C7*C22/1000</f>
        <v>148.89591000000001</v>
      </c>
      <c r="D29" s="393">
        <f t="shared" si="17"/>
        <v>2412.2697064999998</v>
      </c>
      <c r="E29" s="394">
        <f t="shared" si="17"/>
        <v>7733.925969545455</v>
      </c>
      <c r="F29" s="395">
        <f t="shared" si="17"/>
        <v>1535.4862273636368</v>
      </c>
      <c r="G29" s="395">
        <f t="shared" si="17"/>
        <v>11808.48</v>
      </c>
      <c r="H29" s="395">
        <f t="shared" si="17"/>
        <v>6248.8</v>
      </c>
      <c r="I29" s="396">
        <f t="shared" si="17"/>
        <v>2702.1208055</v>
      </c>
      <c r="J29" s="394">
        <f t="shared" si="17"/>
        <v>5640.352721883117</v>
      </c>
      <c r="K29" s="431">
        <f t="shared" si="17"/>
        <v>1244.0260585714288</v>
      </c>
      <c r="L29" s="393">
        <f>L7*L22/1000</f>
        <v>98.8925175</v>
      </c>
      <c r="M29" s="394">
        <f>M7*M22/1000</f>
        <v>4733.573105467084</v>
      </c>
      <c r="N29" s="439"/>
      <c r="O29" s="397"/>
      <c r="P29" s="397"/>
      <c r="Q29" s="397"/>
      <c r="R29" s="393">
        <f>R7*R22/1000</f>
        <v>1096.575075</v>
      </c>
      <c r="S29" s="394">
        <f>S7*S22/1000</f>
        <v>1778.479125890484</v>
      </c>
      <c r="T29" s="393">
        <f>T7*T23/1000</f>
        <v>482.4839642857143</v>
      </c>
      <c r="U29" s="398">
        <f>U7*U23/1000</f>
        <v>3535.271952887989</v>
      </c>
      <c r="V29" s="397"/>
      <c r="W29" s="397"/>
      <c r="X29" s="397"/>
      <c r="Y29" s="392">
        <f>Y7*Y22/1000</f>
        <v>442.0799999999999</v>
      </c>
      <c r="Z29" s="394">
        <f>Z7*Z22/1000</f>
        <v>2580.1423928571426</v>
      </c>
      <c r="AA29" s="393">
        <f>SUM(B29:Z29)</f>
        <v>54359.65828295204</v>
      </c>
      <c r="AB29" s="407">
        <f>B29+D29+I29+L29+R29+T29+Y29</f>
        <v>7372.224818485714</v>
      </c>
      <c r="AC29" s="408">
        <f>C29+E29+F29+G29+H29+J29+K29+M29+S29+U29+Z29</f>
        <v>46987.43346446633</v>
      </c>
      <c r="AD29" s="131"/>
      <c r="AE29" s="132"/>
      <c r="AF29" s="130"/>
      <c r="AG29" s="130"/>
      <c r="AH29" s="130"/>
      <c r="AI29" s="130"/>
      <c r="AJ29" s="130"/>
      <c r="AK29" s="130"/>
      <c r="AL29" s="130"/>
    </row>
    <row r="30" spans="1:38" ht="15.75" thickBot="1">
      <c r="A30" s="160" t="s">
        <v>80</v>
      </c>
      <c r="B30" s="399">
        <f>B7*B24/1000</f>
        <v>133.8252498</v>
      </c>
      <c r="C30" s="399">
        <f aca="true" t="shared" si="18" ref="C30:K30">C7*C24/1000</f>
        <v>135.63546000000002</v>
      </c>
      <c r="D30" s="400">
        <f t="shared" si="18"/>
        <v>2095.5489500000003</v>
      </c>
      <c r="E30" s="363">
        <f t="shared" si="18"/>
        <v>4924.8493036363625</v>
      </c>
      <c r="F30" s="401">
        <f t="shared" si="18"/>
        <v>1329.8798094545457</v>
      </c>
      <c r="G30" s="401">
        <f t="shared" si="18"/>
        <v>11808.48</v>
      </c>
      <c r="H30" s="401">
        <f t="shared" si="18"/>
        <v>6248.8</v>
      </c>
      <c r="I30" s="402">
        <f t="shared" si="18"/>
        <v>2641.47215</v>
      </c>
      <c r="J30" s="363">
        <f t="shared" si="18"/>
        <v>5102.444424155844</v>
      </c>
      <c r="K30" s="432">
        <f t="shared" si="18"/>
        <v>1112.6589085714286</v>
      </c>
      <c r="L30" s="400">
        <f>L7*L24/1000</f>
        <v>88.62525</v>
      </c>
      <c r="M30" s="363">
        <f>M7*M24/1000</f>
        <v>2636.0934413181276</v>
      </c>
      <c r="N30" s="416"/>
      <c r="O30" s="362"/>
      <c r="P30" s="362"/>
      <c r="Q30" s="362"/>
      <c r="R30" s="400">
        <f>R7*R24/1000</f>
        <v>1031.9865</v>
      </c>
      <c r="S30" s="363">
        <f>S7*S24/1000</f>
        <v>863.4960004253055</v>
      </c>
      <c r="T30" s="400">
        <f>T7*T24/1000</f>
        <v>482.4839642857143</v>
      </c>
      <c r="U30" s="403">
        <f>U7*U24/1000</f>
        <v>3535.271952887989</v>
      </c>
      <c r="V30" s="362"/>
      <c r="W30" s="362"/>
      <c r="X30" s="362"/>
      <c r="Y30" s="399">
        <f>Y7*Y24/1000</f>
        <v>442.0799999999999</v>
      </c>
      <c r="Z30" s="363">
        <f>Z7*Z24/1000</f>
        <v>2580.1423928571426</v>
      </c>
      <c r="AA30" s="400">
        <f>SUM(B30:Z30)</f>
        <v>47193.77375739246</v>
      </c>
      <c r="AB30" s="356">
        <f>B30+D30+I30+L30+R30+T30+Y30</f>
        <v>6916.022064085714</v>
      </c>
      <c r="AC30" s="409">
        <f>C30+E30+F30+G30+H30+J30+K30+M30+S30+U30+Z30</f>
        <v>40277.75169330675</v>
      </c>
      <c r="AD30" s="37"/>
      <c r="AE30" s="132"/>
      <c r="AF30" s="130"/>
      <c r="AG30" s="130"/>
      <c r="AH30" s="130"/>
      <c r="AI30" s="130"/>
      <c r="AJ30" s="130"/>
      <c r="AK30" s="130"/>
      <c r="AL30" s="130"/>
    </row>
    <row r="31" spans="1:38" ht="15">
      <c r="A31" s="256" t="s">
        <v>81</v>
      </c>
      <c r="B31" s="379">
        <f>(B11+(B12+B13)*(1-B25))*B8*B7/7*365/1000000</f>
        <v>125.87025</v>
      </c>
      <c r="C31" s="378">
        <f aca="true" t="shared" si="19" ref="C31:R31">(C11+(C12+C13)*(1-C25))*C8*C7/7*365/1000000</f>
        <v>90.92880000000001</v>
      </c>
      <c r="D31" s="379">
        <f t="shared" si="19"/>
        <v>1927.0804625</v>
      </c>
      <c r="E31" s="380">
        <f t="shared" si="19"/>
        <v>10190.3738625</v>
      </c>
      <c r="F31" s="381">
        <f t="shared" si="19"/>
        <v>1804.5244125</v>
      </c>
      <c r="G31" s="381">
        <f>G27</f>
        <v>11808.48</v>
      </c>
      <c r="H31" s="380">
        <f>H27</f>
        <v>6248.8</v>
      </c>
      <c r="I31" s="379">
        <f t="shared" si="19"/>
        <v>2875.081786</v>
      </c>
      <c r="J31" s="380">
        <f t="shared" si="19"/>
        <v>10566.909670909092</v>
      </c>
      <c r="K31" s="429">
        <f t="shared" si="19"/>
        <v>2277.0306000000005</v>
      </c>
      <c r="L31" s="379">
        <f>(L11+(L12+L13)*(1-L25))*L8*L7/7*365/1000000</f>
        <v>15.659595</v>
      </c>
      <c r="M31" s="380">
        <f>(M11+(M12+M13)*(1-M25))*M8*M7/7*365/1000000</f>
        <v>3027.316202354377</v>
      </c>
      <c r="N31" s="417"/>
      <c r="O31" s="404"/>
      <c r="P31" s="404"/>
      <c r="Q31" s="404"/>
      <c r="R31" s="379">
        <f t="shared" si="19"/>
        <v>228.94588499999998</v>
      </c>
      <c r="S31" s="380">
        <f aca="true" t="shared" si="20" ref="S31:Z31">(S11+(S12+S13)*(1-S25))*S8*S7/7*365/1000000</f>
        <v>1511.0292757682084</v>
      </c>
      <c r="T31" s="378">
        <f t="shared" si="20"/>
        <v>653.6514899999999</v>
      </c>
      <c r="U31" s="378">
        <f>(U11+(U12+U13)*(1-U25))*U8*U7/7*365/1000000</f>
        <v>4529.191665028469</v>
      </c>
      <c r="V31" s="404"/>
      <c r="W31" s="404"/>
      <c r="X31" s="404"/>
      <c r="Y31" s="379">
        <f t="shared" si="20"/>
        <v>440.19</v>
      </c>
      <c r="Z31" s="380">
        <f t="shared" si="20"/>
        <v>2540.032392857143</v>
      </c>
      <c r="AA31" s="380">
        <f>SUM(B31:Z31)</f>
        <v>60861.09635041729</v>
      </c>
      <c r="AB31" s="410"/>
      <c r="AC31" s="411"/>
      <c r="AD31" s="37"/>
      <c r="AE31" s="132"/>
      <c r="AF31" s="130"/>
      <c r="AG31" s="130"/>
      <c r="AH31" s="130"/>
      <c r="AI31" s="130"/>
      <c r="AJ31" s="130"/>
      <c r="AK31" s="130"/>
      <c r="AL31" s="130"/>
    </row>
    <row r="32" spans="1:38" ht="15">
      <c r="A32" s="257" t="s">
        <v>82</v>
      </c>
      <c r="B32" s="393">
        <f>(B12+B13)*B25*B9*B7/7*365/1000000</f>
        <v>11.932499700000001</v>
      </c>
      <c r="C32" s="392">
        <f aca="true" t="shared" si="21" ref="C32:R32">(C12+C13)*C25*C9*C7/7*365/1000000</f>
        <v>57.967110000000005</v>
      </c>
      <c r="D32" s="393">
        <f t="shared" si="21"/>
        <v>84.23424375</v>
      </c>
      <c r="E32" s="394">
        <f t="shared" si="21"/>
        <v>1088.6239358766231</v>
      </c>
      <c r="F32" s="395">
        <f t="shared" si="21"/>
        <v>54.68255795454546</v>
      </c>
      <c r="G32" s="395">
        <v>0</v>
      </c>
      <c r="H32" s="394">
        <v>0</v>
      </c>
      <c r="I32" s="393">
        <f t="shared" si="21"/>
        <v>40.432437</v>
      </c>
      <c r="J32" s="394">
        <f t="shared" si="21"/>
        <v>522.5394892207792</v>
      </c>
      <c r="K32" s="431">
        <f t="shared" si="21"/>
        <v>127.61380285714287</v>
      </c>
      <c r="L32" s="393">
        <f>(L12+L13)*L25*L9*L7/7*365/1000000</f>
        <v>23.36292</v>
      </c>
      <c r="M32" s="394">
        <f>(M12+M13)*M25*M9*M7/7*365/1000000</f>
        <v>2623.363249422342</v>
      </c>
      <c r="N32" s="418"/>
      <c r="O32" s="405"/>
      <c r="P32" s="405"/>
      <c r="Q32" s="405"/>
      <c r="R32" s="393">
        <f t="shared" si="21"/>
        <v>0</v>
      </c>
      <c r="S32" s="394">
        <f>(S12+S13)*S25*S9*S7/7*365/1000000</f>
        <v>0</v>
      </c>
      <c r="T32" s="392">
        <f>(T12*T25+T13*(T25-T26))*T9*T7/7*365/1000000</f>
        <v>370.9044068571429</v>
      </c>
      <c r="U32" s="392">
        <f>(U12*U25+U13*(U25-U26))*U9*U7/7*365/1000000</f>
        <v>1404.5934770636384</v>
      </c>
      <c r="V32" s="405"/>
      <c r="W32" s="405"/>
      <c r="X32" s="405"/>
      <c r="Y32" s="393">
        <f>(Y12+Y13)*Y25*Y9*Y7/7*365/1000000</f>
        <v>0</v>
      </c>
      <c r="Z32" s="394">
        <f>(Z12+Z13)*Z25*Z9*Z7/7*365/1000000</f>
        <v>0</v>
      </c>
      <c r="AA32" s="394">
        <f>SUM(B32:Z32)</f>
        <v>6410.2501297022145</v>
      </c>
      <c r="AB32" s="410"/>
      <c r="AC32" s="411"/>
      <c r="AD32" s="37"/>
      <c r="AE32" s="132"/>
      <c r="AF32" s="130"/>
      <c r="AG32" s="130"/>
      <c r="AH32" s="130"/>
      <c r="AI32" s="130"/>
      <c r="AJ32" s="130"/>
      <c r="AK32" s="130"/>
      <c r="AL32" s="130"/>
    </row>
    <row r="33" spans="1:38" ht="15">
      <c r="A33" s="257" t="s">
        <v>83</v>
      </c>
      <c r="B33" s="393">
        <f>B14*B10*B7/7*365/1000000</f>
        <v>0</v>
      </c>
      <c r="C33" s="392">
        <f aca="true" t="shared" si="22" ref="C33:R33">C14*C10*C7/7*365/1000000</f>
        <v>0</v>
      </c>
      <c r="D33" s="393">
        <f t="shared" si="22"/>
        <v>653.6577315</v>
      </c>
      <c r="E33" s="394">
        <f t="shared" si="22"/>
        <v>373.9743403246752</v>
      </c>
      <c r="F33" s="395">
        <f t="shared" si="22"/>
        <v>4.37460463636364</v>
      </c>
      <c r="G33" s="395">
        <f t="shared" si="22"/>
        <v>0</v>
      </c>
      <c r="H33" s="394">
        <f t="shared" si="22"/>
        <v>0</v>
      </c>
      <c r="I33" s="393">
        <f t="shared" si="22"/>
        <v>217.88591049999997</v>
      </c>
      <c r="J33" s="394">
        <f t="shared" si="22"/>
        <v>124.65811344155843</v>
      </c>
      <c r="K33" s="431">
        <f t="shared" si="22"/>
        <v>30.443815714285716</v>
      </c>
      <c r="L33" s="393">
        <f>L14*L10*L7/7*365/1000000</f>
        <v>53.49786749999999</v>
      </c>
      <c r="M33" s="394">
        <f>M14*M10*M7/7*365/1000000</f>
        <v>44.32818851816409</v>
      </c>
      <c r="N33" s="418"/>
      <c r="O33" s="405"/>
      <c r="P33" s="405"/>
      <c r="Q33" s="405"/>
      <c r="R33" s="393">
        <f t="shared" si="22"/>
        <v>852.5691899999999</v>
      </c>
      <c r="S33" s="394">
        <f>S14*S10*S7/7*365/1000000</f>
        <v>240.5098501222753</v>
      </c>
      <c r="T33" s="392">
        <f>(T13*(T25-T26)+T14)*T10*T7*365/7/1000000</f>
        <v>32.43261728571429</v>
      </c>
      <c r="U33" s="392">
        <f>(U13*(U25-U26)+U14)*U10*U7*365/7/1000000</f>
        <v>187.37836181996533</v>
      </c>
      <c r="V33" s="405"/>
      <c r="W33" s="405"/>
      <c r="X33" s="405"/>
      <c r="Y33" s="393">
        <f>Y14*Y10*Y7/7*365/1000000</f>
        <v>0</v>
      </c>
      <c r="Z33" s="394">
        <f>Z14*Z10*Z7/7*365/1000000</f>
        <v>0</v>
      </c>
      <c r="AA33" s="394">
        <f>SUM(B33:Z33)</f>
        <v>2815.7105913630016</v>
      </c>
      <c r="AB33" s="410"/>
      <c r="AC33" s="411"/>
      <c r="AD33" s="37"/>
      <c r="AE33" s="132"/>
      <c r="AF33" s="130"/>
      <c r="AG33" s="130"/>
      <c r="AH33" s="130"/>
      <c r="AI33" s="130"/>
      <c r="AJ33" s="130"/>
      <c r="AK33" s="130"/>
      <c r="AL33" s="130"/>
    </row>
    <row r="34" spans="1:29" ht="15">
      <c r="A34" s="41" t="s">
        <v>84</v>
      </c>
      <c r="B34" s="290">
        <v>0</v>
      </c>
      <c r="C34" s="291">
        <v>0</v>
      </c>
      <c r="D34" s="290">
        <v>0</v>
      </c>
      <c r="E34" s="292">
        <v>0</v>
      </c>
      <c r="F34" s="294">
        <v>0</v>
      </c>
      <c r="G34" s="294">
        <v>0</v>
      </c>
      <c r="H34" s="292">
        <v>0</v>
      </c>
      <c r="I34" s="290">
        <v>0</v>
      </c>
      <c r="J34" s="292">
        <v>0</v>
      </c>
      <c r="K34" s="421">
        <v>0</v>
      </c>
      <c r="L34" s="290">
        <f>L19*L7/1000</f>
        <v>9.2925</v>
      </c>
      <c r="M34" s="292">
        <f>M19*M7/1000</f>
        <v>433.48724150829025</v>
      </c>
      <c r="N34" s="293"/>
      <c r="O34" s="406"/>
      <c r="P34" s="406"/>
      <c r="Q34" s="406"/>
      <c r="R34" s="290">
        <f>R19*R7/1000</f>
        <v>15.06</v>
      </c>
      <c r="S34" s="292">
        <f>S19*S7/1000</f>
        <v>26.94</v>
      </c>
      <c r="T34" s="291">
        <f>T19*T7/1000</f>
        <v>38</v>
      </c>
      <c r="U34" s="291">
        <f>U19*U7/1000</f>
        <v>399.7360024214823</v>
      </c>
      <c r="V34" s="406"/>
      <c r="W34" s="406"/>
      <c r="X34" s="406"/>
      <c r="Y34" s="290">
        <f>Y19*Y7/1000</f>
        <v>1.89</v>
      </c>
      <c r="Z34" s="292">
        <f>Z19*Z7/1000</f>
        <v>40.11</v>
      </c>
      <c r="AA34" s="394">
        <f>SUM(B34:Z34)</f>
        <v>964.5157439297725</v>
      </c>
      <c r="AB34" s="1"/>
      <c r="AC34" s="1"/>
    </row>
    <row r="35" spans="1:29" s="443" customFormat="1" ht="15.75" thickBot="1">
      <c r="A35" s="469" t="s">
        <v>529</v>
      </c>
      <c r="B35" s="470">
        <f>SUM(B31:B34)</f>
        <v>137.8027497</v>
      </c>
      <c r="C35" s="471">
        <f aca="true" t="shared" si="23" ref="C35:K35">SUM(C31:C34)</f>
        <v>148.89591000000001</v>
      </c>
      <c r="D35" s="470">
        <f t="shared" si="23"/>
        <v>2664.9724377499997</v>
      </c>
      <c r="E35" s="472">
        <f t="shared" si="23"/>
        <v>11652.9721387013</v>
      </c>
      <c r="F35" s="473">
        <f t="shared" si="23"/>
        <v>1863.581575090909</v>
      </c>
      <c r="G35" s="473">
        <f t="shared" si="23"/>
        <v>11808.48</v>
      </c>
      <c r="H35" s="472">
        <f t="shared" si="23"/>
        <v>6248.8</v>
      </c>
      <c r="I35" s="470">
        <f t="shared" si="23"/>
        <v>3133.4001335000003</v>
      </c>
      <c r="J35" s="472">
        <f t="shared" si="23"/>
        <v>11214.10727357143</v>
      </c>
      <c r="K35" s="474">
        <f t="shared" si="23"/>
        <v>2435.088218571429</v>
      </c>
      <c r="L35" s="470">
        <f>SUM(L31:L34)</f>
        <v>101.81288249999999</v>
      </c>
      <c r="M35" s="472">
        <f>SUM(M31:M34)</f>
        <v>6128.4948818031735</v>
      </c>
      <c r="N35" s="475"/>
      <c r="O35" s="476"/>
      <c r="P35" s="476"/>
      <c r="Q35" s="476"/>
      <c r="R35" s="470">
        <f>SUM(R31:R34)</f>
        <v>1096.5750749999997</v>
      </c>
      <c r="S35" s="472">
        <f>SUM(S31:S34)</f>
        <v>1778.4791258904838</v>
      </c>
      <c r="T35" s="471">
        <f>SUM(T31:T34)</f>
        <v>1094.988514142857</v>
      </c>
      <c r="U35" s="477">
        <f>SUM(U31:U34)</f>
        <v>6520.899506333555</v>
      </c>
      <c r="V35" s="476"/>
      <c r="W35" s="476"/>
      <c r="X35" s="476"/>
      <c r="Y35" s="478">
        <f>SUM(Y31:Y34)</f>
        <v>442.08</v>
      </c>
      <c r="Z35" s="479">
        <f>SUM(Z31:Z34)</f>
        <v>2580.142392857143</v>
      </c>
      <c r="AA35" s="480">
        <f>SUM(B35:Z35)</f>
        <v>71051.57281541229</v>
      </c>
      <c r="AB35" s="481"/>
      <c r="AC35" s="481"/>
    </row>
    <row r="36" spans="2:27" ht="15">
      <c r="B36" s="2"/>
      <c r="M36" s="22"/>
      <c r="Q36" s="5"/>
      <c r="U36" s="5"/>
      <c r="Y36" s="5"/>
      <c r="Z36" s="5"/>
      <c r="AA36" s="2"/>
    </row>
    <row r="37" spans="1:12" ht="15.75" thickBot="1">
      <c r="A37" s="443" t="s">
        <v>85</v>
      </c>
      <c r="K37" t="s">
        <v>394</v>
      </c>
      <c r="L37" t="s">
        <v>394</v>
      </c>
    </row>
    <row r="38" spans="1:12" s="443" customFormat="1" ht="15.75" thickBot="1">
      <c r="A38" s="515"/>
      <c r="B38" s="516" t="s">
        <v>393</v>
      </c>
      <c r="C38" s="517" t="s">
        <v>394</v>
      </c>
      <c r="D38" s="517" t="s">
        <v>395</v>
      </c>
      <c r="E38" s="518" t="s">
        <v>52</v>
      </c>
      <c r="F38" s="518" t="s">
        <v>529</v>
      </c>
      <c r="K38" s="443" t="s">
        <v>86</v>
      </c>
      <c r="L38" s="443" t="s">
        <v>87</v>
      </c>
    </row>
    <row r="39" spans="1:12" ht="15">
      <c r="A39" s="33" t="s">
        <v>469</v>
      </c>
      <c r="B39" s="291">
        <f>B27</f>
        <v>137.8027497</v>
      </c>
      <c r="C39" s="313">
        <f>'Stock Split'!C64*$E39</f>
        <v>130.28392125000002</v>
      </c>
      <c r="D39" s="291">
        <f>'Stock Split'!B64*$E39</f>
        <v>18.611988750000002</v>
      </c>
      <c r="E39" s="294">
        <f>C27</f>
        <v>148.89591000000001</v>
      </c>
      <c r="F39" s="441">
        <f aca="true" t="shared" si="24" ref="F39:F50">SUM(B39:D39)</f>
        <v>286.6986597</v>
      </c>
      <c r="J39" t="s">
        <v>88</v>
      </c>
      <c r="K39" s="5">
        <f>C42+C43</f>
        <v>14480.28</v>
      </c>
      <c r="L39" s="5">
        <f>C57+C58</f>
        <v>14480.28</v>
      </c>
    </row>
    <row r="40" spans="1:12" ht="15">
      <c r="A40" s="33" t="s">
        <v>89</v>
      </c>
      <c r="B40" s="291">
        <f>D27</f>
        <v>2664.9724377499997</v>
      </c>
      <c r="C40" s="313">
        <f>'Stock Split'!C65*$E40</f>
        <v>10196.350621363634</v>
      </c>
      <c r="D40" s="291">
        <f>'Stock Split'!B65*$E40</f>
        <v>1456.621517337662</v>
      </c>
      <c r="E40" s="294">
        <f>E27</f>
        <v>11652.972138701296</v>
      </c>
      <c r="F40" s="441">
        <f t="shared" si="24"/>
        <v>14317.944576451297</v>
      </c>
      <c r="J40" t="s">
        <v>90</v>
      </c>
      <c r="K40" s="5">
        <f>C48+C49</f>
        <v>7963.411661791862</v>
      </c>
      <c r="L40" s="5">
        <f>C63+C64</f>
        <v>5350.98755252699</v>
      </c>
    </row>
    <row r="41" spans="1:12" ht="13.5" customHeight="1">
      <c r="A41" s="33" t="s">
        <v>556</v>
      </c>
      <c r="B41" s="291">
        <v>0</v>
      </c>
      <c r="C41" s="313">
        <f>'Stock Split'!C63*$E41</f>
        <v>1630.633878204546</v>
      </c>
      <c r="D41" s="291">
        <f>'Stock Split'!B63*$E41</f>
        <v>232.9476968863637</v>
      </c>
      <c r="E41" s="294">
        <f>F27</f>
        <v>1863.5815750909096</v>
      </c>
      <c r="F41" s="441">
        <f t="shared" si="24"/>
        <v>1863.5815750909096</v>
      </c>
      <c r="J41" t="s">
        <v>91</v>
      </c>
      <c r="K41" s="5">
        <f>C39+C40+C41</f>
        <v>11957.26842081818</v>
      </c>
      <c r="L41" s="5">
        <f>C54+C55+C56</f>
        <v>8241.019593545456</v>
      </c>
    </row>
    <row r="42" spans="1:12" ht="15">
      <c r="A42" s="33" t="s">
        <v>188</v>
      </c>
      <c r="B42" s="291">
        <v>0</v>
      </c>
      <c r="C42" s="313">
        <f>'Stock Split'!C71*$E42</f>
        <v>8856.36</v>
      </c>
      <c r="D42" s="291">
        <f>'Stock Split'!B71*$E42</f>
        <v>2952.12</v>
      </c>
      <c r="E42" s="294">
        <f>G27</f>
        <v>11808.48</v>
      </c>
      <c r="F42" s="441">
        <f t="shared" si="24"/>
        <v>11808.48</v>
      </c>
      <c r="J42" t="s">
        <v>382</v>
      </c>
      <c r="K42" s="5">
        <f>C44+C45</f>
        <v>11638.660028303573</v>
      </c>
      <c r="L42" s="5">
        <f>C59+C60</f>
        <v>5868.328175576299</v>
      </c>
    </row>
    <row r="43" spans="1:12" ht="15">
      <c r="A43" s="33" t="s">
        <v>477</v>
      </c>
      <c r="B43" s="291">
        <v>0</v>
      </c>
      <c r="C43" s="313">
        <f>'Stock Split'!C72*$E43</f>
        <v>5623.92</v>
      </c>
      <c r="D43" s="291">
        <f>'Stock Split'!B72*$E43</f>
        <v>624.8800000000001</v>
      </c>
      <c r="E43" s="294">
        <f>H27</f>
        <v>6248.8</v>
      </c>
      <c r="F43" s="441">
        <f t="shared" si="24"/>
        <v>6248.8</v>
      </c>
      <c r="J43" t="s">
        <v>92</v>
      </c>
      <c r="K43" s="5">
        <f>C46+C47</f>
        <v>6918.602256731951</v>
      </c>
      <c r="L43" s="5">
        <f>C61+C62</f>
        <v>5698.045702437872</v>
      </c>
    </row>
    <row r="44" spans="1:6" ht="15">
      <c r="A44" s="33" t="s">
        <v>472</v>
      </c>
      <c r="B44" s="291">
        <f>I27</f>
        <v>3133.4001335</v>
      </c>
      <c r="C44" s="313">
        <f>'Stock Split'!C66*$E44</f>
        <v>9812.343864375001</v>
      </c>
      <c r="D44" s="291">
        <f>'Stock Split'!B66*$E44</f>
        <v>1401.7634091964287</v>
      </c>
      <c r="E44" s="294">
        <f>J27</f>
        <v>11214.10727357143</v>
      </c>
      <c r="F44" s="441">
        <f t="shared" si="24"/>
        <v>14347.507407071429</v>
      </c>
    </row>
    <row r="45" spans="1:6" ht="15">
      <c r="A45" s="33" t="s">
        <v>503</v>
      </c>
      <c r="B45" s="291">
        <v>0</v>
      </c>
      <c r="C45" s="313">
        <f>'Stock Split'!C73*$E45</f>
        <v>1826.3161639285718</v>
      </c>
      <c r="D45" s="291">
        <f>'Stock Split'!B73*$E45</f>
        <v>608.7720546428573</v>
      </c>
      <c r="E45" s="294">
        <f>K27</f>
        <v>2435.088218571429</v>
      </c>
      <c r="F45" s="441">
        <f t="shared" si="24"/>
        <v>2435.088218571429</v>
      </c>
    </row>
    <row r="46" spans="1:6" ht="15">
      <c r="A46" s="33" t="s">
        <v>459</v>
      </c>
      <c r="B46" s="291">
        <f>L27</f>
        <v>101.8128825</v>
      </c>
      <c r="C46" s="313">
        <f>'Stock Split'!C67*$E46</f>
        <v>5362.433021577777</v>
      </c>
      <c r="D46" s="291">
        <f>'Stock Split'!B67*$E46</f>
        <v>766.0618602253967</v>
      </c>
      <c r="E46" s="294">
        <f>M27</f>
        <v>6128.4948818031735</v>
      </c>
      <c r="F46" s="441">
        <f t="shared" si="24"/>
        <v>6230.307764303174</v>
      </c>
    </row>
    <row r="47" spans="1:6" ht="15">
      <c r="A47" s="33" t="s">
        <v>460</v>
      </c>
      <c r="B47" s="291">
        <f>R27</f>
        <v>1096.575075</v>
      </c>
      <c r="C47" s="313">
        <f>'Stock Split'!C68*$E47</f>
        <v>1556.1692351541735</v>
      </c>
      <c r="D47" s="291">
        <f>'Stock Split'!B68*$E47</f>
        <v>222.3098907363105</v>
      </c>
      <c r="E47" s="294">
        <f>S27</f>
        <v>1778.479125890484</v>
      </c>
      <c r="F47" s="441">
        <f t="shared" si="24"/>
        <v>2875.054200890484</v>
      </c>
    </row>
    <row r="48" spans="1:6" ht="15">
      <c r="A48" s="33" t="s">
        <v>461</v>
      </c>
      <c r="B48" s="291">
        <f>T27</f>
        <v>1094.988514142857</v>
      </c>
      <c r="C48" s="313">
        <f>'Stock Split'!C69*$E48</f>
        <v>5705.787068041862</v>
      </c>
      <c r="D48" s="291">
        <f>'Stock Split'!B69*$E48</f>
        <v>815.1124382916945</v>
      </c>
      <c r="E48" s="294">
        <f>U27</f>
        <v>6520.899506333556</v>
      </c>
      <c r="F48" s="441">
        <f t="shared" si="24"/>
        <v>7615.888020476413</v>
      </c>
    </row>
    <row r="49" spans="1:6" ht="15.75" thickBot="1">
      <c r="A49" s="33" t="s">
        <v>470</v>
      </c>
      <c r="B49" s="291">
        <f>Y27</f>
        <v>442.0799999999999</v>
      </c>
      <c r="C49" s="313">
        <f>'Stock Split'!C70*$E49</f>
        <v>2257.62459375</v>
      </c>
      <c r="D49" s="291">
        <f>'Stock Split'!B70*$E49</f>
        <v>322.5177991071428</v>
      </c>
      <c r="E49" s="294">
        <f>Z27</f>
        <v>2580.1423928571426</v>
      </c>
      <c r="F49" s="442">
        <f t="shared" si="24"/>
        <v>3022.2223928571425</v>
      </c>
    </row>
    <row r="50" spans="1:6" s="443" customFormat="1" ht="15.75" thickBot="1">
      <c r="A50" s="515" t="s">
        <v>529</v>
      </c>
      <c r="B50" s="520">
        <f>SUM(B39:B49)</f>
        <v>8671.631792592856</v>
      </c>
      <c r="C50" s="521">
        <f>SUM(C39:C49)</f>
        <v>52958.22236764556</v>
      </c>
      <c r="D50" s="521">
        <f>SUM(D39:D49)</f>
        <v>9421.718655173858</v>
      </c>
      <c r="E50" s="522">
        <f>SUM(E39:E49)</f>
        <v>62379.94102281942</v>
      </c>
      <c r="F50" s="522">
        <f t="shared" si="24"/>
        <v>71051.57281541228</v>
      </c>
    </row>
    <row r="52" ht="15.75" thickBot="1">
      <c r="A52" s="443" t="s">
        <v>93</v>
      </c>
    </row>
    <row r="53" spans="1:6" s="443" customFormat="1" ht="15.75" thickBot="1">
      <c r="A53" s="515"/>
      <c r="B53" s="516" t="s">
        <v>393</v>
      </c>
      <c r="C53" s="517" t="s">
        <v>394</v>
      </c>
      <c r="D53" s="517" t="s">
        <v>395</v>
      </c>
      <c r="E53" s="518" t="s">
        <v>52</v>
      </c>
      <c r="F53" s="518" t="s">
        <v>529</v>
      </c>
    </row>
    <row r="54" spans="1:6" ht="15">
      <c r="A54" s="33" t="s">
        <v>469</v>
      </c>
      <c r="B54" s="291">
        <f>B29</f>
        <v>137.8027497</v>
      </c>
      <c r="C54" s="291">
        <f>'Stock Split'!C64*$E54</f>
        <v>130.28392125000002</v>
      </c>
      <c r="D54" s="291">
        <f>'Stock Split'!B64*$E54</f>
        <v>18.611988750000002</v>
      </c>
      <c r="E54" s="294">
        <f>C29</f>
        <v>148.89591000000001</v>
      </c>
      <c r="F54" s="441">
        <f aca="true" t="shared" si="25" ref="F54:F65">SUM(B54:D54)</f>
        <v>286.6986597</v>
      </c>
    </row>
    <row r="55" spans="1:6" ht="15">
      <c r="A55" s="33" t="s">
        <v>89</v>
      </c>
      <c r="B55" s="291">
        <f>D29</f>
        <v>2412.2697064999998</v>
      </c>
      <c r="C55" s="291">
        <f>'Stock Split'!C65*$E55</f>
        <v>6767.185223352273</v>
      </c>
      <c r="D55" s="291">
        <f>'Stock Split'!B65*$E55</f>
        <v>966.7407461931818</v>
      </c>
      <c r="E55" s="294">
        <f>E29</f>
        <v>7733.925969545455</v>
      </c>
      <c r="F55" s="441">
        <f t="shared" si="25"/>
        <v>10146.195676045454</v>
      </c>
    </row>
    <row r="56" spans="1:6" ht="15">
      <c r="A56" s="33" t="s">
        <v>556</v>
      </c>
      <c r="B56" s="291">
        <v>0</v>
      </c>
      <c r="C56" s="291">
        <f>'Stock Split'!C63*$E56</f>
        <v>1343.5504489431821</v>
      </c>
      <c r="D56" s="291">
        <f>'Stock Split'!B63*$E56</f>
        <v>191.9357784204546</v>
      </c>
      <c r="E56" s="294">
        <f>F29</f>
        <v>1535.4862273636368</v>
      </c>
      <c r="F56" s="441">
        <f t="shared" si="25"/>
        <v>1535.4862273636368</v>
      </c>
    </row>
    <row r="57" spans="1:6" ht="15">
      <c r="A57" s="33" t="s">
        <v>188</v>
      </c>
      <c r="B57" s="291">
        <v>0</v>
      </c>
      <c r="C57" s="291">
        <f>'Stock Split'!C71*$E57</f>
        <v>8856.36</v>
      </c>
      <c r="D57" s="291">
        <f>'Stock Split'!B71*$E57</f>
        <v>2952.12</v>
      </c>
      <c r="E57" s="294">
        <f>G29</f>
        <v>11808.48</v>
      </c>
      <c r="F57" s="441">
        <f t="shared" si="25"/>
        <v>11808.48</v>
      </c>
    </row>
    <row r="58" spans="1:6" ht="15">
      <c r="A58" s="33" t="s">
        <v>477</v>
      </c>
      <c r="B58" s="291">
        <v>0</v>
      </c>
      <c r="C58" s="291">
        <f>'Stock Split'!C72*$E58</f>
        <v>5623.92</v>
      </c>
      <c r="D58" s="291">
        <f>'Stock Split'!B72*$E58</f>
        <v>624.8800000000001</v>
      </c>
      <c r="E58" s="294">
        <f>H29</f>
        <v>6248.8</v>
      </c>
      <c r="F58" s="441">
        <f t="shared" si="25"/>
        <v>6248.8</v>
      </c>
    </row>
    <row r="59" spans="1:6" ht="15">
      <c r="A59" s="33" t="s">
        <v>472</v>
      </c>
      <c r="B59" s="291">
        <f>I29</f>
        <v>2702.1208055</v>
      </c>
      <c r="C59" s="291">
        <f>'Stock Split'!C66*$E59</f>
        <v>4935.308631647727</v>
      </c>
      <c r="D59" s="291">
        <f>'Stock Split'!B66*$E59</f>
        <v>705.0440902353896</v>
      </c>
      <c r="E59" s="294">
        <f>J29</f>
        <v>5640.352721883117</v>
      </c>
      <c r="F59" s="441">
        <f t="shared" si="25"/>
        <v>8342.473527383117</v>
      </c>
    </row>
    <row r="60" spans="1:6" ht="15">
      <c r="A60" s="33" t="s">
        <v>503</v>
      </c>
      <c r="B60" s="291">
        <v>0</v>
      </c>
      <c r="C60" s="291">
        <f>'Stock Split'!C73*$E60</f>
        <v>933.0195439285717</v>
      </c>
      <c r="D60" s="291">
        <f>'Stock Split'!B73*$E60</f>
        <v>311.0065146428572</v>
      </c>
      <c r="E60" s="294">
        <f>K29</f>
        <v>1244.0260585714288</v>
      </c>
      <c r="F60" s="441">
        <f t="shared" si="25"/>
        <v>1244.0260585714288</v>
      </c>
    </row>
    <row r="61" spans="1:6" ht="15">
      <c r="A61" s="33" t="s">
        <v>459</v>
      </c>
      <c r="B61" s="291">
        <f>L29</f>
        <v>98.8925175</v>
      </c>
      <c r="C61" s="291">
        <f>'Stock Split'!C67*$E61</f>
        <v>4141.876467283699</v>
      </c>
      <c r="D61" s="291">
        <f>'Stock Split'!B67*$E61</f>
        <v>591.6966381833855</v>
      </c>
      <c r="E61" s="294">
        <f>M29</f>
        <v>4733.573105467084</v>
      </c>
      <c r="F61" s="441">
        <f t="shared" si="25"/>
        <v>4832.4656229670845</v>
      </c>
    </row>
    <row r="62" spans="1:6" ht="15">
      <c r="A62" s="33" t="s">
        <v>460</v>
      </c>
      <c r="B62" s="291">
        <f>R29</f>
        <v>1096.575075</v>
      </c>
      <c r="C62" s="291">
        <f>'Stock Split'!C68*$E62</f>
        <v>1556.1692351541735</v>
      </c>
      <c r="D62" s="291">
        <f>'Stock Split'!B68*$E62</f>
        <v>222.3098907363105</v>
      </c>
      <c r="E62" s="294">
        <f>S29</f>
        <v>1778.479125890484</v>
      </c>
      <c r="F62" s="441">
        <f t="shared" si="25"/>
        <v>2875.054200890484</v>
      </c>
    </row>
    <row r="63" spans="1:6" ht="15">
      <c r="A63" s="33" t="s">
        <v>461</v>
      </c>
      <c r="B63" s="291">
        <f>T29</f>
        <v>482.4839642857143</v>
      </c>
      <c r="C63" s="291">
        <f>'Stock Split'!C69*$E63</f>
        <v>3093.36295877699</v>
      </c>
      <c r="D63" s="291">
        <f>'Stock Split'!B69*$E63</f>
        <v>441.9089941109986</v>
      </c>
      <c r="E63" s="294">
        <f>U29</f>
        <v>3535.271952887989</v>
      </c>
      <c r="F63" s="441">
        <f t="shared" si="25"/>
        <v>4017.755917173703</v>
      </c>
    </row>
    <row r="64" spans="1:6" ht="15.75" thickBot="1">
      <c r="A64" s="33" t="s">
        <v>470</v>
      </c>
      <c r="B64" s="291">
        <f>Y29</f>
        <v>442.0799999999999</v>
      </c>
      <c r="C64" s="291">
        <f>'Stock Split'!C70*$E64</f>
        <v>2257.62459375</v>
      </c>
      <c r="D64" s="291">
        <f>'Stock Split'!B70*$E64</f>
        <v>322.5177991071428</v>
      </c>
      <c r="E64" s="294">
        <f>Z29</f>
        <v>2580.1423928571426</v>
      </c>
      <c r="F64" s="442">
        <f t="shared" si="25"/>
        <v>3022.2223928571425</v>
      </c>
    </row>
    <row r="65" spans="1:6" s="443" customFormat="1" ht="15.75" thickBot="1">
      <c r="A65" s="515" t="s">
        <v>529</v>
      </c>
      <c r="B65" s="520">
        <f>SUM(B54:B64)</f>
        <v>7372.224818485714</v>
      </c>
      <c r="C65" s="521">
        <f>SUM(C54:C64)</f>
        <v>39638.661024086614</v>
      </c>
      <c r="D65" s="521">
        <f>SUM(D54:D64)</f>
        <v>7348.77244037972</v>
      </c>
      <c r="E65" s="522">
        <f>SUM(E54:E64)</f>
        <v>46987.43346446633</v>
      </c>
      <c r="F65" s="522">
        <f t="shared" si="25"/>
        <v>54359.65828295205</v>
      </c>
    </row>
    <row r="67" ht="15.75" thickBot="1">
      <c r="A67" s="443" t="s">
        <v>94</v>
      </c>
    </row>
    <row r="68" spans="1:5" s="443" customFormat="1" ht="15.75" thickBot="1">
      <c r="A68" s="515"/>
      <c r="B68" s="516" t="s">
        <v>86</v>
      </c>
      <c r="C68" s="517" t="s">
        <v>87</v>
      </c>
      <c r="D68" s="517" t="s">
        <v>95</v>
      </c>
      <c r="E68" s="519" t="s">
        <v>96</v>
      </c>
    </row>
    <row r="69" spans="1:5" ht="15">
      <c r="A69" s="33" t="s">
        <v>469</v>
      </c>
      <c r="B69" s="283">
        <f>B$27+C$27</f>
        <v>286.6986597</v>
      </c>
      <c r="C69" s="282">
        <f>B$29+C$29</f>
        <v>286.6986597</v>
      </c>
      <c r="D69" s="282">
        <f>$B$30+$C$30</f>
        <v>269.4607098</v>
      </c>
      <c r="E69" s="284">
        <f>$B$28+$C$28</f>
        <v>566.2970985000001</v>
      </c>
    </row>
    <row r="70" spans="1:5" ht="15">
      <c r="A70" s="33" t="s">
        <v>89</v>
      </c>
      <c r="B70" s="290">
        <f>D$27+E$27</f>
        <v>14317.944576451297</v>
      </c>
      <c r="C70" s="291">
        <f>D$29+E$29</f>
        <v>10146.195676045454</v>
      </c>
      <c r="D70" s="291">
        <f>$D$30+$E$30</f>
        <v>7020.398253636363</v>
      </c>
      <c r="E70" s="292">
        <f>$D$28+$E$28</f>
        <v>15708.527543253243</v>
      </c>
    </row>
    <row r="71" spans="1:5" ht="15">
      <c r="A71" s="33" t="s">
        <v>556</v>
      </c>
      <c r="B71" s="290">
        <f>F$27</f>
        <v>1863.5815750909096</v>
      </c>
      <c r="C71" s="291">
        <f>F$29</f>
        <v>1535.4862273636368</v>
      </c>
      <c r="D71" s="291">
        <f>$F$30</f>
        <v>1329.8798094545457</v>
      </c>
      <c r="E71" s="292">
        <f>$F$28</f>
        <v>1972.9466910000006</v>
      </c>
    </row>
    <row r="72" spans="1:5" ht="15">
      <c r="A72" s="33" t="s">
        <v>188</v>
      </c>
      <c r="B72" s="290">
        <f>G$27</f>
        <v>11808.48</v>
      </c>
      <c r="C72" s="291">
        <f>G$29</f>
        <v>11808.48</v>
      </c>
      <c r="D72" s="291">
        <f>$G$30</f>
        <v>11808.48</v>
      </c>
      <c r="E72" s="292">
        <f>$G$28</f>
        <v>11808.48</v>
      </c>
    </row>
    <row r="73" spans="1:5" ht="15">
      <c r="A73" s="33" t="s">
        <v>477</v>
      </c>
      <c r="B73" s="290">
        <f>H$27</f>
        <v>6248.8</v>
      </c>
      <c r="C73" s="291">
        <f>H$29</f>
        <v>6248.8</v>
      </c>
      <c r="D73" s="291">
        <f>$H$30</f>
        <v>6248.8</v>
      </c>
      <c r="E73" s="292">
        <f>$H$28</f>
        <v>6248.8</v>
      </c>
    </row>
    <row r="74" spans="1:5" ht="15">
      <c r="A74" s="33" t="s">
        <v>472</v>
      </c>
      <c r="B74" s="290">
        <f>I$27+J$27</f>
        <v>14347.507407071429</v>
      </c>
      <c r="C74" s="291">
        <f>I$29+J$29</f>
        <v>8342.473527383117</v>
      </c>
      <c r="D74" s="291">
        <f>$I$30+$J$30</f>
        <v>7743.9165741558445</v>
      </c>
      <c r="E74" s="292">
        <f>$I$28+$J$28</f>
        <v>23355.0582266039</v>
      </c>
    </row>
    <row r="75" spans="1:5" ht="15">
      <c r="A75" s="33" t="s">
        <v>503</v>
      </c>
      <c r="B75" s="290">
        <f>K$27</f>
        <v>2435.088218571429</v>
      </c>
      <c r="C75" s="291">
        <f>K$29</f>
        <v>1244.0260585714288</v>
      </c>
      <c r="D75" s="291">
        <f>$K$30</f>
        <v>1112.6589085714286</v>
      </c>
      <c r="E75" s="292">
        <f>$K$28</f>
        <v>4221.681458571429</v>
      </c>
    </row>
    <row r="76" spans="1:5" ht="15">
      <c r="A76" s="33" t="s">
        <v>459</v>
      </c>
      <c r="B76" s="290">
        <f>L$27+M$27</f>
        <v>6230.307764303174</v>
      </c>
      <c r="C76" s="291">
        <f>L$29+M$29</f>
        <v>4832.4656229670845</v>
      </c>
      <c r="D76" s="291">
        <f>$L$30+$M$30</f>
        <v>2724.7186913181276</v>
      </c>
      <c r="E76" s="292">
        <f>$L$28+$M$28</f>
        <v>11821.676329647535</v>
      </c>
    </row>
    <row r="77" spans="1:5" ht="15">
      <c r="A77" s="33" t="s">
        <v>460</v>
      </c>
      <c r="B77" s="290">
        <f>R$27+S$27</f>
        <v>2875.054200890484</v>
      </c>
      <c r="C77" s="291">
        <f>R$29+S$29</f>
        <v>2875.054200890484</v>
      </c>
      <c r="D77" s="291">
        <f>$R$30+$S$30</f>
        <v>1895.4825004253055</v>
      </c>
      <c r="E77" s="292">
        <f>$R$28+$S$28</f>
        <v>2875.054200890484</v>
      </c>
    </row>
    <row r="78" spans="1:5" ht="15">
      <c r="A78" s="33" t="s">
        <v>461</v>
      </c>
      <c r="B78" s="290">
        <f>T$27+U$27</f>
        <v>7615.888020476413</v>
      </c>
      <c r="C78" s="291">
        <f>T$29+U$29</f>
        <v>4017.755917173703</v>
      </c>
      <c r="D78" s="291">
        <f>$T$30+$U$30</f>
        <v>4017.755917173703</v>
      </c>
      <c r="E78" s="292">
        <f>$T$28+$U$28</f>
        <v>12273.577102568408</v>
      </c>
    </row>
    <row r="79" spans="1:5" ht="15.75" thickBot="1">
      <c r="A79" s="33" t="s">
        <v>470</v>
      </c>
      <c r="B79" s="303">
        <f>Y$27+Z$27</f>
        <v>3022.2223928571425</v>
      </c>
      <c r="C79" s="305">
        <f>Y$29+Z$29</f>
        <v>3022.2223928571425</v>
      </c>
      <c r="D79" s="305">
        <f>$Y$30+$Z$30</f>
        <v>3022.2223928571425</v>
      </c>
      <c r="E79" s="304">
        <f>$Y$28+$Z$28</f>
        <v>3022.2223928571425</v>
      </c>
    </row>
    <row r="80" spans="1:5" s="443" customFormat="1" ht="15.75" thickBot="1">
      <c r="A80" s="515" t="s">
        <v>529</v>
      </c>
      <c r="B80" s="520">
        <f>SUM(B69:B79)</f>
        <v>71051.57281541228</v>
      </c>
      <c r="C80" s="521">
        <f>SUM(C69:C79)</f>
        <v>54359.65828295205</v>
      </c>
      <c r="D80" s="521">
        <f>SUM(D69:D79)</f>
        <v>47193.77375739246</v>
      </c>
      <c r="E80" s="523">
        <f>SUM(E69:E79)</f>
        <v>93874.32104389215</v>
      </c>
    </row>
    <row r="83" spans="1:20" ht="1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</row>
    <row r="84" spans="1:20" ht="15">
      <c r="A84" s="75"/>
      <c r="B84" s="265"/>
      <c r="C84" s="121"/>
      <c r="D84" s="121"/>
      <c r="E84" s="266"/>
      <c r="F84" s="121"/>
      <c r="G84" s="121"/>
      <c r="H84" s="121"/>
      <c r="I84" s="121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</row>
    <row r="85" spans="1:20" ht="15">
      <c r="A85" s="75"/>
      <c r="B85" s="267"/>
      <c r="C85" s="13"/>
      <c r="D85" s="13"/>
      <c r="E85" s="13"/>
      <c r="F85" s="13"/>
      <c r="G85" s="13"/>
      <c r="H85" s="13"/>
      <c r="I85" s="13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</row>
    <row r="86" spans="1:20" ht="15">
      <c r="A86" s="75"/>
      <c r="B86" s="266"/>
      <c r="C86" s="266"/>
      <c r="D86" s="266"/>
      <c r="E86" s="266"/>
      <c r="F86" s="266"/>
      <c r="G86" s="266"/>
      <c r="H86" s="266"/>
      <c r="I86" s="266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</row>
    <row r="87" spans="1:20" ht="15">
      <c r="A87" s="75"/>
      <c r="B87" s="268"/>
      <c r="C87" s="268"/>
      <c r="D87" s="268"/>
      <c r="E87" s="268"/>
      <c r="F87" s="268"/>
      <c r="G87" s="268"/>
      <c r="H87" s="268"/>
      <c r="I87" s="268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</row>
    <row r="88" spans="1:27" ht="15">
      <c r="A88" s="269"/>
      <c r="B88" s="270"/>
      <c r="C88" s="270"/>
      <c r="D88" s="270"/>
      <c r="E88" s="270"/>
      <c r="F88" s="270"/>
      <c r="G88" s="270"/>
      <c r="H88" s="270"/>
      <c r="I88" s="270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5"/>
      <c r="Y88" s="5"/>
      <c r="Z88" s="5"/>
      <c r="AA88" s="5"/>
    </row>
    <row r="89" spans="1:20" ht="1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</row>
    <row r="90" spans="1:20" ht="1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</row>
    <row r="91" spans="1:20" ht="1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</row>
    <row r="92" spans="1:20" ht="1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</row>
    <row r="93" spans="1:20" ht="1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</row>
    <row r="94" spans="1:20" ht="1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</row>
    <row r="95" spans="1:20" ht="1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</row>
  </sheetData>
  <mergeCells count="6">
    <mergeCell ref="B4:C4"/>
    <mergeCell ref="D4:E4"/>
    <mergeCell ref="Y4:Z4"/>
    <mergeCell ref="R4:S4"/>
    <mergeCell ref="T4:U4"/>
    <mergeCell ref="L4:M4"/>
  </mergeCells>
  <printOptions/>
  <pageMargins left="0.1968503937007874" right="0.1968503937007874" top="0.984251968503937" bottom="0.984251968503937" header="0.5118110236220472" footer="0.5118110236220472"/>
  <pageSetup horizontalDpi="360" verticalDpi="360" orientation="landscape" paperSize="9" scale="60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大阪が巣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Alan Sanstad</cp:lastModifiedBy>
  <cp:lastPrinted>2000-05-24T21:57:21Z</cp:lastPrinted>
  <dcterms:created xsi:type="dcterms:W3CDTF">2000-02-16T23:18:27Z</dcterms:created>
  <cp:category/>
  <cp:version/>
  <cp:contentType/>
  <cp:contentStatus/>
</cp:coreProperties>
</file>